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16215" windowHeight="7200" tabRatio="891" firstSheet="1" activeTab="2"/>
  </bookViews>
  <sheets>
    <sheet name="10 Commandments" sheetId="5" r:id="rId1"/>
    <sheet name="FAQ" sheetId="10" r:id="rId2"/>
    <sheet name="PRACTICAL CHART" sheetId="30" r:id="rId3"/>
    <sheet name="Fairytale Archive Structure" sheetId="38" r:id="rId4"/>
    <sheet name="slower than practical" sheetId="36" r:id="rId5"/>
    <sheet name="AUDIO" sheetId="33" r:id="rId6"/>
    <sheet name="Camera Raw" sheetId="37" r:id="rId7"/>
    <sheet name="IMAGE" sheetId="35" r:id="rId8"/>
    <sheet name="PDF, JPG, MP3, PNG, Installer.." sheetId="16" r:id="rId9"/>
    <sheet name="TXT BIBLE" sheetId="31" r:id="rId10"/>
  </sheets>
  <definedNames>
    <definedName name="Alter" localSheetId="7">#REF!</definedName>
    <definedName name="Alter" localSheetId="4">#REF!</definedName>
    <definedName name="Alter">#REF!</definedName>
    <definedName name="_xlnm.Database">#REF!</definedName>
    <definedName name="Excel_BuiltIn__FilterDatabase_9" localSheetId="7">#REF!</definedName>
    <definedName name="Excel_BuiltIn__FilterDatabase_9" localSheetId="8">#REF!</definedName>
    <definedName name="Excel_BuiltIn__FilterDatabase_9" localSheetId="2">#REF!</definedName>
    <definedName name="Excel_BuiltIn__FilterDatabase_9" localSheetId="4">#REF!</definedName>
    <definedName name="Excel_BuiltIn__FilterDatabase_9" localSheetId="9">#REF!</definedName>
    <definedName name="Excel_BuiltIn__FilterDatabase_9">#REF!</definedName>
    <definedName name="Excel_BuiltIn_Database" localSheetId="7">#REF!</definedName>
    <definedName name="Excel_BuiltIn_Database" localSheetId="8">#REF!</definedName>
    <definedName name="Excel_BuiltIn_Database">#REF!</definedName>
  </definedNames>
  <calcPr calcId="145621"/>
</workbook>
</file>

<file path=xl/calcChain.xml><?xml version="1.0" encoding="utf-8"?>
<calcChain xmlns="http://schemas.openxmlformats.org/spreadsheetml/2006/main">
  <c r="F340" i="30" l="1"/>
  <c r="F236" i="30" l="1"/>
  <c r="E147" i="35" l="1"/>
  <c r="E18" i="35" l="1"/>
  <c r="E66" i="35" l="1"/>
  <c r="F93" i="30" l="1"/>
  <c r="E212" i="35" l="1"/>
  <c r="E44" i="35"/>
  <c r="F263" i="30" l="1"/>
  <c r="F264" i="30"/>
  <c r="F245" i="30" l="1"/>
  <c r="F95" i="30" l="1"/>
  <c r="F24" i="30" l="1"/>
  <c r="F336" i="30" l="1"/>
  <c r="F115" i="30" l="1"/>
  <c r="F277" i="30" l="1"/>
  <c r="F184" i="30" l="1"/>
  <c r="F96" i="30" l="1"/>
  <c r="C1" i="30"/>
  <c r="F53" i="30" l="1"/>
  <c r="F136" i="30" l="1"/>
  <c r="F132" i="30" l="1"/>
  <c r="G101" i="30" l="1"/>
  <c r="F101" i="30"/>
  <c r="G97" i="30" l="1"/>
  <c r="F97" i="30" l="1"/>
  <c r="F356" i="30" l="1"/>
  <c r="G60" i="30" l="1"/>
  <c r="F60" i="30"/>
  <c r="F61" i="30" l="1"/>
  <c r="F49" i="30" l="1"/>
  <c r="F116" i="30" l="1"/>
  <c r="F84" i="30" l="1"/>
  <c r="F66" i="30" l="1"/>
  <c r="F146" i="30" l="1"/>
  <c r="F186" i="30" l="1"/>
  <c r="F134" i="30" l="1"/>
  <c r="K426" i="16"/>
  <c r="Q394" i="16" l="1"/>
  <c r="K394" i="16"/>
  <c r="E394" i="16"/>
  <c r="K356" i="16"/>
  <c r="E356" i="16"/>
  <c r="Q323" i="16"/>
  <c r="K321" i="16"/>
  <c r="E323" i="16" l="1"/>
  <c r="Q286" i="16" l="1"/>
  <c r="K286" i="16"/>
  <c r="E286" i="16"/>
  <c r="E247" i="16" l="1"/>
  <c r="F114" i="30" l="1"/>
  <c r="K247" i="16"/>
  <c r="Q217" i="16"/>
  <c r="E427" i="16" l="1"/>
  <c r="E217" i="16"/>
  <c r="Q180" i="16" l="1"/>
  <c r="K180" i="16"/>
  <c r="E180" i="16"/>
  <c r="Q91" i="16"/>
  <c r="K91" i="16"/>
  <c r="E91" i="16" l="1"/>
  <c r="Q58" i="16"/>
  <c r="K58" i="16"/>
  <c r="E58" i="16" l="1"/>
  <c r="Q15" i="16"/>
  <c r="K15" i="16"/>
  <c r="E15" i="16" l="1"/>
  <c r="E131" i="16" l="1"/>
  <c r="Q131" i="16"/>
  <c r="K129" i="16" l="1"/>
  <c r="F328" i="30" l="1"/>
  <c r="F293" i="30" l="1"/>
  <c r="E25" i="35" l="1"/>
  <c r="J53" i="37" l="1"/>
  <c r="J52" i="37"/>
  <c r="J51" i="37"/>
  <c r="J50" i="37"/>
  <c r="J49" i="37"/>
  <c r="J48" i="37"/>
  <c r="J47" i="37"/>
  <c r="J46" i="37"/>
  <c r="J45" i="37"/>
  <c r="J44" i="37"/>
  <c r="J43" i="37"/>
  <c r="I67" i="37"/>
  <c r="J67" i="37" s="1"/>
  <c r="I66" i="37"/>
  <c r="J66" i="37" s="1"/>
  <c r="I65" i="37"/>
  <c r="J65" i="37" s="1"/>
  <c r="I64" i="37"/>
  <c r="J64" i="37" s="1"/>
  <c r="I63" i="37"/>
  <c r="J63" i="37" s="1"/>
  <c r="I62" i="37"/>
  <c r="J62" i="37" s="1"/>
  <c r="I61" i="37"/>
  <c r="J61" i="37" s="1"/>
  <c r="I60" i="37"/>
  <c r="J60" i="37" s="1"/>
  <c r="I59" i="37"/>
  <c r="J59" i="37" s="1"/>
  <c r="I58" i="37"/>
  <c r="J58" i="37" s="1"/>
  <c r="I57" i="37"/>
  <c r="J57" i="37" s="1"/>
  <c r="I56" i="37"/>
  <c r="J56" i="37" s="1"/>
  <c r="I55" i="37"/>
  <c r="J55" i="37" s="1"/>
  <c r="I54" i="37"/>
  <c r="J54" i="37" s="1"/>
  <c r="I53" i="37"/>
  <c r="I52" i="37"/>
  <c r="I51" i="37"/>
  <c r="I50" i="37"/>
  <c r="I49" i="37"/>
  <c r="I48" i="37"/>
  <c r="I47" i="37"/>
  <c r="I46" i="37"/>
  <c r="I45" i="37"/>
  <c r="I44" i="37"/>
  <c r="I43" i="37"/>
  <c r="I68" i="37" l="1"/>
  <c r="J68" i="37" s="1"/>
  <c r="C68" i="37"/>
  <c r="G30" i="37" l="1"/>
  <c r="E30" i="37"/>
  <c r="D30" i="37" l="1"/>
  <c r="I30" i="37"/>
  <c r="H30" i="37"/>
  <c r="F274" i="30" l="1"/>
  <c r="E352" i="16" l="1"/>
  <c r="K375" i="16"/>
  <c r="K374" i="16"/>
  <c r="K373" i="16"/>
  <c r="K372" i="16"/>
  <c r="K371" i="16"/>
  <c r="K370" i="16"/>
  <c r="K369" i="16"/>
  <c r="K368" i="16"/>
  <c r="K367" i="16"/>
  <c r="K366" i="16"/>
  <c r="K365" i="16"/>
  <c r="K364" i="16"/>
  <c r="K363" i="16"/>
  <c r="K362" i="16"/>
  <c r="K361" i="16"/>
  <c r="K360" i="16"/>
  <c r="K359" i="16"/>
  <c r="K358" i="16"/>
  <c r="K357" i="16"/>
  <c r="K355" i="16"/>
  <c r="K354" i="16"/>
  <c r="K353" i="16"/>
  <c r="K352" i="16"/>
  <c r="F45" i="30" l="1"/>
  <c r="F30" i="37" l="1"/>
  <c r="S30" i="37"/>
  <c r="K30" i="37"/>
  <c r="L30" i="37"/>
  <c r="R30" i="37"/>
  <c r="P30" i="37"/>
  <c r="O30" i="37"/>
  <c r="N30" i="37"/>
  <c r="M30" i="37"/>
  <c r="J30" i="37"/>
  <c r="Q30" i="37"/>
  <c r="C30" i="37"/>
  <c r="F149" i="30" l="1"/>
  <c r="E83" i="35" l="1"/>
  <c r="E84" i="35"/>
  <c r="E64" i="35"/>
  <c r="E85" i="35"/>
  <c r="E37" i="35"/>
  <c r="E35" i="35"/>
  <c r="E49" i="35" l="1"/>
  <c r="E48" i="35"/>
  <c r="F54" i="30" l="1"/>
  <c r="E123" i="33" l="1"/>
  <c r="E129" i="33" l="1"/>
  <c r="E128" i="33"/>
  <c r="E124" i="33"/>
  <c r="E122" i="33"/>
  <c r="E119" i="33"/>
  <c r="E117" i="33"/>
  <c r="E118" i="33"/>
  <c r="E116" i="33" l="1"/>
  <c r="E108" i="33"/>
  <c r="E112" i="33"/>
  <c r="E111" i="33"/>
  <c r="E107" i="33"/>
  <c r="E109" i="33"/>
  <c r="E110" i="33"/>
  <c r="E104" i="33"/>
  <c r="E100" i="33"/>
  <c r="E99" i="33"/>
  <c r="E105" i="33"/>
  <c r="E103" i="33"/>
  <c r="E102" i="33" l="1"/>
  <c r="E98" i="33"/>
  <c r="E97" i="33"/>
  <c r="E96" i="33"/>
  <c r="E95" i="33"/>
  <c r="E94" i="33" l="1"/>
  <c r="E44" i="33" l="1"/>
  <c r="E49" i="33"/>
  <c r="E78" i="33"/>
  <c r="E76" i="33"/>
  <c r="E72" i="33"/>
  <c r="E70" i="33"/>
  <c r="E68" i="33"/>
  <c r="E65" i="33"/>
  <c r="E63" i="33"/>
  <c r="E61" i="33"/>
  <c r="E58" i="33"/>
  <c r="E57" i="33"/>
  <c r="E52" i="33"/>
  <c r="E51" i="33"/>
  <c r="E48" i="33"/>
  <c r="E36" i="33"/>
  <c r="E46" i="33"/>
  <c r="E32" i="33"/>
  <c r="E40" i="33"/>
  <c r="E43" i="33"/>
  <c r="E33" i="33"/>
  <c r="E28" i="33"/>
  <c r="E45" i="33"/>
  <c r="E42" i="33"/>
  <c r="E39" i="33"/>
  <c r="E38" i="33"/>
  <c r="E25" i="33"/>
  <c r="E26" i="33"/>
  <c r="E21" i="33"/>
  <c r="E20" i="33"/>
  <c r="E13" i="33"/>
  <c r="E16" i="33"/>
  <c r="E14" i="33"/>
  <c r="E17" i="33"/>
  <c r="E31" i="33"/>
  <c r="E29" i="33"/>
  <c r="E34" i="33"/>
  <c r="E27" i="33" l="1"/>
  <c r="E24" i="33"/>
  <c r="E19" i="33"/>
  <c r="E18" i="33"/>
  <c r="E15" i="33"/>
  <c r="E12" i="33"/>
  <c r="E11" i="33" l="1"/>
  <c r="F390" i="30" l="1"/>
  <c r="E10" i="33"/>
  <c r="E65" i="35" l="1"/>
  <c r="F29" i="30" l="1"/>
  <c r="F48" i="30" l="1"/>
  <c r="E12" i="35" l="1"/>
  <c r="E95" i="35"/>
  <c r="E91" i="35"/>
  <c r="E93" i="35"/>
  <c r="E89" i="35"/>
  <c r="E86" i="35"/>
  <c r="E76" i="35"/>
  <c r="E75" i="35"/>
  <c r="E74" i="35"/>
  <c r="E73" i="35"/>
  <c r="E63" i="35" l="1"/>
  <c r="E28" i="35"/>
  <c r="E72" i="35"/>
  <c r="E71" i="35"/>
  <c r="E67" i="35"/>
  <c r="E59" i="35"/>
  <c r="E56" i="35"/>
  <c r="E52" i="35"/>
  <c r="E50" i="35"/>
  <c r="E60" i="35"/>
  <c r="E51" i="35"/>
  <c r="E46" i="35"/>
  <c r="E45" i="35"/>
  <c r="E40" i="35"/>
  <c r="E42" i="35"/>
  <c r="E41" i="35"/>
  <c r="E39" i="35"/>
  <c r="E38" i="35"/>
  <c r="E34" i="35"/>
  <c r="E33" i="35"/>
  <c r="E32" i="35"/>
  <c r="E31" i="35"/>
  <c r="E26" i="35"/>
  <c r="E27" i="35"/>
  <c r="E20" i="35"/>
  <c r="E15" i="35"/>
  <c r="E24" i="35" l="1"/>
  <c r="E22" i="35"/>
  <c r="E17" i="35"/>
  <c r="E19" i="35"/>
  <c r="E16" i="35"/>
  <c r="E14" i="35"/>
  <c r="E13" i="35"/>
  <c r="G20" i="36" l="1"/>
  <c r="F106" i="30" l="1"/>
  <c r="G13" i="36"/>
  <c r="G21" i="36" l="1"/>
  <c r="G22" i="36"/>
  <c r="G23" i="36" l="1"/>
  <c r="G56" i="36" l="1"/>
  <c r="F265" i="30" l="1"/>
  <c r="F37" i="30"/>
  <c r="G24" i="36"/>
  <c r="G25" i="36" l="1"/>
  <c r="G29" i="36" l="1"/>
  <c r="G30" i="36" l="1"/>
  <c r="G31" i="36" l="1"/>
  <c r="E20" i="36" l="1"/>
  <c r="F21" i="30" l="1"/>
  <c r="F74" i="30" l="1"/>
  <c r="F15" i="30" l="1"/>
  <c r="G35" i="36" l="1"/>
  <c r="E35" i="36"/>
  <c r="G34" i="36" l="1"/>
  <c r="J51" i="36"/>
  <c r="G51" i="36"/>
  <c r="F28" i="30" l="1"/>
  <c r="K51" i="36" l="1"/>
  <c r="G15" i="36" l="1"/>
  <c r="G17" i="36" l="1"/>
  <c r="G18" i="36" l="1"/>
  <c r="G39" i="36" l="1"/>
  <c r="G38" i="36"/>
  <c r="G43" i="36"/>
  <c r="G47" i="36"/>
  <c r="G42" i="36" l="1"/>
  <c r="G45" i="36"/>
  <c r="G50" i="36"/>
  <c r="G57" i="36" l="1"/>
  <c r="G55" i="36"/>
  <c r="G58" i="36"/>
  <c r="G40" i="36" l="1"/>
  <c r="G59" i="36"/>
  <c r="G60" i="36" l="1"/>
  <c r="G61" i="36" l="1"/>
  <c r="G65" i="36"/>
  <c r="G62" i="36" l="1"/>
  <c r="K11" i="36"/>
  <c r="J11" i="36"/>
  <c r="K10" i="36" l="1"/>
  <c r="K9" i="36"/>
  <c r="J10" i="36"/>
  <c r="J9" i="36"/>
  <c r="D35" i="31" l="1"/>
  <c r="D15" i="31"/>
  <c r="C35" i="31"/>
  <c r="C15" i="31"/>
  <c r="D44" i="31"/>
  <c r="C44" i="31"/>
  <c r="D31" i="31"/>
  <c r="C31" i="31"/>
  <c r="D14" i="31"/>
  <c r="C14" i="31"/>
  <c r="W171" i="30" l="1"/>
  <c r="F280" i="30"/>
  <c r="Q31" i="16" l="1"/>
  <c r="K31" i="16"/>
  <c r="E31" i="16"/>
  <c r="E74" i="16"/>
  <c r="K74" i="16"/>
  <c r="Q74" i="16"/>
  <c r="Q107" i="16"/>
  <c r="K107" i="16"/>
  <c r="E107" i="16"/>
  <c r="E155" i="16"/>
  <c r="K155" i="16"/>
  <c r="Q155" i="16"/>
  <c r="Q197" i="16"/>
  <c r="K197" i="16"/>
  <c r="E197" i="16"/>
  <c r="E231" i="16"/>
  <c r="K231" i="16"/>
  <c r="Q231" i="16"/>
  <c r="K260" i="16"/>
  <c r="E260" i="16"/>
  <c r="E292" i="16"/>
  <c r="K292" i="16"/>
  <c r="Q292" i="16"/>
  <c r="Q338" i="16"/>
  <c r="K338" i="16"/>
  <c r="E338" i="16"/>
  <c r="E374" i="16"/>
  <c r="Q408" i="16"/>
  <c r="K408" i="16"/>
  <c r="E408" i="16"/>
  <c r="E442" i="16"/>
  <c r="K442" i="16"/>
  <c r="Q479" i="16"/>
  <c r="K479" i="16"/>
  <c r="E479" i="16"/>
  <c r="E518" i="16"/>
  <c r="G87" i="30" l="1"/>
  <c r="F87" i="30" l="1"/>
  <c r="F20" i="30" l="1"/>
  <c r="F382" i="30" l="1"/>
  <c r="F278" i="30" l="1"/>
  <c r="G42" i="30" l="1"/>
  <c r="F42" i="30"/>
  <c r="Q51" i="36" l="1"/>
  <c r="P51" i="36"/>
  <c r="M51" i="36"/>
  <c r="E51" i="36" s="1"/>
  <c r="L51" i="36"/>
  <c r="F251" i="30" l="1"/>
  <c r="F281" i="30"/>
  <c r="F242" i="30" l="1"/>
  <c r="F346" i="30"/>
  <c r="F345" i="30"/>
  <c r="E63" i="36" l="1"/>
  <c r="E52" i="36"/>
  <c r="F57" i="30" l="1"/>
  <c r="G13" i="30" l="1"/>
  <c r="F13" i="30"/>
  <c r="G14" i="30"/>
  <c r="F14" i="30"/>
  <c r="G35" i="30" l="1"/>
  <c r="F35" i="30"/>
  <c r="G33" i="30"/>
  <c r="G34" i="30"/>
  <c r="F34" i="30"/>
  <c r="G16" i="30"/>
  <c r="F16" i="30" l="1"/>
  <c r="F33" i="30"/>
  <c r="G17" i="30"/>
  <c r="G36" i="30"/>
  <c r="F17" i="30"/>
  <c r="G19" i="30"/>
  <c r="F19" i="30"/>
  <c r="G32" i="30"/>
  <c r="G23" i="30"/>
  <c r="F23" i="30" l="1"/>
  <c r="F36" i="30"/>
  <c r="F32" i="30"/>
  <c r="G18" i="30"/>
  <c r="F18" i="30"/>
  <c r="G22" i="30"/>
  <c r="F22" i="30"/>
  <c r="G26" i="30"/>
  <c r="F26" i="30"/>
  <c r="G46" i="30"/>
  <c r="G40" i="30"/>
  <c r="F40" i="30" l="1"/>
  <c r="F46" i="30"/>
  <c r="G25" i="30"/>
  <c r="F25" i="30"/>
  <c r="G27" i="30"/>
  <c r="F27" i="30"/>
  <c r="F31" i="30"/>
  <c r="F43" i="30"/>
  <c r="F39" i="30"/>
  <c r="E58" i="36"/>
  <c r="E55" i="36"/>
  <c r="E54" i="36"/>
  <c r="E53" i="36"/>
  <c r="E49" i="36"/>
  <c r="E48" i="36"/>
  <c r="E46" i="36"/>
  <c r="E57" i="36"/>
  <c r="F52" i="30" l="1"/>
  <c r="F63" i="30"/>
  <c r="F38" i="30"/>
  <c r="G39" i="30" l="1"/>
  <c r="F30" i="30"/>
  <c r="F51" i="30" l="1"/>
  <c r="F465" i="30"/>
  <c r="F58" i="30"/>
  <c r="F44" i="30"/>
  <c r="F50" i="30"/>
  <c r="F41" i="30"/>
  <c r="F62" i="30"/>
  <c r="F56" i="30"/>
  <c r="F79" i="30"/>
  <c r="G63" i="30"/>
  <c r="F100" i="30"/>
  <c r="F83" i="30"/>
  <c r="F55" i="30" l="1"/>
  <c r="F77" i="30"/>
  <c r="F92" i="30"/>
  <c r="F47" i="30"/>
  <c r="F76" i="30"/>
  <c r="F105" i="30"/>
  <c r="G59" i="30"/>
  <c r="F59" i="30"/>
  <c r="G105" i="30"/>
  <c r="G69" i="30"/>
  <c r="F69" i="30"/>
  <c r="F64" i="30"/>
  <c r="F82" i="30"/>
  <c r="F120" i="30"/>
  <c r="F71" i="30"/>
  <c r="F72" i="30"/>
  <c r="F130" i="30"/>
  <c r="F102" i="30"/>
  <c r="F141" i="30"/>
  <c r="F152" i="30"/>
  <c r="G110" i="30"/>
  <c r="F110" i="30"/>
  <c r="G107" i="30"/>
  <c r="F107" i="30"/>
  <c r="F94" i="30"/>
  <c r="F154" i="30" l="1"/>
  <c r="F118" i="30"/>
  <c r="F157" i="30"/>
  <c r="F188" i="30"/>
  <c r="F161" i="30"/>
  <c r="F139" i="30"/>
  <c r="F179" i="30"/>
  <c r="F151" i="30"/>
  <c r="F169" i="30"/>
  <c r="F174" i="30"/>
  <c r="F187" i="30"/>
  <c r="F168" i="30"/>
  <c r="F181" i="30"/>
  <c r="F194" i="30"/>
  <c r="F195" i="30"/>
  <c r="F192" i="30"/>
  <c r="F208" i="30"/>
  <c r="F209" i="30"/>
  <c r="G203" i="30"/>
  <c r="F203" i="30"/>
  <c r="G204" i="30"/>
  <c r="F204" i="30"/>
  <c r="G205" i="30"/>
  <c r="F205" i="30"/>
  <c r="F180" i="30"/>
  <c r="F199" i="30"/>
  <c r="F220" i="30"/>
  <c r="F229" i="30" l="1"/>
  <c r="F249" i="30"/>
  <c r="G257" i="30"/>
  <c r="F257" i="30"/>
  <c r="F260" i="30"/>
  <c r="F254" i="30"/>
  <c r="F269" i="30"/>
  <c r="G269" i="30"/>
  <c r="G279" i="30"/>
  <c r="F279" i="30"/>
  <c r="F288" i="30"/>
  <c r="F294" i="30"/>
  <c r="F296" i="30"/>
  <c r="F318" i="30"/>
  <c r="F343" i="30"/>
  <c r="F329" i="30"/>
  <c r="F320" i="30"/>
  <c r="F364" i="30"/>
  <c r="F352" i="30" l="1"/>
  <c r="F353" i="30"/>
  <c r="F363" i="30"/>
  <c r="F395" i="30"/>
  <c r="F374" i="30"/>
  <c r="F384" i="30"/>
  <c r="F392" i="30"/>
  <c r="F394" i="30"/>
  <c r="F398" i="30"/>
  <c r="F402" i="30"/>
  <c r="F405" i="30"/>
  <c r="F403" i="30"/>
  <c r="F399" i="30"/>
  <c r="F408" i="30"/>
  <c r="F415" i="30"/>
  <c r="E65" i="36" l="1"/>
  <c r="E61" i="36"/>
  <c r="E62" i="36"/>
  <c r="E60" i="36"/>
  <c r="E59" i="36"/>
  <c r="E56" i="36"/>
  <c r="E50" i="36"/>
  <c r="E45" i="36"/>
  <c r="E42" i="36"/>
  <c r="E41" i="36"/>
  <c r="E44" i="36"/>
  <c r="E47" i="36"/>
  <c r="E40" i="36"/>
  <c r="E43" i="36"/>
  <c r="E38" i="36"/>
  <c r="E39" i="36"/>
  <c r="E37" i="36"/>
  <c r="E36" i="36"/>
  <c r="E34" i="36"/>
  <c r="E33" i="36"/>
  <c r="E32" i="36"/>
  <c r="E31" i="36"/>
  <c r="E23" i="36"/>
  <c r="E30" i="36"/>
  <c r="E29" i="36"/>
  <c r="E22" i="36"/>
  <c r="E21" i="36"/>
  <c r="E25" i="36"/>
  <c r="E28" i="36"/>
  <c r="E27" i="36"/>
  <c r="E24" i="36"/>
  <c r="E26" i="36"/>
  <c r="E13" i="36"/>
  <c r="E17" i="36"/>
  <c r="E18" i="36"/>
  <c r="E15" i="36"/>
  <c r="E16" i="36"/>
  <c r="Q14" i="36"/>
  <c r="Q11" i="36" s="1"/>
  <c r="P14" i="36"/>
  <c r="P11" i="36" s="1"/>
  <c r="O14" i="36"/>
  <c r="O11" i="36" s="1"/>
  <c r="M14" i="36"/>
  <c r="M11" i="36" s="1"/>
  <c r="E19" i="36"/>
  <c r="E12" i="36"/>
  <c r="N11" i="36"/>
  <c r="L11" i="36"/>
  <c r="I11" i="36"/>
  <c r="Q10" i="36"/>
  <c r="P10" i="36"/>
  <c r="O10" i="36"/>
  <c r="N10" i="36"/>
  <c r="M10" i="36"/>
  <c r="L10" i="36"/>
  <c r="I10" i="36"/>
  <c r="Q9" i="36"/>
  <c r="P9" i="36"/>
  <c r="O9" i="36"/>
  <c r="N9" i="36"/>
  <c r="M9" i="36"/>
  <c r="L9" i="36"/>
  <c r="I9" i="36"/>
  <c r="X6" i="36"/>
  <c r="X35" i="36" s="1"/>
  <c r="C1" i="36"/>
  <c r="X20" i="36" l="1"/>
  <c r="F20" i="36"/>
  <c r="X23" i="36"/>
  <c r="F35" i="36"/>
  <c r="F12" i="36"/>
  <c r="X64" i="36"/>
  <c r="X51" i="36"/>
  <c r="F51" i="36"/>
  <c r="F64" i="36"/>
  <c r="X52" i="36"/>
  <c r="X63" i="36"/>
  <c r="F63" i="36"/>
  <c r="F52" i="36"/>
  <c r="X55" i="36"/>
  <c r="X58" i="36"/>
  <c r="F58" i="36"/>
  <c r="F55" i="36"/>
  <c r="X53" i="36"/>
  <c r="X54" i="36"/>
  <c r="F54" i="36"/>
  <c r="F53" i="36"/>
  <c r="X48" i="36"/>
  <c r="X49" i="36"/>
  <c r="F49" i="36"/>
  <c r="F48" i="36"/>
  <c r="X57" i="36"/>
  <c r="X46" i="36"/>
  <c r="F46" i="36"/>
  <c r="F57" i="36"/>
  <c r="X65" i="36"/>
  <c r="F61" i="36"/>
  <c r="F59" i="36"/>
  <c r="F27" i="36"/>
  <c r="F32" i="36"/>
  <c r="F14" i="36"/>
  <c r="F24" i="36"/>
  <c r="F23" i="36"/>
  <c r="F38" i="36"/>
  <c r="F62" i="36"/>
  <c r="F19" i="36"/>
  <c r="F43" i="36"/>
  <c r="F60" i="36"/>
  <c r="F16" i="36"/>
  <c r="F15" i="36"/>
  <c r="F25" i="36"/>
  <c r="F33" i="36"/>
  <c r="F47" i="36"/>
  <c r="F56" i="36"/>
  <c r="F40" i="36"/>
  <c r="F18" i="36"/>
  <c r="F21" i="36"/>
  <c r="F34" i="36"/>
  <c r="F44" i="36"/>
  <c r="F50" i="36"/>
  <c r="F17" i="36"/>
  <c r="F22" i="36"/>
  <c r="F36" i="36"/>
  <c r="F41" i="36"/>
  <c r="F45" i="36"/>
  <c r="F13" i="36"/>
  <c r="F29" i="36"/>
  <c r="F37" i="36"/>
  <c r="F65" i="36"/>
  <c r="F42" i="36"/>
  <c r="F31" i="36"/>
  <c r="F28" i="36"/>
  <c r="F26" i="36"/>
  <c r="F30" i="36"/>
  <c r="F39" i="36"/>
  <c r="E9" i="36"/>
  <c r="E14" i="36"/>
  <c r="X14" i="36"/>
  <c r="X40" i="36"/>
  <c r="X17" i="36"/>
  <c r="X28" i="36"/>
  <c r="X33" i="36"/>
  <c r="X15" i="36"/>
  <c r="X38" i="36"/>
  <c r="X44" i="36"/>
  <c r="X26" i="36"/>
  <c r="X21" i="36"/>
  <c r="E10" i="36"/>
  <c r="X29" i="36"/>
  <c r="X37" i="36"/>
  <c r="X24" i="36"/>
  <c r="X31" i="36"/>
  <c r="X41" i="36"/>
  <c r="X45" i="36"/>
  <c r="X56" i="36"/>
  <c r="X60" i="36"/>
  <c r="X61" i="36"/>
  <c r="X25" i="36"/>
  <c r="X30" i="36"/>
  <c r="X34" i="36"/>
  <c r="X16" i="36"/>
  <c r="X18" i="36"/>
  <c r="X13" i="36"/>
  <c r="X47" i="36"/>
  <c r="X27" i="36"/>
  <c r="X22" i="36"/>
  <c r="X32" i="36"/>
  <c r="X39" i="36"/>
  <c r="X43" i="36"/>
  <c r="X19" i="36"/>
  <c r="X36" i="36"/>
  <c r="X42" i="36"/>
  <c r="X50" i="36"/>
  <c r="X59" i="36"/>
  <c r="X62" i="36"/>
  <c r="K8" i="33" l="1"/>
  <c r="J8" i="33"/>
  <c r="I8" i="33"/>
  <c r="F381" i="30" l="1"/>
  <c r="F349" i="30"/>
  <c r="F261" i="30"/>
  <c r="F210" i="30"/>
  <c r="F457" i="30"/>
  <c r="F438" i="30"/>
  <c r="F85" i="30"/>
  <c r="D88" i="31" l="1"/>
  <c r="C88" i="31"/>
  <c r="D87" i="31"/>
  <c r="C87" i="31"/>
  <c r="D86" i="31"/>
  <c r="C86" i="31"/>
  <c r="D85" i="31"/>
  <c r="C85" i="31"/>
  <c r="D84" i="31"/>
  <c r="C84" i="31"/>
  <c r="D83" i="31"/>
  <c r="C83" i="31"/>
  <c r="D82" i="31"/>
  <c r="C82" i="31"/>
  <c r="D81" i="31"/>
  <c r="C81" i="31"/>
  <c r="D80" i="31"/>
  <c r="C80" i="31"/>
  <c r="D79" i="31"/>
  <c r="C79" i="31"/>
  <c r="D78" i="31"/>
  <c r="C78" i="31"/>
  <c r="D77" i="31"/>
  <c r="C77" i="31"/>
  <c r="D76" i="31"/>
  <c r="C76" i="31"/>
  <c r="D75" i="31"/>
  <c r="C75" i="31"/>
  <c r="D74" i="31"/>
  <c r="C74" i="31"/>
  <c r="D73" i="31"/>
  <c r="C73" i="31"/>
  <c r="D72" i="31"/>
  <c r="C72" i="31"/>
  <c r="D71" i="31"/>
  <c r="C71" i="31"/>
  <c r="D70" i="31"/>
  <c r="C70" i="31"/>
  <c r="D69" i="31"/>
  <c r="C69" i="31"/>
  <c r="D68" i="31"/>
  <c r="C68" i="31"/>
  <c r="D67" i="31"/>
  <c r="C67" i="31"/>
  <c r="D66" i="31"/>
  <c r="C66" i="31"/>
  <c r="D65" i="31"/>
  <c r="C65" i="31"/>
  <c r="D64" i="31"/>
  <c r="C64" i="31"/>
  <c r="D63" i="31"/>
  <c r="C63" i="31"/>
  <c r="D62" i="31"/>
  <c r="C62" i="31"/>
  <c r="D61" i="31"/>
  <c r="C61" i="31"/>
  <c r="D60" i="31"/>
  <c r="C60" i="31"/>
  <c r="D59" i="31"/>
  <c r="C59" i="31"/>
  <c r="D58" i="31"/>
  <c r="C58" i="31"/>
  <c r="D57" i="31"/>
  <c r="C57" i="31"/>
  <c r="D56" i="31"/>
  <c r="C56" i="31"/>
  <c r="D55" i="31"/>
  <c r="C55" i="31"/>
  <c r="D54" i="31"/>
  <c r="C54" i="31"/>
  <c r="D53" i="31"/>
  <c r="C53" i="31"/>
  <c r="D52" i="31"/>
  <c r="C52" i="31"/>
  <c r="D51" i="31"/>
  <c r="C51" i="31"/>
  <c r="D50" i="31"/>
  <c r="C50" i="31"/>
  <c r="D49" i="31"/>
  <c r="C49" i="31"/>
  <c r="D48" i="31"/>
  <c r="C48" i="31"/>
  <c r="D47" i="31"/>
  <c r="C47" i="31"/>
  <c r="D46" i="31"/>
  <c r="C46" i="31"/>
  <c r="D45" i="31"/>
  <c r="C45" i="31"/>
  <c r="D43" i="31"/>
  <c r="C43" i="31"/>
  <c r="D42" i="31"/>
  <c r="C42" i="31"/>
  <c r="D41" i="31"/>
  <c r="C41" i="31"/>
  <c r="D40" i="31"/>
  <c r="C40" i="31"/>
  <c r="D39" i="31"/>
  <c r="C39" i="31"/>
  <c r="D38" i="31"/>
  <c r="C38" i="31"/>
  <c r="D37" i="31"/>
  <c r="C37" i="31"/>
  <c r="D36" i="31"/>
  <c r="C36" i="31"/>
  <c r="D34" i="31"/>
  <c r="C34" i="31"/>
  <c r="D33" i="31"/>
  <c r="C33" i="31"/>
  <c r="D32" i="31"/>
  <c r="C32" i="31"/>
  <c r="D30" i="31"/>
  <c r="C30" i="31"/>
  <c r="D29" i="31"/>
  <c r="C29" i="31"/>
  <c r="D28" i="31"/>
  <c r="C28" i="31"/>
  <c r="D27" i="31"/>
  <c r="C27" i="31"/>
  <c r="D26" i="31"/>
  <c r="C26" i="31"/>
  <c r="D25" i="31"/>
  <c r="C25" i="31"/>
  <c r="D24" i="31"/>
  <c r="C24" i="31"/>
  <c r="D23" i="31"/>
  <c r="C23" i="31"/>
  <c r="D22" i="31"/>
  <c r="C22" i="31"/>
  <c r="D21" i="31"/>
  <c r="C21" i="31"/>
  <c r="D20" i="31"/>
  <c r="C20" i="31"/>
  <c r="D19" i="31"/>
  <c r="C19" i="31"/>
  <c r="D18" i="31"/>
  <c r="C18" i="31"/>
  <c r="D17" i="31"/>
  <c r="C17" i="31"/>
  <c r="D16" i="31"/>
  <c r="C16" i="31"/>
  <c r="D13" i="31"/>
  <c r="C13" i="31"/>
  <c r="C12" i="31"/>
  <c r="AJ11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A2" i="31"/>
  <c r="E519" i="16"/>
  <c r="E517" i="16"/>
  <c r="E516" i="16"/>
  <c r="E515" i="16"/>
  <c r="E514" i="16"/>
  <c r="E513" i="16"/>
  <c r="E512" i="16"/>
  <c r="E511" i="16"/>
  <c r="E510" i="16"/>
  <c r="E509" i="16"/>
  <c r="E508" i="16"/>
  <c r="E507" i="16"/>
  <c r="E506" i="16"/>
  <c r="E505" i="16"/>
  <c r="E504" i="16"/>
  <c r="E503" i="16"/>
  <c r="E502" i="16"/>
  <c r="E501" i="16"/>
  <c r="E500" i="16"/>
  <c r="E499" i="16"/>
  <c r="E498" i="16"/>
  <c r="E497" i="16"/>
  <c r="E496" i="16"/>
  <c r="E495" i="16"/>
  <c r="E494" i="16"/>
  <c r="E491" i="16"/>
  <c r="Q486" i="16"/>
  <c r="K486" i="16"/>
  <c r="E486" i="16"/>
  <c r="Q485" i="16"/>
  <c r="K485" i="16"/>
  <c r="E485" i="16"/>
  <c r="Q484" i="16"/>
  <c r="K484" i="16"/>
  <c r="E484" i="16"/>
  <c r="Q483" i="16"/>
  <c r="K483" i="16"/>
  <c r="E483" i="16"/>
  <c r="Q482" i="16"/>
  <c r="K482" i="16"/>
  <c r="E482" i="16"/>
  <c r="Q481" i="16"/>
  <c r="K481" i="16"/>
  <c r="E481" i="16"/>
  <c r="Q480" i="16"/>
  <c r="K480" i="16"/>
  <c r="E480" i="16"/>
  <c r="Q478" i="16"/>
  <c r="K478" i="16"/>
  <c r="E478" i="16"/>
  <c r="Q477" i="16"/>
  <c r="K477" i="16"/>
  <c r="E477" i="16"/>
  <c r="Q476" i="16"/>
  <c r="K476" i="16"/>
  <c r="E476" i="16"/>
  <c r="Q475" i="16"/>
  <c r="K475" i="16"/>
  <c r="E475" i="16"/>
  <c r="Q474" i="16"/>
  <c r="K474" i="16"/>
  <c r="E474" i="16"/>
  <c r="Q473" i="16"/>
  <c r="K473" i="16"/>
  <c r="E473" i="16"/>
  <c r="Q472" i="16"/>
  <c r="K472" i="16"/>
  <c r="E472" i="16"/>
  <c r="Q471" i="16"/>
  <c r="K471" i="16"/>
  <c r="E471" i="16"/>
  <c r="Q470" i="16"/>
  <c r="K470" i="16"/>
  <c r="E470" i="16"/>
  <c r="Q469" i="16"/>
  <c r="K469" i="16"/>
  <c r="E469" i="16"/>
  <c r="Q468" i="16"/>
  <c r="K468" i="16"/>
  <c r="E468" i="16"/>
  <c r="Q467" i="16"/>
  <c r="K467" i="16"/>
  <c r="E467" i="16"/>
  <c r="Q466" i="16"/>
  <c r="K466" i="16"/>
  <c r="E466" i="16"/>
  <c r="Q465" i="16"/>
  <c r="K465" i="16"/>
  <c r="E465" i="16"/>
  <c r="Q464" i="16"/>
  <c r="K464" i="16"/>
  <c r="E464" i="16"/>
  <c r="Q463" i="16"/>
  <c r="K463" i="16"/>
  <c r="E463" i="16"/>
  <c r="Q462" i="16"/>
  <c r="K462" i="16"/>
  <c r="E462" i="16"/>
  <c r="K450" i="16"/>
  <c r="K449" i="16"/>
  <c r="E449" i="16"/>
  <c r="K448" i="16"/>
  <c r="E448" i="16"/>
  <c r="K447" i="16"/>
  <c r="E447" i="16"/>
  <c r="K446" i="16"/>
  <c r="E446" i="16"/>
  <c r="K445" i="16"/>
  <c r="E445" i="16"/>
  <c r="K444" i="16"/>
  <c r="E444" i="16"/>
  <c r="K443" i="16"/>
  <c r="E443" i="16"/>
  <c r="K441" i="16"/>
  <c r="E441" i="16"/>
  <c r="K440" i="16"/>
  <c r="E440" i="16"/>
  <c r="K439" i="16"/>
  <c r="E439" i="16"/>
  <c r="K438" i="16"/>
  <c r="E438" i="16"/>
  <c r="K437" i="16"/>
  <c r="E437" i="16"/>
  <c r="K436" i="16"/>
  <c r="E436" i="16"/>
  <c r="K435" i="16"/>
  <c r="E435" i="16"/>
  <c r="K434" i="16"/>
  <c r="E434" i="16"/>
  <c r="K433" i="16"/>
  <c r="E433" i="16"/>
  <c r="K432" i="16"/>
  <c r="E432" i="16"/>
  <c r="K431" i="16"/>
  <c r="E431" i="16"/>
  <c r="K430" i="16"/>
  <c r="E430" i="16"/>
  <c r="K429" i="16"/>
  <c r="E429" i="16"/>
  <c r="K428" i="16"/>
  <c r="E428" i="16"/>
  <c r="K427" i="16"/>
  <c r="E426" i="16"/>
  <c r="K425" i="16"/>
  <c r="E425" i="16"/>
  <c r="J424" i="16"/>
  <c r="K424" i="16" s="1"/>
  <c r="D424" i="16"/>
  <c r="E424" i="16" s="1"/>
  <c r="K423" i="16"/>
  <c r="E423" i="16"/>
  <c r="Q417" i="16"/>
  <c r="K417" i="16"/>
  <c r="E417" i="16"/>
  <c r="Q416" i="16"/>
  <c r="K416" i="16"/>
  <c r="E416" i="16"/>
  <c r="Q415" i="16"/>
  <c r="K415" i="16"/>
  <c r="E415" i="16"/>
  <c r="Q414" i="16"/>
  <c r="K414" i="16"/>
  <c r="E414" i="16"/>
  <c r="Q413" i="16"/>
  <c r="K413" i="16"/>
  <c r="E413" i="16"/>
  <c r="Q412" i="16"/>
  <c r="K412" i="16"/>
  <c r="E412" i="16"/>
  <c r="Q411" i="16"/>
  <c r="K411" i="16"/>
  <c r="E411" i="16"/>
  <c r="Q410" i="16"/>
  <c r="K410" i="16"/>
  <c r="E410" i="16"/>
  <c r="Q409" i="16"/>
  <c r="K409" i="16"/>
  <c r="E409" i="16"/>
  <c r="Q407" i="16"/>
  <c r="K407" i="16"/>
  <c r="E407" i="16"/>
  <c r="Q406" i="16"/>
  <c r="K406" i="16"/>
  <c r="E406" i="16"/>
  <c r="Q405" i="16"/>
  <c r="K405" i="16"/>
  <c r="E405" i="16"/>
  <c r="Q404" i="16"/>
  <c r="K404" i="16"/>
  <c r="E404" i="16"/>
  <c r="Q403" i="16"/>
  <c r="K403" i="16"/>
  <c r="E403" i="16"/>
  <c r="Q402" i="16"/>
  <c r="K402" i="16"/>
  <c r="E402" i="16"/>
  <c r="Q401" i="16"/>
  <c r="K401" i="16"/>
  <c r="E401" i="16"/>
  <c r="Q400" i="16"/>
  <c r="K400" i="16"/>
  <c r="E400" i="16"/>
  <c r="Q399" i="16"/>
  <c r="K399" i="16"/>
  <c r="E399" i="16"/>
  <c r="Q398" i="16"/>
  <c r="K398" i="16"/>
  <c r="E398" i="16"/>
  <c r="Q397" i="16"/>
  <c r="K397" i="16"/>
  <c r="E397" i="16"/>
  <c r="Q396" i="16"/>
  <c r="K396" i="16"/>
  <c r="E396" i="16"/>
  <c r="Q395" i="16"/>
  <c r="K395" i="16"/>
  <c r="E395" i="16"/>
  <c r="Q393" i="16"/>
  <c r="K393" i="16"/>
  <c r="E393" i="16"/>
  <c r="P392" i="16"/>
  <c r="Q392" i="16" s="1"/>
  <c r="K392" i="16"/>
  <c r="E392" i="16"/>
  <c r="Q391" i="16"/>
  <c r="J391" i="16"/>
  <c r="K391" i="16" s="1"/>
  <c r="E391" i="16"/>
  <c r="E379" i="16"/>
  <c r="E378" i="16"/>
  <c r="C378" i="16"/>
  <c r="E377" i="16"/>
  <c r="E376" i="16"/>
  <c r="E375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5" i="16"/>
  <c r="E354" i="16"/>
  <c r="E353" i="16"/>
  <c r="K351" i="16"/>
  <c r="E351" i="16"/>
  <c r="Q346" i="16"/>
  <c r="E346" i="16"/>
  <c r="Q345" i="16"/>
  <c r="K345" i="16"/>
  <c r="E345" i="16"/>
  <c r="Q344" i="16"/>
  <c r="K344" i="16"/>
  <c r="E344" i="16"/>
  <c r="Q343" i="16"/>
  <c r="K343" i="16"/>
  <c r="E343" i="16"/>
  <c r="Q342" i="16"/>
  <c r="K342" i="16"/>
  <c r="E342" i="16"/>
  <c r="Q341" i="16"/>
  <c r="K341" i="16"/>
  <c r="E341" i="16"/>
  <c r="Q340" i="16"/>
  <c r="K340" i="16"/>
  <c r="E340" i="16"/>
  <c r="Q339" i="16"/>
  <c r="K339" i="16"/>
  <c r="E339" i="16"/>
  <c r="Q337" i="16"/>
  <c r="K337" i="16"/>
  <c r="E337" i="16"/>
  <c r="Q336" i="16"/>
  <c r="K336" i="16"/>
  <c r="E336" i="16"/>
  <c r="Q335" i="16"/>
  <c r="K335" i="16"/>
  <c r="E335" i="16"/>
  <c r="Q334" i="16"/>
  <c r="K334" i="16"/>
  <c r="E334" i="16"/>
  <c r="Q333" i="16"/>
  <c r="K333" i="16"/>
  <c r="E333" i="16"/>
  <c r="Q332" i="16"/>
  <c r="K332" i="16"/>
  <c r="E332" i="16"/>
  <c r="Q331" i="16"/>
  <c r="K331" i="16"/>
  <c r="E331" i="16"/>
  <c r="Q330" i="16"/>
  <c r="K330" i="16"/>
  <c r="E330" i="16"/>
  <c r="Q329" i="16"/>
  <c r="K329" i="16"/>
  <c r="E329" i="16"/>
  <c r="Q328" i="16"/>
  <c r="K328" i="16"/>
  <c r="E328" i="16"/>
  <c r="Q327" i="16"/>
  <c r="K327" i="16"/>
  <c r="E327" i="16"/>
  <c r="Q326" i="16"/>
  <c r="K326" i="16"/>
  <c r="E326" i="16"/>
  <c r="Q325" i="16"/>
  <c r="K325" i="16"/>
  <c r="E325" i="16"/>
  <c r="Q324" i="16"/>
  <c r="K324" i="16"/>
  <c r="E324" i="16"/>
  <c r="Q322" i="16"/>
  <c r="K323" i="16"/>
  <c r="E322" i="16"/>
  <c r="Q321" i="16"/>
  <c r="K322" i="16"/>
  <c r="E321" i="16"/>
  <c r="Q309" i="16"/>
  <c r="K309" i="16"/>
  <c r="E309" i="16"/>
  <c r="Q308" i="16"/>
  <c r="K308" i="16"/>
  <c r="E308" i="16"/>
  <c r="Q307" i="16"/>
  <c r="K307" i="16"/>
  <c r="E307" i="16"/>
  <c r="Q306" i="16"/>
  <c r="K306" i="16"/>
  <c r="E306" i="16"/>
  <c r="Q305" i="16"/>
  <c r="K305" i="16"/>
  <c r="E305" i="16"/>
  <c r="Q304" i="16"/>
  <c r="K304" i="16"/>
  <c r="E304" i="16"/>
  <c r="Q303" i="16"/>
  <c r="K303" i="16"/>
  <c r="E303" i="16"/>
  <c r="Q302" i="16"/>
  <c r="K302" i="16"/>
  <c r="E302" i="16"/>
  <c r="Q301" i="16"/>
  <c r="K301" i="16"/>
  <c r="E301" i="16"/>
  <c r="Q300" i="16"/>
  <c r="K300" i="16"/>
  <c r="E300" i="16"/>
  <c r="Q299" i="16"/>
  <c r="K299" i="16"/>
  <c r="E299" i="16"/>
  <c r="Q298" i="16"/>
  <c r="K298" i="16"/>
  <c r="E298" i="16"/>
  <c r="Q297" i="16"/>
  <c r="K297" i="16"/>
  <c r="E297" i="16"/>
  <c r="Q296" i="16"/>
  <c r="K296" i="16"/>
  <c r="E296" i="16"/>
  <c r="Q295" i="16"/>
  <c r="K295" i="16"/>
  <c r="E295" i="16"/>
  <c r="Q294" i="16"/>
  <c r="K294" i="16"/>
  <c r="E294" i="16"/>
  <c r="Q293" i="16"/>
  <c r="K293" i="16"/>
  <c r="E293" i="16"/>
  <c r="Q291" i="16"/>
  <c r="K291" i="16"/>
  <c r="E291" i="16"/>
  <c r="Q290" i="16"/>
  <c r="K290" i="16"/>
  <c r="E290" i="16"/>
  <c r="Q289" i="16"/>
  <c r="K289" i="16"/>
  <c r="E289" i="16"/>
  <c r="Q288" i="16"/>
  <c r="K288" i="16"/>
  <c r="E288" i="16"/>
  <c r="Q287" i="16"/>
  <c r="K287" i="16"/>
  <c r="E287" i="16"/>
  <c r="Q285" i="16"/>
  <c r="K285" i="16"/>
  <c r="E285" i="16"/>
  <c r="Q284" i="16"/>
  <c r="K284" i="16"/>
  <c r="E284" i="16"/>
  <c r="Q283" i="16"/>
  <c r="K283" i="16"/>
  <c r="E283" i="16"/>
  <c r="Q282" i="16"/>
  <c r="K282" i="16"/>
  <c r="E282" i="16"/>
  <c r="Q281" i="16"/>
  <c r="K281" i="16"/>
  <c r="E281" i="16"/>
  <c r="K269" i="16"/>
  <c r="E269" i="16"/>
  <c r="K268" i="16"/>
  <c r="E268" i="16"/>
  <c r="K267" i="16"/>
  <c r="E267" i="16"/>
  <c r="K266" i="16"/>
  <c r="E266" i="16"/>
  <c r="K265" i="16"/>
  <c r="E265" i="16"/>
  <c r="K264" i="16"/>
  <c r="E264" i="16"/>
  <c r="K263" i="16"/>
  <c r="E263" i="16"/>
  <c r="K262" i="16"/>
  <c r="E262" i="16"/>
  <c r="K261" i="16"/>
  <c r="E261" i="16"/>
  <c r="K259" i="16"/>
  <c r="E259" i="16"/>
  <c r="K258" i="16"/>
  <c r="E258" i="16"/>
  <c r="K257" i="16"/>
  <c r="E257" i="16"/>
  <c r="K256" i="16"/>
  <c r="E256" i="16"/>
  <c r="K255" i="16"/>
  <c r="E255" i="16"/>
  <c r="K254" i="16"/>
  <c r="E254" i="16"/>
  <c r="K253" i="16"/>
  <c r="E253" i="16"/>
  <c r="K252" i="16"/>
  <c r="E252" i="16"/>
  <c r="K251" i="16"/>
  <c r="E251" i="16"/>
  <c r="K250" i="16"/>
  <c r="E250" i="16"/>
  <c r="K249" i="16"/>
  <c r="E249" i="16"/>
  <c r="K248" i="16"/>
  <c r="E248" i="16"/>
  <c r="K246" i="16"/>
  <c r="E246" i="16"/>
  <c r="K245" i="16"/>
  <c r="E245" i="16"/>
  <c r="K240" i="16"/>
  <c r="Q239" i="16"/>
  <c r="K239" i="16"/>
  <c r="Q238" i="16"/>
  <c r="K238" i="16"/>
  <c r="E238" i="16"/>
  <c r="Q237" i="16"/>
  <c r="K237" i="16"/>
  <c r="E237" i="16"/>
  <c r="Q236" i="16"/>
  <c r="K236" i="16"/>
  <c r="E236" i="16"/>
  <c r="Q235" i="16"/>
  <c r="K235" i="16"/>
  <c r="E235" i="16"/>
  <c r="Q234" i="16"/>
  <c r="K234" i="16"/>
  <c r="E234" i="16"/>
  <c r="Q233" i="16"/>
  <c r="K233" i="16"/>
  <c r="E233" i="16"/>
  <c r="Q232" i="16"/>
  <c r="K232" i="16"/>
  <c r="E232" i="16"/>
  <c r="Q230" i="16"/>
  <c r="K230" i="16"/>
  <c r="E230" i="16"/>
  <c r="Q229" i="16"/>
  <c r="K229" i="16"/>
  <c r="E229" i="16"/>
  <c r="Q228" i="16"/>
  <c r="K228" i="16"/>
  <c r="E228" i="16"/>
  <c r="Q227" i="16"/>
  <c r="K227" i="16"/>
  <c r="E227" i="16"/>
  <c r="Q226" i="16"/>
  <c r="K226" i="16"/>
  <c r="E226" i="16"/>
  <c r="Q225" i="16"/>
  <c r="K225" i="16"/>
  <c r="E225" i="16"/>
  <c r="Q224" i="16"/>
  <c r="K224" i="16"/>
  <c r="E224" i="16"/>
  <c r="Q223" i="16"/>
  <c r="K223" i="16"/>
  <c r="E223" i="16"/>
  <c r="Q222" i="16"/>
  <c r="K222" i="16"/>
  <c r="E222" i="16"/>
  <c r="Q221" i="16"/>
  <c r="K221" i="16"/>
  <c r="E221" i="16"/>
  <c r="Q220" i="16"/>
  <c r="K220" i="16"/>
  <c r="E220" i="16"/>
  <c r="Q219" i="16"/>
  <c r="K219" i="16"/>
  <c r="E219" i="16"/>
  <c r="Q218" i="16"/>
  <c r="K218" i="16"/>
  <c r="E218" i="16"/>
  <c r="Q216" i="16"/>
  <c r="K216" i="16"/>
  <c r="E216" i="16"/>
  <c r="Q215" i="16"/>
  <c r="K215" i="16"/>
  <c r="E215" i="16"/>
  <c r="Q214" i="16"/>
  <c r="K214" i="16"/>
  <c r="E214" i="16"/>
  <c r="Q202" i="16"/>
  <c r="K202" i="16"/>
  <c r="E202" i="16"/>
  <c r="Q201" i="16"/>
  <c r="K201" i="16"/>
  <c r="E201" i="16"/>
  <c r="Q200" i="16"/>
  <c r="K200" i="16"/>
  <c r="E200" i="16"/>
  <c r="Q199" i="16"/>
  <c r="K199" i="16"/>
  <c r="E199" i="16"/>
  <c r="Q198" i="16"/>
  <c r="K198" i="16"/>
  <c r="E198" i="16"/>
  <c r="Q196" i="16"/>
  <c r="K196" i="16"/>
  <c r="E196" i="16"/>
  <c r="Q195" i="16"/>
  <c r="K195" i="16"/>
  <c r="E195" i="16"/>
  <c r="Q194" i="16"/>
  <c r="K194" i="16"/>
  <c r="E194" i="16"/>
  <c r="Q193" i="16"/>
  <c r="K193" i="16"/>
  <c r="E193" i="16"/>
  <c r="Q192" i="16"/>
  <c r="K192" i="16"/>
  <c r="E192" i="16"/>
  <c r="Q191" i="16"/>
  <c r="K191" i="16"/>
  <c r="E191" i="16"/>
  <c r="Q190" i="16"/>
  <c r="K190" i="16"/>
  <c r="E190" i="16"/>
  <c r="Q189" i="16"/>
  <c r="K189" i="16"/>
  <c r="E189" i="16"/>
  <c r="Q188" i="16"/>
  <c r="K188" i="16"/>
  <c r="E188" i="16"/>
  <c r="Q187" i="16"/>
  <c r="K187" i="16"/>
  <c r="E187" i="16"/>
  <c r="Q186" i="16"/>
  <c r="K186" i="16"/>
  <c r="E186" i="16"/>
  <c r="Q185" i="16"/>
  <c r="K185" i="16"/>
  <c r="E185" i="16"/>
  <c r="Q184" i="16"/>
  <c r="K184" i="16"/>
  <c r="E184" i="16"/>
  <c r="Q183" i="16"/>
  <c r="K183" i="16"/>
  <c r="E183" i="16"/>
  <c r="Q182" i="16"/>
  <c r="K182" i="16"/>
  <c r="E182" i="16"/>
  <c r="Q181" i="16"/>
  <c r="K181" i="16"/>
  <c r="E181" i="16"/>
  <c r="Q179" i="16"/>
  <c r="K179" i="16"/>
  <c r="E179" i="16"/>
  <c r="Q178" i="16"/>
  <c r="K178" i="16"/>
  <c r="E178" i="16"/>
  <c r="K164" i="16"/>
  <c r="K163" i="16"/>
  <c r="K162" i="16"/>
  <c r="K161" i="16"/>
  <c r="K160" i="16"/>
  <c r="K159" i="16"/>
  <c r="K158" i="16"/>
  <c r="Q157" i="16"/>
  <c r="K157" i="16"/>
  <c r="Q156" i="16"/>
  <c r="K156" i="16"/>
  <c r="Q154" i="16"/>
  <c r="K154" i="16"/>
  <c r="E154" i="16"/>
  <c r="Q153" i="16"/>
  <c r="K153" i="16"/>
  <c r="E153" i="16"/>
  <c r="Q152" i="16"/>
  <c r="K152" i="16"/>
  <c r="E152" i="16"/>
  <c r="Q151" i="16"/>
  <c r="K151" i="16"/>
  <c r="E151" i="16"/>
  <c r="Q150" i="16"/>
  <c r="K150" i="16"/>
  <c r="E150" i="16"/>
  <c r="Q149" i="16"/>
  <c r="K149" i="16"/>
  <c r="E149" i="16"/>
  <c r="Q148" i="16"/>
  <c r="K148" i="16"/>
  <c r="E148" i="16"/>
  <c r="Q147" i="16"/>
  <c r="K147" i="16"/>
  <c r="E147" i="16"/>
  <c r="Q146" i="16"/>
  <c r="K146" i="16"/>
  <c r="E146" i="16"/>
  <c r="Q145" i="16"/>
  <c r="K145" i="16"/>
  <c r="E145" i="16"/>
  <c r="Q144" i="16"/>
  <c r="K144" i="16"/>
  <c r="E144" i="16"/>
  <c r="Q143" i="16"/>
  <c r="K143" i="16"/>
  <c r="E143" i="16"/>
  <c r="Q142" i="16"/>
  <c r="K142" i="16"/>
  <c r="E142" i="16"/>
  <c r="Q141" i="16"/>
  <c r="K141" i="16"/>
  <c r="E141" i="16"/>
  <c r="Q140" i="16"/>
  <c r="K140" i="16"/>
  <c r="E140" i="16"/>
  <c r="Q139" i="16"/>
  <c r="K139" i="16"/>
  <c r="E139" i="16"/>
  <c r="Q138" i="16"/>
  <c r="K138" i="16"/>
  <c r="E138" i="16"/>
  <c r="Q137" i="16"/>
  <c r="K137" i="16"/>
  <c r="E137" i="16"/>
  <c r="Q136" i="16"/>
  <c r="K136" i="16"/>
  <c r="E136" i="16"/>
  <c r="Q135" i="16"/>
  <c r="K135" i="16"/>
  <c r="E135" i="16"/>
  <c r="Q134" i="16"/>
  <c r="K134" i="16"/>
  <c r="E134" i="16"/>
  <c r="Q133" i="16"/>
  <c r="K133" i="16"/>
  <c r="E133" i="16"/>
  <c r="Q132" i="16"/>
  <c r="K132" i="16"/>
  <c r="E132" i="16"/>
  <c r="Q130" i="16"/>
  <c r="K131" i="16"/>
  <c r="E130" i="16"/>
  <c r="Q129" i="16"/>
  <c r="K130" i="16"/>
  <c r="E129" i="16"/>
  <c r="E117" i="16"/>
  <c r="Q116" i="16"/>
  <c r="K116" i="16"/>
  <c r="E116" i="16"/>
  <c r="Q115" i="16"/>
  <c r="K115" i="16"/>
  <c r="E115" i="16"/>
  <c r="Q114" i="16"/>
  <c r="K114" i="16"/>
  <c r="E114" i="16"/>
  <c r="Q113" i="16"/>
  <c r="K113" i="16"/>
  <c r="E113" i="16"/>
  <c r="Q112" i="16"/>
  <c r="K112" i="16"/>
  <c r="E112" i="16"/>
  <c r="Q111" i="16"/>
  <c r="K111" i="16"/>
  <c r="E111" i="16"/>
  <c r="Q110" i="16"/>
  <c r="K110" i="16"/>
  <c r="E110" i="16"/>
  <c r="Q109" i="16"/>
  <c r="K109" i="16"/>
  <c r="E109" i="16"/>
  <c r="Q108" i="16"/>
  <c r="K108" i="16"/>
  <c r="E108" i="16"/>
  <c r="Q106" i="16"/>
  <c r="K106" i="16"/>
  <c r="E106" i="16"/>
  <c r="Q105" i="16"/>
  <c r="K105" i="16"/>
  <c r="E105" i="16"/>
  <c r="Q104" i="16"/>
  <c r="K104" i="16"/>
  <c r="E104" i="16"/>
  <c r="Q103" i="16"/>
  <c r="K103" i="16"/>
  <c r="E103" i="16"/>
  <c r="Q102" i="16"/>
  <c r="K102" i="16"/>
  <c r="E102" i="16"/>
  <c r="Q101" i="16"/>
  <c r="K101" i="16"/>
  <c r="E101" i="16"/>
  <c r="Q100" i="16"/>
  <c r="K100" i="16"/>
  <c r="E100" i="16"/>
  <c r="Q99" i="16"/>
  <c r="K99" i="16"/>
  <c r="E99" i="16"/>
  <c r="Q98" i="16"/>
  <c r="K98" i="16"/>
  <c r="E98" i="16"/>
  <c r="Q97" i="16"/>
  <c r="K97" i="16"/>
  <c r="E97" i="16"/>
  <c r="Q96" i="16"/>
  <c r="K96" i="16"/>
  <c r="E96" i="16"/>
  <c r="Q95" i="16"/>
  <c r="K95" i="16"/>
  <c r="E95" i="16"/>
  <c r="Q94" i="16"/>
  <c r="K94" i="16"/>
  <c r="E94" i="16"/>
  <c r="Q93" i="16"/>
  <c r="K93" i="16"/>
  <c r="E93" i="16"/>
  <c r="Q92" i="16"/>
  <c r="K92" i="16"/>
  <c r="E92" i="16"/>
  <c r="Q90" i="16"/>
  <c r="K90" i="16"/>
  <c r="E90" i="16"/>
  <c r="Q89" i="16"/>
  <c r="K89" i="16"/>
  <c r="E89" i="16"/>
  <c r="Q88" i="16"/>
  <c r="K88" i="16"/>
  <c r="E88" i="16"/>
  <c r="Q87" i="16"/>
  <c r="K87" i="16"/>
  <c r="E87" i="16"/>
  <c r="Q86" i="16"/>
  <c r="K86" i="16"/>
  <c r="E86" i="16"/>
  <c r="Q81" i="16"/>
  <c r="E81" i="16"/>
  <c r="Q80" i="16"/>
  <c r="K80" i="16"/>
  <c r="E80" i="16"/>
  <c r="Q79" i="16"/>
  <c r="K79" i="16"/>
  <c r="E79" i="16"/>
  <c r="Q78" i="16"/>
  <c r="K78" i="16"/>
  <c r="E78" i="16"/>
  <c r="Q77" i="16"/>
  <c r="K77" i="16"/>
  <c r="E77" i="16"/>
  <c r="Q76" i="16"/>
  <c r="K76" i="16"/>
  <c r="E76" i="16"/>
  <c r="Q75" i="16"/>
  <c r="K75" i="16"/>
  <c r="E75" i="16"/>
  <c r="Q73" i="16"/>
  <c r="K73" i="16"/>
  <c r="E73" i="16"/>
  <c r="Q72" i="16"/>
  <c r="K72" i="16"/>
  <c r="E72" i="16"/>
  <c r="Q71" i="16"/>
  <c r="K71" i="16"/>
  <c r="E71" i="16"/>
  <c r="Q70" i="16"/>
  <c r="K70" i="16"/>
  <c r="E70" i="16"/>
  <c r="Q69" i="16"/>
  <c r="K69" i="16"/>
  <c r="E69" i="16"/>
  <c r="Q68" i="16"/>
  <c r="K68" i="16"/>
  <c r="E68" i="16"/>
  <c r="Q67" i="16"/>
  <c r="K67" i="16"/>
  <c r="E67" i="16"/>
  <c r="Q66" i="16"/>
  <c r="K66" i="16"/>
  <c r="E66" i="16"/>
  <c r="Q65" i="16"/>
  <c r="K65" i="16"/>
  <c r="E65" i="16"/>
  <c r="Q64" i="16"/>
  <c r="K64" i="16"/>
  <c r="E64" i="16"/>
  <c r="Q63" i="16"/>
  <c r="K63" i="16"/>
  <c r="E63" i="16"/>
  <c r="Q62" i="16"/>
  <c r="K62" i="16"/>
  <c r="E62" i="16"/>
  <c r="Q61" i="16"/>
  <c r="K61" i="16"/>
  <c r="E61" i="16"/>
  <c r="Q60" i="16"/>
  <c r="K60" i="16"/>
  <c r="E60" i="16"/>
  <c r="Q59" i="16"/>
  <c r="K59" i="16"/>
  <c r="E59" i="16"/>
  <c r="Q57" i="16"/>
  <c r="K57" i="16"/>
  <c r="E57" i="16"/>
  <c r="Q56" i="16"/>
  <c r="K56" i="16"/>
  <c r="E56" i="16"/>
  <c r="Q55" i="16"/>
  <c r="K55" i="16"/>
  <c r="E55" i="16"/>
  <c r="Q54" i="16"/>
  <c r="K54" i="16"/>
  <c r="E54" i="16"/>
  <c r="Q53" i="16"/>
  <c r="K53" i="16"/>
  <c r="E53" i="16"/>
  <c r="Q52" i="16"/>
  <c r="K52" i="16"/>
  <c r="E52" i="16"/>
  <c r="Q51" i="16"/>
  <c r="K51" i="16"/>
  <c r="E51" i="16"/>
  <c r="Q50" i="16"/>
  <c r="K50" i="16"/>
  <c r="E50" i="16"/>
  <c r="Q38" i="16"/>
  <c r="K38" i="16"/>
  <c r="Q37" i="16"/>
  <c r="K37" i="16"/>
  <c r="E37" i="16"/>
  <c r="Q36" i="16"/>
  <c r="K36" i="16"/>
  <c r="E36" i="16"/>
  <c r="Q35" i="16"/>
  <c r="K35" i="16"/>
  <c r="E35" i="16"/>
  <c r="Q34" i="16"/>
  <c r="K34" i="16"/>
  <c r="E34" i="16"/>
  <c r="Q33" i="16"/>
  <c r="K33" i="16"/>
  <c r="E33" i="16"/>
  <c r="Q32" i="16"/>
  <c r="K32" i="16"/>
  <c r="E32" i="16"/>
  <c r="Q30" i="16"/>
  <c r="K30" i="16"/>
  <c r="E30" i="16"/>
  <c r="Q29" i="16"/>
  <c r="K29" i="16"/>
  <c r="E29" i="16"/>
  <c r="Q28" i="16"/>
  <c r="K28" i="16"/>
  <c r="E28" i="16"/>
  <c r="Q27" i="16"/>
  <c r="K27" i="16"/>
  <c r="E27" i="16"/>
  <c r="Q26" i="16"/>
  <c r="K26" i="16"/>
  <c r="E26" i="16"/>
  <c r="Q25" i="16"/>
  <c r="K25" i="16"/>
  <c r="E25" i="16"/>
  <c r="Q24" i="16"/>
  <c r="K24" i="16"/>
  <c r="E24" i="16"/>
  <c r="Q23" i="16"/>
  <c r="K23" i="16"/>
  <c r="E23" i="16"/>
  <c r="Q22" i="16"/>
  <c r="K22" i="16"/>
  <c r="E22" i="16"/>
  <c r="Q21" i="16"/>
  <c r="K21" i="16"/>
  <c r="E21" i="16"/>
  <c r="Q20" i="16"/>
  <c r="K20" i="16"/>
  <c r="E20" i="16"/>
  <c r="Q19" i="16"/>
  <c r="K19" i="16"/>
  <c r="E19" i="16"/>
  <c r="Q18" i="16"/>
  <c r="K18" i="16"/>
  <c r="E18" i="16"/>
  <c r="Q17" i="16"/>
  <c r="K17" i="16"/>
  <c r="E17" i="16"/>
  <c r="Q16" i="16"/>
  <c r="K16" i="16"/>
  <c r="E16" i="16"/>
  <c r="Q14" i="16"/>
  <c r="K14" i="16"/>
  <c r="E14" i="16"/>
  <c r="A1" i="16"/>
  <c r="J141" i="35"/>
  <c r="I141" i="35"/>
  <c r="H141" i="35"/>
  <c r="G141" i="35"/>
  <c r="F141" i="35"/>
  <c r="G43" i="35"/>
  <c r="L10" i="35"/>
  <c r="K10" i="35"/>
  <c r="J10" i="35"/>
  <c r="I10" i="35"/>
  <c r="H10" i="35"/>
  <c r="G10" i="35"/>
  <c r="F10" i="35"/>
  <c r="B1" i="35"/>
  <c r="I92" i="33"/>
  <c r="H92" i="33"/>
  <c r="G92" i="33"/>
  <c r="F92" i="33"/>
  <c r="H8" i="33"/>
  <c r="G8" i="33"/>
  <c r="F8" i="33"/>
  <c r="B1" i="33"/>
  <c r="O466" i="30"/>
  <c r="F463" i="30"/>
  <c r="F451" i="30"/>
  <c r="F441" i="30"/>
  <c r="K225" i="30"/>
  <c r="P9" i="30"/>
  <c r="O10" i="30"/>
  <c r="L10" i="30"/>
  <c r="N11" i="30"/>
  <c r="H11" i="30"/>
  <c r="N10" i="30"/>
  <c r="M10" i="30"/>
  <c r="H10" i="30"/>
  <c r="N9" i="30"/>
  <c r="M9" i="30"/>
  <c r="H9" i="30"/>
  <c r="W6" i="30"/>
  <c r="W426" i="30" s="1"/>
  <c r="D147" i="35" l="1"/>
  <c r="D18" i="35"/>
  <c r="D66" i="35"/>
  <c r="D212" i="35"/>
  <c r="D213" i="35"/>
  <c r="D221" i="35"/>
  <c r="D229" i="35"/>
  <c r="D205" i="35"/>
  <c r="D197" i="35"/>
  <c r="D189" i="35"/>
  <c r="D181" i="35"/>
  <c r="D173" i="35"/>
  <c r="D165" i="35"/>
  <c r="D157" i="35"/>
  <c r="D149" i="35"/>
  <c r="D202" i="35"/>
  <c r="D178" i="35"/>
  <c r="D145" i="35"/>
  <c r="D193" i="35"/>
  <c r="D161" i="35"/>
  <c r="D200" i="35"/>
  <c r="D176" i="35"/>
  <c r="D227" i="35"/>
  <c r="D175" i="35"/>
  <c r="D214" i="35"/>
  <c r="D222" i="35"/>
  <c r="D230" i="35"/>
  <c r="D204" i="35"/>
  <c r="D196" i="35"/>
  <c r="D188" i="35"/>
  <c r="D180" i="35"/>
  <c r="D172" i="35"/>
  <c r="D164" i="35"/>
  <c r="D156" i="35"/>
  <c r="D148" i="35"/>
  <c r="D210" i="35"/>
  <c r="D186" i="35"/>
  <c r="D154" i="35"/>
  <c r="D201" i="35"/>
  <c r="D169" i="35"/>
  <c r="D226" i="35"/>
  <c r="D184" i="35"/>
  <c r="D143" i="35"/>
  <c r="D183" i="35"/>
  <c r="D142" i="35"/>
  <c r="D215" i="35"/>
  <c r="D223" i="35"/>
  <c r="D211" i="35"/>
  <c r="D203" i="35"/>
  <c r="D195" i="35"/>
  <c r="D187" i="35"/>
  <c r="D179" i="35"/>
  <c r="D171" i="35"/>
  <c r="D163" i="35"/>
  <c r="D155" i="35"/>
  <c r="D146" i="35"/>
  <c r="D224" i="35"/>
  <c r="D194" i="35"/>
  <c r="D162" i="35"/>
  <c r="D209" i="35"/>
  <c r="D177" i="35"/>
  <c r="D144" i="35"/>
  <c r="D192" i="35"/>
  <c r="D160" i="35"/>
  <c r="D199" i="35"/>
  <c r="D167" i="35"/>
  <c r="D216" i="35"/>
  <c r="D152" i="35"/>
  <c r="D191" i="35"/>
  <c r="D159" i="35"/>
  <c r="D217" i="35"/>
  <c r="D218" i="35"/>
  <c r="D219" i="35"/>
  <c r="D220" i="35"/>
  <c r="D228" i="35"/>
  <c r="D206" i="35"/>
  <c r="D198" i="35"/>
  <c r="D190" i="35"/>
  <c r="D182" i="35"/>
  <c r="D174" i="35"/>
  <c r="D166" i="35"/>
  <c r="D158" i="35"/>
  <c r="D150" i="35"/>
  <c r="D170" i="35"/>
  <c r="D225" i="35"/>
  <c r="D185" i="35"/>
  <c r="D153" i="35"/>
  <c r="D208" i="35"/>
  <c r="D168" i="35"/>
  <c r="D207" i="35"/>
  <c r="D151" i="35"/>
  <c r="D44" i="35"/>
  <c r="W424" i="30"/>
  <c r="W425" i="30"/>
  <c r="W422" i="30"/>
  <c r="W423" i="30"/>
  <c r="W421" i="30"/>
  <c r="W420" i="30"/>
  <c r="W236" i="30"/>
  <c r="W432" i="30"/>
  <c r="W224" i="30"/>
  <c r="W340" i="30"/>
  <c r="W24" i="30"/>
  <c r="W263" i="30"/>
  <c r="W96" i="30"/>
  <c r="W277" i="30"/>
  <c r="W146" i="30"/>
  <c r="W356" i="30"/>
  <c r="W419" i="30"/>
  <c r="W186" i="30"/>
  <c r="D25" i="35"/>
  <c r="W48" i="30"/>
  <c r="W45" i="30"/>
  <c r="D100" i="35"/>
  <c r="D64" i="35"/>
  <c r="D49" i="35"/>
  <c r="D48" i="35"/>
  <c r="D112" i="33"/>
  <c r="D110" i="33"/>
  <c r="D108" i="33"/>
  <c r="D100" i="33"/>
  <c r="D114" i="33"/>
  <c r="D94" i="33"/>
  <c r="D40" i="33"/>
  <c r="D32" i="33"/>
  <c r="D43" i="33"/>
  <c r="D46" i="33"/>
  <c r="D25" i="33"/>
  <c r="D20" i="33"/>
  <c r="W184" i="30"/>
  <c r="W93" i="30"/>
  <c r="D11" i="35"/>
  <c r="D65" i="35"/>
  <c r="W29" i="30"/>
  <c r="W36" i="30"/>
  <c r="D28" i="35"/>
  <c r="W265" i="30"/>
  <c r="W37" i="30"/>
  <c r="W74" i="30"/>
  <c r="W21" i="30"/>
  <c r="D103" i="33"/>
  <c r="D121" i="33"/>
  <c r="W245" i="30"/>
  <c r="W15" i="30"/>
  <c r="W20" i="30"/>
  <c r="W53" i="30"/>
  <c r="W28" i="30"/>
  <c r="W336" i="30"/>
  <c r="W132" i="30"/>
  <c r="W418" i="30"/>
  <c r="D63" i="35"/>
  <c r="D57" i="33"/>
  <c r="W189" i="30"/>
  <c r="W274" i="30"/>
  <c r="W280" i="30"/>
  <c r="W62" i="30"/>
  <c r="W87" i="30"/>
  <c r="W382" i="30"/>
  <c r="W453" i="30"/>
  <c r="D31" i="35"/>
  <c r="O11" i="30"/>
  <c r="O9" i="30"/>
  <c r="D127" i="33"/>
  <c r="D128" i="33"/>
  <c r="D79" i="33"/>
  <c r="D71" i="33"/>
  <c r="D58" i="33"/>
  <c r="D36" i="33"/>
  <c r="D41" i="33"/>
  <c r="D30" i="33"/>
  <c r="D19" i="33"/>
  <c r="D11" i="33"/>
  <c r="D62" i="33"/>
  <c r="D35" i="33"/>
  <c r="D33" i="33"/>
  <c r="D50" i="33"/>
  <c r="D78" i="33"/>
  <c r="D70" i="33"/>
  <c r="D65" i="33"/>
  <c r="D56" i="33"/>
  <c r="D48" i="33"/>
  <c r="D39" i="33"/>
  <c r="D29" i="33"/>
  <c r="D18" i="33"/>
  <c r="D10" i="33"/>
  <c r="D67" i="33"/>
  <c r="D15" i="33"/>
  <c r="D59" i="33"/>
  <c r="D12" i="33"/>
  <c r="D77" i="33"/>
  <c r="D69" i="33"/>
  <c r="D64" i="33"/>
  <c r="D55" i="33"/>
  <c r="D49" i="33"/>
  <c r="D38" i="33"/>
  <c r="D27" i="33"/>
  <c r="D17" i="33"/>
  <c r="D9" i="33"/>
  <c r="D53" i="33"/>
  <c r="D24" i="33"/>
  <c r="D72" i="33"/>
  <c r="D76" i="33"/>
  <c r="D68" i="33"/>
  <c r="D63" i="33"/>
  <c r="D54" i="33"/>
  <c r="D28" i="33"/>
  <c r="D37" i="33"/>
  <c r="D26" i="33"/>
  <c r="D16" i="33"/>
  <c r="D75" i="33"/>
  <c r="D47" i="33"/>
  <c r="D13" i="33"/>
  <c r="D42" i="33"/>
  <c r="D74" i="33"/>
  <c r="D61" i="33"/>
  <c r="D52" i="33"/>
  <c r="D45" i="33"/>
  <c r="D34" i="33"/>
  <c r="D23" i="33"/>
  <c r="D14" i="33"/>
  <c r="D60" i="33"/>
  <c r="D44" i="33"/>
  <c r="D66" i="33"/>
  <c r="D21" i="33"/>
  <c r="D73" i="33"/>
  <c r="D51" i="33"/>
  <c r="D22" i="33"/>
  <c r="D31" i="33"/>
  <c r="D95" i="33"/>
  <c r="D104" i="33"/>
  <c r="D115" i="33"/>
  <c r="D122" i="33"/>
  <c r="D129" i="33"/>
  <c r="D96" i="33"/>
  <c r="D105" i="33"/>
  <c r="D116" i="33"/>
  <c r="D123" i="33"/>
  <c r="D130" i="33"/>
  <c r="D131" i="33"/>
  <c r="D98" i="33"/>
  <c r="D107" i="33"/>
  <c r="D125" i="33"/>
  <c r="D97" i="33"/>
  <c r="D118" i="33"/>
  <c r="D99" i="33"/>
  <c r="D109" i="33"/>
  <c r="D117" i="33"/>
  <c r="D124" i="33"/>
  <c r="D101" i="33"/>
  <c r="D111" i="33"/>
  <c r="D119" i="33"/>
  <c r="D126" i="33"/>
  <c r="D106" i="33"/>
  <c r="D93" i="33"/>
  <c r="D102" i="33"/>
  <c r="D113" i="33"/>
  <c r="D120" i="33"/>
  <c r="D50" i="35"/>
  <c r="D77" i="35"/>
  <c r="D32" i="35"/>
  <c r="D56" i="35"/>
  <c r="D69" i="35"/>
  <c r="D46" i="35"/>
  <c r="D19" i="35"/>
  <c r="D85" i="35"/>
  <c r="D29" i="35"/>
  <c r="D91" i="35"/>
  <c r="D39" i="35"/>
  <c r="D99" i="35"/>
  <c r="D108" i="35"/>
  <c r="D17" i="35"/>
  <c r="D27" i="35"/>
  <c r="D38" i="35"/>
  <c r="D55" i="35"/>
  <c r="D68" i="35"/>
  <c r="D76" i="35"/>
  <c r="D84" i="35"/>
  <c r="D93" i="35"/>
  <c r="D98" i="35"/>
  <c r="D107" i="35"/>
  <c r="D20" i="35"/>
  <c r="D30" i="35"/>
  <c r="D40" i="35"/>
  <c r="D47" i="35"/>
  <c r="D57" i="35"/>
  <c r="D70" i="35"/>
  <c r="D78" i="35"/>
  <c r="D92" i="35"/>
  <c r="D101" i="35"/>
  <c r="D109" i="35"/>
  <c r="D12" i="35"/>
  <c r="D21" i="35"/>
  <c r="D33" i="35"/>
  <c r="D45" i="35"/>
  <c r="D51" i="35"/>
  <c r="D58" i="35"/>
  <c r="D71" i="35"/>
  <c r="D79" i="35"/>
  <c r="D86" i="35"/>
  <c r="D94" i="35"/>
  <c r="D102" i="35"/>
  <c r="D110" i="35"/>
  <c r="D13" i="35"/>
  <c r="D22" i="35"/>
  <c r="D34" i="35"/>
  <c r="D41" i="35"/>
  <c r="D60" i="35"/>
  <c r="D59" i="35"/>
  <c r="D72" i="35"/>
  <c r="D80" i="35"/>
  <c r="D87" i="35"/>
  <c r="D95" i="35"/>
  <c r="D103" i="35"/>
  <c r="D111" i="35"/>
  <c r="D14" i="35"/>
  <c r="D23" i="35"/>
  <c r="D35" i="35"/>
  <c r="D42" i="35"/>
  <c r="D52" i="35"/>
  <c r="D61" i="35"/>
  <c r="D73" i="35"/>
  <c r="D81" i="35"/>
  <c r="D88" i="35"/>
  <c r="D104" i="35"/>
  <c r="D112" i="35"/>
  <c r="D15" i="35"/>
  <c r="D24" i="35"/>
  <c r="D36" i="35"/>
  <c r="D43" i="35"/>
  <c r="D53" i="35"/>
  <c r="D62" i="35"/>
  <c r="D74" i="35"/>
  <c r="D82" i="35"/>
  <c r="D89" i="35"/>
  <c r="D96" i="35"/>
  <c r="D105" i="35"/>
  <c r="D113" i="35"/>
  <c r="D16" i="35"/>
  <c r="D26" i="35"/>
  <c r="D37" i="35"/>
  <c r="D54" i="35"/>
  <c r="D67" i="35"/>
  <c r="D75" i="35"/>
  <c r="D83" i="35"/>
  <c r="D90" i="35"/>
  <c r="D97" i="35"/>
  <c r="D106" i="35"/>
  <c r="D114" i="35"/>
  <c r="L9" i="30"/>
  <c r="L11" i="30"/>
  <c r="I9" i="30"/>
  <c r="I10" i="30"/>
  <c r="P11" i="30"/>
  <c r="I11" i="30"/>
  <c r="P10" i="30"/>
  <c r="J9" i="30"/>
  <c r="J10" i="30"/>
  <c r="J11" i="30"/>
  <c r="M11" i="30"/>
  <c r="K9" i="30"/>
  <c r="K10" i="30"/>
  <c r="K11" i="30"/>
  <c r="W290" i="30"/>
  <c r="W447" i="30"/>
  <c r="W56" i="30"/>
  <c r="W113" i="30"/>
  <c r="W177" i="30"/>
  <c r="W288" i="30"/>
  <c r="W341" i="30"/>
  <c r="W92" i="30"/>
  <c r="W352" i="30"/>
  <c r="W18" i="30"/>
  <c r="W33" i="30"/>
  <c r="W61" i="30"/>
  <c r="W167" i="30"/>
  <c r="W187" i="30"/>
  <c r="W333" i="30"/>
  <c r="W454" i="30"/>
  <c r="W232" i="30"/>
  <c r="W108" i="30"/>
  <c r="W325" i="30"/>
  <c r="W13" i="30"/>
  <c r="W44" i="30"/>
  <c r="W75" i="30"/>
  <c r="W89" i="30"/>
  <c r="W134" i="30"/>
  <c r="W70" i="30"/>
  <c r="W221" i="30"/>
  <c r="W376" i="30"/>
  <c r="W400" i="30"/>
  <c r="W58" i="30"/>
  <c r="W192" i="30"/>
  <c r="W64" i="30"/>
  <c r="W270" i="30"/>
  <c r="W101" i="30"/>
  <c r="W51" i="30"/>
  <c r="W86" i="30"/>
  <c r="W215" i="30"/>
  <c r="W284" i="30"/>
  <c r="W294" i="30"/>
  <c r="W415" i="30"/>
  <c r="W463" i="30"/>
  <c r="W227" i="30"/>
  <c r="W35" i="30"/>
  <c r="W63" i="30"/>
  <c r="W42" i="30"/>
  <c r="W77" i="30"/>
  <c r="W130" i="30"/>
  <c r="W315" i="30"/>
  <c r="W350" i="30"/>
  <c r="W403" i="30"/>
  <c r="W261" i="30"/>
  <c r="W17" i="30"/>
  <c r="W73" i="30"/>
  <c r="W104" i="30"/>
  <c r="W154" i="30"/>
  <c r="W118" i="30"/>
  <c r="W343" i="30"/>
  <c r="W428" i="30"/>
  <c r="W83" i="30"/>
  <c r="W298" i="30"/>
  <c r="W55" i="30"/>
  <c r="W303" i="30"/>
  <c r="W81" i="30"/>
  <c r="W117" i="30"/>
  <c r="W60" i="30"/>
  <c r="W127" i="30"/>
  <c r="W199" i="30"/>
  <c r="W218" i="30"/>
  <c r="W262" i="30"/>
  <c r="W437" i="30"/>
  <c r="W110" i="30"/>
  <c r="W162" i="30"/>
  <c r="W179" i="30"/>
  <c r="W169" i="30"/>
  <c r="W174" i="30"/>
  <c r="W198" i="30"/>
  <c r="W229" i="30"/>
  <c r="W242" i="30"/>
  <c r="W241" i="30"/>
  <c r="W266" i="30"/>
  <c r="W267" i="30"/>
  <c r="W276" i="30"/>
  <c r="W283" i="30"/>
  <c r="W306" i="30"/>
  <c r="W301" i="30"/>
  <c r="W304" i="30"/>
  <c r="W311" i="30"/>
  <c r="W335" i="30"/>
  <c r="W327" i="30"/>
  <c r="W338" i="30"/>
  <c r="W337" i="30"/>
  <c r="W364" i="30"/>
  <c r="W351" i="30"/>
  <c r="W368" i="30"/>
  <c r="W371" i="30"/>
  <c r="W363" i="30"/>
  <c r="W379" i="30"/>
  <c r="W328" i="30"/>
  <c r="W369" i="30"/>
  <c r="W394" i="30"/>
  <c r="W399" i="30"/>
  <c r="W410" i="30"/>
  <c r="W429" i="30"/>
  <c r="W439" i="30"/>
  <c r="W448" i="30"/>
  <c r="W455" i="30"/>
  <c r="W464" i="30"/>
  <c r="W112" i="30"/>
  <c r="W212" i="30"/>
  <c r="W39" i="30"/>
  <c r="W88" i="30"/>
  <c r="W78" i="30"/>
  <c r="W85" i="30"/>
  <c r="W47" i="30"/>
  <c r="W69" i="30"/>
  <c r="W103" i="30"/>
  <c r="W99" i="30"/>
  <c r="W121" i="30"/>
  <c r="W124" i="30"/>
  <c r="W140" i="30"/>
  <c r="W137" i="30"/>
  <c r="W147" i="30"/>
  <c r="W144" i="30"/>
  <c r="W139" i="30"/>
  <c r="W166" i="30"/>
  <c r="W170" i="30"/>
  <c r="W194" i="30"/>
  <c r="W201" i="30"/>
  <c r="W200" i="30"/>
  <c r="W149" i="30"/>
  <c r="W193" i="30"/>
  <c r="W213" i="30"/>
  <c r="W223" i="30"/>
  <c r="W225" i="30"/>
  <c r="W237" i="30"/>
  <c r="W234" i="30"/>
  <c r="W248" i="30"/>
  <c r="W252" i="30"/>
  <c r="W259" i="30"/>
  <c r="W269" i="30"/>
  <c r="W279" i="30"/>
  <c r="W278" i="30"/>
  <c r="W295" i="30"/>
  <c r="W308" i="30"/>
  <c r="W314" i="30"/>
  <c r="W323" i="30"/>
  <c r="W331" i="30"/>
  <c r="W329" i="30"/>
  <c r="W354" i="30"/>
  <c r="W359" i="30"/>
  <c r="W374" i="30"/>
  <c r="W385" i="30"/>
  <c r="W393" i="30"/>
  <c r="W398" i="30"/>
  <c r="W406" i="30"/>
  <c r="W405" i="30"/>
  <c r="W412" i="30"/>
  <c r="W430" i="30"/>
  <c r="W440" i="30"/>
  <c r="W449" i="30"/>
  <c r="W458" i="30"/>
  <c r="W175" i="30"/>
  <c r="W40" i="30"/>
  <c r="W57" i="30"/>
  <c r="W32" i="30"/>
  <c r="W26" i="30"/>
  <c r="W50" i="30"/>
  <c r="W293" i="30"/>
  <c r="W80" i="30"/>
  <c r="W111" i="30"/>
  <c r="W109" i="30"/>
  <c r="W94" i="30"/>
  <c r="W457" i="30"/>
  <c r="W145" i="30"/>
  <c r="W160" i="30"/>
  <c r="W138" i="30"/>
  <c r="W165" i="30"/>
  <c r="W195" i="30"/>
  <c r="W210" i="30"/>
  <c r="W208" i="30"/>
  <c r="W95" i="30"/>
  <c r="W185" i="30"/>
  <c r="W226" i="30"/>
  <c r="W239" i="30"/>
  <c r="W240" i="30"/>
  <c r="W256" i="30"/>
  <c r="W272" i="30"/>
  <c r="W291" i="30"/>
  <c r="W287" i="30"/>
  <c r="W302" i="30"/>
  <c r="W299" i="30"/>
  <c r="W305" i="30"/>
  <c r="W322" i="30"/>
  <c r="W324" i="30"/>
  <c r="W334" i="30"/>
  <c r="W342" i="30"/>
  <c r="W344" i="30"/>
  <c r="W346" i="30"/>
  <c r="W54" i="30"/>
  <c r="W365" i="30"/>
  <c r="W353" i="30"/>
  <c r="W395" i="30"/>
  <c r="W409" i="30"/>
  <c r="W417" i="30"/>
  <c r="W431" i="30"/>
  <c r="W442" i="30"/>
  <c r="W450" i="30"/>
  <c r="W459" i="30"/>
  <c r="W466" i="30"/>
  <c r="W14" i="30"/>
  <c r="W23" i="30"/>
  <c r="W115" i="30"/>
  <c r="W43" i="30"/>
  <c r="W31" i="30"/>
  <c r="W30" i="30"/>
  <c r="W41" i="30"/>
  <c r="W100" i="30"/>
  <c r="W66" i="30"/>
  <c r="W120" i="30"/>
  <c r="W72" i="30"/>
  <c r="W98" i="30"/>
  <c r="W438" i="30"/>
  <c r="W102" i="30"/>
  <c r="W141" i="30"/>
  <c r="W152" i="30"/>
  <c r="W107" i="30"/>
  <c r="W153" i="30"/>
  <c r="W126" i="30"/>
  <c r="W163" i="30"/>
  <c r="W164" i="30"/>
  <c r="W178" i="30"/>
  <c r="W172" i="30"/>
  <c r="W183" i="30"/>
  <c r="W209" i="30"/>
  <c r="W205" i="30"/>
  <c r="W222" i="30"/>
  <c r="W220" i="30"/>
  <c r="W235" i="30"/>
  <c r="W244" i="30"/>
  <c r="W250" i="30"/>
  <c r="W258" i="30"/>
  <c r="W264" i="30"/>
  <c r="W273" i="30"/>
  <c r="W282" i="30"/>
  <c r="W289" i="30"/>
  <c r="W310" i="30"/>
  <c r="W143" i="30"/>
  <c r="W106" i="30"/>
  <c r="W319" i="30"/>
  <c r="W357" i="30"/>
  <c r="W361" i="30"/>
  <c r="W366" i="30"/>
  <c r="W377" i="30"/>
  <c r="W380" i="30"/>
  <c r="W370" i="30"/>
  <c r="W387" i="30"/>
  <c r="W386" i="30"/>
  <c r="W402" i="30"/>
  <c r="W407" i="30"/>
  <c r="W413" i="30"/>
  <c r="W433" i="30"/>
  <c r="W443" i="30"/>
  <c r="W460" i="30"/>
  <c r="W467" i="30"/>
  <c r="W16" i="30"/>
  <c r="W19" i="30"/>
  <c r="W46" i="30"/>
  <c r="W27" i="30"/>
  <c r="W38" i="30"/>
  <c r="W68" i="30"/>
  <c r="W91" i="30"/>
  <c r="W76" i="30"/>
  <c r="W82" i="30"/>
  <c r="W67" i="30"/>
  <c r="W71" i="30"/>
  <c r="W123" i="30"/>
  <c r="W156" i="30"/>
  <c r="W125" i="30"/>
  <c r="W116" i="30"/>
  <c r="W128" i="30"/>
  <c r="W161" i="30"/>
  <c r="W188" i="30"/>
  <c r="W182" i="30"/>
  <c r="W151" i="30"/>
  <c r="W129" i="30"/>
  <c r="W202" i="30"/>
  <c r="W214" i="30"/>
  <c r="W216" i="30"/>
  <c r="W233" i="30"/>
  <c r="W217" i="30"/>
  <c r="W247" i="30"/>
  <c r="W253" i="30"/>
  <c r="W254" i="30"/>
  <c r="W281" i="30"/>
  <c r="W268" i="30"/>
  <c r="W255" i="30"/>
  <c r="W292" i="30"/>
  <c r="W309" i="30"/>
  <c r="W318" i="30"/>
  <c r="W332" i="30"/>
  <c r="W339" i="30"/>
  <c r="W348" i="30"/>
  <c r="W355" i="30"/>
  <c r="W375" i="30"/>
  <c r="W381" i="30"/>
  <c r="W389" i="30"/>
  <c r="W396" i="30"/>
  <c r="W401" i="30"/>
  <c r="W414" i="30"/>
  <c r="W434" i="30"/>
  <c r="W444" i="30"/>
  <c r="W451" i="30"/>
  <c r="W461" i="30"/>
  <c r="W468" i="30"/>
  <c r="W97" i="30"/>
  <c r="W119" i="30"/>
  <c r="W158" i="30"/>
  <c r="W150" i="30"/>
  <c r="W190" i="30"/>
  <c r="W173" i="30"/>
  <c r="W207" i="30"/>
  <c r="W197" i="30"/>
  <c r="W219" i="30"/>
  <c r="W228" i="30"/>
  <c r="W238" i="30"/>
  <c r="W243" i="30"/>
  <c r="W456" i="30"/>
  <c r="W251" i="30"/>
  <c r="W249" i="30"/>
  <c r="W271" i="30"/>
  <c r="W285" i="30"/>
  <c r="W286" i="30"/>
  <c r="W297" i="30"/>
  <c r="W300" i="30"/>
  <c r="W312" i="30"/>
  <c r="W316" i="30"/>
  <c r="W326" i="30"/>
  <c r="W321" i="30"/>
  <c r="W320" i="30"/>
  <c r="W360" i="30"/>
  <c r="W362" i="30"/>
  <c r="W347" i="30"/>
  <c r="W378" i="30"/>
  <c r="W373" i="30"/>
  <c r="W384" i="30"/>
  <c r="W392" i="30"/>
  <c r="W411" i="30"/>
  <c r="W408" i="30"/>
  <c r="W114" i="30"/>
  <c r="W441" i="30"/>
  <c r="W435" i="30"/>
  <c r="W445" i="30"/>
  <c r="W452" i="30"/>
  <c r="W462" i="30"/>
  <c r="W59" i="30"/>
  <c r="W105" i="30"/>
  <c r="W84" i="30"/>
  <c r="W34" i="30"/>
  <c r="W25" i="30"/>
  <c r="W22" i="30"/>
  <c r="W465" i="30"/>
  <c r="W52" i="30"/>
  <c r="W49" i="30"/>
  <c r="W65" i="30"/>
  <c r="W79" i="30"/>
  <c r="W90" i="30"/>
  <c r="W133" i="30"/>
  <c r="W122" i="30"/>
  <c r="W155" i="30"/>
  <c r="W142" i="30"/>
  <c r="W159" i="30"/>
  <c r="W148" i="30"/>
  <c r="W135" i="30"/>
  <c r="W136" i="30"/>
  <c r="W131" i="30"/>
  <c r="W157" i="30"/>
  <c r="W176" i="30"/>
  <c r="W181" i="30"/>
  <c r="W168" i="30"/>
  <c r="W191" i="30"/>
  <c r="W206" i="30"/>
  <c r="W390" i="30"/>
  <c r="W203" i="30"/>
  <c r="W204" i="30"/>
  <c r="W180" i="30"/>
  <c r="W211" i="30"/>
  <c r="W230" i="30"/>
  <c r="W196" i="30"/>
  <c r="W231" i="30"/>
  <c r="W246" i="30"/>
  <c r="W257" i="30"/>
  <c r="W260" i="30"/>
  <c r="W275" i="30"/>
  <c r="W296" i="30"/>
  <c r="W307" i="30"/>
  <c r="W313" i="30"/>
  <c r="W317" i="30"/>
  <c r="W330" i="30"/>
  <c r="W345" i="30"/>
  <c r="W349" i="30"/>
  <c r="W358" i="30"/>
  <c r="W367" i="30"/>
  <c r="W372" i="30"/>
  <c r="W383" i="30"/>
  <c r="W391" i="30"/>
  <c r="W397" i="30"/>
  <c r="W388" i="30"/>
  <c r="W404" i="30"/>
  <c r="W416" i="30"/>
  <c r="W427" i="30"/>
  <c r="W436" i="30"/>
  <c r="W446" i="30"/>
  <c r="E426" i="30" l="1"/>
  <c r="E422" i="30"/>
  <c r="E340" i="30"/>
  <c r="E425" i="30"/>
  <c r="E423" i="30"/>
  <c r="E424" i="30"/>
  <c r="E421" i="30"/>
  <c r="E236" i="30"/>
  <c r="E420" i="30"/>
  <c r="E245" i="30"/>
  <c r="E24" i="30"/>
  <c r="E336" i="30"/>
  <c r="E53" i="30"/>
  <c r="E132" i="30"/>
  <c r="E224" i="30"/>
  <c r="E186" i="30"/>
  <c r="E146" i="30"/>
  <c r="E356" i="30"/>
  <c r="E277" i="30"/>
  <c r="E96" i="30"/>
  <c r="E263" i="30"/>
  <c r="E48" i="30"/>
  <c r="E29" i="30"/>
  <c r="E106" i="30"/>
  <c r="E37" i="30"/>
  <c r="E45" i="30"/>
  <c r="E265" i="30"/>
  <c r="E93" i="30"/>
  <c r="E21" i="30"/>
  <c r="E15" i="30"/>
  <c r="E28" i="30"/>
  <c r="E74" i="30"/>
  <c r="E20" i="30"/>
  <c r="E63" i="30"/>
  <c r="E43" i="30"/>
  <c r="E41" i="30"/>
  <c r="E382" i="30"/>
  <c r="E87" i="30"/>
  <c r="E171" i="30"/>
  <c r="E184" i="30"/>
  <c r="E280" i="30"/>
  <c r="E40" i="30"/>
  <c r="E39" i="30"/>
  <c r="E46" i="30"/>
  <c r="E57" i="30"/>
  <c r="E51" i="30"/>
  <c r="E30" i="30"/>
  <c r="E25" i="30"/>
  <c r="E31" i="30"/>
  <c r="E38" i="30"/>
  <c r="E27" i="30"/>
  <c r="E101" i="30"/>
  <c r="E58" i="30"/>
  <c r="E56" i="30"/>
  <c r="E100" i="30"/>
  <c r="E52" i="30"/>
  <c r="E42" i="30"/>
  <c r="E293" i="30"/>
  <c r="E68" i="30"/>
  <c r="E50" i="30"/>
  <c r="E75" i="30"/>
  <c r="E88" i="30"/>
  <c r="E44" i="30"/>
  <c r="E65" i="30"/>
  <c r="E73" i="30"/>
  <c r="E49" i="30"/>
  <c r="E62" i="30"/>
  <c r="E26" i="30"/>
  <c r="E19" i="30"/>
  <c r="E35" i="30"/>
  <c r="E22" i="30"/>
  <c r="E17" i="30"/>
  <c r="E13" i="30"/>
  <c r="E115" i="30"/>
  <c r="E16" i="30"/>
  <c r="E14" i="30"/>
  <c r="E23" i="30"/>
  <c r="E33" i="30"/>
  <c r="E34" i="30"/>
  <c r="E18" i="30"/>
  <c r="E36" i="30"/>
  <c r="E32" i="30"/>
  <c r="E362" i="30"/>
  <c r="E297" i="30"/>
  <c r="E198" i="30"/>
  <c r="E279" i="30"/>
  <c r="E278" i="30"/>
  <c r="E69" i="30"/>
  <c r="E160" i="30"/>
  <c r="E284" i="30"/>
  <c r="E259" i="30"/>
  <c r="E275" i="30"/>
  <c r="E178" i="30"/>
  <c r="E395" i="30"/>
  <c r="E372" i="30"/>
  <c r="E130" i="30"/>
  <c r="E120" i="30"/>
  <c r="E357" i="30"/>
  <c r="E108" i="30"/>
  <c r="E364" i="30"/>
  <c r="E345" i="30"/>
  <c r="E261" i="30"/>
  <c r="E126" i="30"/>
  <c r="E66" i="30"/>
  <c r="E321" i="30"/>
  <c r="E332" i="30"/>
  <c r="E213" i="30"/>
  <c r="E240" i="30"/>
  <c r="E218" i="30"/>
  <c r="E197" i="30"/>
  <c r="E333" i="30"/>
  <c r="E257" i="30"/>
  <c r="E94" i="30"/>
  <c r="E229" i="30"/>
  <c r="E212" i="30"/>
  <c r="E179" i="30"/>
  <c r="E187" i="30"/>
  <c r="E414" i="30"/>
  <c r="E325" i="30"/>
  <c r="E247" i="30"/>
  <c r="E181" i="30"/>
  <c r="E253" i="30"/>
  <c r="E117" i="30"/>
  <c r="E148" i="30"/>
  <c r="E404" i="30"/>
  <c r="E309" i="30"/>
  <c r="E228" i="30"/>
  <c r="E155" i="30"/>
  <c r="E86" i="30"/>
  <c r="E208" i="30"/>
  <c r="E82" i="30"/>
  <c r="E387" i="30"/>
  <c r="E301" i="30"/>
  <c r="E223" i="30"/>
  <c r="E60" i="30"/>
  <c r="E159" i="30"/>
  <c r="E85" i="30"/>
  <c r="E380" i="30"/>
  <c r="E379" i="30"/>
  <c r="E330" i="30"/>
  <c r="E368" i="30"/>
  <c r="E389" i="30"/>
  <c r="E292" i="30"/>
  <c r="E262" i="30"/>
  <c r="E95" i="30"/>
  <c r="E78" i="30"/>
  <c r="E337" i="30"/>
  <c r="E216" i="30"/>
  <c r="E169" i="30"/>
  <c r="E104" i="30"/>
  <c r="E114" i="30"/>
  <c r="E363" i="30"/>
  <c r="E327" i="30"/>
  <c r="E290" i="30"/>
  <c r="E248" i="30"/>
  <c r="E207" i="30"/>
  <c r="E127" i="30"/>
  <c r="E408" i="30"/>
  <c r="E342" i="30"/>
  <c r="E219" i="30"/>
  <c r="E168" i="30"/>
  <c r="E137" i="30"/>
  <c r="E80" i="30"/>
  <c r="E376" i="30"/>
  <c r="E331" i="30"/>
  <c r="E255" i="30"/>
  <c r="E231" i="30"/>
  <c r="E162" i="30"/>
  <c r="E419" i="30"/>
  <c r="E324" i="30"/>
  <c r="E272" i="30"/>
  <c r="E235" i="30"/>
  <c r="E177" i="30"/>
  <c r="E140" i="30"/>
  <c r="E47" i="30"/>
  <c r="E354" i="30"/>
  <c r="E251" i="30"/>
  <c r="E191" i="30"/>
  <c r="E163" i="30"/>
  <c r="E97" i="30"/>
  <c r="E412" i="30"/>
  <c r="E377" i="30"/>
  <c r="E314" i="30"/>
  <c r="E268" i="30"/>
  <c r="E243" i="30"/>
  <c r="E190" i="30"/>
  <c r="E123" i="30"/>
  <c r="E402" i="30"/>
  <c r="E318" i="30"/>
  <c r="E193" i="30"/>
  <c r="E165" i="30"/>
  <c r="E102" i="30"/>
  <c r="E77" i="30"/>
  <c r="E375" i="30"/>
  <c r="E326" i="30"/>
  <c r="E239" i="30"/>
  <c r="E128" i="30"/>
  <c r="E415" i="30"/>
  <c r="E347" i="30"/>
  <c r="E143" i="30"/>
  <c r="E269" i="30"/>
  <c r="E225" i="30"/>
  <c r="E164" i="30"/>
  <c r="E339" i="30"/>
  <c r="E215" i="30"/>
  <c r="E176" i="30"/>
  <c r="E61" i="30"/>
  <c r="E378" i="30"/>
  <c r="E319" i="30"/>
  <c r="E291" i="30"/>
  <c r="E241" i="30"/>
  <c r="E135" i="30"/>
  <c r="E111" i="30"/>
  <c r="E322" i="30"/>
  <c r="E214" i="30"/>
  <c r="E139" i="30"/>
  <c r="E105" i="30"/>
  <c r="E409" i="30"/>
  <c r="E351" i="30"/>
  <c r="E312" i="30"/>
  <c r="E276" i="30"/>
  <c r="E234" i="30"/>
  <c r="E170" i="30"/>
  <c r="E98" i="30"/>
  <c r="E388" i="30"/>
  <c r="E315" i="30"/>
  <c r="E199" i="30"/>
  <c r="E174" i="30"/>
  <c r="E122" i="30"/>
  <c r="E371" i="30"/>
  <c r="E313" i="30"/>
  <c r="E271" i="30"/>
  <c r="E196" i="30"/>
  <c r="E158" i="30"/>
  <c r="E67" i="30"/>
  <c r="E413" i="30"/>
  <c r="E352" i="30"/>
  <c r="E303" i="30"/>
  <c r="E249" i="30"/>
  <c r="E188" i="30"/>
  <c r="E133" i="30"/>
  <c r="E407" i="30"/>
  <c r="E329" i="30"/>
  <c r="E222" i="30"/>
  <c r="E118" i="30"/>
  <c r="E91" i="30"/>
  <c r="E386" i="30"/>
  <c r="E185" i="30"/>
  <c r="E129" i="30"/>
  <c r="E81" i="30"/>
  <c r="E311" i="30"/>
  <c r="E287" i="30"/>
  <c r="E210" i="30"/>
  <c r="E134" i="30"/>
  <c r="E83" i="30"/>
  <c r="E288" i="30"/>
  <c r="E264" i="30"/>
  <c r="E373" i="30"/>
  <c r="E211" i="30"/>
  <c r="E152" i="30"/>
  <c r="E109" i="30"/>
  <c r="E92" i="30"/>
  <c r="E384" i="30"/>
  <c r="E346" i="30"/>
  <c r="E335" i="30"/>
  <c r="E296" i="30"/>
  <c r="E403" i="30"/>
  <c r="E348" i="30"/>
  <c r="E220" i="30"/>
  <c r="E173" i="30"/>
  <c r="E166" i="30"/>
  <c r="E112" i="30"/>
  <c r="E142" i="30"/>
  <c r="E76" i="30"/>
  <c r="E400" i="30"/>
  <c r="E366" i="30"/>
  <c r="E136" i="30"/>
  <c r="E90" i="30"/>
  <c r="E317" i="30"/>
  <c r="E202" i="30"/>
  <c r="E157" i="30"/>
  <c r="E399" i="30"/>
  <c r="E355" i="30"/>
  <c r="E308" i="30"/>
  <c r="E281" i="30"/>
  <c r="E238" i="30"/>
  <c r="E161" i="30"/>
  <c r="E99" i="30"/>
  <c r="E370" i="30"/>
  <c r="E204" i="30"/>
  <c r="E182" i="30"/>
  <c r="E119" i="30"/>
  <c r="E55" i="30"/>
  <c r="E417" i="30"/>
  <c r="E360" i="30"/>
  <c r="E305" i="30"/>
  <c r="E266" i="30"/>
  <c r="E227" i="30"/>
  <c r="E107" i="30"/>
  <c r="E405" i="30"/>
  <c r="E54" i="30"/>
  <c r="E310" i="30"/>
  <c r="E256" i="30"/>
  <c r="E180" i="30"/>
  <c r="E150" i="30"/>
  <c r="E396" i="30"/>
  <c r="E316" i="30"/>
  <c r="E221" i="30"/>
  <c r="E79" i="30"/>
  <c r="E418" i="30"/>
  <c r="E410" i="30"/>
  <c r="E361" i="30"/>
  <c r="E273" i="30"/>
  <c r="E242" i="30"/>
  <c r="E194" i="30"/>
  <c r="E84" i="30"/>
  <c r="E398" i="30"/>
  <c r="E283" i="30"/>
  <c r="E201" i="30"/>
  <c r="E131" i="30"/>
  <c r="E392" i="30"/>
  <c r="E349" i="30"/>
  <c r="E300" i="30"/>
  <c r="E260" i="30"/>
  <c r="E237" i="30"/>
  <c r="E167" i="30"/>
  <c r="E89" i="30"/>
  <c r="E374" i="30"/>
  <c r="E286" i="30"/>
  <c r="E200" i="30"/>
  <c r="E416" i="30"/>
  <c r="E359" i="30"/>
  <c r="E307" i="30"/>
  <c r="E206" i="30"/>
  <c r="E110" i="30"/>
  <c r="E406" i="30"/>
  <c r="E358" i="30"/>
  <c r="E298" i="30"/>
  <c r="E250" i="30"/>
  <c r="E209" i="30"/>
  <c r="E144" i="30"/>
  <c r="E72" i="30"/>
  <c r="E394" i="30"/>
  <c r="E323" i="30"/>
  <c r="E205" i="30"/>
  <c r="E70" i="30"/>
  <c r="E411" i="30"/>
  <c r="E350" i="30"/>
  <c r="E304" i="30"/>
  <c r="E270" i="30"/>
  <c r="E217" i="30"/>
  <c r="E151" i="30"/>
  <c r="E141" i="30"/>
  <c r="E391" i="30"/>
  <c r="E192" i="30"/>
  <c r="E116" i="30"/>
  <c r="E12" i="30"/>
  <c r="E369" i="30"/>
  <c r="E344" i="30"/>
  <c r="E295" i="30"/>
  <c r="E258" i="30"/>
  <c r="E226" i="30"/>
  <c r="E175" i="30"/>
  <c r="E64" i="30"/>
  <c r="E367" i="30"/>
  <c r="E267" i="30"/>
  <c r="E390" i="30"/>
  <c r="E145" i="30"/>
  <c r="E71" i="30"/>
  <c r="E401" i="30"/>
  <c r="E341" i="30"/>
  <c r="E299" i="30"/>
  <c r="E252" i="30"/>
  <c r="E138" i="30"/>
  <c r="E125" i="30"/>
  <c r="E397" i="30"/>
  <c r="E343" i="30"/>
  <c r="E306" i="30"/>
  <c r="E232" i="30"/>
  <c r="E189" i="30"/>
  <c r="E154" i="30"/>
  <c r="E113" i="30"/>
  <c r="E385" i="30"/>
  <c r="E302" i="30"/>
  <c r="E149" i="30"/>
  <c r="E156" i="30"/>
  <c r="E353" i="30"/>
  <c r="E254" i="30"/>
  <c r="E172" i="30"/>
  <c r="E124" i="30"/>
  <c r="E383" i="30"/>
  <c r="E338" i="30"/>
  <c r="E294" i="30"/>
  <c r="E230" i="30"/>
  <c r="E147" i="30"/>
  <c r="E59" i="30"/>
  <c r="E365" i="30"/>
  <c r="E233" i="30"/>
  <c r="E183" i="30"/>
  <c r="E153" i="30"/>
  <c r="E103" i="30"/>
  <c r="E393" i="30"/>
  <c r="E320" i="30"/>
  <c r="E289" i="30"/>
  <c r="E246" i="30"/>
  <c r="E121" i="30"/>
  <c r="E328" i="30"/>
  <c r="E334" i="30"/>
  <c r="E285" i="30"/>
  <c r="E244" i="30"/>
  <c r="E195" i="30"/>
  <c r="E381" i="30"/>
  <c r="E282" i="30"/>
  <c r="E203" i="30"/>
  <c r="E274" i="30"/>
</calcChain>
</file>

<file path=xl/comments1.xml><?xml version="1.0" encoding="utf-8"?>
<comments xmlns="http://schemas.openxmlformats.org/spreadsheetml/2006/main">
  <authors>
    <author>Autor</author>
  </authors>
  <commentList>
    <comment ref="C52" authorId="0">
      <text>
        <r>
          <rPr>
            <b/>
            <sz val="9"/>
            <color indexed="81"/>
            <rFont val="Tahoma"/>
            <family val="2"/>
          </rPr>
          <t>VMLite XPmodePC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VMLite XPmodePC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unicode = yes
ext. Time stamps = no</t>
        </r>
      </text>
    </comment>
    <comment ref="C171" authorId="0">
      <text>
        <r>
          <rPr>
            <b/>
            <sz val="9"/>
            <color indexed="81"/>
            <rFont val="Segoe UI"/>
            <family val="2"/>
          </rPr>
          <t>fsbench-mingw64-4.6.2 tornado,11 app.tar</t>
        </r>
      </text>
    </comment>
    <comment ref="H196" authorId="0">
      <text>
        <r>
          <rPr>
            <b/>
            <sz val="9"/>
            <color indexed="81"/>
            <rFont val="Segoe UI"/>
            <family val="2"/>
          </rPr>
          <t>used tar because recursion does not work propely</t>
        </r>
      </text>
    </comment>
    <comment ref="K196" authorId="0">
      <text>
        <r>
          <rPr>
            <b/>
            <sz val="9"/>
            <color indexed="81"/>
            <rFont val="Segoe UI"/>
            <family val="2"/>
          </rPr>
          <t>used tar because recursion does not work propely</t>
        </r>
      </text>
    </comment>
    <comment ref="O196" authorId="0">
      <text>
        <r>
          <rPr>
            <b/>
            <sz val="9"/>
            <color indexed="81"/>
            <rFont val="Segoe UI"/>
            <family val="2"/>
          </rPr>
          <t>used tar because recursion does not work propely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>paq8px_v68 -7 *
also recurses subdirs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option -8 produces 'out-of-memory' error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option -8 produces 'out-of-memory' error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option -8 produces 'out-of-memory' error</t>
        </r>
      </text>
    </comment>
    <comment ref="P40" authorId="0">
      <text>
        <r>
          <rPr>
            <b/>
            <sz val="9"/>
            <color indexed="81"/>
            <rFont val="Segoe UI"/>
            <family val="2"/>
          </rPr>
          <t>used TAR here</t>
        </r>
      </text>
    </comment>
    <comment ref="C46" authorId="0">
      <text>
        <r>
          <rPr>
            <b/>
            <sz val="9"/>
            <color indexed="81"/>
            <rFont val="Segoe UI"/>
            <family val="2"/>
          </rPr>
          <t>does not support NTFS file system</t>
        </r>
      </text>
    </comment>
    <comment ref="I51" authorId="0">
      <text>
        <r>
          <rPr>
            <b/>
            <sz val="9"/>
            <color indexed="81"/>
            <rFont val="Tahoma"/>
            <family val="2"/>
          </rPr>
          <t>tar was used;
Split in 64 MB parts</t>
        </r>
      </text>
    </comment>
    <comment ref="J51" authorId="0">
      <text>
        <r>
          <rPr>
            <b/>
            <sz val="9"/>
            <color indexed="81"/>
            <rFont val="Tahoma"/>
            <family val="2"/>
          </rPr>
          <t>tar was used;
split in 64 MB
parts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untared version;
due to continuous
restart .x3f were
compressed separately.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tar was used;
split in 64 MB
parts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tar was used;
split in 64 MB
parts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tar was used;
split in 64 MB
parts</t>
        </r>
      </text>
    </comment>
    <comment ref="O51" authorId="0">
      <text>
        <r>
          <rPr>
            <b/>
            <sz val="9"/>
            <color indexed="81"/>
            <rFont val="Tahoma"/>
            <family val="2"/>
          </rPr>
          <t>tar was used;
split in 64 MB
parts</t>
        </r>
      </text>
    </comment>
    <comment ref="P51" authorId="0">
      <text>
        <r>
          <rPr>
            <b/>
            <sz val="9"/>
            <color indexed="81"/>
            <rFont val="Tahoma"/>
            <family val="2"/>
          </rPr>
          <t>tar was used;
split in 64 MB
parts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tar was used;
split in 64 MB
parts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java -Xms1512m -Xmx2024m -jar barred.jar -c &lt;input_file&gt; Ouput.bar -b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úsing 16 bit here; online is 24 bit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>
      <text>
        <r>
          <rPr>
            <sz val="9"/>
            <color indexed="81"/>
            <rFont val="Tahoma"/>
            <family val="2"/>
          </rPr>
          <t xml:space="preserve">
contains both highest quality lossy BR and lossless track
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java -jar onda.jar</t>
        </r>
      </text>
    </comment>
    <comment ref="B149" authorId="0">
      <text>
        <r>
          <rPr>
            <sz val="9"/>
            <color indexed="81"/>
            <rFont val="Tahoma"/>
            <family val="2"/>
          </rPr>
          <t xml:space="preserve">
contains both highest quality lossy BR and lossless track
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java -jar onda.jar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353" authorId="0">
      <text>
        <r>
          <rPr>
            <b/>
            <sz val="9"/>
            <color indexed="81"/>
            <rFont val="Tahoma"/>
            <family val="2"/>
          </rPr>
          <t>decompression 99,7 sec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AJ6" authorId="0">
      <text>
        <r>
          <rPr>
            <b/>
            <sz val="9"/>
            <color indexed="81"/>
            <rFont val="Tahoma"/>
            <family val="2"/>
          </rPr>
          <t>= MAGYAR</t>
        </r>
      </text>
    </comment>
    <comment ref="E15" authorId="0">
      <text>
        <r>
          <rPr>
            <b/>
            <sz val="9"/>
            <color indexed="81"/>
            <rFont val="Segoe UI"/>
            <family val="2"/>
          </rPr>
          <t>282 sec</t>
        </r>
      </text>
    </comment>
    <comment ref="F15" authorId="0">
      <text>
        <r>
          <rPr>
            <b/>
            <sz val="9"/>
            <color indexed="81"/>
            <rFont val="Segoe UI"/>
            <family val="2"/>
          </rPr>
          <t>370 sec</t>
        </r>
      </text>
    </comment>
    <comment ref="G15" authorId="0">
      <text>
        <r>
          <rPr>
            <b/>
            <sz val="9"/>
            <color indexed="81"/>
            <rFont val="Segoe UI"/>
            <family val="2"/>
          </rPr>
          <t>569 sec</t>
        </r>
      </text>
    </comment>
    <comment ref="H15" authorId="0">
      <text>
        <r>
          <rPr>
            <b/>
            <sz val="9"/>
            <color indexed="81"/>
            <rFont val="Segoe UI"/>
            <family val="2"/>
          </rPr>
          <t>340 sec</t>
        </r>
      </text>
    </comment>
    <comment ref="I15" authorId="0">
      <text>
        <r>
          <rPr>
            <b/>
            <sz val="9"/>
            <color indexed="81"/>
            <rFont val="Segoe UI"/>
            <family val="2"/>
          </rPr>
          <t>310 sec</t>
        </r>
      </text>
    </comment>
    <comment ref="J15" authorId="0">
      <text>
        <r>
          <rPr>
            <b/>
            <sz val="9"/>
            <color indexed="81"/>
            <rFont val="Segoe UI"/>
            <family val="2"/>
          </rPr>
          <t>300 sec</t>
        </r>
      </text>
    </comment>
    <comment ref="K15" authorId="0">
      <text>
        <r>
          <rPr>
            <b/>
            <sz val="9"/>
            <color indexed="81"/>
            <rFont val="Segoe UI"/>
            <family val="2"/>
          </rPr>
          <t>366 sec</t>
        </r>
      </text>
    </comment>
    <comment ref="L15" authorId="0">
      <text>
        <r>
          <rPr>
            <b/>
            <sz val="9"/>
            <color indexed="81"/>
            <rFont val="Segoe UI"/>
            <family val="2"/>
          </rPr>
          <t>307 sec</t>
        </r>
      </text>
    </comment>
    <comment ref="M15" authorId="0">
      <text>
        <r>
          <rPr>
            <b/>
            <sz val="9"/>
            <color indexed="81"/>
            <rFont val="Segoe UI"/>
            <family val="2"/>
          </rPr>
          <t>340 sec</t>
        </r>
      </text>
    </comment>
    <comment ref="N15" authorId="0">
      <text>
        <r>
          <rPr>
            <b/>
            <sz val="9"/>
            <color indexed="81"/>
            <rFont val="Segoe UI"/>
            <family val="2"/>
          </rPr>
          <t>458 sec</t>
        </r>
      </text>
    </comment>
    <comment ref="O15" authorId="0">
      <text>
        <r>
          <rPr>
            <b/>
            <sz val="9"/>
            <color indexed="81"/>
            <rFont val="Segoe UI"/>
            <family val="2"/>
          </rPr>
          <t>291 sec</t>
        </r>
      </text>
    </comment>
    <comment ref="P15" authorId="0">
      <text>
        <r>
          <rPr>
            <b/>
            <sz val="9"/>
            <color indexed="81"/>
            <rFont val="Segoe UI"/>
            <family val="2"/>
          </rPr>
          <t>286 sec</t>
        </r>
      </text>
    </comment>
    <comment ref="Q15" authorId="0">
      <text>
        <r>
          <rPr>
            <b/>
            <sz val="9"/>
            <color indexed="81"/>
            <rFont val="Segoe UI"/>
            <family val="2"/>
          </rPr>
          <t>296 sec</t>
        </r>
      </text>
    </comment>
    <comment ref="R15" authorId="0">
      <text>
        <r>
          <rPr>
            <sz val="9"/>
            <color indexed="81"/>
            <rFont val="Segoe UI"/>
            <family val="2"/>
          </rPr>
          <t xml:space="preserve">283 sec
</t>
        </r>
      </text>
    </comment>
    <comment ref="S15" authorId="0">
      <text>
        <r>
          <rPr>
            <b/>
            <sz val="9"/>
            <color indexed="81"/>
            <rFont val="Segoe UI"/>
            <family val="2"/>
          </rPr>
          <t>293 sec</t>
        </r>
      </text>
    </comment>
    <comment ref="T15" authorId="0">
      <text>
        <r>
          <rPr>
            <b/>
            <sz val="9"/>
            <color indexed="81"/>
            <rFont val="Segoe UI"/>
            <family val="2"/>
          </rPr>
          <t>278 sec</t>
        </r>
      </text>
    </comment>
    <comment ref="U15" authorId="0">
      <text>
        <r>
          <rPr>
            <b/>
            <sz val="9"/>
            <color indexed="81"/>
            <rFont val="Segoe UI"/>
            <family val="2"/>
          </rPr>
          <t>348 sec</t>
        </r>
      </text>
    </comment>
    <comment ref="V15" authorId="0">
      <text>
        <r>
          <rPr>
            <b/>
            <sz val="9"/>
            <color indexed="81"/>
            <rFont val="Segoe UI"/>
            <family val="2"/>
          </rPr>
          <t>313 sec</t>
        </r>
      </text>
    </comment>
    <comment ref="W15" authorId="0">
      <text>
        <r>
          <rPr>
            <b/>
            <sz val="9"/>
            <color indexed="81"/>
            <rFont val="Segoe UI"/>
            <family val="2"/>
          </rPr>
          <t>319 sec</t>
        </r>
      </text>
    </comment>
    <comment ref="X15" authorId="0">
      <text>
        <r>
          <rPr>
            <b/>
            <sz val="9"/>
            <color indexed="81"/>
            <rFont val="Segoe UI"/>
            <family val="2"/>
          </rPr>
          <t>376 sec</t>
        </r>
      </text>
    </comment>
    <comment ref="Y15" authorId="0">
      <text>
        <r>
          <rPr>
            <b/>
            <sz val="9"/>
            <color indexed="81"/>
            <rFont val="Segoe UI"/>
            <family val="2"/>
          </rPr>
          <t>292 sec</t>
        </r>
      </text>
    </comment>
    <comment ref="Z15" authorId="0">
      <text>
        <r>
          <rPr>
            <b/>
            <sz val="9"/>
            <color indexed="81"/>
            <rFont val="Segoe UI"/>
            <family val="2"/>
          </rPr>
          <t>308 sec</t>
        </r>
      </text>
    </comment>
    <comment ref="AA15" authorId="0">
      <text>
        <r>
          <rPr>
            <b/>
            <sz val="9"/>
            <color indexed="81"/>
            <rFont val="Segoe UI"/>
            <family val="2"/>
          </rPr>
          <t>305 sec</t>
        </r>
      </text>
    </comment>
    <comment ref="AB15" authorId="0">
      <text>
        <r>
          <rPr>
            <b/>
            <sz val="9"/>
            <color indexed="81"/>
            <rFont val="Segoe UI"/>
            <family val="2"/>
          </rPr>
          <t>292 sec</t>
        </r>
      </text>
    </comment>
    <comment ref="AC15" authorId="0">
      <text>
        <r>
          <rPr>
            <b/>
            <sz val="9"/>
            <color indexed="81"/>
            <rFont val="Segoe UI"/>
            <family val="2"/>
          </rPr>
          <t>351 sec</t>
        </r>
      </text>
    </comment>
    <comment ref="AD15" authorId="0">
      <text>
        <r>
          <rPr>
            <b/>
            <sz val="9"/>
            <color indexed="81"/>
            <rFont val="Segoe UI"/>
            <family val="2"/>
          </rPr>
          <t>287 sec</t>
        </r>
      </text>
    </comment>
    <comment ref="AE15" authorId="0">
      <text>
        <r>
          <rPr>
            <b/>
            <sz val="9"/>
            <color indexed="81"/>
            <rFont val="Segoe UI"/>
            <family val="2"/>
          </rPr>
          <t>286 sec</t>
        </r>
      </text>
    </comment>
    <comment ref="AG15" authorId="0">
      <text>
        <r>
          <rPr>
            <b/>
            <sz val="9"/>
            <color indexed="81"/>
            <rFont val="Segoe UI"/>
            <family val="2"/>
          </rPr>
          <t>945 sec</t>
        </r>
      </text>
    </comment>
    <comment ref="AH15" authorId="0">
      <text>
        <r>
          <rPr>
            <b/>
            <sz val="9"/>
            <color indexed="81"/>
            <rFont val="Segoe UI"/>
            <family val="2"/>
          </rPr>
          <t>370 sec</t>
        </r>
      </text>
    </comment>
    <comment ref="AI15" authorId="0">
      <text>
        <r>
          <rPr>
            <b/>
            <sz val="9"/>
            <color indexed="81"/>
            <rFont val="Segoe UI"/>
            <family val="2"/>
          </rPr>
          <t>270 sec</t>
        </r>
      </text>
    </comment>
    <comment ref="AJ15" authorId="0">
      <text>
        <r>
          <rPr>
            <b/>
            <sz val="9"/>
            <color indexed="81"/>
            <rFont val="Segoe UI"/>
            <family val="2"/>
          </rPr>
          <t>330 sec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477 sec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533 sec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656 sec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578 sec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707 sec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545 sec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715 sec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583 sec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508 sec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739 sec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530 sec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465 sec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527 sec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503 sec</t>
        </r>
      </text>
    </comment>
    <comment ref="S16" authorId="0">
      <text>
        <r>
          <rPr>
            <b/>
            <sz val="9"/>
            <color indexed="81"/>
            <rFont val="Tahoma"/>
            <family val="2"/>
          </rPr>
          <t>510 sec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490 sec</t>
        </r>
      </text>
    </comment>
    <comment ref="U16" authorId="0">
      <text>
        <r>
          <rPr>
            <b/>
            <sz val="9"/>
            <color indexed="81"/>
            <rFont val="Tahoma"/>
            <family val="2"/>
          </rPr>
          <t>636 sec</t>
        </r>
      </text>
    </comment>
    <comment ref="V16" authorId="0">
      <text>
        <r>
          <rPr>
            <b/>
            <sz val="9"/>
            <color indexed="81"/>
            <rFont val="Tahoma"/>
            <family val="2"/>
          </rPr>
          <t>536 sec</t>
        </r>
      </text>
    </comment>
    <comment ref="W16" authorId="0">
      <text>
        <r>
          <rPr>
            <b/>
            <sz val="9"/>
            <color indexed="81"/>
            <rFont val="Tahoma"/>
            <family val="2"/>
          </rPr>
          <t>609 sec</t>
        </r>
      </text>
    </comment>
    <comment ref="X16" authorId="0">
      <text>
        <r>
          <rPr>
            <b/>
            <sz val="9"/>
            <color indexed="81"/>
            <rFont val="Tahoma"/>
            <family val="2"/>
          </rPr>
          <t>626 sec</t>
        </r>
      </text>
    </comment>
    <comment ref="Y16" authorId="0">
      <text>
        <r>
          <rPr>
            <b/>
            <sz val="9"/>
            <color indexed="81"/>
            <rFont val="Tahoma"/>
            <family val="2"/>
          </rPr>
          <t>506 sec</t>
        </r>
      </text>
    </comment>
    <comment ref="Z16" authorId="0">
      <text>
        <r>
          <rPr>
            <b/>
            <sz val="9"/>
            <color indexed="81"/>
            <rFont val="Tahoma"/>
            <family val="2"/>
          </rPr>
          <t>549 sec</t>
        </r>
      </text>
    </comment>
    <comment ref="AA16" authorId="0">
      <text>
        <r>
          <rPr>
            <b/>
            <sz val="9"/>
            <color indexed="81"/>
            <rFont val="Tahoma"/>
            <family val="2"/>
          </rPr>
          <t>533 sec</t>
        </r>
      </text>
    </comment>
    <comment ref="AB16" authorId="0">
      <text>
        <r>
          <rPr>
            <b/>
            <sz val="9"/>
            <color indexed="81"/>
            <rFont val="Tahoma"/>
            <family val="2"/>
          </rPr>
          <t>413 sec</t>
        </r>
      </text>
    </comment>
    <comment ref="AC16" authorId="0">
      <text>
        <r>
          <rPr>
            <b/>
            <sz val="9"/>
            <color indexed="81"/>
            <rFont val="Tahoma"/>
            <family val="2"/>
          </rPr>
          <t>565 sec</t>
        </r>
      </text>
    </comment>
    <comment ref="AD16" authorId="0">
      <text>
        <r>
          <rPr>
            <b/>
            <sz val="9"/>
            <color indexed="81"/>
            <rFont val="Tahoma"/>
            <family val="2"/>
          </rPr>
          <t>506 sec</t>
        </r>
      </text>
    </comment>
    <comment ref="AE16" authorId="0">
      <text>
        <r>
          <rPr>
            <b/>
            <sz val="9"/>
            <color indexed="81"/>
            <rFont val="Tahoma"/>
            <family val="2"/>
          </rPr>
          <t>504 sec</t>
        </r>
      </text>
    </comment>
    <comment ref="AF16" authorId="0">
      <text>
        <r>
          <rPr>
            <b/>
            <sz val="9"/>
            <color indexed="81"/>
            <rFont val="Tahoma"/>
            <family val="2"/>
          </rPr>
          <t>466 sec</t>
        </r>
      </text>
    </comment>
    <comment ref="AG16" authorId="0">
      <text>
        <r>
          <rPr>
            <b/>
            <sz val="9"/>
            <color indexed="81"/>
            <rFont val="Tahoma"/>
            <family val="2"/>
          </rPr>
          <t>1315 sec</t>
        </r>
      </text>
    </comment>
    <comment ref="AH16" authorId="0">
      <text>
        <r>
          <rPr>
            <b/>
            <sz val="9"/>
            <color indexed="81"/>
            <rFont val="Tahoma"/>
            <family val="2"/>
          </rPr>
          <t>616 sec</t>
        </r>
      </text>
    </comment>
    <comment ref="AI16" authorId="0">
      <text>
        <r>
          <rPr>
            <b/>
            <sz val="9"/>
            <color indexed="81"/>
            <rFont val="Tahoma"/>
            <family val="2"/>
          </rPr>
          <t>529 sec</t>
        </r>
      </text>
    </comment>
    <comment ref="AJ16" authorId="0">
      <text>
        <r>
          <rPr>
            <b/>
            <sz val="9"/>
            <color indexed="81"/>
            <rFont val="Tahoma"/>
            <family val="2"/>
          </rPr>
          <t>586 sec</t>
        </r>
      </text>
    </comment>
    <comment ref="O18" authorId="0">
      <text>
        <r>
          <rPr>
            <sz val="10"/>
            <rFont val="Arial"/>
            <family val="2"/>
          </rPr>
          <t>als text erkannt
425 sec</t>
        </r>
      </text>
    </comment>
    <comment ref="Q18" authorId="0">
      <text>
        <r>
          <rPr>
            <sz val="10"/>
            <rFont val="Arial"/>
            <family val="2"/>
          </rPr>
          <t>als text erkannt</t>
        </r>
      </text>
    </comment>
    <comment ref="R18" authorId="0">
      <text>
        <r>
          <rPr>
            <sz val="10"/>
            <rFont val="Arial"/>
            <family val="2"/>
          </rPr>
          <t>als text erkannt</t>
        </r>
      </text>
    </comment>
    <comment ref="S18" authorId="0">
      <text>
        <r>
          <rPr>
            <sz val="10"/>
            <rFont val="Arial"/>
            <family val="2"/>
          </rPr>
          <t>als text erkannt</t>
        </r>
      </text>
    </comment>
    <comment ref="AA18" authorId="0">
      <text>
        <r>
          <rPr>
            <sz val="10"/>
            <rFont val="Arial"/>
            <family val="2"/>
          </rPr>
          <t>als text erkannt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476 sec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763 sec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945 sec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637 sec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>877 sec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534 sec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610 sec</t>
        </r>
      </text>
    </comment>
    <comment ref="L23" authorId="0">
      <text>
        <r>
          <rPr>
            <b/>
            <sz val="9"/>
            <color indexed="81"/>
            <rFont val="Tahoma"/>
            <family val="2"/>
          </rPr>
          <t>657 sec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548 sec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1020 sec</t>
        </r>
      </text>
    </comment>
    <comment ref="O23" authorId="0">
      <text>
        <r>
          <rPr>
            <b/>
            <sz val="9"/>
            <color indexed="81"/>
            <rFont val="Tahoma"/>
            <family val="2"/>
          </rPr>
          <t>558 sec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523 sec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536 sec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384 sec</t>
        </r>
      </text>
    </comment>
    <comment ref="S23" authorId="0">
      <text>
        <r>
          <rPr>
            <b/>
            <sz val="9"/>
            <color indexed="81"/>
            <rFont val="Tahoma"/>
            <family val="2"/>
          </rPr>
          <t>527 sec</t>
        </r>
      </text>
    </comment>
    <comment ref="T23" authorId="0">
      <text>
        <r>
          <rPr>
            <b/>
            <sz val="9"/>
            <color indexed="81"/>
            <rFont val="Tahoma"/>
            <family val="2"/>
          </rPr>
          <t>490 sec</t>
        </r>
      </text>
    </comment>
    <comment ref="U23" authorId="0">
      <text>
        <r>
          <rPr>
            <b/>
            <sz val="9"/>
            <color indexed="81"/>
            <rFont val="Tahoma"/>
            <family val="2"/>
          </rPr>
          <t>618 sec</t>
        </r>
      </text>
    </comment>
    <comment ref="V23" authorId="0">
      <text>
        <r>
          <rPr>
            <b/>
            <sz val="9"/>
            <color indexed="81"/>
            <rFont val="Tahoma"/>
            <family val="2"/>
          </rPr>
          <t>543 sec</t>
        </r>
      </text>
    </comment>
    <comment ref="W23" authorId="0">
      <text>
        <r>
          <rPr>
            <b/>
            <sz val="9"/>
            <color indexed="81"/>
            <rFont val="Tahoma"/>
            <family val="2"/>
          </rPr>
          <t>554 sec</t>
        </r>
      </text>
    </comment>
    <comment ref="X23" authorId="0">
      <text>
        <r>
          <rPr>
            <b/>
            <sz val="9"/>
            <color indexed="81"/>
            <rFont val="Tahoma"/>
            <family val="2"/>
          </rPr>
          <t>555 sec</t>
        </r>
      </text>
    </comment>
    <comment ref="Y23" authorId="0">
      <text>
        <r>
          <rPr>
            <b/>
            <sz val="9"/>
            <color indexed="81"/>
            <rFont val="Tahoma"/>
            <family val="2"/>
          </rPr>
          <t>510 sec</t>
        </r>
      </text>
    </comment>
    <comment ref="Z23" authorId="0">
      <text>
        <r>
          <rPr>
            <b/>
            <sz val="9"/>
            <color indexed="81"/>
            <rFont val="Tahoma"/>
            <family val="2"/>
          </rPr>
          <t>594 sec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532 sec</t>
        </r>
      </text>
    </comment>
    <comment ref="AB23" authorId="0">
      <text>
        <r>
          <rPr>
            <b/>
            <sz val="9"/>
            <color indexed="81"/>
            <rFont val="Tahoma"/>
            <family val="2"/>
          </rPr>
          <t>591 sec</t>
        </r>
      </text>
    </comment>
    <comment ref="AC23" authorId="0">
      <text>
        <r>
          <rPr>
            <b/>
            <sz val="9"/>
            <color indexed="81"/>
            <rFont val="Tahoma"/>
            <family val="2"/>
          </rPr>
          <t>607 sec</t>
        </r>
      </text>
    </comment>
    <comment ref="AD23" authorId="0">
      <text>
        <r>
          <rPr>
            <b/>
            <sz val="9"/>
            <color indexed="81"/>
            <rFont val="Tahoma"/>
            <family val="2"/>
          </rPr>
          <t>602 sec</t>
        </r>
      </text>
    </comment>
    <comment ref="AE23" authorId="0">
      <text>
        <r>
          <rPr>
            <b/>
            <sz val="9"/>
            <color indexed="81"/>
            <rFont val="Tahoma"/>
            <family val="2"/>
          </rPr>
          <t>487 sec</t>
        </r>
      </text>
    </comment>
    <comment ref="AF23" authorId="0">
      <text>
        <r>
          <rPr>
            <b/>
            <sz val="9"/>
            <color indexed="81"/>
            <rFont val="Tahoma"/>
            <family val="2"/>
          </rPr>
          <t>723 sec</t>
        </r>
      </text>
    </comment>
    <comment ref="AG23" authorId="0">
      <text>
        <r>
          <rPr>
            <b/>
            <sz val="9"/>
            <color indexed="81"/>
            <rFont val="Tahoma"/>
            <family val="2"/>
          </rPr>
          <t>2040 sec</t>
        </r>
      </text>
    </comment>
    <comment ref="AH23" authorId="0">
      <text>
        <r>
          <rPr>
            <b/>
            <sz val="9"/>
            <color indexed="81"/>
            <rFont val="Tahoma"/>
            <family val="2"/>
          </rPr>
          <t>823 sec</t>
        </r>
      </text>
    </comment>
    <comment ref="AI23" authorId="0">
      <text>
        <r>
          <rPr>
            <b/>
            <sz val="9"/>
            <color indexed="81"/>
            <rFont val="Tahoma"/>
            <family val="2"/>
          </rPr>
          <t>561 sec</t>
        </r>
      </text>
    </comment>
    <comment ref="AJ23" authorId="0">
      <text>
        <r>
          <rPr>
            <b/>
            <sz val="9"/>
            <color indexed="81"/>
            <rFont val="Tahoma"/>
            <family val="2"/>
          </rPr>
          <t>614 sec</t>
        </r>
      </text>
    </comment>
  </commentList>
</comments>
</file>

<file path=xl/sharedStrings.xml><?xml version="1.0" encoding="utf-8"?>
<sst xmlns="http://schemas.openxmlformats.org/spreadsheetml/2006/main" count="6820" uniqueCount="2145">
  <si>
    <t>I AM the SOURCE thy Code.</t>
  </si>
  <si>
    <t>1.</t>
  </si>
  <si>
    <t>Thou shall leave no bugs inside me.</t>
  </si>
  <si>
    <t xml:space="preserve">   Thou shall not make incredible claims nobody can verify.</t>
  </si>
  <si>
    <t>2.</t>
  </si>
  <si>
    <t>Thou shall not take the Name of the Source thy code in vain.</t>
  </si>
  <si>
    <t>3.</t>
  </si>
  <si>
    <t>Remember the Release day, to keep it holy.</t>
  </si>
  <si>
    <t>4.</t>
  </si>
  <si>
    <t>Honor the fame inventors and improvers, that the days may be long</t>
  </si>
  <si>
    <t xml:space="preserve">   upon thy improvement which the Source thy thought giveth thee.</t>
  </si>
  <si>
    <t>5.</t>
  </si>
  <si>
    <t>Thou shall not patent someone's code nor sell it as thy code.</t>
  </si>
  <si>
    <t>6.</t>
  </si>
  <si>
    <t>Thou shall not commit copyright infringements.</t>
  </si>
  <si>
    <t>7.</t>
  </si>
  <si>
    <t>Thou shall not steal closed-source ideas.</t>
  </si>
  <si>
    <t>8.</t>
  </si>
  <si>
    <t>Thou shall not bear false witness against thy customers.</t>
  </si>
  <si>
    <t>9.</t>
  </si>
  <si>
    <t>Thou shall not covet thy neighbor's code.</t>
  </si>
  <si>
    <t>10.</t>
  </si>
  <si>
    <t>Thou shall not covet thy neighbor's idea nor his compiler,</t>
  </si>
  <si>
    <t xml:space="preserve">   nor his code's success, nor his filters nor anything that is thy neighbors.</t>
  </si>
  <si>
    <t>%</t>
  </si>
  <si>
    <t>HKI</t>
  </si>
  <si>
    <t>GUTENBERG</t>
  </si>
  <si>
    <t>∫ʀeƍueהτʟy Asκeδ Quesτiʘהs</t>
  </si>
  <si>
    <t>A note to the file data sets used here:</t>
  </si>
  <si>
    <t>arwiki-20090209-pages-articles.xml</t>
  </si>
  <si>
    <t>dewiki-20090311-pages-articles.xml</t>
  </si>
  <si>
    <t>enwiki-20090306-pages-articles.xml</t>
  </si>
  <si>
    <t>eswiki-20090124-pages-articles.xml</t>
  </si>
  <si>
    <t>frwiki-20090224-pages-articles.xml</t>
  </si>
  <si>
    <t>hiwiki-20090201-pages-articles.xml</t>
  </si>
  <si>
    <t>ptwiki-20090128-pages-articles.xml</t>
  </si>
  <si>
    <t>ruwiki-20081228-pages-articles.xml</t>
  </si>
  <si>
    <t>trwiki-20090207-pages-articles.xml</t>
  </si>
  <si>
    <t>zhwiki-20090116-pages-articles.xml</t>
  </si>
  <si>
    <t>a selection of about 25% InnoSetup/Nullsoft, 25% InstallShield, 25% Windows Installer/MSI and 25% WISE Installer/GZIP/ZIP SFX setups</t>
  </si>
  <si>
    <t>this selection simulates a typical software installation collection which can be originally downloaded on the authors websites.</t>
  </si>
  <si>
    <t>☺</t>
  </si>
  <si>
    <t>◦</t>
  </si>
  <si>
    <t>©</t>
  </si>
  <si>
    <t>Test Machine Specifications:</t>
  </si>
  <si>
    <t>THE TEST DATASET'S</t>
  </si>
  <si>
    <t>∑</t>
  </si>
  <si>
    <t>encoding time in seconds</t>
  </si>
  <si>
    <t>decoding time in seconds</t>
  </si>
  <si>
    <t>INSTALLER</t>
  </si>
  <si>
    <t>MOBILE</t>
  </si>
  <si>
    <t>SOURCES</t>
  </si>
  <si>
    <t>usual file extension</t>
  </si>
  <si>
    <t>architecture</t>
  </si>
  <si>
    <t>when released / developed</t>
  </si>
  <si>
    <t>where developed (country)</t>
  </si>
  <si>
    <t>algorithms used</t>
  </si>
  <si>
    <t>BEST Bits Per Byte value ➾</t>
  </si>
  <si>
    <t>BEST ratio ➾</t>
  </si>
  <si>
    <t>OS Name</t>
  </si>
  <si>
    <t>cores</t>
  </si>
  <si>
    <t>UNCOMPRESSED SIZE</t>
  </si>
  <si>
    <t>bit depth</t>
  </si>
  <si>
    <t>used</t>
  </si>
  <si>
    <t>.rk</t>
  </si>
  <si>
    <t>win64</t>
  </si>
  <si>
    <t>New Zealand</t>
  </si>
  <si>
    <t>ROLZ-3 + PWCM 800 MB</t>
  </si>
  <si>
    <t>.paq8p1</t>
  </si>
  <si>
    <t>win32</t>
  </si>
  <si>
    <t>USA &amp; Russia</t>
  </si>
  <si>
    <t>WinRK 3.0.0 β3 (2006) maximum</t>
  </si>
  <si>
    <t>.nz</t>
  </si>
  <si>
    <t>Finland</t>
  </si>
  <si>
    <t>.arc</t>
  </si>
  <si>
    <t>Russia</t>
  </si>
  <si>
    <t>ROLZ-3 + PPM</t>
  </si>
  <si>
    <t>Germany</t>
  </si>
  <si>
    <t>China</t>
  </si>
  <si>
    <t>.fb</t>
  </si>
  <si>
    <t>United States</t>
  </si>
  <si>
    <t>PAQ 6ebb Blaster (2004) -8  'PAQ crew'</t>
  </si>
  <si>
    <t>.paq6ebb</t>
  </si>
  <si>
    <t>USA / Poland</t>
  </si>
  <si>
    <t>WinRK 2.1.6 (ROLZ-1 768MB) M. Taylor</t>
  </si>
  <si>
    <t>ROLZ-1 768 MB</t>
  </si>
  <si>
    <t>.paq9a</t>
  </si>
  <si>
    <t>USA + Russia</t>
  </si>
  <si>
    <t>.lpaq9i</t>
  </si>
  <si>
    <t>.7z</t>
  </si>
  <si>
    <t>.zpaq</t>
  </si>
  <si>
    <t>.uha</t>
  </si>
  <si>
    <t>.enc</t>
  </si>
  <si>
    <t>.sqx</t>
  </si>
  <si>
    <t>LZP ALZ PPM</t>
  </si>
  <si>
    <t>.lpaq4</t>
  </si>
  <si>
    <t>ALZ3 291 MB</t>
  </si>
  <si>
    <t>.pim</t>
  </si>
  <si>
    <t>.bit</t>
  </si>
  <si>
    <t>Turkiye</t>
  </si>
  <si>
    <t>.lpaq1</t>
  </si>
  <si>
    <t>.sbc</t>
  </si>
  <si>
    <t>BWT + ARI</t>
  </si>
  <si>
    <t>.cmm4</t>
  </si>
  <si>
    <t>.pmm</t>
  </si>
  <si>
    <t>PPM-II</t>
  </si>
  <si>
    <t>.lzpxj</t>
  </si>
  <si>
    <t>LZ + ARI</t>
  </si>
  <si>
    <t>Italy</t>
  </si>
  <si>
    <t>RZM 0.07e (2008) Christian Martelock</t>
  </si>
  <si>
    <t>.rzm</t>
  </si>
  <si>
    <t>64 MB sliding window ROLZ</t>
  </si>
  <si>
    <t>.sitx</t>
  </si>
  <si>
    <t>LZ+ARI 5:25 / PPM 16:27</t>
  </si>
  <si>
    <t>.mcomp</t>
  </si>
  <si>
    <t>ROLZ-3</t>
  </si>
  <si>
    <t>STUFFIT 12.0.0.17 (sitx) SmithMicro all filters</t>
  </si>
  <si>
    <t>- unknown -</t>
  </si>
  <si>
    <t>LZ</t>
  </si>
  <si>
    <t>.flz</t>
  </si>
  <si>
    <t>.zip</t>
  </si>
  <si>
    <t>LZH + SF + BWT + PPMd</t>
  </si>
  <si>
    <t>Durilca 0.4b (2004) -m800 -t1 D. Shkarin</t>
  </si>
  <si>
    <t>.bliz</t>
  </si>
  <si>
    <t>.tc</t>
  </si>
  <si>
    <t>Fast PAQ Weighting</t>
  </si>
  <si>
    <t>RKC 1.02 -m800m -B64m -mxx -r+</t>
  </si>
  <si>
    <t>.rkc</t>
  </si>
  <si>
    <t>PPMD</t>
  </si>
  <si>
    <t>Experimental BWT 2000 MB</t>
  </si>
  <si>
    <t>Dynamic Markov Comp.</t>
  </si>
  <si>
    <t>LZMA + PPMD</t>
  </si>
  <si>
    <t>.ash</t>
  </si>
  <si>
    <t>DGCA 1.00 - 1.10e ('04-'06) Shin-ichi Tsuruta</t>
  </si>
  <si>
    <t>.dgc</t>
  </si>
  <si>
    <t>Japan</t>
  </si>
  <si>
    <t>.rar</t>
  </si>
  <si>
    <t>.car</t>
  </si>
  <si>
    <t>.quad</t>
  </si>
  <si>
    <t>LZP</t>
  </si>
  <si>
    <t>LZ with 512 MB dictionary</t>
  </si>
  <si>
    <t>.tur</t>
  </si>
  <si>
    <t>.rings</t>
  </si>
  <si>
    <t>Fast BWT+MTF+Pre-HUF+ARI</t>
  </si>
  <si>
    <t>.bcm</t>
  </si>
  <si>
    <t>dos16</t>
  </si>
  <si>
    <t>ALZ3 (?)</t>
  </si>
  <si>
    <t>.bee</t>
  </si>
  <si>
    <t>PPM</t>
  </si>
  <si>
    <t>LZ + CM</t>
  </si>
  <si>
    <t>.balz</t>
  </si>
  <si>
    <t>LZ77 (greedy parsing)</t>
  </si>
  <si>
    <t>LZP + CM</t>
  </si>
  <si>
    <t>.dul</t>
  </si>
  <si>
    <t>.ace</t>
  </si>
  <si>
    <t>.dc</t>
  </si>
  <si>
    <t>FPPM, 512 MB buffer, solid</t>
  </si>
  <si>
    <t>ATOM™ (arsenic)</t>
  </si>
  <si>
    <t>CTXf 0.75 pre-b1 (2003) -me -b L. Nikita</t>
  </si>
  <si>
    <t>.cxf</t>
  </si>
  <si>
    <t>Belarus</t>
  </si>
  <si>
    <t>.rz</t>
  </si>
  <si>
    <t>.m03</t>
  </si>
  <si>
    <t>BWT</t>
  </si>
  <si>
    <t>.4</t>
  </si>
  <si>
    <t>LZMA</t>
  </si>
  <si>
    <t>DARK 0.46 -b128mf1s2 (2006) D. Malyshev</t>
  </si>
  <si>
    <t>.dark</t>
  </si>
  <si>
    <t>BWT + Distance Coding</t>
  </si>
  <si>
    <t>BSSC 0.95α  -b16383as Sergeo Sizikov</t>
  </si>
  <si>
    <t>.bssc</t>
  </si>
  <si>
    <t>CTXf 0.69 ('03) (Superb) -me -b L. Nikita</t>
  </si>
  <si>
    <t>TarsaLZP Interim (21.08.07) Piotr Tarsa</t>
  </si>
  <si>
    <t>.tzr</t>
  </si>
  <si>
    <t>Poland</t>
  </si>
  <si>
    <t>order-3 LZP + order-2 PPM</t>
  </si>
  <si>
    <t>WinRar 2.90 Final (2001) Eugene Roshal</t>
  </si>
  <si>
    <t>.m99</t>
  </si>
  <si>
    <t>.gq</t>
  </si>
  <si>
    <t>Romania</t>
  </si>
  <si>
    <t>.lzpm</t>
  </si>
  <si>
    <t>LZ77 + PPM</t>
  </si>
  <si>
    <t>PPMVC 1.2 -o8 -m256 P. Skibinski</t>
  </si>
  <si>
    <t>.pmv</t>
  </si>
  <si>
    <t>Russia / Poland</t>
  </si>
  <si>
    <t>.tor</t>
  </si>
  <si>
    <t>UHBC 1.0 ('03) -b128m -m3 Uwe Herklotz</t>
  </si>
  <si>
    <t>.uhbc</t>
  </si>
  <si>
    <t>BWT + WFC + MTF</t>
  </si>
  <si>
    <t>.pmd</t>
  </si>
  <si>
    <t>QC 0.50 (2006) e -8 Denis Kyznetsov</t>
  </si>
  <si>
    <t>.qc</t>
  </si>
  <si>
    <t>LZ + PPM</t>
  </si>
  <si>
    <t>QazaR 0.0 pre 5 ('06) -d9 -x7 -l7 D. Kyznetsov</t>
  </si>
  <si>
    <t>.aza</t>
  </si>
  <si>
    <t>LZP + ARI</t>
  </si>
  <si>
    <t>.hook</t>
  </si>
  <si>
    <t>Italia</t>
  </si>
  <si>
    <t>YBS 0.03f -m16m Vadim Yoockin</t>
  </si>
  <si>
    <t>.ybs</t>
  </si>
  <si>
    <t>DARK 0.50 -b200ms (2006) Dmitry Malyshev</t>
  </si>
  <si>
    <t>LZMA PPMD</t>
  </si>
  <si>
    <t>ABC 2.4 (2003) -c Jürgen Abel</t>
  </si>
  <si>
    <t>.abc</t>
  </si>
  <si>
    <t>BWT + MTF, SiF, AWFC</t>
  </si>
  <si>
    <t>.zz</t>
  </si>
  <si>
    <t>France</t>
  </si>
  <si>
    <t>FPAQ S06 (2006)</t>
  </si>
  <si>
    <t>.fpaq</t>
  </si>
  <si>
    <t>Italia / United States</t>
  </si>
  <si>
    <t>LZ77 with 8 MB dictionary</t>
  </si>
  <si>
    <t>ICT Universal Coder 2.1 ('99)</t>
  </si>
  <si>
    <t>.ict</t>
  </si>
  <si>
    <t>TarsaLZP (04.08.2007) Piotr Tarsa</t>
  </si>
  <si>
    <t>.grz</t>
  </si>
  <si>
    <t>LZP + BWT + AWFC + MTF + ARI</t>
  </si>
  <si>
    <t>.bma</t>
  </si>
  <si>
    <t>LZP + PPM</t>
  </si>
  <si>
    <t>BOA Constrictor 0.58  -a -s -m15 Ian Sutton</t>
  </si>
  <si>
    <t>.b58</t>
  </si>
  <si>
    <t>CBT 1.072 β 26 Mode 4, solid K-Shinya</t>
  </si>
  <si>
    <t>.cbt</t>
  </si>
  <si>
    <t>LZ 77 + BWT</t>
  </si>
  <si>
    <t>.ppmx</t>
  </si>
  <si>
    <t>PPMX</t>
  </si>
  <si>
    <t>CMM 17.09.2007 Christopher Mattern</t>
  </si>
  <si>
    <t>.cmm</t>
  </si>
  <si>
    <t>WinIMP 1.2 max Alg. 1/2, 1020, 16mb</t>
  </si>
  <si>
    <t>.imp</t>
  </si>
  <si>
    <t>Australia</t>
  </si>
  <si>
    <t>LZ77 + BWT</t>
  </si>
  <si>
    <t>ACB 2.00c MAX George Buyanovsky</t>
  </si>
  <si>
    <t>.acb</t>
  </si>
  <si>
    <t>.ufa</t>
  </si>
  <si>
    <t>.paq1</t>
  </si>
  <si>
    <t>.lg</t>
  </si>
  <si>
    <t>Ukraine</t>
  </si>
  <si>
    <t>RLE + LZ / PPM + ARI; BMC</t>
  </si>
  <si>
    <t>.dst</t>
  </si>
  <si>
    <t>LZ77 + PPM + DHUF</t>
  </si>
  <si>
    <t>.bzp</t>
  </si>
  <si>
    <t>BruteCM 0.1c (2008) VCORE</t>
  </si>
  <si>
    <t>Taiwan</t>
  </si>
  <si>
    <t>BioArchiver 1.9 hyper, automatic</t>
  </si>
  <si>
    <t>.bio</t>
  </si>
  <si>
    <t>.hki</t>
  </si>
  <si>
    <t>.ice</t>
  </si>
  <si>
    <t>LZ + PPM II</t>
  </si>
  <si>
    <t>LZTURBO 0.9 (2008) Hamid Bouzidi -59</t>
  </si>
  <si>
    <t>.lzturbo</t>
  </si>
  <si>
    <t>Chile 0.3d (2005) -c -v=2 -b=2048</t>
  </si>
  <si>
    <t>.chile</t>
  </si>
  <si>
    <t>LZXQ 0.3 (2007) Vcore</t>
  </si>
  <si>
    <t>.lzxq</t>
  </si>
  <si>
    <t>LZP + order 4-2-1 ARI</t>
  </si>
  <si>
    <t>PPMNKM 1.00b1+ -M:50 -MT1 M. Smirnov</t>
  </si>
  <si>
    <t>.ppmnkm</t>
  </si>
  <si>
    <t>.sr3</t>
  </si>
  <si>
    <t>U.S.A. / Italy</t>
  </si>
  <si>
    <t>PAR 2.00 build 61 (2001) Philipp Druyts</t>
  </si>
  <si>
    <t>.par</t>
  </si>
  <si>
    <t>Belgium</t>
  </si>
  <si>
    <t>777 Archiver ('98) -mg -mu32 -s Igor Pavlov</t>
  </si>
  <si>
    <t>.777</t>
  </si>
  <si>
    <t>Transform 1.02 (maximum) M. Bone</t>
  </si>
  <si>
    <t>.tfm</t>
  </si>
  <si>
    <t>BGB-LZ2A Brendan G. Bohannon</t>
  </si>
  <si>
    <t>.lz2a</t>
  </si>
  <si>
    <t>LZ77 + ARI</t>
  </si>
  <si>
    <t>.xtreme</t>
  </si>
  <si>
    <t>.urb</t>
  </si>
  <si>
    <t>Sweden</t>
  </si>
  <si>
    <t>(?)</t>
  </si>
  <si>
    <t>.packet</t>
  </si>
  <si>
    <t>.bix</t>
  </si>
  <si>
    <t>LZ + ARI + PPM</t>
  </si>
  <si>
    <t>.fcm</t>
  </si>
  <si>
    <t>Fast CM</t>
  </si>
  <si>
    <t>.cab</t>
  </si>
  <si>
    <t>DACT 0.8.39 (2004) Roy Keene</t>
  </si>
  <si>
    <t>.dact</t>
  </si>
  <si>
    <t>RLE + LZO + ZLIB + BWT</t>
  </si>
  <si>
    <t>LZRW1 + ARI</t>
  </si>
  <si>
    <t>CTW 0.1 -n16M -f16M Frank Willems</t>
  </si>
  <si>
    <t>.ctw</t>
  </si>
  <si>
    <t>Netherlands</t>
  </si>
  <si>
    <t>Context Tree Weighting</t>
  </si>
  <si>
    <t>.exe</t>
  </si>
  <si>
    <t>.exp</t>
  </si>
  <si>
    <t>BZIP2 (BWT)</t>
  </si>
  <si>
    <t>.bz2</t>
  </si>
  <si>
    <t>BWT, 900kb blocks</t>
  </si>
  <si>
    <t>QUANTUM 0.97 -c5 -t21 (1995)</t>
  </si>
  <si>
    <t>.q</t>
  </si>
  <si>
    <t>P12 Neural Network Matt Mahoney</t>
  </si>
  <si>
    <t>.p12</t>
  </si>
  <si>
    <t>Neural Network</t>
  </si>
  <si>
    <t>BWTZIP 1.0 ('03) Stephan T. Lavavej</t>
  </si>
  <si>
    <t>.bwtzip</t>
  </si>
  <si>
    <t>.lzpx</t>
  </si>
  <si>
    <t>Compress 1.22 (max) Philipp Druyts</t>
  </si>
  <si>
    <t>.pak</t>
  </si>
  <si>
    <t>TarsaLZP (2007) Piotr Tarsa</t>
  </si>
  <si>
    <t>SLUG X (2009) Christian Martelock</t>
  </si>
  <si>
    <t>.sx</t>
  </si>
  <si>
    <t>RHSO-LZ</t>
  </si>
  <si>
    <t>SR2 v2 (2008) Piotr Tarsa</t>
  </si>
  <si>
    <t>.sr2v2</t>
  </si>
  <si>
    <t>Symbol Ranking</t>
  </si>
  <si>
    <t>.uc2</t>
  </si>
  <si>
    <t>X1 0.95 β (aum4l3d9) Stig Valentini</t>
  </si>
  <si>
    <t>.x</t>
  </si>
  <si>
    <t>Danmark</t>
  </si>
  <si>
    <t>.lzds</t>
  </si>
  <si>
    <t>LZ77</t>
  </si>
  <si>
    <t>ACE-ARCHIVER 1.2 (maximum) M. Lemke</t>
  </si>
  <si>
    <t>.slug</t>
  </si>
  <si>
    <t>.ha</t>
  </si>
  <si>
    <t>.thor</t>
  </si>
  <si>
    <t>Spain</t>
  </si>
  <si>
    <t>slow LZP</t>
  </si>
  <si>
    <t>YAC 1.02 (1995) Aleksandras Surna</t>
  </si>
  <si>
    <t>.yac</t>
  </si>
  <si>
    <t>Lithuania</t>
  </si>
  <si>
    <t>DCA Archiver 1.0.1 (best) (2000)</t>
  </si>
  <si>
    <t>.dca</t>
  </si>
  <si>
    <t>.jar</t>
  </si>
  <si>
    <t>SLUG 1.27 (2008) Christian Martelock</t>
  </si>
  <si>
    <t>.sit</t>
  </si>
  <si>
    <t>AKT32 70 β 7 (2000) Agyhalál</t>
  </si>
  <si>
    <t>.akt</t>
  </si>
  <si>
    <t>Hungary</t>
  </si>
  <si>
    <t>.bsn</t>
  </si>
  <si>
    <t>Arithmetic Coding</t>
  </si>
  <si>
    <t>.lzh</t>
  </si>
  <si>
    <t>-unknown -</t>
  </si>
  <si>
    <t>.gz</t>
  </si>
  <si>
    <t>LIMIT 1.2 -mx (1993) J.Y. Lim</t>
  </si>
  <si>
    <t>.lim</t>
  </si>
  <si>
    <t>.hit</t>
  </si>
  <si>
    <t>M01 (2008) Christopher Mattern</t>
  </si>
  <si>
    <t>.m01</t>
  </si>
  <si>
    <t>order-1 Context Mixing</t>
  </si>
  <si>
    <t>QUARK 1.0 β (1993) Robert Kunz</t>
  </si>
  <si>
    <t>.ark</t>
  </si>
  <si>
    <t>CAN Manager ('02) DarkFire Productions</t>
  </si>
  <si>
    <t>.can</t>
  </si>
  <si>
    <t>LZ ZLIB</t>
  </si>
  <si>
    <t>ZET 0.10 β -eh  ('94) Oleg V. Zaimkin</t>
  </si>
  <si>
    <t>.zet</t>
  </si>
  <si>
    <t>.dz</t>
  </si>
  <si>
    <t>ZLIB</t>
  </si>
  <si>
    <t>SQZ (Squeeze It) 1.08.3 ('93) J. Hammarberg</t>
  </si>
  <si>
    <t>.sqz</t>
  </si>
  <si>
    <t>vuZIP 1.8 Build 3.185 (maximum)</t>
  </si>
  <si>
    <t>.ziv</t>
  </si>
  <si>
    <t>.amg</t>
  </si>
  <si>
    <t>.pea</t>
  </si>
  <si>
    <t>Deflate</t>
  </si>
  <si>
    <t>.ain</t>
  </si>
  <si>
    <t>CODEC 3.10 -C9 Telvox Italia</t>
  </si>
  <si>
    <t>.lib</t>
  </si>
  <si>
    <t>RAR 1.55 (1995) max Eugene Roshal</t>
  </si>
  <si>
    <t>.arj</t>
  </si>
  <si>
    <t>BestCrypt Archiver 1.03 - 1.08.3 ('05)</t>
  </si>
  <si>
    <t>.bca</t>
  </si>
  <si>
    <t>Korea</t>
  </si>
  <si>
    <t>.bar</t>
  </si>
  <si>
    <t>JAVA</t>
  </si>
  <si>
    <t>Chaos Compressor 3.0 (2004) SafeSoft</t>
  </si>
  <si>
    <t>.ccr</t>
  </si>
  <si>
    <t>AR 0.02 (1990) Haruhiko Okumura</t>
  </si>
  <si>
    <t>.ar</t>
  </si>
  <si>
    <t>.lzz</t>
  </si>
  <si>
    <t>Africa</t>
  </si>
  <si>
    <t>Hamarsoft HAP 3.00 (1992) H. Feldman</t>
  </si>
  <si>
    <t>.hap</t>
  </si>
  <si>
    <t>Hamarsoft HAP 4.02m (1996) H. Feldman</t>
  </si>
  <si>
    <t>.hpk</t>
  </si>
  <si>
    <t>LZA</t>
  </si>
  <si>
    <t>ESP 1.92 /M0 /MM2 (1996) GyikSoft</t>
  </si>
  <si>
    <t>.esp</t>
  </si>
  <si>
    <t>Deep Freezer 1.06 (1999) Yamazaki</t>
  </si>
  <si>
    <t>.yz1</t>
  </si>
  <si>
    <t>LZH</t>
  </si>
  <si>
    <t>ARQ Crusher! 3.2 DC Micro Development</t>
  </si>
  <si>
    <t>.arq</t>
  </si>
  <si>
    <t>.bh</t>
  </si>
  <si>
    <t>Jabosoft Archiver 1.0 (2004) Jabosoft</t>
  </si>
  <si>
    <t>.jzip</t>
  </si>
  <si>
    <t>LZARI (1989) Haruhiko Okumura</t>
  </si>
  <si>
    <t>.lza</t>
  </si>
  <si>
    <t>NOAH's ARChiver 1.1 ('90) Richard Levey</t>
  </si>
  <si>
    <t>.noa</t>
  </si>
  <si>
    <t>WWPACK 3.05 β4 Wierzbicki &amp; Warezak</t>
  </si>
  <si>
    <t>.wwp</t>
  </si>
  <si>
    <t>LZHUF (1989) Haruhiko Okumura</t>
  </si>
  <si>
    <t>LZ + Huffman</t>
  </si>
  <si>
    <t>Freeze 1.0 A. Reeve / ICE 1.0.2 M. Lamanuzzi</t>
  </si>
  <si>
    <t>ELI 5750 (1997) -a -C Jule Revsin</t>
  </si>
  <si>
    <t>.eli</t>
  </si>
  <si>
    <t>FPAQ 3d option c 6 (2006)</t>
  </si>
  <si>
    <t>.fpaq3</t>
  </si>
  <si>
    <t>Order 28 PPM</t>
  </si>
  <si>
    <t>FPAQ 3 (2006)</t>
  </si>
  <si>
    <t>LZP + PPM + OX</t>
  </si>
  <si>
    <t>KTY Archiver 1.3 (2002) HyperBeat</t>
  </si>
  <si>
    <t>.kty</t>
  </si>
  <si>
    <t>LZOP 1.02RC1w (2005) -9 Oberhumer</t>
  </si>
  <si>
    <t>.lzo</t>
  </si>
  <si>
    <t>LZOP</t>
  </si>
  <si>
    <t>.hs</t>
  </si>
  <si>
    <t>Huffman (?)</t>
  </si>
  <si>
    <t>.lzss</t>
  </si>
  <si>
    <t>LZSS Storer&amp;Szymanski parsing</t>
  </si>
  <si>
    <t>LZ77 (aPLib)</t>
  </si>
  <si>
    <t>Order 0 ARI</t>
  </si>
  <si>
    <t>COMP-2a ('90) -o 7 Mark R. Nelson</t>
  </si>
  <si>
    <t>.cmp</t>
  </si>
  <si>
    <t>.hyp</t>
  </si>
  <si>
    <t>LZW</t>
  </si>
  <si>
    <t>.lzc</t>
  </si>
  <si>
    <t>LZC</t>
  </si>
  <si>
    <t>ChArc 1.2 (1990) S. Tchernivetzky</t>
  </si>
  <si>
    <t>.chz</t>
  </si>
  <si>
    <t>Denmark</t>
  </si>
  <si>
    <t>LZC 0.07 (c 10) N.F. Antonio msvcr70.dll</t>
  </si>
  <si>
    <t>Implode (LZW + ShFano)</t>
  </si>
  <si>
    <t>PAK 2.51 (1990) /CR NoGate Consulting</t>
  </si>
  <si>
    <t>Central Point Shrink (1992)</t>
  </si>
  <si>
    <t>.cpz</t>
  </si>
  <si>
    <t>JAM Aug/96 (1996) W.Jiang</t>
  </si>
  <si>
    <t>.jam</t>
  </si>
  <si>
    <t>8k LZ78</t>
  </si>
  <si>
    <t>.ucl</t>
  </si>
  <si>
    <t>LZ derivative</t>
  </si>
  <si>
    <t>ZOO 2.10 ah (1991) Rahul Dhesi</t>
  </si>
  <si>
    <t>.zoo</t>
  </si>
  <si>
    <t>Cuba (?)</t>
  </si>
  <si>
    <t>LZW + Probabilistic</t>
  </si>
  <si>
    <t>.shk</t>
  </si>
  <si>
    <t>BigCrunch 0.4 RC1 (2006) -mx</t>
  </si>
  <si>
    <t>.bc</t>
  </si>
  <si>
    <t>LZR + BMA + MTF + BRA</t>
  </si>
  <si>
    <t>Stirling Compressor 1.3.21 (InstallShield)</t>
  </si>
  <si>
    <t>.tsc</t>
  </si>
  <si>
    <t>NSK (NaShrinK) 5.0 (1998) NashSoft</t>
  </si>
  <si>
    <t>.nsk</t>
  </si>
  <si>
    <t>LZSS</t>
  </si>
  <si>
    <t>THOR 0.96α (2007) e1 Oscar Garcia</t>
  </si>
  <si>
    <t>fast LZP</t>
  </si>
  <si>
    <t>.6 (?)</t>
  </si>
  <si>
    <t>Indonesia</t>
  </si>
  <si>
    <t>Fast LZ</t>
  </si>
  <si>
    <t>Dynamic LZW2</t>
  </si>
  <si>
    <t>FPAQa ('07) M. Mahoney &amp; J. Duda</t>
  </si>
  <si>
    <t>.fpaqa</t>
  </si>
  <si>
    <t>fpaq0pv5</t>
  </si>
  <si>
    <t>Shrink</t>
  </si>
  <si>
    <t>LZSS (1989) Haruhiko Okumura</t>
  </si>
  <si>
    <t>.lzs</t>
  </si>
  <si>
    <t>.ta_</t>
  </si>
  <si>
    <t>MDCD 1.0 (1988) Mike Davenport</t>
  </si>
  <si>
    <t>.cd</t>
  </si>
  <si>
    <t>Canada</t>
  </si>
  <si>
    <t>Dynamic LZW1</t>
  </si>
  <si>
    <t>BLINK 1.0 (1999) DeTrans Software</t>
  </si>
  <si>
    <t>.bli</t>
  </si>
  <si>
    <t>RLE + LZE</t>
  </si>
  <si>
    <t>LZRW1 (1992) Dr. Ross Williams</t>
  </si>
  <si>
    <t>.lzr</t>
  </si>
  <si>
    <t>LZRW1</t>
  </si>
  <si>
    <t>After Radix BWT</t>
  </si>
  <si>
    <t>SPLINT 2.1 ('89) -e Rikitake / Wakatabe</t>
  </si>
  <si>
    <t>.spl</t>
  </si>
  <si>
    <t>SPLAY Trees</t>
  </si>
  <si>
    <t>ARCA 1.29 (1987) W.Chin / V.Buerg</t>
  </si>
  <si>
    <t>.lzw</t>
  </si>
  <si>
    <t>LZMW</t>
  </si>
  <si>
    <t>.nice</t>
  </si>
  <si>
    <t>.fin</t>
  </si>
  <si>
    <t>GAS 2.0 (1993) ISP; Ricky Bhatti</t>
  </si>
  <si>
    <t>.gas</t>
  </si>
  <si>
    <t>SPLAY (1988) Kim Kokkonen</t>
  </si>
  <si>
    <t>WinBcomp 0.1 (1999) Bruno Riviere</t>
  </si>
  <si>
    <t>.bcp</t>
  </si>
  <si>
    <t>early LZW</t>
  </si>
  <si>
    <t>SQPC 1.31 (1986) Richard Greenlaw</t>
  </si>
  <si>
    <t>.rlc</t>
  </si>
  <si>
    <t>India</t>
  </si>
  <si>
    <t>RLE</t>
  </si>
  <si>
    <t>.pcf</t>
  </si>
  <si>
    <t>LZWCOM (1985) Kent Williams</t>
  </si>
  <si>
    <t>Armenian Packer 1D (2003)</t>
  </si>
  <si>
    <t>not tested</t>
  </si>
  <si>
    <t>crashed</t>
  </si>
  <si>
    <t>.ap</t>
  </si>
  <si>
    <t>Armenia</t>
  </si>
  <si>
    <t>Belon Archiver</t>
  </si>
  <si>
    <t>.bel</t>
  </si>
  <si>
    <t>BGB-PAQ 0_2 (2005)</t>
  </si>
  <si>
    <t xml:space="preserve"> </t>
  </si>
  <si>
    <t>.bgb</t>
  </si>
  <si>
    <t>BVI 1.70 -m5</t>
  </si>
  <si>
    <t>.bvi</t>
  </si>
  <si>
    <t>DARK 0.51 p-b256m (2007)</t>
  </si>
  <si>
    <t xml:space="preserve">EMILCONT 0.2 option -6 (2004)        </t>
  </si>
  <si>
    <t>.emilcont</t>
  </si>
  <si>
    <t>EMILCONT 0.2xx -7 (2005)</t>
  </si>
  <si>
    <t>EMILCONT 0.3 α -5 (05)</t>
  </si>
  <si>
    <t>File2Pack ™ 2.0.0 ('05) Mental9 Productions</t>
  </si>
  <si>
    <t>error</t>
  </si>
  <si>
    <t>.f2p</t>
  </si>
  <si>
    <t>HPA COMPRESSOR 1.8 (1998)</t>
  </si>
  <si>
    <t>.hpa</t>
  </si>
  <si>
    <t>HUF 1.0 (1990) William Demas</t>
  </si>
  <si>
    <t>.huf</t>
  </si>
  <si>
    <t>Huffman</t>
  </si>
  <si>
    <t>MAR Melting Pot Archiver (PPM)</t>
  </si>
  <si>
    <t>.mar</t>
  </si>
  <si>
    <t>LZH + BWT + PPM</t>
  </si>
  <si>
    <t>Miliki Compressor Pro 1.02.0214</t>
  </si>
  <si>
    <t>.qcf</t>
  </si>
  <si>
    <t>MPC 3.0 (1996) Marco Czudej</t>
  </si>
  <si>
    <t>.mpc</t>
  </si>
  <si>
    <t>MSXIE 1.40 Pro (High-Performance)</t>
  </si>
  <si>
    <t>.xie</t>
  </si>
  <si>
    <t>Hong Kong</t>
  </si>
  <si>
    <t>PAQ 8p1 (2008) -8 A. Morphis &amp; K. Orav</t>
  </si>
  <si>
    <t>worldwide PAQ crew</t>
  </si>
  <si>
    <t>.ppmvc</t>
  </si>
  <si>
    <t>PPM II + VC</t>
  </si>
  <si>
    <t>Pretty Simple Archiver 0.91</t>
  </si>
  <si>
    <t>.psa</t>
  </si>
  <si>
    <t>RKIVE 1.4 (1996) -mtx -mm1 -o+ M. Taylor</t>
  </si>
  <si>
    <t>.rkv</t>
  </si>
  <si>
    <t>ROLZ PPMZ</t>
  </si>
  <si>
    <t>RKUC 1.04 (RKIVE 2.00)</t>
  </si>
  <si>
    <t>PPMZ</t>
  </si>
  <si>
    <t>SIXPACK (Philip G. Gage) (1991)</t>
  </si>
  <si>
    <t>.six</t>
  </si>
  <si>
    <t>LZ+ARI / PPM</t>
  </si>
  <si>
    <t>WinRK 2.0.1 (2004) PWCM 1.3</t>
  </si>
  <si>
    <t>PWCM 800 MB</t>
  </si>
  <si>
    <t>WinRK 3.0.2 (2005) maximum</t>
  </si>
  <si>
    <t>ROLZ-2 + PWCM 700 MB</t>
  </si>
  <si>
    <t>.xpa</t>
  </si>
  <si>
    <t>enc in sec</t>
  </si>
  <si>
    <t>impossible</t>
  </si>
  <si>
    <t>not supported</t>
  </si>
  <si>
    <t>.PLR Libra8 1.0.0.1 (21.07.07) -3 Andrew Polar</t>
  </si>
  <si>
    <t>.CHP v 1.0 Build 0012 (2000) Shinji Chiba</t>
  </si>
  <si>
    <t>.YPC WhyPic 1.2 (05.12.1998) Osamu Yamaji</t>
  </si>
  <si>
    <t>Felics v1.1.1.1  Ian H. Witten, Alistair Moffat &amp; Timothy C. Bell</t>
  </si>
  <si>
    <t>.FTG Format lossless (2000) F&amp;G Labs</t>
  </si>
  <si>
    <t>.GIF GIF89a</t>
  </si>
  <si>
    <t>unknown</t>
  </si>
  <si>
    <t>CCMx 1.30c (24.04.08) C. Martelock</t>
  </si>
  <si>
    <t>DOCUMENTS</t>
  </si>
  <si>
    <t>uses Deflate + DCT</t>
  </si>
  <si>
    <t>ZIP Archive (AceMegaPack)</t>
  </si>
  <si>
    <t>uses Deflate64</t>
  </si>
  <si>
    <t>UHARC 0.6b ('05) -mx -mm+ -md32768</t>
  </si>
  <si>
    <t>Deflopt 2.06 (28.04.06) B.J.Walbeehm</t>
  </si>
  <si>
    <t>uses deflate cmp.</t>
  </si>
  <si>
    <t>MS OFFICE DOCX &amp; XLSX Sheet</t>
  </si>
  <si>
    <t>IMAGE FORMATS (WEB)</t>
  </si>
  <si>
    <t>ISA Compress (output ISA image)</t>
  </si>
  <si>
    <t>PNGOUT (29.10.2006) /s0 /b0</t>
  </si>
  <si>
    <t>OptiPNG 0.5.4-0.6.2 -o7 (15.08.2006)</t>
  </si>
  <si>
    <t>PackJPG 2.0 (16.06.07)</t>
  </si>
  <si>
    <t>JPEGcrop (JPEG-Ari) (1998)</t>
  </si>
  <si>
    <t>INSTALLER PACKAGES</t>
  </si>
  <si>
    <t>uses LZMA cmp.</t>
  </si>
  <si>
    <t>uses ZDATA cmp.</t>
  </si>
  <si>
    <t>SONG FORMATS (WEB)</t>
  </si>
  <si>
    <t>448 kbps VBR</t>
  </si>
  <si>
    <t>Sound Slimmer 1.04.001 (06.07.2005)</t>
  </si>
  <si>
    <t>MP3Packer 1.18 (05.06.07) Reed Wilson -z</t>
  </si>
  <si>
    <t>Sound Slimmer 1.04.001/5 (06.07.2005)</t>
  </si>
  <si>
    <t>VIDEO FORMATS (WEB)</t>
  </si>
  <si>
    <t>http://samples.mplayerhq.hu/HDTV/Van_Helsing.ts</t>
  </si>
  <si>
    <t>http://samples.mplayerhq.hu/Matroska/H264%2bEAC3.mkv</t>
  </si>
  <si>
    <t>MPEG TS [1920x1080, 29.87 fps, 87.00 sec]</t>
  </si>
  <si>
    <t>10.1 Mbps VBR</t>
  </si>
  <si>
    <t>MKV [1280x528, 23.976 fps, 52.18 sec]</t>
  </si>
  <si>
    <t>4952 kbps VBR</t>
  </si>
  <si>
    <t>￭ stream: AC-3, 6ch, 48kHz, 384 kbs</t>
  </si>
  <si>
    <t>￭ stream: E-AC-3, 6ch, 48kHz, 640 kbs</t>
  </si>
  <si>
    <t>￭ stream: MPEG2, 16:9, 9909 kbps</t>
  </si>
  <si>
    <t>￭ stream: H.264 AVC, 2.424, 4107 kps</t>
  </si>
  <si>
    <t>http://www.apple.com/trailers/paramount/startrek/</t>
  </si>
  <si>
    <t>MOV HD [1920x800 29.97 fps, 131.00 sec]</t>
  </si>
  <si>
    <t>MOV [640x480 30 fps, 20.00 sec]</t>
  </si>
  <si>
    <t>2163 kbps CBR</t>
  </si>
  <si>
    <t>￭ stream: AAC, 2ch, 44.1kHz, 96 kbs</t>
  </si>
  <si>
    <t>￭ stream: PCM, 1ch, 7.8kHz, 63 kbs</t>
  </si>
  <si>
    <t>￭ stream: H.264 AVC, 2.400, VBR</t>
  </si>
  <si>
    <t>￭ stream: M-JPEG, 4:3, PAL</t>
  </si>
  <si>
    <t>CCMx 1.30a (24.04.08) C. Martelock</t>
  </si>
  <si>
    <t>ORIGINAL FILE</t>
  </si>
  <si>
    <t>http://www.csl.cornell.edu/~burtscher/research/FPC/datasets.html</t>
  </si>
  <si>
    <t>IEEE 754 64-Bit Double-Precision Floating-Point Dataset</t>
  </si>
  <si>
    <t>￭ obs_temp.trace                       data from a weather satellite denoting how much the observed temperature differs from the actual contiguous analysis temperature field</t>
  </si>
  <si>
    <t>￭ num_brain.trace                  simulation of the velocity field of a human brain during a head impact</t>
  </si>
  <si>
    <t>￭ msg_lu.trace                         NPB computational fluid dynamics pseudo-application lu</t>
  </si>
  <si>
    <t>FPC P. Ratanaworabhan &amp; M. Burtscher</t>
  </si>
  <si>
    <t>Unstructural Hexahedral Meshes I</t>
  </si>
  <si>
    <t>￭ block.hex (Block-structured test mesh. This mesh contains nonmanifold edges)</t>
  </si>
  <si>
    <t>￭ Vertices: 101,401</t>
  </si>
  <si>
    <t>￭ Hexahedra: 93,750</t>
  </si>
  <si>
    <t>HexZip (M. Isenburg &amp; P. Lindstrom)</t>
  </si>
  <si>
    <t>CCMx 1.30a (7)  C. Martelock</t>
  </si>
  <si>
    <t>PAQAR 4</t>
  </si>
  <si>
    <t>.ccmx</t>
  </si>
  <si>
    <t>.zipx</t>
  </si>
  <si>
    <t>CSC3 CountrySideCompressor -9 Fu Siyuan</t>
  </si>
  <si>
    <t>.csc3</t>
  </si>
  <si>
    <t>LZH + SF + BWT + LZMA + PPMd</t>
  </si>
  <si>
    <t>.lzp</t>
  </si>
  <si>
    <t>LZP 1.0 (1995-1997) Charles Bloom</t>
  </si>
  <si>
    <t>M03 (2005) 32 MB Michael A. Maniscalco</t>
  </si>
  <si>
    <t>M03 (2005) 8 MB Michael A. Maniscalco</t>
  </si>
  <si>
    <t>M99 (2001) Michael A. Maniscalco</t>
  </si>
  <si>
    <t>LZP 3.0 (1995-1997) Charles Bloom</t>
  </si>
  <si>
    <t>ECP 0.e.s. (2000) -b127 Michael Semikov</t>
  </si>
  <si>
    <t>.ecp</t>
  </si>
  <si>
    <t>RLE + BWT + MTF + HUF</t>
  </si>
  <si>
    <t>.bred</t>
  </si>
  <si>
    <t>LZP + BWT + MTF + ARI</t>
  </si>
  <si>
    <t>.ulz</t>
  </si>
  <si>
    <t>.etincelle</t>
  </si>
  <si>
    <t>.bsc</t>
  </si>
  <si>
    <t>.yzx</t>
  </si>
  <si>
    <t>LZKS</t>
  </si>
  <si>
    <t>�</t>
  </si>
  <si>
    <t>France &amp; USA</t>
  </si>
  <si>
    <t>Parallel BWT, 900kb blocks</t>
  </si>
  <si>
    <t>WinRK 3.1.2 (best asymmetic ROLZ-3) Malcolm Taylor</t>
  </si>
  <si>
    <t>no converter</t>
  </si>
  <si>
    <t>.DNG/lossless-JPEG</t>
  </si>
  <si>
    <t>.TVC NK (26.11.1999) Tomsk State University (input=bmp)</t>
  </si>
  <si>
    <t>.SLP Switched Linear Prediction v2a Shinji Wakasugi</t>
  </si>
  <si>
    <t>.MRP Minimum Rate Predictors v0.5 -o -I 12 Ichiro Matsuda</t>
  </si>
  <si>
    <t>eRLE + DIC</t>
  </si>
  <si>
    <t>.prnrw</t>
  </si>
  <si>
    <t>.IMP IMPLODE (EPIC 24 v0.1b) (25.3.2004) Kevin Peirce (input=bmp)</t>
  </si>
  <si>
    <t>.ISA Compress (27.02.2004) Nils Haeck (input=bmp)</t>
  </si>
  <si>
    <t>.VCG (VcgCreator 1.1) (2001) L. Vinoth Kumar (input=bmp)</t>
  </si>
  <si>
    <t>.lzham</t>
  </si>
  <si>
    <t>Russia &amp; United States</t>
  </si>
  <si>
    <t>OCA_MPEG 0.6 level 12 (P.Skibinski)</t>
  </si>
  <si>
    <t>.mzp</t>
  </si>
  <si>
    <t>Power Archiver 2010 11.70.66  7z opt.ultra solid</t>
  </si>
  <si>
    <t>Reasonable Archiver 1.1.0.8</t>
  </si>
  <si>
    <t>.sen</t>
  </si>
  <si>
    <t>PPM-II (o16, m1600)</t>
  </si>
  <si>
    <t>LZMA:128; PPMD:1536 o10</t>
  </si>
  <si>
    <t>The JPEG reducer</t>
  </si>
  <si>
    <t>EXIFIRON -b (24.02.2006) Marko Mäkelä</t>
  </si>
  <si>
    <t>BetterJPEG 2.0.0.9</t>
  </si>
  <si>
    <t>.xp</t>
  </si>
  <si>
    <t>ROLZ</t>
  </si>
  <si>
    <t>.egg</t>
  </si>
  <si>
    <t>LZMA ?</t>
  </si>
  <si>
    <t>.lz4</t>
  </si>
  <si>
    <t>LZ4HC 0.9 (2010) Yann Collet</t>
  </si>
  <si>
    <t>Deflate 64, word size=257 ultra (7z 9.20)</t>
  </si>
  <si>
    <t>LZMA 9.20</t>
  </si>
  <si>
    <t>.lzma</t>
  </si>
  <si>
    <t>LZMA SDK 9.20 (2010) -d27 -fb273 I. Pavlov</t>
  </si>
  <si>
    <t>LZMA with better entropy coding</t>
  </si>
  <si>
    <t>LZMA SDK 9.20 + LZMAREC E. Shelwien</t>
  </si>
  <si>
    <t>QPRESS 1.1 -rL3T12 (2011) Lasse Reinhold</t>
  </si>
  <si>
    <t>.qp</t>
  </si>
  <si>
    <t>.irolz</t>
  </si>
  <si>
    <t>order-5 PPM</t>
  </si>
  <si>
    <t>.LSP S+P 3.0.1 (30.08.96) Amir Said &amp; W.A. Pearlman (lossless) (input=RAS)</t>
  </si>
  <si>
    <t>BCIF 1.0β (08.12.2010) Stefano Brocchi) (input=bmp)</t>
  </si>
  <si>
    <t>.PNG PNGWOLF (08.04.2011) Björn Höhrmann</t>
  </si>
  <si>
    <t>JPEGmini (web service) (31.08.2011)</t>
  </si>
  <si>
    <t>.kz</t>
  </si>
  <si>
    <t>LZMA (?)</t>
  </si>
  <si>
    <t>KuaiZip 2.3.2 (2011) best solid</t>
  </si>
  <si>
    <t>LZSS + ARI</t>
  </si>
  <si>
    <t>.lzsr</t>
  </si>
  <si>
    <t>LZP-LZ77 + SR</t>
  </si>
  <si>
    <t>.cox</t>
  </si>
  <si>
    <t>COMPROX 0.1.1  (10.2011) Zhang Li opt.9</t>
  </si>
  <si>
    <t>.lzmat</t>
  </si>
  <si>
    <t>LZMAT 0.51 Vitaly Evseenko</t>
  </si>
  <si>
    <t>.zcm</t>
  </si>
  <si>
    <t>PreComp 0.4.2 Christian Schneider</t>
  </si>
  <si>
    <t>lzw/zlib/jpeg recompressor + bzip2</t>
  </si>
  <si>
    <t>REFLATE 0c1 (2012) Eugene Shelwien</t>
  </si>
  <si>
    <t>.ref</t>
  </si>
  <si>
    <t>uses Deflate cmp.</t>
  </si>
  <si>
    <t>COMPROX 0.2.0 (2011) Zhang Li opt.9</t>
  </si>
  <si>
    <t>FreeARC 0.67 (2012) ultra Bulat Zigashin</t>
  </si>
  <si>
    <t>PackJPG 2.5a (17.12.12) Matthias Stirner</t>
  </si>
  <si>
    <t>BSC 3.1.0 -b1024rsca -m0 -H28 -M255 I. Grebnov</t>
  </si>
  <si>
    <t>.pja</t>
  </si>
  <si>
    <t>.fbc</t>
  </si>
  <si>
    <t>FBC 1.0 300MB blocksize David Catt</t>
  </si>
  <si>
    <t>Canada + Russia</t>
  </si>
  <si>
    <t>CROOK 0.1 -m1600 -O7 Juri Valdmann</t>
  </si>
  <si>
    <t>.crook</t>
  </si>
  <si>
    <t>bit-level PPM</t>
  </si>
  <si>
    <t>Estonia</t>
  </si>
  <si>
    <t>.RWZ RAWZOR 0.47 (lossless) Sachin Garg 2010 (.RAF as source)</t>
  </si>
  <si>
    <t>.LJP JPEG LossLess (EPIC24, auto-selection of best predictor)</t>
  </si>
  <si>
    <t>LZ4 1.3 -c2 (2012) Yann Collet</t>
  </si>
  <si>
    <t>MP3 [free public-domain corpus]</t>
  </si>
  <si>
    <t>JPG-2-DCT (decompress Huffman)</t>
  </si>
  <si>
    <t>uses ZLIB cmp.</t>
  </si>
  <si>
    <t>various VBR rates</t>
  </si>
  <si>
    <t>packMP3 1.0 (2012) Matthias Stirner</t>
  </si>
  <si>
    <t>MP3Packer 1.25 -z (2012) R. Wilson</t>
  </si>
  <si>
    <t>http://www.squeezechart.com/mp3corpus.7z</t>
  </si>
  <si>
    <t>uses LZW cmp.</t>
  </si>
  <si>
    <t>uses LZ77 cmp.</t>
  </si>
  <si>
    <t>AC3 [347 sec 5ch 48 kHz]</t>
  </si>
  <si>
    <t>http://www.squeezechart.com/mjpeg.mov</t>
  </si>
  <si>
    <t>uses base64</t>
  </si>
  <si>
    <t>E-Mail message</t>
  </si>
  <si>
    <t>MHT web archive</t>
  </si>
  <si>
    <t>http://www.squeezechart.com/a55.flv</t>
  </si>
  <si>
    <t>￭ stream: MPEG AAC, 2ch, 44.1 kHz 110 kbs</t>
  </si>
  <si>
    <t>FLV [854x480, 23.976 fps, 92.0 sec]</t>
  </si>
  <si>
    <t>1312 kbps VBR</t>
  </si>
  <si>
    <t>￭ stream: H.264 AVC, 16:9, 1201 kps</t>
  </si>
  <si>
    <t>http://www.diatonis.com/downloads/diatonis_ac3_48k_soal.zip</t>
  </si>
  <si>
    <t>http://www.squeezechart.com/tech.mht</t>
  </si>
  <si>
    <t>SWF Games</t>
  </si>
  <si>
    <t>http://www.miniclip.com</t>
  </si>
  <si>
    <t>http://www.squeezechart.com/flumy.png</t>
  </si>
  <si>
    <t>http://www.squeezechart.com/filou.gif</t>
  </si>
  <si>
    <t>uses DCT cmp.</t>
  </si>
  <si>
    <t>GIF [cat1] 256 color Natural</t>
  </si>
  <si>
    <t>PNG [cat2] 24 Bit Natural</t>
  </si>
  <si>
    <t>http://www.squeezechart.com/flyer.msg</t>
  </si>
  <si>
    <t>http://www.diatonis.com/downloads/diatonis_currents_44_51.wma</t>
  </si>
  <si>
    <t>WMA [08:58:000 6ch 44.1 kHz]</t>
  </si>
  <si>
    <t>256 kbps CBR</t>
  </si>
  <si>
    <t>SuperGif 1.5 www.boxtopsoft.com</t>
  </si>
  <si>
    <t>PDF [v1.3, 58 pages]</t>
  </si>
  <si>
    <t>http://dl.maximumpc.com/Archives/MPC_2011_11-web.pdf</t>
  </si>
  <si>
    <t>InstallAware Setup Squeezer</t>
  </si>
  <si>
    <t>http://de.download.nvidia.com/Windows/295.73/295.73-notebook-win7-winvista-64bit-international-whql.exe</t>
  </si>
  <si>
    <t>ORIGINAL FILE (downloaded installer)</t>
  </si>
  <si>
    <t>http://www2.ati.com/drivers/linux/amd-driver-installer-12-2-x86.x86_64.run</t>
  </si>
  <si>
    <t>RUN Linux Installer [AMD Catalyst 12.2]</t>
  </si>
  <si>
    <t>no need</t>
  </si>
  <si>
    <t>http://sourceforge.net/projects/stellarium/files/Stellarium-win32/0.11.2/</t>
  </si>
  <si>
    <t>http://rawtherapee.com/releases_head/windows/RawTherapee_WinVista_64_4.0.7.1.zip</t>
  </si>
  <si>
    <t>MSI Installer</t>
  </si>
  <si>
    <t>Inno Setup Installer [version 5.4.3]</t>
  </si>
  <si>
    <t>http://archive.org/download/uso20080202/uso20080202-03-smetana-vltava.wav</t>
  </si>
  <si>
    <t>500 kbps VBR</t>
  </si>
  <si>
    <t>OGG [12:35 2ch 44.1 kHz]</t>
  </si>
  <si>
    <t>INTERNET</t>
  </si>
  <si>
    <t>JPEG [mill 3264x4912x24 Bit]</t>
  </si>
  <si>
    <t>http://www.squeezechart.com/mill.jpg</t>
  </si>
  <si>
    <t>PackJPG 1.9 (20.04.2007) M. Stirner</t>
  </si>
  <si>
    <t>PackJPG 2.4 (20.04.2010) M. Stirner</t>
  </si>
  <si>
    <t>http://stardock.com/products/windowblinds/downloads.asp</t>
  </si>
  <si>
    <t>WISE Installer [WindowBlinds7_public.exe]</t>
  </si>
  <si>
    <t>.mt</t>
  </si>
  <si>
    <t>MTCompressor64 1.0 David Catt</t>
  </si>
  <si>
    <t>WSL 0.01 -b16384d64l50 Sergeo Sizikov</t>
  </si>
  <si>
    <t>.wsl</t>
  </si>
  <si>
    <t>M03 1.1 blocksize 1GB M.A. Maniscalco</t>
  </si>
  <si>
    <t>APP</t>
  </si>
  <si>
    <t>XML</t>
  </si>
  <si>
    <t>M03 0.2 α (2009) 250 MB M.A. Maniscalco</t>
  </si>
  <si>
    <t>BMA 1.35 -m64m -mx -ax A. Cherenkov</t>
  </si>
  <si>
    <t>PPMd Jr1 sh8 -o16 -m1600 -c E. Shelwien</t>
  </si>
  <si>
    <t>GRZIP-II 0.2.4 -b8m -l -m4 Ilya Grebnov</t>
  </si>
  <si>
    <t>aPackage 1.14 ('02) Jørgen Ibsen</t>
  </si>
  <si>
    <t>Packer 4.0β (2010) Piotr Rydz</t>
  </si>
  <si>
    <t>PPMVC 1.1 (2006) -m256 -o16</t>
  </si>
  <si>
    <t>LZH (LHMelt 1.39-1.65c 32kb -jmA) (2012)</t>
  </si>
  <si>
    <t>ALZIP 8.5 .EGG optimized ESTSOFT</t>
  </si>
  <si>
    <t>Deflate, word size=64, max (7z 9.25)</t>
  </si>
  <si>
    <t>XP v5 c2 (2010) ppmcontext</t>
  </si>
  <si>
    <t>BZIP2 1.06 (2010) --best Julian Seward</t>
  </si>
  <si>
    <t>12Ghosts 7.0 - 9.7 (ZIP2)</t>
  </si>
  <si>
    <t>HSTEST option -F (1990) Tom Ehlert</t>
  </si>
  <si>
    <t>filter + LZ + PPM (ROLZ)</t>
  </si>
  <si>
    <t>RZIP 2.1 -9 -L9 (2006) Andrew Tridgell</t>
  </si>
  <si>
    <t>QLFC 6.6w (blocksize 200 MB) Florin Ghido</t>
  </si>
  <si>
    <t>BEE 0.7.9 -m3 -d9 A.Filinsky &amp; M.Caruso</t>
  </si>
  <si>
    <t>RINGS 1.6 opt. 10 ('08) Nania F. Antonio</t>
  </si>
  <si>
    <t>not extractable</t>
  </si>
  <si>
    <t>STUFFIT 11.0.0.34 (sitx) (SmithMicro)</t>
  </si>
  <si>
    <t>BWT + filterCM</t>
  </si>
  <si>
    <t>BWT + LZT + filter</t>
  </si>
  <si>
    <t>PPM-II + filter</t>
  </si>
  <si>
    <t>BWT + ARI + PPM-II + filter</t>
  </si>
  <si>
    <t>ROLZ + PPMZ + filters</t>
  </si>
  <si>
    <t>BWT + DCE + filter</t>
  </si>
  <si>
    <t>LZ77 + ARI + filters</t>
  </si>
  <si>
    <t>LZHDS + filter</t>
  </si>
  <si>
    <t>PPM + filters</t>
  </si>
  <si>
    <t>PPMd + filter</t>
  </si>
  <si>
    <t>ADMC + filter</t>
  </si>
  <si>
    <t>BWT + filter</t>
  </si>
  <si>
    <t>LZ + filters</t>
  </si>
  <si>
    <t>LZ77 + ARI + filter</t>
  </si>
  <si>
    <t>BWT, LZ + ARI, PPM + filter</t>
  </si>
  <si>
    <t>LZP + DMC + filter</t>
  </si>
  <si>
    <t>Symbol Ranking + filters</t>
  </si>
  <si>
    <t>Precomp 0.4.3 + FreeARC 0.67 ultra +exp B. Ziganshin</t>
  </si>
  <si>
    <t>* 8 GB RAM (DDR-3 @ 1600 MHz), SSD (SATA-3)</t>
  </si>
  <si>
    <t>* Intel Core i7 (Sandy Bridge)</t>
  </si>
  <si>
    <t>all contents from the Project Gutenberg ISO</t>
  </si>
  <si>
    <t>This test set indicates an archiver's skill to serve as lossless backup solution for data from mobile devices.</t>
  </si>
  <si>
    <t>PGM / PPM</t>
  </si>
  <si>
    <t>a collection (8 Bit PGM and 24 Bit PPM) of public domain images provided by Sachin Garg.</t>
  </si>
  <si>
    <t>the first 100 MB of wikipedia dumps in 10 languages (arabic, german, english, spanish, french, hindu, portuguese, russian, turkish, chinese)</t>
  </si>
  <si>
    <t>a collection of free sourcecodes such as those from 7-Zip 4.42, GIMP 2.3.1, Lazarus 0.9.20, Stellarium 0.8.2 and more.</t>
  </si>
  <si>
    <t>PAQ8jc</t>
  </si>
  <si>
    <t>UC II r3 Pro ('95) stst Nico De Vries</t>
  </si>
  <si>
    <t>.asd</t>
  </si>
  <si>
    <t>HA 0.999b (1995) a21r Harri Hirvola</t>
  </si>
  <si>
    <t>.sb</t>
  </si>
  <si>
    <t>ARX 1.0 Michael A. Kosior</t>
  </si>
  <si>
    <t>.arx</t>
  </si>
  <si>
    <t>BWC 0.99d Willem Monsuwe</t>
  </si>
  <si>
    <t>LZ77 (?)</t>
  </si>
  <si>
    <t>England</t>
  </si>
  <si>
    <t>.pac</t>
  </si>
  <si>
    <t>CAR 1.50 (1996) Chris Campbell</t>
  </si>
  <si>
    <t>.dwc</t>
  </si>
  <si>
    <t>ASD 0.2.0 -m5 -mdh (1998) T. Svensson</t>
  </si>
  <si>
    <t>DWC 5.10 opt. az (1990) Dean W. Cooper</t>
  </si>
  <si>
    <t>.jrc</t>
  </si>
  <si>
    <t>Jrchive 1.10 (1992) JAYAR Systems</t>
  </si>
  <si>
    <t xml:space="preserve">AMIGA ShrinkIt / NULIB (LZW/2) </t>
  </si>
  <si>
    <t>AMIGA ShrinkIt / NULIB (LZW/1)</t>
  </si>
  <si>
    <t>AMIGA ShrinkIt / NULIB (Squeeze)</t>
  </si>
  <si>
    <t>AMIGA ShrinkIt / NULIB (16 Bit LZC)</t>
  </si>
  <si>
    <t>PPM 50 MB + LZ + ARI 291 MB</t>
  </si>
  <si>
    <t>http://ftp.sac.sk/sac/pack/</t>
  </si>
  <si>
    <t>ftp://ftp.sac.sk/pub/sac/pack</t>
  </si>
  <si>
    <t>‣ 40% of this testset are .JPEG &amp; .PNG images</t>
  </si>
  <si>
    <t>a collection of public domain .JPEG, .MP3, .MP4, .MTS including some .JAR from sourceforge.net and .EPUB from http://gutenberg.org</t>
  </si>
  <si>
    <t>‣ contains some .PNG image files.</t>
  </si>
  <si>
    <t>LZAP 0.20.0 beta (1998) Mike Goldman</t>
  </si>
  <si>
    <r>
      <t xml:space="preserve">"The time will come when diligent research over long periods will bring to light things which now lie hidden. A single lifetime, even though entirely devoted to the sky, would not be enough for the investigation of so vast a subject . . .And so this knowledge will be unfolded only through long successive ages. There will come a time when our descendants will be amazed that we did not know things that are so plain to them . . . Many discoveries are reserved for ages still to come, when memory of us will have been effaced. Our universe is a sorry little affair unless it has in it something for every age to investigate . . . Nature does not reveal her mysteries once and for all." </t>
    </r>
    <r>
      <rPr>
        <b/>
        <i/>
        <sz val="10"/>
        <rFont val="Arial Unicode MS"/>
        <family val="2"/>
      </rPr>
      <t>Seneca, Naturales Questiones, 100 A.C.</t>
    </r>
  </si>
  <si>
    <t>TAR is used when the program cannot compress all files of a testset in a single archive</t>
  </si>
  <si>
    <t>or when recurse through subdirectories does not work properly.</t>
  </si>
  <si>
    <t>ENC 0.15 a -g (2002) Serge Osnach</t>
  </si>
  <si>
    <t>PPM / Predictive Arithmetic Coding</t>
  </si>
  <si>
    <t>Huffman / LZS / LZW</t>
  </si>
  <si>
    <t>MAR 1.0 -e:-ah0- (1994) Haruhiko Okumura</t>
  </si>
  <si>
    <t>LZS</t>
  </si>
  <si>
    <t>LZSDEMO 3.1 (1998) Stac Electronics</t>
  </si>
  <si>
    <t>oPAQue 1.0 (1999) Dmitry Dvoinikov</t>
  </si>
  <si>
    <t>.paq</t>
  </si>
  <si>
    <t>PPMZ 9.1 -b (1998) Charles Bloom</t>
  </si>
  <si>
    <t>.pmz</t>
  </si>
  <si>
    <t>.rax</t>
  </si>
  <si>
    <t>RAX 1.02 -max (1998) GeCAD</t>
  </si>
  <si>
    <t>LZ77 + Huffman</t>
  </si>
  <si>
    <t>LZSS + Huffman</t>
  </si>
  <si>
    <t>REDUQ 1.2 (2001) Jacco Mintjes</t>
  </si>
  <si>
    <t>.rdq</t>
  </si>
  <si>
    <t>PPMZ2 0.81 -l9 (2004) Charles Bloom</t>
  </si>
  <si>
    <t>.sz</t>
  </si>
  <si>
    <t>Austria</t>
  </si>
  <si>
    <t>BWT (ST6)</t>
  </si>
  <si>
    <t>SZIP 1.12a -b41 -o10 Michael Schindler</t>
  </si>
  <si>
    <t>Reiterative DMC</t>
  </si>
  <si>
    <t>.rdm</t>
  </si>
  <si>
    <t>RDMC 0.06b (2001) Jaime Tejedor Gómez</t>
  </si>
  <si>
    <t>SZIP 1.12a -b41 -o50 Michael Schindler</t>
  </si>
  <si>
    <t>.one</t>
  </si>
  <si>
    <t>.sar</t>
  </si>
  <si>
    <t>SAR 1.0 (1993) Streamline Design</t>
  </si>
  <si>
    <t>SQUISH 1.0 (1992) Mike Albert</t>
  </si>
  <si>
    <t>.squ</t>
  </si>
  <si>
    <t>.to4</t>
  </si>
  <si>
    <t xml:space="preserve">TOP4 1.03 Tobias Svensson </t>
  </si>
  <si>
    <t>LZSS + Huffman + RLE</t>
  </si>
  <si>
    <t>LZ + Huffman + ARI + MARKOV</t>
  </si>
  <si>
    <t>SEMONE 0.6b2 -mb/mm3 Vladimir Semenyuk</t>
  </si>
  <si>
    <t>Predictive Arithmetic Coding</t>
  </si>
  <si>
    <t>XPA32 File Archiver 1.0.2 Jauming Tseng</t>
  </si>
  <si>
    <t>.sky</t>
  </si>
  <si>
    <t>SKY 1.15 -m4 (1997) Jean-Michel Herve</t>
  </si>
  <si>
    <t>.b1</t>
  </si>
  <si>
    <t>.tt</t>
  </si>
  <si>
    <t>TTCOMP (1993) SWFTE International Ltd.</t>
  </si>
  <si>
    <t>ABComp 2.06 (2000) Avinesh Bangar</t>
  </si>
  <si>
    <t>.abp</t>
  </si>
  <si>
    <t>.tar</t>
  </si>
  <si>
    <t>none</t>
  </si>
  <si>
    <t>Context Mixing</t>
  </si>
  <si>
    <t>ROLZ + ARI</t>
  </si>
  <si>
    <t>ARG 1.00.001 beta (1994) Igor Pavlov</t>
  </si>
  <si>
    <t>.arg</t>
  </si>
  <si>
    <t>Static Huffman</t>
  </si>
  <si>
    <t>PPM-II o9-128M + filter</t>
  </si>
  <si>
    <t>LZ77 + Huffman + PPM-II o9-128M</t>
  </si>
  <si>
    <t>LZ77 + Huffman + filter</t>
  </si>
  <si>
    <t>Huffman + BWT + MFT + RLE</t>
  </si>
  <si>
    <t>LZ77 + BW5 + PPMZ</t>
  </si>
  <si>
    <t>CCMx 1.30c opt. 7 Christian Martelock</t>
  </si>
  <si>
    <t>BTSPK 3.60b β1 (1998) Joszef Hidasi</t>
  </si>
  <si>
    <t>.bts</t>
  </si>
  <si>
    <t>GRZip 0.7.3 -8m -a -i -s (2003) Ilya Grebnov</t>
  </si>
  <si>
    <t>LZP + BWT/ST + MTF/WFC + filter</t>
  </si>
  <si>
    <t>SLIM 1.10 opt. 9 (1991) Dominic Herity</t>
  </si>
  <si>
    <t>MNZIP (2009) Michael Niedermayer</t>
  </si>
  <si>
    <t>BWT + QLFC + ARI</t>
  </si>
  <si>
    <t>Ireland</t>
  </si>
  <si>
    <t>.mn</t>
  </si>
  <si>
    <t>BBB 1.0 cm100 (2006) Matt Mahoney</t>
  </si>
  <si>
    <t>.bbb</t>
  </si>
  <si>
    <t>Free Zip Archiver 2.0.1.2 max Hamstersoft</t>
  </si>
  <si>
    <t>LZMA + filter</t>
  </si>
  <si>
    <t>InstallShield content [ForceWare 295.73]</t>
  </si>
  <si>
    <t>NanoZip 0.09  -cc -m2g ('11) Sami Runsas</t>
  </si>
  <si>
    <t>NanoZip 0.08  -cc -m2g ('10) Sami Runsas</t>
  </si>
  <si>
    <t>NanoZip 0.09 -cO -m2g ('11) Sami Runsas</t>
  </si>
  <si>
    <t>NanoZip 0.09 -co -m2g ('11) Sami Runsas</t>
  </si>
  <si>
    <t>FP8_v3 -7 (2012) Jan Ondrus</t>
  </si>
  <si>
    <t>.lz</t>
  </si>
  <si>
    <t>LZIP 1.11 -9 (2010) Antonio Diaz Diaz</t>
  </si>
  <si>
    <t>packMP3 1.0c (2012) Matthias Stirner</t>
  </si>
  <si>
    <t>LBZIP2 0.23 -9 (2011) Laszlo Ersek</t>
  </si>
  <si>
    <t>.lzf</t>
  </si>
  <si>
    <t>RLC (2007) Bindesh Kumar Singh</t>
  </si>
  <si>
    <t>FPAQ 0pv5 M. Mahoney &amp; N.F.Antonio</t>
  </si>
  <si>
    <t>http://tpi.sourceforge.jp/index.php/News</t>
  </si>
  <si>
    <t>SCRNCH 1.02 /w /s (1988) G. McRae</t>
  </si>
  <si>
    <t>SafeMelt32 2.74-3.10 (2002) Team Schaft</t>
  </si>
  <si>
    <t>iROLZ (2010) Andrew Polar</t>
  </si>
  <si>
    <t>Stuffit 8.0-8.5 (sitx) (Alladin Systems)</t>
  </si>
  <si>
    <t>packJPG + packMP3 packPNM + packARI</t>
  </si>
  <si>
    <t>reJPEG 0.1 (2011) P. Skibinski &amp; M. Stirner</t>
  </si>
  <si>
    <t>AACZIP (2005) Sound Genetics</t>
  </si>
  <si>
    <t>OGG REHUFF (2012)</t>
  </si>
  <si>
    <t>WinRar 4.20 solid best no PPMd E. Roshal</t>
  </si>
  <si>
    <t>WinRar 4.20 solid best auto filter E. Roshal</t>
  </si>
  <si>
    <t>WinRar 4.20 solid best force PPMd E. Roshal</t>
  </si>
  <si>
    <t>.stz</t>
  </si>
  <si>
    <t>STZ 0.83 -c2 (2011) Bruno Wyttenbach</t>
  </si>
  <si>
    <t>LZBW2A</t>
  </si>
  <si>
    <t>Switches used</t>
  </si>
  <si>
    <t>ALL</t>
  </si>
  <si>
    <t>% Weighted</t>
  </si>
  <si>
    <t>ESPERANTO</t>
  </si>
  <si>
    <t>ARABIC</t>
  </si>
  <si>
    <t>HEBREW</t>
  </si>
  <si>
    <t>TURKISH</t>
  </si>
  <si>
    <t>VIETNAMESE</t>
  </si>
  <si>
    <t>MAORI</t>
  </si>
  <si>
    <t>TAGALOG</t>
  </si>
  <si>
    <t>ALBANIAN</t>
  </si>
  <si>
    <t>LITHUANIAN</t>
  </si>
  <si>
    <t>RUSSIAN</t>
  </si>
  <si>
    <t>AFRIKAANS</t>
  </si>
  <si>
    <t>DANISH</t>
  </si>
  <si>
    <t>DUTCH</t>
  </si>
  <si>
    <t>ENGLISH</t>
  </si>
  <si>
    <t>GERMAN</t>
  </si>
  <si>
    <t>NORWEGIAN</t>
  </si>
  <si>
    <t>SWEDISH</t>
  </si>
  <si>
    <t>FRENCH</t>
  </si>
  <si>
    <t>ITALIAN</t>
  </si>
  <si>
    <t>LATIN</t>
  </si>
  <si>
    <t>PORTUGUESE</t>
  </si>
  <si>
    <t>ROMANIAN</t>
  </si>
  <si>
    <t>SPANISH</t>
  </si>
  <si>
    <t>GREEK</t>
  </si>
  <si>
    <t>CROATIAN</t>
  </si>
  <si>
    <t>CZECH</t>
  </si>
  <si>
    <t>XHOSA</t>
  </si>
  <si>
    <t>CHINESE</t>
  </si>
  <si>
    <t>THAI</t>
  </si>
  <si>
    <t>KOREAN</t>
  </si>
  <si>
    <t>FINNISH</t>
  </si>
  <si>
    <t>HUNGARIAN</t>
  </si>
  <si>
    <t xml:space="preserve">The documents used for this text compression benchmark were taken from the Unbound Bible Project. I used the same text in different languages to see which language compresses best. Does anybody have the bible in a language of the Eskimo-Aleut family (UTF-8 encoded plain text - not PDF)? </t>
  </si>
  <si>
    <t>Language family</t>
  </si>
  <si>
    <t xml:space="preserve"> constructed international auxiliary language</t>
  </si>
  <si>
    <t>Afro-Asiatic</t>
  </si>
  <si>
    <t>Altaic</t>
  </si>
  <si>
    <t>Austro-Asiatic</t>
  </si>
  <si>
    <t>Austronesian</t>
  </si>
  <si>
    <t>Indo-European</t>
  </si>
  <si>
    <t>Niger-Congo</t>
  </si>
  <si>
    <t>Sino-Tibetan</t>
  </si>
  <si>
    <t>Tai-Kadai</t>
  </si>
  <si>
    <t>unclassified</t>
  </si>
  <si>
    <t>Uralic</t>
  </si>
  <si>
    <t>Subtype</t>
  </si>
  <si>
    <t>created by L.L. Zamenhof  in 1887</t>
  </si>
  <si>
    <t>Semitic</t>
  </si>
  <si>
    <t>Turkic</t>
  </si>
  <si>
    <t>Mon-Khmer</t>
  </si>
  <si>
    <t>Malayo-Polynesian</t>
  </si>
  <si>
    <t>Albanian</t>
  </si>
  <si>
    <t>Baltic</t>
  </si>
  <si>
    <t>Balto-Slavic</t>
  </si>
  <si>
    <t>Germanic</t>
  </si>
  <si>
    <t>Italic</t>
  </si>
  <si>
    <t>Proto-Greek</t>
  </si>
  <si>
    <t>Slavic</t>
  </si>
  <si>
    <t>Atlantic-Congo</t>
  </si>
  <si>
    <t>Chinese</t>
  </si>
  <si>
    <t>Kam-Tai</t>
  </si>
  <si>
    <t>perhaps Altaic</t>
  </si>
  <si>
    <t>Finno-Ugric</t>
  </si>
  <si>
    <t>spoken in</t>
  </si>
  <si>
    <t>United Arab Emirates</t>
  </si>
  <si>
    <t>Israel, Argentina, Brazil</t>
  </si>
  <si>
    <t>Turkey</t>
  </si>
  <si>
    <t>Vietnam</t>
  </si>
  <si>
    <t>Philippines</t>
  </si>
  <si>
    <t>Albania</t>
  </si>
  <si>
    <t>Belarus, Crimea, Russia</t>
  </si>
  <si>
    <t>South Africa</t>
  </si>
  <si>
    <t>nearly worldwide</t>
  </si>
  <si>
    <t>Germany, Austria</t>
  </si>
  <si>
    <t>Norway</t>
  </si>
  <si>
    <t>Africa, Europe</t>
  </si>
  <si>
    <t>Italy, San Marino</t>
  </si>
  <si>
    <t>Vatican City</t>
  </si>
  <si>
    <t>Angola, Brazil, Portugal</t>
  </si>
  <si>
    <t>Colombia, Cuba, Spain, Ecuador</t>
  </si>
  <si>
    <t>Greece</t>
  </si>
  <si>
    <t>Croatia</t>
  </si>
  <si>
    <t>Czech Repuplic</t>
  </si>
  <si>
    <t>South Africa, Lesotho</t>
  </si>
  <si>
    <t>China, Taiwan</t>
  </si>
  <si>
    <t>Thailand,       North Malaysia</t>
  </si>
  <si>
    <t>North Korea, South Korea</t>
  </si>
  <si>
    <t>Character Set Encoding</t>
  </si>
  <si>
    <t>UTF-8</t>
  </si>
  <si>
    <t>www.unboundbible.org</t>
  </si>
  <si>
    <t xml:space="preserve">             Best BPB value</t>
  </si>
  <si>
    <t>PAQ8oSSE2 v2</t>
  </si>
  <si>
    <t>-7</t>
  </si>
  <si>
    <t>PAQ8PXD_v4</t>
  </si>
  <si>
    <t>FP8_v3</t>
  </si>
  <si>
    <t>PAQ 8i (all .DIC)</t>
  </si>
  <si>
    <t>-7 (900 MB)</t>
  </si>
  <si>
    <t>PAQ 8d (all .DIC)</t>
  </si>
  <si>
    <t>PAQ 8a</t>
  </si>
  <si>
    <t>PAQ 8e (all .DIC)</t>
  </si>
  <si>
    <t>PAQ8 HP12 any</t>
  </si>
  <si>
    <t>WinRK 3.0.3 beta</t>
  </si>
  <si>
    <t>PAQ8 HP7</t>
  </si>
  <si>
    <t>PAQ 7</t>
  </si>
  <si>
    <t>option -5</t>
  </si>
  <si>
    <t>PAQ8 HP6</t>
  </si>
  <si>
    <t>Durilca 0.5 Hutter</t>
  </si>
  <si>
    <t>e -m800 -t1</t>
  </si>
  <si>
    <t>PAQ6 ebb Blaster</t>
  </si>
  <si>
    <t>NanoZip 0.05 GUI</t>
  </si>
  <si>
    <t>CM 1 GB</t>
  </si>
  <si>
    <t>LPAQ9e</t>
  </si>
  <si>
    <t>7</t>
  </si>
  <si>
    <t>WinUDA 0.291</t>
  </si>
  <si>
    <t>Mode 3</t>
  </si>
  <si>
    <t>ASH 0.4a</t>
  </si>
  <si>
    <t>/m768</t>
  </si>
  <si>
    <t>LPAQ7</t>
  </si>
  <si>
    <t>PAQ4 EC Duritium</t>
  </si>
  <si>
    <t>- no options available -</t>
  </si>
  <si>
    <t>DRT | LPAQ9l</t>
  </si>
  <si>
    <t>9</t>
  </si>
  <si>
    <t>CMM4 0.01e</t>
  </si>
  <si>
    <t>66</t>
  </si>
  <si>
    <t>Compressia 1.0b</t>
  </si>
  <si>
    <t>15 MB, max, english, sol.</t>
  </si>
  <si>
    <t>SLIM 23</t>
  </si>
  <si>
    <t>-o6 -m800 -tt+</t>
  </si>
  <si>
    <t>CCMx 1.20g</t>
  </si>
  <si>
    <t>c 7</t>
  </si>
  <si>
    <t>Ocamyd 1.65</t>
  </si>
  <si>
    <t>-s0 -m9</t>
  </si>
  <si>
    <t>CCM 1.20a</t>
  </si>
  <si>
    <t>no options</t>
  </si>
  <si>
    <t>CCMx 1.30c (7)</t>
  </si>
  <si>
    <t>ENC 0.15</t>
  </si>
  <si>
    <t>a -g -o8</t>
  </si>
  <si>
    <t>WinRK 2.1.6</t>
  </si>
  <si>
    <t>PPMD 768 MB o6 + dict</t>
  </si>
  <si>
    <t>PPMY 9a9</t>
  </si>
  <si>
    <t>/o76 /m800</t>
  </si>
  <si>
    <t>PPMonstr ver J</t>
  </si>
  <si>
    <t>e -m800m -o6</t>
  </si>
  <si>
    <t>Bee 0.79 (BeeGUI)</t>
  </si>
  <si>
    <t>-m3 -d8 -s</t>
  </si>
  <si>
    <t>CCM 1.1.7a</t>
  </si>
  <si>
    <t>UHBC</t>
  </si>
  <si>
    <t>e -b128m -m3</t>
  </si>
  <si>
    <t>YBS 0.03f</t>
  </si>
  <si>
    <t>-m16m</t>
  </si>
  <si>
    <t>WinZip 12.0.8252</t>
  </si>
  <si>
    <t>optimize for best cmp.</t>
  </si>
  <si>
    <t>WinZip 11.0.7313</t>
  </si>
  <si>
    <t>CTW 0.1</t>
  </si>
  <si>
    <t>-n16m -d11</t>
  </si>
  <si>
    <t>SBC 0.970 Rev II</t>
  </si>
  <si>
    <t>c -m3 -b63 -os</t>
  </si>
  <si>
    <t>UHARC 0.6b (PPM)</t>
  </si>
  <si>
    <t>PPM 32 MB</t>
  </si>
  <si>
    <t>Stuffit 11.0.1.48</t>
  </si>
  <si>
    <t>Best Text Compression</t>
  </si>
  <si>
    <t>WinRar 3.62</t>
  </si>
  <si>
    <t>128 MB PPM forced o16</t>
  </si>
  <si>
    <t>7-Zip 4.43 (PPMd)</t>
  </si>
  <si>
    <t>768 MB, word=8, solid</t>
  </si>
  <si>
    <t>DGCA 1.10e</t>
  </si>
  <si>
    <t>solid, verify</t>
  </si>
  <si>
    <t>ICE-OWS 4.20</t>
  </si>
  <si>
    <t>Maximum</t>
  </si>
  <si>
    <t>Bio Archiver 1.9</t>
  </si>
  <si>
    <t>hyper, automatic</t>
  </si>
  <si>
    <t>RZM 0.07h</t>
  </si>
  <si>
    <t>Squeez 5.50</t>
  </si>
  <si>
    <t>420 MB PPM forced</t>
  </si>
  <si>
    <t>best asymmetric + PPM</t>
  </si>
  <si>
    <t>best asy.ROLZ-3+PPM</t>
  </si>
  <si>
    <t>ZZIP 0.36</t>
  </si>
  <si>
    <t>a -64m -mx</t>
  </si>
  <si>
    <t>Quark 0.93 (2005)</t>
  </si>
  <si>
    <t>c -m1 -d27 -l9</t>
  </si>
  <si>
    <t>CTXf 0.75</t>
  </si>
  <si>
    <t>c -me -b</t>
  </si>
  <si>
    <t>StuffIt 9.5</t>
  </si>
  <si>
    <t>BSSC 0.95 alpha</t>
  </si>
  <si>
    <t>e -b16383</t>
  </si>
  <si>
    <t>7-Zip 4.43 (LZMA)</t>
  </si>
  <si>
    <t>96 MB, mf=bt4, solid</t>
  </si>
  <si>
    <t>HA 0.999b</t>
  </si>
  <si>
    <t>a2 (=HSC)</t>
  </si>
  <si>
    <t>MS Cabinet (LZX)</t>
  </si>
  <si>
    <t>level 21 (max)</t>
  </si>
  <si>
    <t>WinAce 2.65 Final</t>
  </si>
  <si>
    <t>4 MB, maximum, solid</t>
  </si>
  <si>
    <t>XTREME 1.06</t>
  </si>
  <si>
    <t>-m0 -s -t8</t>
  </si>
  <si>
    <t>LHA 1.99 (LHMelt)</t>
  </si>
  <si>
    <t>lh7 (64kb), 32kb Buffer</t>
  </si>
  <si>
    <t>WinZip 9.0 SR-1</t>
  </si>
  <si>
    <t>deflate 32, level 9</t>
  </si>
  <si>
    <t>Jabosoft Archiver</t>
  </si>
  <si>
    <t>16 MB dictionary</t>
  </si>
  <si>
    <t>CP Shrink</t>
  </si>
  <si>
    <t>/A</t>
  </si>
  <si>
    <t>NSK (NaShrinK)</t>
  </si>
  <si>
    <t>MS COMPRESS 2</t>
  </si>
  <si>
    <t>WinMPQ 1.54</t>
  </si>
  <si>
    <t>Auto-Picks the best m..</t>
  </si>
  <si>
    <t>ZCM 0.50</t>
  </si>
  <si>
    <t>-v -s -m7</t>
  </si>
  <si>
    <t>Microsoft Compress 2.0 (1992)</t>
  </si>
  <si>
    <t>Microsoft Compress 1.02 (1993) -a3</t>
  </si>
  <si>
    <t>Microsoft Compress 1.11 (1999) -a3</t>
  </si>
  <si>
    <t>.ta$</t>
  </si>
  <si>
    <t>.doz</t>
  </si>
  <si>
    <t>.comprox</t>
  </si>
  <si>
    <t>LZDS 2.0 ('99) -m5 -s1024 D.Subbotin</t>
  </si>
  <si>
    <t>PreComp 0.4.3 Christian Schneider</t>
  </si>
  <si>
    <t>.WEBP 0.20 lossless (cwebp.exe, 16.08.2012)</t>
  </si>
  <si>
    <t>.WEBP 0.13 exp. lossless (png2webpll.exe, 18.11.2011) -c 0</t>
  </si>
  <si>
    <t>.JPG (LIBJPEG 8d, 2012 06, Thomas Richter) -c -p -q 100 (lossless)</t>
  </si>
  <si>
    <t>.JPG (LIBJPEG 8d, 2012 09, Thomas Richter) -ls 0 -c (lossless)</t>
  </si>
  <si>
    <t>.JLS (JPEG-LS; CharLS -encodepnm in.ppm out.jls) 03.11.2010</t>
  </si>
  <si>
    <t>.JLS (jpegls.8bi, color transform R-=G, B-=G, 21.11.2001, lossless)</t>
  </si>
  <si>
    <t>.JLS (jpegls.8bi, color transform B-=(R+G)/2, 21.11.2001, lossless)</t>
  </si>
  <si>
    <t>.CPD (PhotoK 0.1.0.1, www.kandalu.net, 30.07.2009) lossless</t>
  </si>
  <si>
    <t>SAC 0.0.6a4 (05.08.2007) --insane Sebastian</t>
  </si>
  <si>
    <t>is a descendant of the</t>
  </si>
  <si>
    <t>MMA 0.0a3 (09.08.2008) Christian Martelock</t>
  </si>
  <si>
    <t>think that lossless</t>
  </si>
  <si>
    <t>media compression</t>
  </si>
  <si>
    <t>is outdated and should</t>
  </si>
  <si>
    <t>you'd better think</t>
  </si>
  <si>
    <t>it over - newspapers,</t>
  </si>
  <si>
    <t>VHS video recordings,</t>
  </si>
  <si>
    <t>vinyl recordings,</t>
  </si>
  <si>
    <t>it exists. Our computers</t>
  </si>
  <si>
    <t>offer everlasting storage</t>
  </si>
  <si>
    <t>of data, and also offers</t>
  </si>
  <si>
    <t>lossless compression -</t>
  </si>
  <si>
    <t>so why reduce quality</t>
  </si>
  <si>
    <t>files straight from the</t>
  </si>
  <si>
    <t>beginning?</t>
  </si>
  <si>
    <t>DGCA 1.00 - 1.10e (2004-2006) Shin-ichi Tsuruta</t>
  </si>
  <si>
    <t>here</t>
  </si>
  <si>
    <t>726.8 sec</t>
  </si>
  <si>
    <t>197.1 sec</t>
  </si>
  <si>
    <t>216.6 sec</t>
  </si>
  <si>
    <t>497.4 sec</t>
  </si>
  <si>
    <t>get it:</t>
  </si>
  <si>
    <t>CCMx 1.30c (24.04.2008) (option 7)  Christian Martelock</t>
  </si>
  <si>
    <t>Real Audio Lossless (Real Player Basic 15.0.6 (.ra)</t>
  </si>
  <si>
    <t>WinZip 16.5.10095 (ZIPX) best method</t>
  </si>
  <si>
    <t>FreeARC 0.67 ultra (2012) Bulat Ziganshin</t>
  </si>
  <si>
    <t>NanoZip 0.09α -cc -m2g (04.11.2011) Sami Runsas</t>
  </si>
  <si>
    <t>PAQ8pxd_v4 (19.04.2012) -7 -worldwide PAQ crew-</t>
  </si>
  <si>
    <t>OSQ Steinberg Wavelab 6 Essentials Original Sound Quality</t>
  </si>
  <si>
    <t>mp3HD commandline Encoder 1.5.0 02.02.2010) Fraunhofer IIS</t>
  </si>
  <si>
    <t>GZIP 1.3.12 (-9) (15.10.2007) Jean-Loup Gailly &amp; Mark Adler</t>
  </si>
  <si>
    <t>LTAC block length = 4096, (1998) Tilman Liebchen</t>
  </si>
  <si>
    <t>SONY Perfect Clarity Audio .PCA (Sound Forge Pro 10 Trial)</t>
  </si>
  <si>
    <t>table 1 of 2</t>
  </si>
  <si>
    <t>table 2 of 2</t>
  </si>
  <si>
    <t>STUFFIT 15 API 2.0.672.3563 (sitx) --comp-spec=2,25,2,1,+</t>
  </si>
  <si>
    <t>a-Pac 1.0 (09.02.1998)</t>
  </si>
  <si>
    <t>VOCPACK 1.0 (02.03.1993) Nicola Ferioli</t>
  </si>
  <si>
    <t>WavArc 1.1 (01.08.1997) -c5 (5ELP) Dennis Lee</t>
  </si>
  <si>
    <t>ADA 1.0 (1999) Advanced Digital Audio 1999, option 0</t>
  </si>
  <si>
    <t>AudioZIP 3 (31.10.2000) Daniel Cheong &amp; Desmond Ang</t>
  </si>
  <si>
    <t>Shorten 3.51-3.61 -c 2 -r 32.0 (14.02.2003) Tony Robinson</t>
  </si>
  <si>
    <t>MUSIcompress 3.0 (07.12.2001) Al Wegener</t>
  </si>
  <si>
    <t>Bonk lossless, predictor=512; Fre:ac (2010) Robert Kausch</t>
  </si>
  <si>
    <t>UHARC 0.6b (PPM, 32MB dict., Multimedia ) U. Herklotz</t>
  </si>
  <si>
    <t>WinAce 2.69 Final (4096 KB dict + Delta) Marcel Lemke</t>
  </si>
  <si>
    <t>DAKX Wav32 1.0 (13.12.1999) D. A. Kopf</t>
  </si>
  <si>
    <t>Litewave 1.0.011 (25.04.2002) ClearJump</t>
  </si>
  <si>
    <t>WinRar x64 4.20 (2012) (4096 KB dictionary + Delta) Eugene Roshal</t>
  </si>
  <si>
    <t>MIO COMPRESS 1.0 (23.10.2003) Leshade Entis</t>
  </si>
  <si>
    <t>Charlie 1.32-1.4 (23.11.2000) - v1.4 (01.06.2004) Aleksi Eeben</t>
  </si>
  <si>
    <t>VOCPACK 2.0 (01.09.1993) (-2 -6) Nicola Ferioli</t>
  </si>
  <si>
    <t>MultitrackStudio Lite 7.1 (2012) .GJS Bremmers Audio Design</t>
  </si>
  <si>
    <t>mkw Audio Compression Tool 0.97 Michael K. Weise</t>
  </si>
  <si>
    <t>runs for days</t>
  </si>
  <si>
    <t>SONICLS (Audacity + FFMPEG lossless audio coder; experimental)</t>
  </si>
  <si>
    <t>KrishnaSoft Sound Processing Software 1.0 (06.06.00) ELS-ultra</t>
  </si>
  <si>
    <t>KrishnaSoft Sound Processing Software 1.0 (06.06.00) ELS-arithmetic</t>
  </si>
  <si>
    <t>SONARC 2.1i (27.06.1994) -F4096 -O0 -S2 -X Speech Compression</t>
  </si>
  <si>
    <t>Flashzip 0.99d1b -m9 -b7 -s (2009) N.F. Antonio</t>
  </si>
  <si>
    <t>226.1 sec</t>
  </si>
  <si>
    <t>205.4 sec</t>
  </si>
  <si>
    <t xml:space="preserve">   uncompressed size</t>
  </si>
  <si>
    <t>Shun Ward • Stripper Luv</t>
  </si>
  <si>
    <t>Smooth Genestar • The Source</t>
  </si>
  <si>
    <t>Caalamus • Blues Alley</t>
  </si>
  <si>
    <t>Crystal Newton • Declaration Of Love</t>
  </si>
  <si>
    <t>Ändy • Have you seen the lizards</t>
  </si>
  <si>
    <t>New Age Hippies • Metamorphosia</t>
  </si>
  <si>
    <t>ACAPELLA</t>
  </si>
  <si>
    <t>AMBIENT</t>
  </si>
  <si>
    <t>BLUES</t>
  </si>
  <si>
    <t>POP</t>
  </si>
  <si>
    <t>ROCK</t>
  </si>
  <si>
    <t>TRANCE</t>
  </si>
  <si>
    <r>
      <t xml:space="preserve"> Co</t>
    </r>
    <r>
      <rPr>
        <b/>
        <sz val="36"/>
        <color rgb="FFF4910C"/>
        <rFont val="Arial Unicode MS"/>
        <family val="2"/>
      </rPr>
      <t>നP</t>
    </r>
    <r>
      <rPr>
        <sz val="48"/>
        <color rgb="FFF4910C"/>
        <rFont val="Arial Unicode MS"/>
        <family val="2"/>
      </rPr>
      <t>ʀеssiהʛ αʟreaδʏ  Co</t>
    </r>
    <r>
      <rPr>
        <b/>
        <sz val="36"/>
        <color rgb="FFF4910C"/>
        <rFont val="Arial Unicode MS"/>
        <family val="2"/>
      </rPr>
      <t>നP</t>
    </r>
    <r>
      <rPr>
        <sz val="48"/>
        <color rgb="FFF4910C"/>
        <rFont val="Arial Unicode MS"/>
        <family val="2"/>
      </rPr>
      <t>ʀеsseδ  Fiʟes</t>
    </r>
  </si>
  <si>
    <r>
      <rPr>
        <sz val="48"/>
        <color rgb="FFF4910C"/>
        <rFont val="Old English Text MT"/>
        <family val="4"/>
      </rPr>
      <t>C</t>
    </r>
    <r>
      <rPr>
        <sz val="36"/>
        <color rgb="FFF4910C"/>
        <rFont val="Old English Text MT"/>
        <family val="4"/>
      </rPr>
      <t>oനP</t>
    </r>
    <r>
      <rPr>
        <sz val="48"/>
        <color rgb="FFF4910C"/>
        <rFont val="Old English Text MT"/>
        <family val="4"/>
      </rPr>
      <t xml:space="preserve">ʀеssiהʛ </t>
    </r>
    <r>
      <rPr>
        <sz val="48"/>
        <color rgb="FFF4910C"/>
        <rFont val="Arial Unicode MS"/>
        <family val="2"/>
      </rPr>
      <t>Շ</t>
    </r>
    <r>
      <rPr>
        <sz val="48"/>
        <color rgb="FFF4910C"/>
        <rFont val="Old English Text MT"/>
        <family val="4"/>
      </rPr>
      <t>exτ iה Di</t>
    </r>
    <r>
      <rPr>
        <sz val="36"/>
        <color rgb="FFF4910C"/>
        <rFont val="Old English Text MT"/>
        <family val="4"/>
      </rPr>
      <t>FF</t>
    </r>
    <r>
      <rPr>
        <sz val="48"/>
        <color rgb="FFF4910C"/>
        <rFont val="Old English Text MT"/>
        <family val="4"/>
      </rPr>
      <t>eʀeהτ L</t>
    </r>
    <r>
      <rPr>
        <sz val="48"/>
        <color rgb="FFF4910C"/>
        <rFont val="Arial Unicode MS"/>
        <family val="2"/>
      </rPr>
      <t>α</t>
    </r>
    <r>
      <rPr>
        <sz val="48"/>
        <color rgb="FFF4910C"/>
        <rFont val="Old English Text MT"/>
        <family val="4"/>
      </rPr>
      <t>הʛuαʛes</t>
    </r>
  </si>
  <si>
    <t>422.8 sec</t>
  </si>
  <si>
    <t>￭ streams: PCM, 2ch, 24 Bit @ 96kHz, 4608 kbps</t>
  </si>
  <si>
    <t>DRUM &amp; BASS</t>
  </si>
  <si>
    <t>Pendulum • The Island Pt.1 (Dawn)</t>
  </si>
  <si>
    <t>320.1 sec</t>
  </si>
  <si>
    <t>ELECTRONIC</t>
  </si>
  <si>
    <t>Tony McCoy • Electric Summer</t>
  </si>
  <si>
    <t>304.0 sec</t>
  </si>
  <si>
    <t>EUROPOP</t>
  </si>
  <si>
    <t>David Dupplaw • OpenIMAJ</t>
  </si>
  <si>
    <t>446.3 sec</t>
  </si>
  <si>
    <t>Brunette Models • Atlantis</t>
  </si>
  <si>
    <t>SONY ATRAC Advanced Lossless .AA3 (Sound Forge Pro 10 Trial)</t>
  </si>
  <si>
    <t>Squeez 5.63 (2008) SQX2 ultra 32 MB auto (SpeedCommander 14)</t>
  </si>
  <si>
    <r>
      <t>*</t>
    </r>
    <r>
      <rPr>
        <sz val="12"/>
        <color rgb="FFFF0000"/>
        <rFont val="Arial Unicode MS"/>
        <family val="2"/>
      </rPr>
      <t xml:space="preserve"> ☺</t>
    </r>
    <r>
      <rPr>
        <sz val="12"/>
        <color theme="0" tint="-0.499984740745262"/>
        <rFont val="Arial Unicode MS"/>
        <family val="2"/>
      </rPr>
      <t xml:space="preserve"> </t>
    </r>
    <r>
      <rPr>
        <sz val="12"/>
        <rFont val="Arial Unicode MS"/>
        <family val="2"/>
      </rPr>
      <t>this symbol means that source codes for that codec is available.</t>
    </r>
  </si>
  <si>
    <t>* tags had to be removed to make input readable for all codecs.</t>
  </si>
  <si>
    <r>
      <t>Lossʟess I</t>
    </r>
    <r>
      <rPr>
        <sz val="36"/>
        <color rgb="FFF4910C"/>
        <rFont val="Arial Unicode MS"/>
        <family val="2"/>
      </rPr>
      <t>ന</t>
    </r>
    <r>
      <rPr>
        <sz val="48"/>
        <color rgb="FFF4910C"/>
        <rFont val="Arial Unicode MS"/>
        <family val="2"/>
      </rPr>
      <t>αʛе Co</t>
    </r>
    <r>
      <rPr>
        <sz val="36"/>
        <color rgb="FFF4910C"/>
        <rFont val="Arial Unicode MS"/>
        <family val="2"/>
      </rPr>
      <t>നP</t>
    </r>
    <r>
      <rPr>
        <sz val="48"/>
        <color rgb="FFF4910C"/>
        <rFont val="Arial Unicode MS"/>
        <family val="2"/>
      </rPr>
      <t>ʀеssioה</t>
    </r>
  </si>
  <si>
    <t>origin:</t>
  </si>
  <si>
    <t>CANON</t>
  </si>
  <si>
    <t>FUJI</t>
  </si>
  <si>
    <t>OLYMPUS</t>
  </si>
  <si>
    <t>RADIOGRAPH</t>
  </si>
  <si>
    <t>SIGMA</t>
  </si>
  <si>
    <t>SONY</t>
  </si>
  <si>
    <t>HUBBLE</t>
  </si>
  <si>
    <t>sensor:</t>
  </si>
  <si>
    <t>metadata:</t>
  </si>
  <si>
    <t>Bayer • 22.3x14.9mm</t>
  </si>
  <si>
    <t>Stephan Busch</t>
  </si>
  <si>
    <t>Mark Goldstein</t>
  </si>
  <si>
    <t>Bayer •   23.6×15.8mm</t>
  </si>
  <si>
    <t>Bayer • 17.3×13.0mm</t>
  </si>
  <si>
    <t>CDC/Dr. L.K.Georg</t>
  </si>
  <si>
    <t>X-Ray</t>
  </si>
  <si>
    <t>EXIF ITPC ICC GPS</t>
  </si>
  <si>
    <r>
      <t xml:space="preserve">EXIF ITPC ICC </t>
    </r>
    <r>
      <rPr>
        <sz val="8"/>
        <color theme="0" tint="-0.14999847407452621"/>
        <rFont val="Arial"/>
        <family val="2"/>
      </rPr>
      <t>GPS</t>
    </r>
  </si>
  <si>
    <r>
      <t>EXIF</t>
    </r>
    <r>
      <rPr>
        <sz val="8"/>
        <color theme="0" tint="-0.14999847407452621"/>
        <rFont val="Arial"/>
        <family val="2"/>
      </rPr>
      <t xml:space="preserve"> ITPC ICC GPS</t>
    </r>
  </si>
  <si>
    <t>Bayer • unknown size</t>
  </si>
  <si>
    <t>Foveon X3 • 20.7×13.8mm</t>
  </si>
  <si>
    <t>creator:</t>
  </si>
  <si>
    <t>STSCI</t>
  </si>
  <si>
    <t>.RKI RKIM 1.06 (08.01.2000) cx (input=tga)</t>
  </si>
  <si>
    <t>.UHI UHIC 2.0 (27.12.1999) m (input=bmp)</t>
  </si>
  <si>
    <t>.RKI RKIM 1.06 (08.01.2000) c (input=tga)</t>
  </si>
  <si>
    <t>RAW Image Format (from which the .TIFF here comes)</t>
  </si>
  <si>
    <t xml:space="preserve">FreeARC 0.67 ultra (2012) Bulat Ziganshin </t>
  </si>
  <si>
    <t>.UHI UHIC 2.0 (27.12.1999) e (input=bmp)</t>
  </si>
  <si>
    <t>.J2K JPEG2000 (Lossless)</t>
  </si>
  <si>
    <t>.JXR JPEG-XR (Zoner Photo Studio 14 free) Quality 100</t>
  </si>
  <si>
    <t>.APT v 1.0 (25.3.2004) (input=bmp) John Robinson</t>
  </si>
  <si>
    <t>.BTP BTPC 5 (EPIC 24 v0.1b) (2003) (input=bmp)John Robinson</t>
  </si>
  <si>
    <t>QBIT 1.0.0.10 (22.05.2002) Daniel Kilbank</t>
  </si>
  <si>
    <t>.OpenEXR 1.20-1.40 Format (PIZ Mode) Industrial Light &amp; Magic</t>
  </si>
  <si>
    <t>SBC Archiver 0.970r3 (2008) -m3 -b63 -os Sami J. Makinen</t>
  </si>
  <si>
    <t>MEDICAL</t>
  </si>
  <si>
    <t>CALICa (29.04.1997) Xiaolin Wu</t>
  </si>
  <si>
    <t>.PWC Piecewise Constant Image Model (20.11.1999) Paul Ausbeck</t>
  </si>
  <si>
    <t>.DCM DICOM 3.0 (Medical Image Format)</t>
  </si>
  <si>
    <t>Janice Carr</t>
  </si>
  <si>
    <t>PPMonstr var J -m800 -r0 (16.02.2006) Dmitry Shkarin</t>
  </si>
  <si>
    <t>Electron Micro- scope • blood cells</t>
  </si>
  <si>
    <t>EXIF ITPC XMP GPS</t>
  </si>
  <si>
    <t>CT • catheter</t>
  </si>
  <si>
    <t>MRI • shoulder</t>
  </si>
  <si>
    <t>GE Medical Systems</t>
  </si>
  <si>
    <t>￭ streams: grayscale, 8 bit in .PGM format</t>
  </si>
  <si>
    <t>MM07R R4.3</t>
  </si>
  <si>
    <t>Guimi</t>
  </si>
  <si>
    <t>Ultrasound • fetus, 17 weeks old</t>
  </si>
  <si>
    <t>.JPG (JPEG 9; cjpeg -block 1 -arithmetic) 19.05.2012, lossless</t>
  </si>
  <si>
    <t>.GPD (PhotoK 0.1.0.1, www.kandalu.net, 30.07.2009) lossless</t>
  </si>
  <si>
    <t>.JLS (jpegls.8bi, no color transform, 21.11.2001, lossless)</t>
  </si>
  <si>
    <t>.YPC WhyPic 1.2 -9 (05.12.1998) Osamu Yamaji (input=bmp)</t>
  </si>
  <si>
    <t>.BMF v2.01 (24.05.2010) -S Dmitry Shkarin</t>
  </si>
  <si>
    <t>* for SLP, MRP and LSP codec the image 'blood.pgm' was resized to 2032x1920; 'fetus' was resized to 944x712 because those codecs image width and height need to be multiples of 8.</t>
  </si>
  <si>
    <t>.PNG OPTIPNG 0.71 HG -o7 (19.03.2012) Cosmin Truta</t>
  </si>
  <si>
    <t>.PNG PNGCRUSH 1.7.15 -brute (26.04.'11) Glenn Randers-Pehrson</t>
  </si>
  <si>
    <t>.PNG PNGOUT /c0 (02.07.2011) Ken Silverman</t>
  </si>
  <si>
    <t>GLICBAWLS (2001) Bernd Meyer &amp; Peter Tischer</t>
  </si>
  <si>
    <t>.TVC NK 2beta (17.01.2010) Tomsk State University (input=bmp)</t>
  </si>
  <si>
    <t>EDP (Edge Directed Precision; 31.12.2000) Xin Li</t>
  </si>
  <si>
    <t>.JZZ PhotoJazz (18.08.2000, BitJazz Company)</t>
  </si>
  <si>
    <t>.PNG File Optimizer 1.70.104 (2012) Javier Gutiérrez Chamorro</t>
  </si>
  <si>
    <t>.JZZ PhotoJazz 2.0 (18.08.2000, BitJazz Company)</t>
  </si>
  <si>
    <t>ZPAQ 6.04 -add a.zpaq in.bmp -method bmp_j4 -tiny Matt Mahoney</t>
  </si>
  <si>
    <t>.BMF v2.01 (24.05.2010) no switches Dmitry Shkarin</t>
  </si>
  <si>
    <t>ARHANGEL 1.40 -mm -mf (18.01.2000) George Lyapko</t>
  </si>
  <si>
    <t>Pyramid Workshop 0.01dbg (cptpc.exe -q 100) (13.08.'06) N. Fröhling</t>
  </si>
  <si>
    <t>RICAZip 1.2 (CAPTEC, 12.05.2003)</t>
  </si>
  <si>
    <t>I have no trial</t>
  </si>
  <si>
    <t>.PGF / libPGF 6.12.24 (2004-2012) (lossless) (input=bmp)</t>
  </si>
  <si>
    <t>Distance Coder 1.24 -b16300el (13.04.2000) Edgar Binder</t>
  </si>
  <si>
    <t>Genuine Fractals Print Pro 5.x lossless www.lizardtech.com</t>
  </si>
  <si>
    <t>BMI Zoner Bitmap Image</t>
  </si>
  <si>
    <t xml:space="preserve">.J2K JPEG2000 (lossless) Kakadu 7.1 (25.06.2012) </t>
  </si>
  <si>
    <t xml:space="preserve">.J2K JPEG2000 (lossless) www.openjpeg.org 1.5.1 (25.06.2012) </t>
  </si>
  <si>
    <t>ZCM 0.60d -m7 -r -s (2012) Nania Francesco Antonio</t>
  </si>
  <si>
    <t>CoBALP (06.09.2002) fastest; Tilo Strutz</t>
  </si>
  <si>
    <t>CoBALP (06.09.2002) max.; Tilo Strutz</t>
  </si>
  <si>
    <t>* for ISA Compress and CoBALP, Windows XP emulator (VMLite + Microsoft's free WindowsXPMode.exe)  was used.</t>
  </si>
  <si>
    <t xml:space="preserve">* camera raw files were converted to .TIFF for the benchmark. For some codecs the input format was .BMP, .PPM, .RAS or .TGA (at the cost of metadata) - they don't support other formats. </t>
  </si>
  <si>
    <t>.IZ ImageZero 0.1 (23.03.2012) Christoph Feck</t>
  </si>
  <si>
    <t>.IZ ImageZero (23.03.2012) Christoph Feck</t>
  </si>
  <si>
    <t xml:space="preserve">    test data license:</t>
  </si>
  <si>
    <r>
      <t>Lossʟess Aυδio Co</t>
    </r>
    <r>
      <rPr>
        <b/>
        <sz val="36"/>
        <color rgb="FFF4910C"/>
        <rFont val="Arial Unicode MS"/>
        <family val="2"/>
      </rPr>
      <t>നP</t>
    </r>
    <r>
      <rPr>
        <sz val="48"/>
        <color rgb="FFF4910C"/>
        <rFont val="Arial Unicode MS"/>
        <family val="2"/>
      </rPr>
      <t>ʀеssioה</t>
    </r>
  </si>
  <si>
    <t>7-Zip x64 9.2.9 (0=delta:4 1=lzma2) Igor Pavlov</t>
  </si>
  <si>
    <t>7-Zip x64 9.2.9 (0=delta:6 1=lzma2) Igor Pavlov</t>
  </si>
  <si>
    <t>7-Zip x64 9.2.9 (0=delta:2 1=lzma2) Igor Pavlov</t>
  </si>
  <si>
    <t>program age in years</t>
  </si>
  <si>
    <t>average</t>
  </si>
  <si>
    <t>weighted</t>
  </si>
  <si>
    <t>.comprolz</t>
  </si>
  <si>
    <t>COMPROLZ 0.1.0 -b256 (2012) Zhang Li</t>
  </si>
  <si>
    <t>.shrinker</t>
  </si>
  <si>
    <t>Data-Shrinker (2012) Fu Siyuan</t>
  </si>
  <si>
    <t>ARBC2Z (2006) David A. Scott</t>
  </si>
  <si>
    <t>.arbc2z</t>
  </si>
  <si>
    <t>7-ZIP 9.2.9 no compression (store)</t>
  </si>
  <si>
    <t>TAR (Tape Archive) (2011) 7-Zip 9.29</t>
  </si>
  <si>
    <t>FPAQ 0pv4b M. Mahoney &amp; E.Shelwien</t>
  </si>
  <si>
    <t>symbol ranking</t>
  </si>
  <si>
    <t>.kwc</t>
  </si>
  <si>
    <t>DZO Compressor 0.1.1 beta Essenso Lab</t>
  </si>
  <si>
    <t>.dzo</t>
  </si>
  <si>
    <t>deduplication + LZMA</t>
  </si>
  <si>
    <t>KWC 0.0.3.3 (2010) Sportsman</t>
  </si>
  <si>
    <t>.tlzp</t>
  </si>
  <si>
    <t>http://mattmahoney.net/dc/text.html</t>
  </si>
  <si>
    <t>NTFS (file system compression)</t>
  </si>
  <si>
    <t>unchanged</t>
  </si>
  <si>
    <t>LZT (Lempel-Ziv-Tamayo)</t>
  </si>
  <si>
    <t>.lzt</t>
  </si>
  <si>
    <t>LZGT3a (2008) Gerald R. Tamayo</t>
  </si>
  <si>
    <t>.bpe2</t>
  </si>
  <si>
    <t>Byte Pair Encoding</t>
  </si>
  <si>
    <t>BPE2 v3 (2010) Will</t>
  </si>
  <si>
    <t>jTarsaLZP (2012) Piotr Tarsa</t>
  </si>
  <si>
    <t>.symbra</t>
  </si>
  <si>
    <t>Symbra 0.2 -c6 -m5 -p2 F. Schwellinger</t>
  </si>
  <si>
    <t>Power Archiver 13.02.04  7z opt.ultra solid</t>
  </si>
  <si>
    <t>LZMA / PPMd</t>
  </si>
  <si>
    <t>Contra 0.5 -b9 -r9 -m2 F. Schwellinger</t>
  </si>
  <si>
    <t>.contra</t>
  </si>
  <si>
    <t>order 1-2-3-6 context mixing</t>
  </si>
  <si>
    <t>.tinycm</t>
  </si>
  <si>
    <t>.tinylzp</t>
  </si>
  <si>
    <t>.lazy</t>
  </si>
  <si>
    <t>LAZY 1.0 option 5 (2012) Matt Mahoney</t>
  </si>
  <si>
    <t>RangeCoderC 1.8 c2 28 David Catt</t>
  </si>
  <si>
    <t>context mixing</t>
  </si>
  <si>
    <t>.range</t>
  </si>
  <si>
    <t>TinyCM 0.2 option 8 (2012) David Catt</t>
  </si>
  <si>
    <t>TinyLZP 0.1 (2012) David Catt</t>
  </si>
  <si>
    <t>bijective order-2 PPM</t>
  </si>
  <si>
    <t>SBC 0.970r3 -m3 -b63 -os Sami Makinen</t>
  </si>
  <si>
    <t>ZCM 0.70d -m7 -r -s (2012) N.F. Antonio</t>
  </si>
  <si>
    <t>http://soundcloud.com/cyan-music/new-age-hippies-metamorphosia</t>
  </si>
  <si>
    <t>AAC / MP4 [497.4 sec 2ch 44.1 kHz]</t>
  </si>
  <si>
    <t>320 kbps VBR</t>
  </si>
  <si>
    <t>WinZip 16.5.10095 legacy Deflate 2.0 (2012)</t>
  </si>
  <si>
    <t>STUFFIT 14.0.1 (sitx) LZARI 5:27</t>
  </si>
  <si>
    <t>ZPAQ 6.11 -method 4 2 Matt Mahoney</t>
  </si>
  <si>
    <t>LZHAM α7r1 -m4 -d29 -t7 -e -x R. Geldreich, Jr.</t>
  </si>
  <si>
    <t>BZIP2 1.0.6 (2011) -9 Julian Seward</t>
  </si>
  <si>
    <t>HexZip (M. Isenburg &amp; P. Lindstrom) + ZLIB</t>
  </si>
  <si>
    <t>SCIENTIFIC DATA (thanks to Martin Burtscher &amp; P. Ratanaworabhan and their paper 'High Throughput Compression of Double-Precision Floating-Point Data')</t>
  </si>
  <si>
    <t>WinRar 4.20 (auto 4MB + delta) E Roshal</t>
  </si>
  <si>
    <t>DGCA 1.00 - 1.10e Shin-ichi Tsuruta</t>
  </si>
  <si>
    <t>PPMonstr var J -m800 Dmitry Shkarin</t>
  </si>
  <si>
    <t>NanoZip 0.09α -cc -m2g Sami Runsas</t>
  </si>
  <si>
    <t xml:space="preserve">FreeARC 0.67 ultra Bulat Ziganshin </t>
  </si>
  <si>
    <t>WinAce 2.69 (4MB dict + delta) M. Lemke</t>
  </si>
  <si>
    <t>UHARC 0.6b -mm+ -mx 32MB U. Herklotz</t>
  </si>
  <si>
    <t>PAQ8pxd_v4 (2012) -7  ww PAQ crew</t>
  </si>
  <si>
    <t>GUI</t>
  </si>
  <si>
    <r>
      <rPr>
        <sz val="12"/>
        <rFont val="Arial Unicode MS"/>
        <family val="2"/>
      </rPr>
      <t>*</t>
    </r>
    <r>
      <rPr>
        <sz val="12"/>
        <color theme="0" tint="-0.499984740745262"/>
        <rFont val="Arial Unicode MS"/>
        <family val="2"/>
      </rPr>
      <t xml:space="preserve"> grey colored programs </t>
    </r>
    <r>
      <rPr>
        <sz val="12"/>
        <rFont val="Arial Unicode MS"/>
        <family val="2"/>
      </rPr>
      <t>are 16 bit MS-DOS compiles that were run on DosBox 0.74 Emulator as native 64 bit Windows cannot run them anymore.</t>
    </r>
  </si>
  <si>
    <r>
      <rPr>
        <sz val="12"/>
        <rFont val="Arial"/>
        <family val="2"/>
      </rPr>
      <t xml:space="preserve">* </t>
    </r>
    <r>
      <rPr>
        <b/>
        <sz val="8"/>
        <color indexed="17"/>
        <rFont val="Arial"/>
        <family val="2"/>
      </rPr>
      <t xml:space="preserve">GUI </t>
    </r>
    <r>
      <rPr>
        <sz val="12"/>
        <rFont val="Arial"/>
        <family val="2"/>
      </rPr>
      <t xml:space="preserve">means that this program has a graphical user interface; </t>
    </r>
    <r>
      <rPr>
        <sz val="12"/>
        <color rgb="FFFF0000"/>
        <rFont val="Arial"/>
        <family val="2"/>
      </rPr>
      <t>◦</t>
    </r>
    <r>
      <rPr>
        <sz val="12"/>
        <rFont val="Arial"/>
        <family val="2"/>
      </rPr>
      <t xml:space="preserve"> means it doesn't have a graphical user interface.</t>
    </r>
  </si>
  <si>
    <r>
      <t xml:space="preserve">* </t>
    </r>
    <r>
      <rPr>
        <sz val="12"/>
        <color rgb="FF0000FF"/>
        <rFont val="Arial Unicode MS"/>
        <family val="2"/>
      </rPr>
      <t>blue colored result</t>
    </r>
    <r>
      <rPr>
        <sz val="12"/>
        <rFont val="Arial Unicode MS"/>
        <family val="2"/>
      </rPr>
      <t>s mean that the archive content cannot be restored losslessly.</t>
    </r>
  </si>
  <si>
    <t>PeaZip 3.3 .7z ultra + adv filters G. Tani</t>
  </si>
  <si>
    <t>PAQ7 (24.12.2005) -5 Matt Mahoney</t>
  </si>
  <si>
    <t>MTF + Elias Gamma</t>
  </si>
  <si>
    <t>.smi</t>
  </si>
  <si>
    <t xml:space="preserve">    test data license: public domain</t>
  </si>
  <si>
    <t>ZPAQ 6.15 -method 4 Matt Mahoney</t>
  </si>
  <si>
    <t>SMILE256 -e (2004) Andrew Frolov</t>
  </si>
  <si>
    <t>FLASHZIP 1.1.0 (2012) -r -s -mx3 -k7 -b1024</t>
  </si>
  <si>
    <t>SONG FORMATS (MODULE TRACKERS)</t>
  </si>
  <si>
    <t>http://modarchive.org/data/downloads.php?moduleid=167157#radix_-_yuki_satellites.xm</t>
  </si>
  <si>
    <t>XM (Fast Tracker Module) [4:26] [102 .WAV samples, 8-bit + 16-bit mono]</t>
  </si>
  <si>
    <t xml:space="preserve">  - converted to Renoise 2.8.1 format</t>
  </si>
  <si>
    <t xml:space="preserve">  - converted to OpenMPT 1.20 format</t>
  </si>
  <si>
    <t xml:space="preserve">  - converted to Psycle 1.10 format</t>
  </si>
  <si>
    <t>MPTM (OpenMPT Module) [4:35] [47 .WAV samples, 16-bit mono + stereo]</t>
  </si>
  <si>
    <t>http://sagamusix.de/download/starlit_night/mod/</t>
  </si>
  <si>
    <t xml:space="preserve">  - converted to MO3 2.4 lossless format</t>
  </si>
  <si>
    <t xml:space="preserve">  - converted to MadTracker 2.6 format</t>
  </si>
  <si>
    <r>
      <t xml:space="preserve">IT (Impulse Tracker Module) [12:18] </t>
    </r>
    <r>
      <rPr>
        <b/>
        <sz val="10"/>
        <rFont val="Arial"/>
        <family val="2"/>
      </rPr>
      <t>[37 .WAV samples, 16-bit mono + stereo]</t>
    </r>
  </si>
  <si>
    <t>STUFFIT 15 API 2.0.672.3563 (sitx) --comp-spec=11,25,2,1,+</t>
  </si>
  <si>
    <t>BSC 3.1.0 -b1024rsca -m8 -H28 -M255 I. Grebnov</t>
  </si>
  <si>
    <t>7-Zip 9.3.0 (lzma2, 96MB ultra) I. Pavlov</t>
  </si>
  <si>
    <t>http://sagamusix.de/download/discovery/mod/</t>
  </si>
  <si>
    <t>IMAGE FORMATS (RAW Camera Images)</t>
  </si>
  <si>
    <t>http://img.photographyblog.com/reviews/canon_eos_7d/sample_images/canon_eos_7d_05.cr2</t>
  </si>
  <si>
    <t>http://img.photographyblog.com/reviews/nikon_d3x/sample_images/nikon_d3x_08.nef</t>
  </si>
  <si>
    <t>http://www.squeezechart.com/DSC00347.ARW</t>
  </si>
  <si>
    <t xml:space="preserve">  - converted to TIFF/deflate format</t>
  </si>
  <si>
    <t xml:space="preserve">  - converted to JPEG2000 lossless format</t>
  </si>
  <si>
    <t>ZPAQ 6.15 -method 4 2 Matt Mahoney</t>
  </si>
  <si>
    <r>
      <t xml:space="preserve">* </t>
    </r>
    <r>
      <rPr>
        <sz val="12"/>
        <color rgb="FFFF0000"/>
        <rFont val="Arial Unicode MS"/>
        <family val="2"/>
      </rPr>
      <t>red colored results</t>
    </r>
    <r>
      <rPr>
        <sz val="12"/>
        <rFont val="Arial Unicode MS"/>
        <family val="2"/>
      </rPr>
      <t xml:space="preserve"> mean that the input file cannot be restored bitwise identical.</t>
    </r>
  </si>
  <si>
    <t>STUFFIT 15 API 2.0.672.3563 (sitx) --comp-spec=11,27,2,1,+</t>
  </si>
  <si>
    <t xml:space="preserve">  - converted to PNG format</t>
  </si>
  <si>
    <t xml:space="preserve">  - converted to JPEG-XR format</t>
  </si>
  <si>
    <t>7-Zip 9.3.0 + m7zRepacker</t>
  </si>
  <si>
    <t>.RWZ RAWZOR 0.47 beta Sachin Garg</t>
  </si>
  <si>
    <t>NIKON D3X RAW Image (.NEF)</t>
  </si>
  <si>
    <t>SONY A55 RAW Image (.ARW)</t>
  </si>
  <si>
    <t>CANON EOS 7D RAW Image (.CR2)</t>
  </si>
  <si>
    <t>uncompressed</t>
  </si>
  <si>
    <t>SIGMA DP2 RAW image (.X3F)</t>
  </si>
  <si>
    <t>http://img.photographyblog.com/reviews/fujifilm_x_e1/sample_images/fujifilm_x_e1_20.raf</t>
  </si>
  <si>
    <t>FUJIFILM X E1 RAW image (.RAF)</t>
  </si>
  <si>
    <t>lossless JPEG variant</t>
  </si>
  <si>
    <t>lossless JPEG + filter</t>
  </si>
  <si>
    <t>OLYMPUS E-PM2 RAW image (.ORF)</t>
  </si>
  <si>
    <t>http://img.photographyblog.com/reviews/olympus_epm2/sample_images/olympus_epm2_16.orf</t>
  </si>
  <si>
    <t>http://www.squeezechart.com/SDIM1021.X3F</t>
  </si>
  <si>
    <t>compressed</t>
  </si>
  <si>
    <t>COMPROX 0.11.0 ('12) -b200 -F -f Zhang Li</t>
  </si>
  <si>
    <t xml:space="preserve">  - converted to DNG 1.4 (cmp., not linear)</t>
  </si>
  <si>
    <t>ORIGINAL FILE unpacked</t>
  </si>
  <si>
    <t xml:space="preserve">ORIGINAL FILE unpacked </t>
  </si>
  <si>
    <t>.PDN Paint.net File Format</t>
  </si>
  <si>
    <t>.XCF GIMP 2.8.2 Image Format</t>
  </si>
  <si>
    <t>.PSP Paintshop Pro Image (LZ77) (Corel Corporation)</t>
  </si>
  <si>
    <t>.PFI PhotoFiltre Studio X 10.7.3 (01.12.2012)</t>
  </si>
  <si>
    <t>.TGA TARGA Format (RLE) (XnView 1.99.6)</t>
  </si>
  <si>
    <t>.TIFF/deflate Format (XnView 1.99.6)</t>
  </si>
  <si>
    <t>.PNG Format (LZ77) (XnView 1.99.6)</t>
  </si>
  <si>
    <t>.LWF LuraWave Format (lossless) (XnView 1.99.6)</t>
  </si>
  <si>
    <t>.KRO Kolor RAW Format  (XnView 1.99.6)</t>
  </si>
  <si>
    <t>.IFF Explore (TDI) &amp; Maya File Format (RLE) (XnView 1.99.6)</t>
  </si>
  <si>
    <t>.PIC Softimage File Format (RLE) (XnView 1.99.6)</t>
  </si>
  <si>
    <t>.RGB Silicon Graphics File Format (RLE) (XnView 1.99.6)</t>
  </si>
  <si>
    <t>.TIFF/packbits (lossless) (XnView 1.99.6)</t>
  </si>
  <si>
    <t>.PCX Zsoft Publisher's Paintbrush Format (RLE) (XnView 1.99.6)</t>
  </si>
  <si>
    <t>.RWZ RAWZOR 0.47 (lossless) Sachin Garg 2010</t>
  </si>
  <si>
    <t>.BMP Windows Bitmap (RLE) (XnView 1.99.6)</t>
  </si>
  <si>
    <t>.TIFF (uncompressed) (XnView 1.99.6)</t>
  </si>
  <si>
    <t>.GIF GIF89a (XnView 1.99.6)</t>
  </si>
  <si>
    <t>.TIFF/lzw + predictor Format (XnView 1.99.6)</t>
  </si>
  <si>
    <t>.TIFF/lzw Format (XnView 1.99.6)</t>
  </si>
  <si>
    <t>.SLI StudioLine Photo Classic 3 Plus</t>
  </si>
  <si>
    <t>.MPZ MyPhotoZip 1.50 (04.04.2003) lossless</t>
  </si>
  <si>
    <t>Revision 8.0 (Web Version)</t>
  </si>
  <si>
    <t>.BIM Lossless Image Compressor 0.01 (13.01.2013) Ilya Muravyov</t>
  </si>
  <si>
    <t>LZR / PPM (o8, 768 MB) + filter</t>
  </si>
  <si>
    <t>RK 1.04.1a  -ts -T16384 -mx3 -M256 -sa -mwx -B12800</t>
  </si>
  <si>
    <t>info@squeezechart.com</t>
  </si>
  <si>
    <t>squeezechart@gmx.de</t>
  </si>
  <si>
    <r>
      <t xml:space="preserve">* </t>
    </r>
    <r>
      <rPr>
        <sz val="12"/>
        <color rgb="FF7030A0"/>
        <rFont val="Arial Unicode MS"/>
        <family val="2"/>
      </rPr>
      <t>lilac colored results</t>
    </r>
    <r>
      <rPr>
        <sz val="12"/>
        <rFont val="Arial Unicode MS"/>
        <family val="2"/>
      </rPr>
      <t xml:space="preserve"> in the row of 7-Zip, UHARC and Squeez mean that PPM was used for this testset.</t>
    </r>
  </si>
  <si>
    <t>￭ stream: PCM, 2ch, 16 Bit @ 44.1kHz, 1411.2 kbps</t>
  </si>
  <si>
    <t>.lpaq7e</t>
  </si>
  <si>
    <t>.lpaq9m</t>
  </si>
  <si>
    <t>Please contact me if you want to download a testset that is not online anymore.</t>
  </si>
  <si>
    <t>mailto:squeezechart (at) gmx.de</t>
  </si>
  <si>
    <t>.paq8o8p</t>
  </si>
  <si>
    <t>Precomp + Pred Arithmetic Coding</t>
  </si>
  <si>
    <t>.paq8px</t>
  </si>
  <si>
    <t>.paq8pxd</t>
  </si>
  <si>
    <t>.paq8o5</t>
  </si>
  <si>
    <t>.paq8o</t>
  </si>
  <si>
    <t>.paq8d</t>
  </si>
  <si>
    <t>.paq8jc</t>
  </si>
  <si>
    <t>.paq8l</t>
  </si>
  <si>
    <t>.fp8</t>
  </si>
  <si>
    <t>Czech Republic</t>
  </si>
  <si>
    <t>.paq8f</t>
  </si>
  <si>
    <t>.paq8i</t>
  </si>
  <si>
    <t>.paq8hp12</t>
  </si>
  <si>
    <t>.pasqda</t>
  </si>
  <si>
    <t>USA Russia Poland</t>
  </si>
  <si>
    <t>.paqar</t>
  </si>
  <si>
    <t>.uda</t>
  </si>
  <si>
    <t>.dur</t>
  </si>
  <si>
    <t>.paq6</t>
  </si>
  <si>
    <t>USA &amp; Russia &amp; Italy</t>
  </si>
  <si>
    <t>.paq7</t>
  </si>
  <si>
    <t>ASH 0.7 /m2200 /s255 /o32 E. Shelwien</t>
  </si>
  <si>
    <t>context mixing + filter</t>
  </si>
  <si>
    <t>.oca</t>
  </si>
  <si>
    <t>DMC + PPM + Match</t>
  </si>
  <si>
    <t>.paq4</t>
  </si>
  <si>
    <t>SCM 0.01 -p1 Sebastian Lehmann</t>
  </si>
  <si>
    <t>.scm</t>
  </si>
  <si>
    <t>BARRED -b 100 (2009) Frank Jennings</t>
  </si>
  <si>
    <t>RLE + BWT + MTF + Huffman</t>
  </si>
  <si>
    <t>Staticcomp 1.0 -c -g5 -b6 Tomas Benek</t>
  </si>
  <si>
    <t>.sc</t>
  </si>
  <si>
    <t>LCSSR 0.2 -b7 -l9 ('07) Frank Schwellinger</t>
  </si>
  <si>
    <t>.lcssr</t>
  </si>
  <si>
    <t>ASHFORD opt. 4 (1991) Charles Ashford</t>
  </si>
  <si>
    <t xml:space="preserve"> unknown -</t>
  </si>
  <si>
    <t>CTS 1.0 -depth 4 (2012) Joel Veness</t>
  </si>
  <si>
    <t>.faccts</t>
  </si>
  <si>
    <r>
      <t xml:space="preserve">* </t>
    </r>
    <r>
      <rPr>
        <sz val="12"/>
        <color rgb="FF7030A0"/>
        <rFont val="Arial Unicode MS"/>
        <family val="2"/>
      </rPr>
      <t>lilac colored results</t>
    </r>
    <r>
      <rPr>
        <sz val="12"/>
        <rFont val="Arial Unicode MS"/>
        <family val="2"/>
      </rPr>
      <t xml:space="preserve"> in the row of UHARC and 7-Zip mean that PPM was used for this testset.</t>
    </r>
  </si>
  <si>
    <t>AUDIO (WAV)</t>
  </si>
  <si>
    <t>Camera RAW</t>
  </si>
  <si>
    <t>an open testset that includes 25 camera raw images from 25 different cameras.</t>
  </si>
  <si>
    <t>an open testset that included 12 .WAV files licensed under creative commons license.</t>
  </si>
  <si>
    <t>an open testset that consisrs of the portable free open-sourced office suite called "Libre Office"</t>
  </si>
  <si>
    <t>CMM4 0.2b 96 (2008) Christopher Mattern</t>
  </si>
  <si>
    <t>GraLIC 1.11 demo (30.07.11) A. Rhatushnyak, Graystone CT Inc.</t>
  </si>
  <si>
    <t>FLIC 2.1 x64 (16.11.11) Alexander Rhatushnyak</t>
  </si>
  <si>
    <t>QLIC Quick Lossless Image Compressor 1.demo (2013) Alex Rhatushnyak</t>
  </si>
  <si>
    <t>ERI 5.1fre (02.02.2002) Alexander Rhatushnyak</t>
  </si>
  <si>
    <t>CAMERA RAW</t>
  </si>
  <si>
    <t>LZF 3.6 vf (2011) Marc Lehmann (fsbench)</t>
  </si>
  <si>
    <t>ST 0.81 -b (2012) Gedo Stefan</t>
  </si>
  <si>
    <t>BlakHole (2004) (WinHKI)</t>
  </si>
  <si>
    <t>ARJ 2.8 - 3.20  -m1 -r Robert K. Jung</t>
  </si>
  <si>
    <t>ARJZ 0.15 -mp9 -md26624 -mf16382</t>
  </si>
  <si>
    <t>PeaZip 3.3-4.7.2 .PEA better Giorgio Tani</t>
  </si>
  <si>
    <t>not updated regularly</t>
  </si>
  <si>
    <t>4x4 0.2 Option 5 (2008) Bulat Ziganshin</t>
  </si>
  <si>
    <t>4x4 0.2 Option 9 (2008) Bulat Ziganshin</t>
  </si>
  <si>
    <t>Stuffit 7.0-7.5 (2002) Aladdin Systems</t>
  </si>
  <si>
    <t>PBZIP2 1.1.7 -p8 -9 J.Seward &amp; J.Gilchrist</t>
  </si>
  <si>
    <t>ZZIP 0.36 -56m -mm -mx Damien Debin</t>
  </si>
  <si>
    <t>BMA 1.33 -m16m -a (2006) A. Cherenkov</t>
  </si>
  <si>
    <t>Distance Coder 1.24 -b16300el Edgar Binder</t>
  </si>
  <si>
    <t>ALZIP 8.5 .EGG solid, p. on ratio ESTSOFT</t>
  </si>
  <si>
    <t xml:space="preserve">LZHAM α6 -m4 -d29 -e -x R. Geldreich, Jr. </t>
  </si>
  <si>
    <t>LZHAM α7r1 -m4 -d29 -e -x R. Geldreich, Jr.</t>
  </si>
  <si>
    <t>Precomp 0.4.3 + 7-ZIP 9.3.0 ultra 128MB</t>
  </si>
  <si>
    <t>7-ZIP 9.3.0 LZMA2 ultra128:fb273:bt4:lc4</t>
  </si>
  <si>
    <t>.tqr</t>
  </si>
  <si>
    <t>STUFFIT 14.0.1.27 (2010) bit-perfect</t>
  </si>
  <si>
    <t>LZARI 5:28 / PPM 16:30</t>
  </si>
  <si>
    <t>not lossless</t>
  </si>
  <si>
    <t>UCL 1.03 M. Oberhumer (Simplyzip)</t>
  </si>
  <si>
    <t>LHARK 0.4d -tob (1997) Kerwin F. Medina</t>
  </si>
  <si>
    <t>LGHA 1.1g /c30000 /l16383 George Lyapko</t>
  </si>
  <si>
    <t>Arhangel 1.40  -1 -2 -mt -mm/5/8 -l31900 G. Lyapko</t>
  </si>
  <si>
    <t>LZMA2:128, PPMd:1024 o14, delta:3</t>
  </si>
  <si>
    <t>http://www.compressionratings.com/files/squeezechart_app.7z</t>
  </si>
  <si>
    <t>http://www.squeezechart.com/TEST_Audio.arc</t>
  </si>
  <si>
    <t>http://www.imagecompression.info/test_images/squeezechart_camera_raw.zip</t>
  </si>
  <si>
    <t>http://www.compressionratings.com/files/squeezechart_gutenberg.7z</t>
  </si>
  <si>
    <t>http://www.compressionratings.com/files/squeezechart_installer.7z</t>
  </si>
  <si>
    <t>http://www.compressionratings.com/files/squeezechart_mobile.7z</t>
  </si>
  <si>
    <t>http://www.compressionratings.com/files/squeezechart_pgm.7z</t>
  </si>
  <si>
    <t>http://www.compressionratings.com/files/squeezechart_src.7z</t>
  </si>
  <si>
    <t>http://www.compressionratings.com/files/squeezechart_xml.7z</t>
  </si>
  <si>
    <t>.sma</t>
  </si>
  <si>
    <t>packARC 0.7rc9 (2012) Matthias Stirner</t>
  </si>
  <si>
    <t>ZOPFLI --i5 (2013) Lode Vandevenne</t>
  </si>
  <si>
    <t>Switzerland</t>
  </si>
  <si>
    <t>.PPN PackPNM 1.4d (08.03.12) Matthias Stirner (input=PGM)</t>
  </si>
  <si>
    <t>MINIZ 1.14 -m10 (2012) Rich Geldreich</t>
  </si>
  <si>
    <t>.miniz</t>
  </si>
  <si>
    <t>Tornado 0.5 (fsbench) -11 Bulat Ziganshin</t>
  </si>
  <si>
    <t>ZCM 0.80 -m7 -r -s (2013) N.F. Antonio</t>
  </si>
  <si>
    <r>
      <t xml:space="preserve">* grey colored programs </t>
    </r>
    <r>
      <rPr>
        <sz val="10"/>
        <rFont val="Arial"/>
        <family val="2"/>
      </rPr>
      <t>are 16 bit MS-DOS compiles that were run on DosBox 0.74 Emulator as native 64 bit Windows cannot run them anymore.</t>
    </r>
  </si>
  <si>
    <r>
      <t>*</t>
    </r>
    <r>
      <rPr>
        <sz val="10"/>
        <color rgb="FFFF0000"/>
        <rFont val="Arial"/>
        <family val="2"/>
      </rPr>
      <t xml:space="preserve"> ☺</t>
    </r>
    <r>
      <rPr>
        <sz val="10"/>
        <color theme="0" tint="-0.499984740745262"/>
        <rFont val="Arial"/>
        <family val="2"/>
      </rPr>
      <t xml:space="preserve"> </t>
    </r>
    <r>
      <rPr>
        <sz val="10"/>
        <rFont val="Arial"/>
        <family val="2"/>
      </rPr>
      <t>this symbol means that source codes for that codec is available.</t>
    </r>
  </si>
  <si>
    <t>.BTP BTPC 5 (EPIC 24 v0.1b) (2003) (input=bmp) John Robinson</t>
  </si>
  <si>
    <t>PAQ8PXD_v6</t>
  </si>
  <si>
    <t>NanoZip 0.09 x64</t>
  </si>
  <si>
    <t>CM 2 GB</t>
  </si>
  <si>
    <t>ZCM 0.80</t>
  </si>
  <si>
    <t>PAQ8PXD_v5</t>
  </si>
  <si>
    <t>ZPAQ 6.28 x64</t>
  </si>
  <si>
    <t>-method 9</t>
  </si>
  <si>
    <t>.mcm</t>
  </si>
  <si>
    <t>SLIM 0.21 (2004) -w25 S. Voskoboynikov</t>
  </si>
  <si>
    <t>SLIM 0.23d -o16 -m800 S. Voskoboynikov</t>
  </si>
  <si>
    <t>=282+370+569+340+310+300+366+307+340+458+291+286+296+283+293+278+348+313+319+376+292+308+305+292+351+287+286+0+945+370+270+330</t>
  </si>
  <si>
    <t>MCM 0.3 -9 (2013) Matthieu Chartier</t>
  </si>
  <si>
    <t>TANGELO 1.0 (2013) Jan Ondrus</t>
  </si>
  <si>
    <t>.tan</t>
  </si>
  <si>
    <t>Fast CM + filter</t>
  </si>
  <si>
    <t>ZPAQ 6.33 -method 77 ('13) Matt Mahoney</t>
  </si>
  <si>
    <t>ZPAQ 6.23 -method 8 ('13) Matt Mahoney</t>
  </si>
  <si>
    <t>ZCM 0.88 -m7 -r -s (2013) N.F. Antonio</t>
  </si>
  <si>
    <t>BWT + CM</t>
  </si>
  <si>
    <t>LZPXJ 1.2h opt. 9 (2007) Ilya Muravyov</t>
  </si>
  <si>
    <t>TC 5.2 Dev 2 (2007) Ilya Muravyov</t>
  </si>
  <si>
    <t>BCM 0.14 (2013) c1000 Ilya Muravyov</t>
  </si>
  <si>
    <t>TC 5.1 Dev. 7x (512 MB) Ilya Muravyov</t>
  </si>
  <si>
    <t>LZPM 0.11 (02.09.07) -9 Ilya Muravyov</t>
  </si>
  <si>
    <t>TC 5.1 Dev 6 (2006) Ilya Muravyov</t>
  </si>
  <si>
    <t>PPMX 0.08 (2012) Ilya Muravyov</t>
  </si>
  <si>
    <t>QUAD 1.12 Final -x (2007) Ilya Muravyov</t>
  </si>
  <si>
    <t>PPMX 0.07 (2011) Ilya Muravyov</t>
  </si>
  <si>
    <t>PIM 1.25 (2006) Ilya Muravyov</t>
  </si>
  <si>
    <t>LZPXJ 1.0e (2006) Ilya Muravyov</t>
  </si>
  <si>
    <t>LZPX 1.5b (2005) Ilya Muravyov</t>
  </si>
  <si>
    <t>FCM3-RC (2008) Ilya Muravyov</t>
  </si>
  <si>
    <t>FCM2P3 (2008) Ilya Muravyov</t>
  </si>
  <si>
    <t>ULZ 0.2 (2010) c3 (normal) Ilya Muravyov</t>
  </si>
  <si>
    <t>TC 4.3 (2005) Ilya Muravyov</t>
  </si>
  <si>
    <t>LZW 0.2 (2008) Ilya Muravyov</t>
  </si>
  <si>
    <t>TANGELO 2.0 (2013) Jan Ondrus</t>
  </si>
  <si>
    <t>LZP + Fast CM</t>
  </si>
  <si>
    <t>Fast CM + E8E9</t>
  </si>
  <si>
    <t>Dedup. + Fast CM + filter</t>
  </si>
  <si>
    <t>LZMA2lc4:128; PPMd:1024 o10 + delta:3</t>
  </si>
  <si>
    <t>Dedup. + LZMA + PPMd + GRZip + TTA + delta</t>
  </si>
  <si>
    <t>Dedup. + LZMA + PPMd + GRZip + TTA</t>
  </si>
  <si>
    <t>PAQ9a -9 ('07) Matt Mahoney et al.</t>
  </si>
  <si>
    <t>LPAQ1 -9 (2007) Matt Mahoney et al.</t>
  </si>
  <si>
    <t>BIT 0.7 LWCX -P=5 Osman Turan</t>
  </si>
  <si>
    <t>UHARC 0.4 ('01) -mx/-m3 -mm+ U. Herklotz</t>
  </si>
  <si>
    <t>PAQ 8px68 -7 ('10) 'Matt Mahoney et al.' *star*</t>
  </si>
  <si>
    <t>PAQ 8o8pre -7 ('07) Matt Mahoney et al.</t>
  </si>
  <si>
    <t>PAQ 8oSSE v2 -8 ('07) Matt Mahoney et al.</t>
  </si>
  <si>
    <t>PAQ 8jc -7 (2006) Matt Mahoney et al.</t>
  </si>
  <si>
    <t>PAQ 8i (std dict.) -8 Matt Mahoney et al.</t>
  </si>
  <si>
    <t>PAQ 8d (2006) -8 (std dict.) Matt Mahoney et al.</t>
  </si>
  <si>
    <t>PAQAR 4 -8 (2004) Matt Mahoney et al.</t>
  </si>
  <si>
    <t>UDA 0.301 (2006) Dwing</t>
  </si>
  <si>
    <t>PAQ 6 -7 / KGB Archiver ('03) Matt Mahoney et al.</t>
  </si>
  <si>
    <t>WinUDA 0.291 Mode-3 (2005) Dwing</t>
  </si>
  <si>
    <t>PAQ 4 EmilCont Duritium Matt Mahoney et al.</t>
  </si>
  <si>
    <t>PAQ 7 -5 (2005) Matt Mahoney et al.</t>
  </si>
  <si>
    <t>PAQ 8px67-speed-opt. -7 Matt Mahoney et al.</t>
  </si>
  <si>
    <t>PAQ 8px69SSE -7 ('10) Matt Mahoney et al.</t>
  </si>
  <si>
    <t>PAQ 8pxd_v4 -7 ('12) Matt Mahoney et al.</t>
  </si>
  <si>
    <t>PAQ 8pxd_v2 -7 ('12) Matt Mahoney et al.</t>
  </si>
  <si>
    <t>PAQ 8o5 -7 (2007) Matt Mahoney et al.</t>
  </si>
  <si>
    <t>PAQ 8jdSSE -7 (2007) Matt Mahoney et al.</t>
  </si>
  <si>
    <t>PAQ 8 HP12 -7 (2007) Matt Mahoney et al.</t>
  </si>
  <si>
    <t>PAsQDa v4.4 -8e (2006) Matt Mahoney et al.</t>
  </si>
  <si>
    <t>Durilca 0.5 (Hutter) -o13 -m700 -t1 D. Shkarin</t>
  </si>
  <si>
    <t>OCAMYD 1.66 RC 6 -s0 -m9 F. Schwellinger</t>
  </si>
  <si>
    <t>OCAMYD 1.65 Final -s0 -m9 F. Schwellinger</t>
  </si>
  <si>
    <t>PIMPLE 1.43 (2006) extreme Ilya Muravyov</t>
  </si>
  <si>
    <t>WinRK 3.1.2 (ROLZ3) ('06) Malcolm Taylor</t>
  </si>
  <si>
    <t>WinRK 3.1.2 (ROLZ2) ('06) Malcolm Taylor</t>
  </si>
  <si>
    <t>LPAQ9m -9 (2009) Matt Mahoney et al.</t>
  </si>
  <si>
    <t>LPAQ9i -9 (2008) Matt Mahoney et al.</t>
  </si>
  <si>
    <t>UHARC 0.6b -mx/-m3 -mm+ U. Herklotz</t>
  </si>
  <si>
    <t>Compressia 1.0b max, 15MB, english, solid Yaakov Gringeler</t>
  </si>
  <si>
    <t>MComp 2.00 -mf3x 600m (2008) M. Taylor</t>
  </si>
  <si>
    <t>Blizzard 0.24 300m ('08) Chr. Martelock</t>
  </si>
  <si>
    <t>UHARC 0.6b -m3 -mm+ -md+ 32 MB U. Herklotz</t>
  </si>
  <si>
    <t>Blizzard 0.24 30m ('08) Chr. Martelock</t>
  </si>
  <si>
    <t>MComp 2.00 -mw -M400m (2008) M. Taylor</t>
  </si>
  <si>
    <t>BCM 0.12 -b100 (2010) Ilya Muravyov</t>
  </si>
  <si>
    <t>NanoZip 0.09 -cDP 2GB ('11) Sami Runsas</t>
  </si>
  <si>
    <t>UHARC 0.2 (1997) -m3 -md2048 -mm+ U. Herklotz</t>
  </si>
  <si>
    <t>WinAce 2.5 - 2.69 max solid + f. M. Lemke</t>
  </si>
  <si>
    <t>BALZ 1.11  Mode ex (2008) Ilya Muravyov</t>
  </si>
  <si>
    <t>M99 128 MB -m ('07) Michael A. Maniscalco</t>
  </si>
  <si>
    <t>M99 32 MB -m ('07) Michael A. Maniscalco</t>
  </si>
  <si>
    <t>MComp 2.00 -mc -M512m (2008) M. Taylor</t>
  </si>
  <si>
    <t>PIM 2.90 (Best) (2009) Ilya Muravyov</t>
  </si>
  <si>
    <t>PIM 2.50 (Best) (2008) Ilya Muravyov</t>
  </si>
  <si>
    <t>LZPM 0.16 mode ex (2008) Ilya Muravyov</t>
  </si>
  <si>
    <t>BALZ 1.15 Mode ex (2008) Ilya Muravyov</t>
  </si>
  <si>
    <t>PAQ 1 / KGB Archiver (2002) Matt Mahoney</t>
  </si>
  <si>
    <t>Stuffit 9.0 - 9.5/10 arsenic (sitx) (Allume)</t>
  </si>
  <si>
    <t>PIM 2.01  (PPMd) (2007) Ilya Muravyov</t>
  </si>
  <si>
    <t>UFA 0.04 β 1 -mx -mu32 -s -mg Igor Pavlov</t>
  </si>
  <si>
    <t>M99 2.2.1 -m 128m Michael A. Maniscalco</t>
  </si>
  <si>
    <t>7-ZIP 2.3 β 28 solid max (2003) Igor Pavlov</t>
  </si>
  <si>
    <t>M99 2.2.1 -m 32m Michael A. Maniscalco</t>
  </si>
  <si>
    <t>Tornado 0.4 -12 (2008) Bulat Ziganshin</t>
  </si>
  <si>
    <t>ICE-OWS max (2002) Raphaël Mounier</t>
  </si>
  <si>
    <t>EXP1 Experimental Archiver 1.0 B. Ziganshin</t>
  </si>
  <si>
    <t>XTREME 1.06 -m0 -s -t8 ('99) B. Sabin</t>
  </si>
  <si>
    <t>Urban Compressor ('91) U. Koistinen</t>
  </si>
  <si>
    <t>Tornado 0.3 default (2008) Bulat Ziganshin</t>
  </si>
  <si>
    <t>WinAce 1.2 (1999) max 1024k M. Lemke</t>
  </si>
  <si>
    <t>BRED 3.0 -M16 -m729 ('97) David Wheeler</t>
  </si>
  <si>
    <t>JAR32 1.02 -m4 (1997) Robert Jung</t>
  </si>
  <si>
    <t>THOR 0.96α e4 (2007) Oscar Garcia</t>
  </si>
  <si>
    <t>Etincelle RC2 (2010) Yann Collet</t>
  </si>
  <si>
    <t>KZIP /s0 /b1024 /rn ('06) Ken Silverman</t>
  </si>
  <si>
    <t>THOR 0.96α e5 (2007) Oscar Garcia</t>
  </si>
  <si>
    <t>Tornado 0.1 -12 -b100 Bulat Ziganshin</t>
  </si>
  <si>
    <t>GZIP 1.3.12 -9 ('07) Jean-Loup Gailly</t>
  </si>
  <si>
    <t>AMG 2.2 max ('93) Milen Georgiev</t>
  </si>
  <si>
    <t>HIT 2.10 a -x (1994) Bogdan Ureche</t>
  </si>
  <si>
    <t>PIGZ 2.1.6 -9 ('10) J.L. Gailly &amp; M. Adler</t>
  </si>
  <si>
    <t>Huffman Comp. Engine II 0.21q -lh8- Joe Jared</t>
  </si>
  <si>
    <t>DZIP 2.9 (2003) S. Schwoon &amp; N. Pflug</t>
  </si>
  <si>
    <t>BSA 2.0 -a .bsn  (1995) PTS Ltd.</t>
  </si>
  <si>
    <t>HPACK 0.79 -U (1993) P.C. Gutmann</t>
  </si>
  <si>
    <t>ULZ 0.2 c6 (best) (2010) Ilya Muravyov</t>
  </si>
  <si>
    <t>LZA 1.01 max (1999) Chiefs LZ Archiver</t>
  </si>
  <si>
    <t>CrossePAC 1.35 (1994) Digital Strategies, Inc.</t>
  </si>
  <si>
    <t>Hyper 2.6 -a (1992) Peter Sawatzki</t>
  </si>
  <si>
    <t>Scifer beta -Text (2008) Senthil Kumar R.</t>
  </si>
  <si>
    <t>SBX 1.4 (1999) SpinnerBaker Software</t>
  </si>
  <si>
    <t>LZSS 0.01 Mode ex (2008) Ilya Muravyov</t>
  </si>
  <si>
    <t>PKZIP 0.92 -ex Reduce 4  (1989) Phil Katz</t>
  </si>
  <si>
    <t>PKZIP 1.10 Implode max -ei ('90) Phil Katz</t>
  </si>
  <si>
    <t>PKZIP 1.10 -es Shrink max (1990) Phil Katz</t>
  </si>
  <si>
    <t>DOZ -c (1993) Joe Orost</t>
  </si>
  <si>
    <t>JARCS 0.94 -C4 -S (1995) Junichi Uekawa</t>
  </si>
  <si>
    <t>FIN (1991) Puttonen &amp; Raita &amp; Teuhola</t>
  </si>
  <si>
    <t>NICE (2003) S. Pötschner &amp; W. Scherer</t>
  </si>
  <si>
    <t>.crush</t>
  </si>
  <si>
    <t>PAQ 8l -8 (2007) Matt Mahoney et al.</t>
  </si>
  <si>
    <t>Israel</t>
  </si>
  <si>
    <t>CRUSH 1.0 cx (2013) Ilya Muravyov</t>
  </si>
  <si>
    <t>FP8 -8 (2010) Jan Ondrus</t>
  </si>
  <si>
    <t>FP8 v2 -8 (2012) Jan Ondrus</t>
  </si>
  <si>
    <t>FP8 v3 -8 (2012) Jan Ondrus</t>
  </si>
  <si>
    <t>PAQ 8pxd_v3 -8 ('12) Matt Mahoney et al.</t>
  </si>
  <si>
    <t>.WEBP 0.3.1 (cwebp.exe -lossless -m 6 -progress, 17.06.2013)</t>
  </si>
  <si>
    <t>PAQ 8fTHIS4 ('07) -8 Matt Mahoney et al.</t>
  </si>
  <si>
    <t>BWT + ARI + Distance Coding</t>
  </si>
  <si>
    <t>PPM-II + VARIable Context</t>
  </si>
  <si>
    <t>BWT + MTF + RLE + ARI</t>
  </si>
  <si>
    <t>BTW + MSufSort3.1 + ARI</t>
  </si>
  <si>
    <t>BWT (DifSufSort Lite) + ARI</t>
  </si>
  <si>
    <t>BWT + MSufSort3.1 + ARI</t>
  </si>
  <si>
    <t>BulgARIa</t>
  </si>
  <si>
    <t>LZ VARIant</t>
  </si>
  <si>
    <t>AIN 2.32 -m1 (1996) Transas MARIne Ltd.</t>
  </si>
  <si>
    <t>LZ vARIant</t>
  </si>
  <si>
    <t>6PACK -2 (16.06.07) ARIya Hidayat</t>
  </si>
  <si>
    <t>PAQ 8pxd_v6 -9 ('13) Matt Mahoney et al.</t>
  </si>
  <si>
    <t>weighted average of file sizes in percent</t>
  </si>
  <si>
    <t>-</t>
  </si>
  <si>
    <r>
      <t xml:space="preserve">* grey colored programs </t>
    </r>
    <r>
      <rPr>
        <sz val="12"/>
        <rFont val="Arial"/>
        <family val="2"/>
      </rPr>
      <t>are 16 bit MS-DOS compiles that were run on DosBox 0.74 Emulator as native 64 bit Windows cannot run them anymore.</t>
    </r>
  </si>
  <si>
    <r>
      <t>*</t>
    </r>
    <r>
      <rPr>
        <sz val="12"/>
        <color rgb="FFFF0000"/>
        <rFont val="Arial"/>
        <family val="2"/>
      </rPr>
      <t xml:space="preserve"> ☺</t>
    </r>
    <r>
      <rPr>
        <sz val="12"/>
        <color theme="0" tint="-0.499984740745262"/>
        <rFont val="Arial"/>
        <family val="2"/>
      </rPr>
      <t xml:space="preserve"> </t>
    </r>
    <r>
      <rPr>
        <sz val="12"/>
        <rFont val="Arial"/>
        <family val="2"/>
      </rPr>
      <t>this symbol means that source codes for that codec is available.</t>
    </r>
  </si>
  <si>
    <t>GraLIC 1.11 demo (30.07.11) A. Rhatushnyak, Graystone (input=pnm)</t>
  </si>
  <si>
    <t>STUFFIT API 2.0.672.3563 (sitx) --bit-perfect --comp-spec=2,25,2,1,+</t>
  </si>
  <si>
    <t>.BIM 0.02 (05.02.2013) Ilya Muravyov (input=pnm)</t>
  </si>
  <si>
    <t>.BIM 0.01 (13.01.2013) Ilya Muravyov  (input=pnm)</t>
  </si>
  <si>
    <t>WIC lossless image compressor final (2013) (input=bmp)</t>
  </si>
  <si>
    <t>.LSP S+P 3.0.1 (1996) A. Said &amp; W.A. Pearlman (lossless) (input=RAS)</t>
  </si>
  <si>
    <t xml:space="preserve">.J2K JPEG2000 (lossless) Kakadu 7.2.2 (10.04.2013) </t>
  </si>
  <si>
    <t xml:space="preserve">.J2K JPEG2000 (lossless) www.openjpeg.org 2.0 (01.12.2012) </t>
  </si>
  <si>
    <t>.WEBP 0.2.0 (cwebp.exe -lossless -m 6 -progress, 16.08.2012)</t>
  </si>
  <si>
    <t>.PPN PackPNM 1.6 (22.03.2013) Matthias Stirner (input=PPM)</t>
  </si>
  <si>
    <t>.PGF / libPGF 6.12.24 (2001-2012) (lossless) (input=bmp)</t>
  </si>
  <si>
    <t>.APT v 1.0 (25.3.2004) (input=pnm) John Robinson</t>
  </si>
  <si>
    <t>.JPG (JPEG 9; cjpeg -rgb1 -block 1 -arithmetic) 19.05.2012, lossless (input=pnm)</t>
  </si>
  <si>
    <t>ZCM 0.88 -m7 -r -s (2013) N.F. Antonio (input=tif)</t>
  </si>
  <si>
    <t>.JPG (LIBJPEG 8d, 2012 09) -p -c -a (lossless)</t>
  </si>
  <si>
    <t>.PNG Format (LZ77) (OPTIPNG HG -fastest 21.10.2012)</t>
  </si>
  <si>
    <t>.TIFF/deflate Format (LIBTIFF 4.0.0, ppm2tiff -c zip:2)</t>
  </si>
  <si>
    <t>QBIT 1.0.0.10 (qbit.exe QBIT input.bmp) (22.05.2002) Daniel Kilbank</t>
  </si>
  <si>
    <t>.JPG (LIBJPEG 8d, 2012 09) -p -c -q 100 (lossless)</t>
  </si>
  <si>
    <t>ZPAQ 6.36 -method bmp_j4 -tiny -add arc in.bmp (2013) M. Mahoney (input=bmp)</t>
  </si>
  <si>
    <t>TANGELO 2.3 (2013) Jan Ondrus</t>
  </si>
  <si>
    <t>MCM 0.4 -9 (2013) Matthieu Chartier</t>
  </si>
  <si>
    <t>LPAQ7e -9 (2007) Matt Mahoney et al.</t>
  </si>
  <si>
    <t>LPAQ4e -9 (2007) Matt Mahoney et al.</t>
  </si>
  <si>
    <t>JXRLIB 1.1 (28.05.23013) Microsoft Corporation</t>
  </si>
  <si>
    <t>.WEBP 0.3.1 (cwebp.exe -lossless -m 6 -metadata all, 17.06.2013)</t>
  </si>
  <si>
    <t>￭ RGB, 24 Bit in uncompressed .TIFF format</t>
  </si>
  <si>
    <r>
      <t xml:space="preserve">￭ metadata in bytes see here </t>
    </r>
    <r>
      <rPr>
        <b/>
        <sz val="12"/>
        <color rgb="FF0000FF"/>
        <rFont val="Calibri"/>
        <family val="2"/>
      </rPr>
      <t>→</t>
    </r>
    <r>
      <rPr>
        <b/>
        <sz val="12"/>
        <color rgb="FF0000FF"/>
        <rFont val="Arial"/>
        <family val="2"/>
      </rPr>
      <t xml:space="preserve"> </t>
    </r>
  </si>
  <si>
    <t>6275 bytes</t>
  </si>
  <si>
    <t>3389 bytes</t>
  </si>
  <si>
    <t>1143 bytes</t>
  </si>
  <si>
    <t>6887 bytes</t>
  </si>
  <si>
    <t>4.460 bytes</t>
  </si>
  <si>
    <t>9.139 bytes</t>
  </si>
  <si>
    <t>7886 bytes</t>
  </si>
  <si>
    <t>ZCM 0.88 -m7 -r -s (2013) N.F. Antonio (input=pnm)</t>
  </si>
  <si>
    <t>Dictionary Coding</t>
  </si>
  <si>
    <t>SHARC 0.9.6 -c1 (2013) Guillaume Voirin</t>
  </si>
  <si>
    <t>.sha</t>
  </si>
  <si>
    <t>SAC 0.0.6a4 --insane (05.08.2007) Sebastian</t>
  </si>
  <si>
    <t>OptimFrog 4.910ex --maximumcompression -experimental (11.02.'11)</t>
  </si>
  <si>
    <t>LA 0.4b -high (08.02.2004) Michael Bevin</t>
  </si>
  <si>
    <t>OptimFrog 4.910ex --maximumcompression (11.02.'11) Florin Ghido</t>
  </si>
  <si>
    <t>LA 0.3c (27.10.2002) Michael Bevin</t>
  </si>
  <si>
    <t>OptimFrog 4.910ex --mode bestnew -optimize best (11.02.'11)</t>
  </si>
  <si>
    <t>LA 0.4b (08.02.2004) Michael Bevin</t>
  </si>
  <si>
    <t>LA 0.2 (07.09.2002) Michael Bevin</t>
  </si>
  <si>
    <t>OptimFrog 4.910ex --mode extranew (11.02.'11) Florin Ghido</t>
  </si>
  <si>
    <t>OptimFrog 4.910ex --mode highnew (11.02.'11) Florin Ghido</t>
  </si>
  <si>
    <t>Monkey's Audio 4.1.2 insane (2013) Matthew T. Ashland</t>
  </si>
  <si>
    <t>WinRK 3.1.2 beta best asymmetric (2005) Malcolm Taylor</t>
  </si>
  <si>
    <t>TAK 2.2.0 -p4m (29.05.2011) Thomas Becker</t>
  </si>
  <si>
    <t>MPEG-4 ALS RM23 -7 -a (29.01.2011) Tilman Liebchen et al</t>
  </si>
  <si>
    <t>WAVPACK 4.60.1 -HHX6 (29.11.2009) David Bryant</t>
  </si>
  <si>
    <t>MPEG-4 ALS RM23 -i -o1023 -a -b -z3 -p (29.01.2011)</t>
  </si>
  <si>
    <t>FlaCCL 0.4  -11 -b 4096 (14.06.2011) Gregory S. Chudov</t>
  </si>
  <si>
    <t>WavArc 1.1 -c5 (5ELP) (01.08.1997) Dennis Lee</t>
  </si>
  <si>
    <t>SBC Archiver 0.970r3 -m3 -b63  (2008) Sami J. Makinen</t>
  </si>
  <si>
    <t>WAVPACK 4.60.1 (29.11.2009) David Bryant</t>
  </si>
  <si>
    <t>mp3HD commandline Encoder 1.5.0 (02.02.2010) Fraunhofer IIS</t>
  </si>
  <si>
    <t>SONARC 2.1i -F4096 -O0 -S2 -X (27.06.1994) Speech Compression</t>
  </si>
  <si>
    <t>KrishnaSoft Sound Processing Software 1.0 ELS-ultra (06.06.00)</t>
  </si>
  <si>
    <t>KrishnaSoft Sound Processing Software 1.0 ELS-arithmetic (06.06.00)</t>
  </si>
  <si>
    <t>CCMx 1.30c (option 7) (24.04.2008) Christian Martelock</t>
  </si>
  <si>
    <t>WinRar x64 4.20 (4096 KB dictionary + Delta) (2012) Eugene Roshal</t>
  </si>
  <si>
    <t>Charlie 1.32-1.4 (2000-2004) Aleksi Eeben</t>
  </si>
  <si>
    <t>ADA 1.0 option 0 (1999) Advanced Digital Audio</t>
  </si>
  <si>
    <t>VOCPACK 2.0 -2 -6 (01.09.1993) Nicola Ferioli</t>
  </si>
  <si>
    <t>BZIP2 1.0 -9 (2008) Julian Seward</t>
  </si>
  <si>
    <t>GZIP 1.3.12 -9 (15.10.2007) Jean-Loup Gailly &amp; Mark Adler</t>
  </si>
  <si>
    <t>Monkey's Audio 3.9.9 insane (2004) Matthew T. Ashland</t>
  </si>
  <si>
    <t>TAK 2.3.0 final -p4m (18.06.2013) Thomas Becker</t>
  </si>
  <si>
    <t>TTA TrueAudio 3.4.1 (27.07.2007) Aleksander Djuric</t>
  </si>
  <si>
    <t>FLAC 1.2.1  -8 -b 4096 (17.09.2007) Josh Coalson</t>
  </si>
  <si>
    <t>WAVPACK 4.70.0 beta x64 -HHX6 (23.05.2013) David Bryant</t>
  </si>
  <si>
    <t>WAVPACK 4.70.0 beta x64 (23.05.2013) David Bryant</t>
  </si>
  <si>
    <t>PAQ8pxd_v4 -7 (19.04.2012) Matt Mahoney et al.</t>
  </si>
  <si>
    <t>ALAC (APPLE lossless) refalac64 1.18 (01.04.2013)</t>
  </si>
  <si>
    <t>WMA 0.2.9b --codec lossless (28.02.2013) Microsoft Corporation</t>
  </si>
  <si>
    <t>FLAKE 0.11 -12 (05.08.2007) (faster FLAC encoder) Justin Ruggles</t>
  </si>
  <si>
    <t>RKAU 1.07 -l3 (11.12.2000) Malcolm Taylor</t>
  </si>
  <si>
    <t>Squeez 5.63 SQX2 ultra 32 MB auto (2008) (SpeedCommander 14)</t>
  </si>
  <si>
    <t>FreeARC 0.67 ultra (2012) Bulat Ziganshin (uses TTA)</t>
  </si>
  <si>
    <t>FLAC 1.3.0 x64  -8 -b 4096 (02.06.2013) Josh Coalson &amp; xiph.org</t>
  </si>
  <si>
    <t>LPAC 1.41 -5 -a -b8192 -f (01.10.2002) Tilman Liebchen</t>
  </si>
  <si>
    <t>UHARC 0.6b -mx -mm+ -md+ -md32768 (2005) Uwe Herklotz</t>
  </si>
  <si>
    <t>Onda Lossless Audio 3.2 (java -jar onda.jar) (16.06.2013)</t>
  </si>
  <si>
    <t>AudioZIP 3 (maximum) (31.10.2000) Daniel Cheong &amp; Desmond Ang</t>
  </si>
  <si>
    <t>OptimFrog 4.910ex --mode bestnew -optimize best (11.02.'11) Florin Ghido</t>
  </si>
  <si>
    <t>MPEG-4 ALS RM23 -7 -a (29.01.2011)</t>
  </si>
  <si>
    <t>FlaCCL 0.4 -11 -b 4096 (14.06.2011) Gregory S. Chudov</t>
  </si>
  <si>
    <t>SBC Archiver 0.970r3 -m3 -b63 (2008) Sami J. Makinen</t>
  </si>
  <si>
    <t>Predictive arithmetic Coding</t>
  </si>
  <si>
    <t>arithmetic Coding</t>
  </si>
  <si>
    <t>order-0 arithmetic coder</t>
  </si>
  <si>
    <t>RLE + Huffman</t>
  </si>
  <si>
    <t>BWT + MTF-2 + ZLE + Huffman</t>
  </si>
  <si>
    <t>BWT + Huffman</t>
  </si>
  <si>
    <t>ROLZ + Huffman</t>
  </si>
  <si>
    <t>&gt;64kb LZSS + 32 kb Huffman</t>
  </si>
  <si>
    <t>LZ77 + SF + Huffman</t>
  </si>
  <si>
    <t>64kb LZSS + 32 kb Huffman</t>
  </si>
  <si>
    <t>LHA 2.55 - 2.67 (1992) lh5, 16kb Huffman</t>
  </si>
  <si>
    <t>64 kb LZSS + 16 kb Huffman</t>
  </si>
  <si>
    <t>LZSS (LZ4) + Huffman0</t>
  </si>
  <si>
    <t>LZ variant</t>
  </si>
  <si>
    <t>Order 0 + asymmetric Binary Coder</t>
  </si>
  <si>
    <t>LZ77 + Huffman / RLE</t>
  </si>
  <si>
    <t>experimental DMC</t>
  </si>
  <si>
    <t>ZLIB/JPEG recompressor + LZMA</t>
  </si>
  <si>
    <t>ZCM 0.88 -m7 -r -s (2013) Francesco Nania</t>
  </si>
  <si>
    <t>ZCM 0.70d -m7 -r -s (2012) Francesco Nania</t>
  </si>
  <si>
    <t>ZCM 0.60d -m7 -r -s (2012) Francesco Nania</t>
  </si>
  <si>
    <t>ZCM 0.50 -m7 -r -s (2012) Francesco Nania</t>
  </si>
  <si>
    <t>ZCM 0.40 -m7 -r -s (2012) Francesco Nania</t>
  </si>
  <si>
    <t>PPMonstr ver J -o16 -m1600 D. Shkarin</t>
  </si>
  <si>
    <t>PPMonstr ver I (2002) -o16 -m800 D. Shkarin</t>
  </si>
  <si>
    <t>Durilca'light 0.5 -m800 -o32 Dmitry Shkarin</t>
  </si>
  <si>
    <t>PPMonstr ver G -o16 -m256 ('00) D. Shkarin</t>
  </si>
  <si>
    <t>LZP (2008) Dmitry Shkarin</t>
  </si>
  <si>
    <t>YZX 0.11 -r -s -m9 -b8 -h5 Francesco Nania</t>
  </si>
  <si>
    <t>RINGS 2.0 -s -r -m7 (2013) Francesco Nania</t>
  </si>
  <si>
    <t>RINGS 1.5 opt. 9 ('08) Francesco Nania</t>
  </si>
  <si>
    <t>HOOK 1.4 ('09) 912 MB Francesco Nania</t>
  </si>
  <si>
    <t>COMPROLZ 0.10.0 -b250 -F -f  Zhang Li</t>
  </si>
  <si>
    <t>Disintegrator 0.9b  -mg -4 c ('98) T. Guglielmi</t>
  </si>
  <si>
    <t>FreeHOOK 0.2 option c 912-2-1-6 F. Nania</t>
  </si>
  <si>
    <t>WinTurtle 1.6.0 (2008) Francesco Nania</t>
  </si>
  <si>
    <t>CAB (LZX21 max) Microsoft Corporation</t>
  </si>
  <si>
    <t>WinTurtle 1.4.0 (2007) Francesco Nania</t>
  </si>
  <si>
    <t>LZSR 0.01 (2011) Francesco Nania</t>
  </si>
  <si>
    <t>RAR 2.00 (1996) -m5 -md1024 -mm -s</t>
  </si>
  <si>
    <t>RAR 2.50 (1996) -m5 -md1024 -mm -s</t>
  </si>
  <si>
    <t>SR3 (2007) M. Mahoney &amp; F. Nania</t>
  </si>
  <si>
    <t>BZP 0.3 (2008) Francesco Nania</t>
  </si>
  <si>
    <t>WinZip 17.0.10381 bzip2 Corel Corp.</t>
  </si>
  <si>
    <t>WinZip 17.0.10381 enh. deflate Corel Corp.</t>
  </si>
  <si>
    <t>WinZip 17.0.10381 legacy Corel Corp.</t>
  </si>
  <si>
    <t>WinZip 12.0.8252 optimize best  Corel Corp.</t>
  </si>
  <si>
    <t>WinZip 11.0 - 11.1 optimize best Corel Corp.</t>
  </si>
  <si>
    <t>WinZip 17.0.10381 PPMd Corel Corp.</t>
  </si>
  <si>
    <t>WinHKI 1.3 - 1.79 hki1 (04-06) H.P. Imp</t>
  </si>
  <si>
    <t>BIX 1.00 β7 -s -m1 -mdg ('99) Igor Pavlov</t>
  </si>
  <si>
    <t>FLASHZIP 1.1.3 (2013) -r -s -mx3 -k7 -b1024</t>
  </si>
  <si>
    <t>.WEBP 0.3.1 (cwebp.exe -lossless -m 3 -metadata all, 17.06.2013)</t>
  </si>
  <si>
    <t>.WEBP 0.3.1 (cwebp.exe -lossless -m 0 -metadata all, 17.06.2013)</t>
  </si>
  <si>
    <t>.PNG PNGCRUSH 1.7.67 -brute (2013) Glenn Randers-Pehrson</t>
  </si>
  <si>
    <t>.MNG PNGCRUSH 1.7.9 -loco (2013) Glenn Randers-Pehrson</t>
  </si>
  <si>
    <t>.PNG OPTIPNG HG -o7 (19.03.2012) Cosmin Truta</t>
  </si>
  <si>
    <t>.APCDOC Ashampoo Photo Commander 11, lossless</t>
  </si>
  <si>
    <t>.PNG PNGOUT /s0 (21.02.2013) Ken Silverman</t>
  </si>
  <si>
    <t>Packet 1.0 -s -r -mx6 Francesco Nania</t>
  </si>
  <si>
    <t>TANGELO 2.4 (2013) Jan Ondrus</t>
  </si>
  <si>
    <t>ORIGINAL</t>
  </si>
  <si>
    <t>DGCA</t>
  </si>
  <si>
    <t>BZIP2</t>
  </si>
  <si>
    <t>7-Zip 9.30</t>
  </si>
  <si>
    <t>RAR 4.20</t>
  </si>
  <si>
    <t>ZIP / GZ</t>
  </si>
  <si>
    <t xml:space="preserve">          get the test files here</t>
  </si>
  <si>
    <t>cmp, not linear</t>
  </si>
  <si>
    <t>solid</t>
  </si>
  <si>
    <t>option 9</t>
  </si>
  <si>
    <t>64mb, fb=273</t>
  </si>
  <si>
    <t>ZIPX</t>
  </si>
  <si>
    <t>best, auto 4 MB</t>
  </si>
  <si>
    <t>Winzip legacy</t>
  </si>
  <si>
    <t>■ canon_eos_6d_14.cr2</t>
  </si>
  <si>
    <t>■ canon_eos_m_04.cr2</t>
  </si>
  <si>
    <t>■ fujifilm_finepix_x100_11.raf</t>
  </si>
  <si>
    <t>■ fujifilm_x_e1_20.raf</t>
  </si>
  <si>
    <t>■ fujifilm_xf1_08.raf</t>
  </si>
  <si>
    <t>■ leica_m82_05.dng</t>
  </si>
  <si>
    <t>■ leica_x1_10.dng</t>
  </si>
  <si>
    <t>■ nikon_1_v2_17.nef</t>
  </si>
  <si>
    <t>■ nikon_d4_10.nef</t>
  </si>
  <si>
    <t>■ nikon_d5200_14.nef</t>
  </si>
  <si>
    <t>■ olympus_epm2_16.orf</t>
  </si>
  <si>
    <t>■ olympus_om_d_e_m5_24.orf</t>
  </si>
  <si>
    <t>■ olympus_xz2_10.orf</t>
  </si>
  <si>
    <t>■ panasonic_lumix_g5_15.rw2</t>
  </si>
  <si>
    <t>■ pentax_k5_ii_12.dng</t>
  </si>
  <si>
    <t>■ pentax_q10_19.dng</t>
  </si>
  <si>
    <t>■ samsung_nx20_01.srw</t>
  </si>
  <si>
    <t>■ samsung_nx1000_19.srw</t>
  </si>
  <si>
    <t>■ sigma_dp2.x3f</t>
  </si>
  <si>
    <t>■ sigma_sd1_merrill_13.x3f</t>
  </si>
  <si>
    <t>■ sony_a55.arw</t>
  </si>
  <si>
    <t>■ sony_a77_08.arw</t>
  </si>
  <si>
    <t>■ sony_a99_04.arw</t>
  </si>
  <si>
    <t>total size:</t>
  </si>
  <si>
    <t>encoding time:</t>
  </si>
  <si>
    <t>205 sec</t>
  </si>
  <si>
    <t>150 sec</t>
  </si>
  <si>
    <t>122 sec</t>
  </si>
  <si>
    <t>128 sec</t>
  </si>
  <si>
    <t>80 sec</t>
  </si>
  <si>
    <t>67 sec</t>
  </si>
  <si>
    <t>decoding time:</t>
  </si>
  <si>
    <t>25 sec</t>
  </si>
  <si>
    <t>156 sec</t>
  </si>
  <si>
    <t>119 sec</t>
  </si>
  <si>
    <t>26 sec</t>
  </si>
  <si>
    <t>39 sec</t>
  </si>
  <si>
    <t>7 sec</t>
  </si>
  <si>
    <t>DNG 1.4 *</t>
  </si>
  <si>
    <t>Rawzor</t>
  </si>
  <si>
    <t>0.4.7 beta</t>
  </si>
  <si>
    <t>LIBBSC</t>
  </si>
  <si>
    <t>ZPAQ 6.41</t>
  </si>
  <si>
    <t>134 sec</t>
  </si>
  <si>
    <t>-m0 -e2 -b1024</t>
  </si>
  <si>
    <t>109 sec</t>
  </si>
  <si>
    <t>89 sec</t>
  </si>
  <si>
    <t>13 sec</t>
  </si>
  <si>
    <t>-method 4</t>
  </si>
  <si>
    <t>333 sec</t>
  </si>
  <si>
    <t>155 sec</t>
  </si>
  <si>
    <t>■ panasonic_lumix_dmc_gh3_10..</t>
  </si>
  <si>
    <t>■ canon_eos_5d_mark_iii_05..</t>
  </si>
  <si>
    <t>WinZip 17.5</t>
  </si>
  <si>
    <t xml:space="preserve">      Cαϻеʀα Rαⱳ Coϻρʀеssioה Bеהcнϻαʀк</t>
  </si>
  <si>
    <r>
      <t xml:space="preserve">* DNG </t>
    </r>
    <r>
      <rPr>
        <sz val="12"/>
        <color theme="1"/>
        <rFont val="Arial"/>
        <family val="2"/>
      </rPr>
      <t>changes embedded JPEG thumbnails and therefore is not truly lossless</t>
    </r>
  </si>
  <si>
    <r>
      <rPr>
        <b/>
        <sz val="12"/>
        <color theme="1"/>
        <rFont val="Arial"/>
        <family val="2"/>
      </rPr>
      <t>RawSpeedCmp</t>
    </r>
    <r>
      <rPr>
        <sz val="12"/>
        <color theme="1"/>
        <rFont val="Arial"/>
        <family val="2"/>
      </rPr>
      <t xml:space="preserve"> (RawSpeedCompress2) is created by Klaus Post (idea: Dave Coffin). It cannot resore input at present.</t>
    </r>
  </si>
  <si>
    <t>It splits input in two files: pixel data and metadata and applies delta-down and ZigZag-Encoding to improve compression (done by p.ex. ZPAQ 6.41).</t>
  </si>
  <si>
    <t>MPZ.exe (25.11.2005)</t>
  </si>
  <si>
    <t>.zlite</t>
  </si>
  <si>
    <t>ZLITE (2013) Zhang Li</t>
  </si>
  <si>
    <t>RawSpeedCmp3</t>
  </si>
  <si>
    <t>+ MCM 0.4 -9</t>
  </si>
  <si>
    <t>+ DGCA solid</t>
  </si>
  <si>
    <t>699 sec</t>
  </si>
  <si>
    <t>645 sec</t>
  </si>
  <si>
    <t>183 sec</t>
  </si>
  <si>
    <t>blue filesizes mean that the compressor could not compress here, so MCM/DGCA/ZPAQ-compressed filesize was used  (RawSpeedCmp2) / original filesize was used (Rawzor).</t>
  </si>
  <si>
    <t>+ Precomp -cn</t>
  </si>
  <si>
    <t>272 sec</t>
  </si>
  <si>
    <t>668 sec</t>
  </si>
  <si>
    <t>684 sec</t>
  </si>
  <si>
    <t>175 sec</t>
  </si>
  <si>
    <t>+ ZPAQ method 6</t>
  </si>
  <si>
    <t>1302 sec</t>
  </si>
  <si>
    <t>1372 sec</t>
  </si>
  <si>
    <t>1174 sec</t>
  </si>
  <si>
    <t>1186 sec</t>
  </si>
  <si>
    <t>embedded</t>
  </si>
  <si>
    <t>JPEG</t>
  </si>
  <si>
    <t>amount in %</t>
  </si>
  <si>
    <t>thumbnail is not in PPM format, not JPG</t>
  </si>
  <si>
    <t>eoi not found</t>
  </si>
  <si>
    <t>total</t>
  </si>
  <si>
    <t>JPEG 5</t>
  </si>
  <si>
    <t>JPEG 4</t>
  </si>
  <si>
    <t>JPEG 3</t>
  </si>
  <si>
    <t>JPEG 2</t>
  </si>
  <si>
    <t>JPEG 1</t>
  </si>
  <si>
    <t>JpegSnoop → open → Tools/Image Search Fwd → Tools/Exort JPEG → 'tick' export all JPEG</t>
  </si>
  <si>
    <t>.BIM 0.03 (13.09.2013) Ilya Muravyov (input=pnm)</t>
  </si>
  <si>
    <t>.doboz</t>
  </si>
  <si>
    <t>DOBOZ 0.1 (2011) Attila T. Áfra</t>
  </si>
  <si>
    <t>WinRar 5.0 (best 1GB + filter) E. Roshal</t>
  </si>
  <si>
    <t>LZ4 1.4 option -9 (2013) Yann Collet</t>
  </si>
  <si>
    <t>PAQ8pxd_v7 (2013) -8  ww PAQ crew</t>
  </si>
  <si>
    <t>WinZip 16.0 - 17.5 .ZIPX Corel Corp.</t>
  </si>
  <si>
    <t>WinZip 16.0 - 17.5 (ZIPX) best method</t>
  </si>
  <si>
    <t xml:space="preserve">WinArchiver 3.1 (2013) .MZP best </t>
  </si>
  <si>
    <r>
      <t xml:space="preserve">WinRar 5.0 </t>
    </r>
    <r>
      <rPr>
        <u/>
        <sz val="10"/>
        <color indexed="12"/>
        <rFont val="Arial"/>
        <family val="2"/>
      </rPr>
      <t>solid best 1024MB E. Roshal</t>
    </r>
  </si>
  <si>
    <t>WinRar 5.0 non-solid best 1024MB E. Roshal</t>
  </si>
  <si>
    <t>B1 Free Archiver 1.4.67 (2013) ultra</t>
  </si>
  <si>
    <t>B1 Free Archiver 1.4.67 (2013) smart</t>
  </si>
  <si>
    <t>Squeez 5.63 / SpeedCmd (32MB ultra) auto</t>
  </si>
  <si>
    <t>CSC 3.2 final (2011) -m3 -d512 -r Fu Siyuan</t>
  </si>
  <si>
    <t>Squeez 4.20.440 ('03) 4MB max + filter</t>
  </si>
  <si>
    <t>BWT + libdifsufsort + QLFC + CM + filter</t>
  </si>
  <si>
    <t>LZP+BWT+libdifsufsort+QLFC + CM + filter</t>
  </si>
  <si>
    <t>BSC 3.1.0 -b1024r -m0 -e2 Ilya Grebnov</t>
  </si>
  <si>
    <t>BSC 3.1.0 -b1024rsca -m0 -e2 Ilya Grebnov</t>
  </si>
  <si>
    <t>LZX + Huffman + Shannon-Fano</t>
  </si>
  <si>
    <t>LZ + Huffman + SF + BWT</t>
  </si>
  <si>
    <t>LZ + Huffman + filter</t>
  </si>
  <si>
    <t>1024 kb LZ + Huffman</t>
  </si>
  <si>
    <t>LZSS (LZ4) + Huffman</t>
  </si>
  <si>
    <t>32k LZ77 + Huffman</t>
  </si>
  <si>
    <t>LZ77 + Huffman / PPMC order-4</t>
  </si>
  <si>
    <t>CM class</t>
  </si>
  <si>
    <t>LZMA class</t>
  </si>
  <si>
    <t>LZH class</t>
  </si>
  <si>
    <t>LZSS class</t>
  </si>
  <si>
    <t>color code:</t>
  </si>
  <si>
    <t>conditional</t>
  </si>
  <si>
    <t>formatting:</t>
  </si>
  <si>
    <t>medium archive sizes have green background</t>
  </si>
  <si>
    <t>small archive sizes have green background</t>
  </si>
  <si>
    <t>big archive sizes have green background</t>
  </si>
  <si>
    <t>LZF 1.01 (2013) Lehmann &amp; Muravyov</t>
  </si>
  <si>
    <t>Germany &amp; Russia</t>
  </si>
  <si>
    <t>WinZip 18.0 ZIPX best method - Corel Corp.</t>
  </si>
  <si>
    <t>Revision 8.1 (Web Version)</t>
  </si>
  <si>
    <t>LZH + BZ2 + LZMA + LZMA2 + PPMd + WV + JPEG</t>
  </si>
  <si>
    <t>XZ 5.1.3 alpha -9 -e -T0 (2013) Lasse Collin</t>
  </si>
  <si>
    <t>.xz</t>
  </si>
  <si>
    <t>LZMA2 + filter</t>
  </si>
  <si>
    <t>.bwcm</t>
  </si>
  <si>
    <t>.cm0</t>
  </si>
  <si>
    <t>.cm0ext</t>
  </si>
  <si>
    <t>BWCM c128 (2013) Nauful</t>
  </si>
  <si>
    <t>LZP + BWT + CM</t>
  </si>
  <si>
    <t>CM0 (2013) Nauful</t>
  </si>
  <si>
    <t>CM0_EXT (2013) Nauful</t>
  </si>
  <si>
    <t>Packet 1.1 -h4 -b512 -mx Francesco Nania</t>
  </si>
  <si>
    <t>LZ77 + Fast CM</t>
  </si>
  <si>
    <t>SMAC 1.18 (2013) Jean-Marie Barone</t>
  </si>
  <si>
    <t>CM1 (2013) Nauful</t>
  </si>
  <si>
    <t>.cm1</t>
  </si>
  <si>
    <t>packARC 0.7rc11 (2013) Matthias Stirner</t>
  </si>
  <si>
    <t>.mtari</t>
  </si>
  <si>
    <t>MTARI 0.2 (2013) David Werecat</t>
  </si>
  <si>
    <t>ZPAQ 6.43 -method 67 ('13) Matt Mahoney</t>
  </si>
  <si>
    <t>A proposal for optimal steps during archiving. As this doesn't exist right now I call it fairytale.</t>
  </si>
  <si>
    <t>* data segmentation means</t>
  </si>
  <si>
    <t>* only red colored groups</t>
  </si>
  <si>
    <t>* unicode support</t>
  </si>
  <si>
    <t>Fαiʀʏταʟе Aʀchivе Sτʀucτuʀe</t>
  </si>
  <si>
    <t>* deduplication</t>
  </si>
  <si>
    <t>* enhanced matchfinder</t>
  </si>
  <si>
    <t xml:space="preserve">   benefit from solid archiving</t>
  </si>
  <si>
    <t xml:space="preserve">   to check if input data is smaller</t>
  </si>
  <si>
    <t xml:space="preserve">   when encoded or just stored</t>
  </si>
  <si>
    <t xml:space="preserve">   (to be tested on each block of</t>
  </si>
  <si>
    <t xml:space="preserve">   each group) and apply best choice</t>
  </si>
  <si>
    <t xml:space="preserve">   such as REP / SREP</t>
  </si>
  <si>
    <t>* state-of-the-art encryption</t>
  </si>
  <si>
    <t>* state-of-the-art integrity checks</t>
  </si>
  <si>
    <t>SMAC 1.19 (2013) Jean-Marie Barone</t>
  </si>
  <si>
    <t>.zling</t>
  </si>
  <si>
    <t>order-1 ROLZ</t>
  </si>
  <si>
    <t>ZLING (2013) Zhang Li</t>
  </si>
  <si>
    <t>ZHUFF 0.8 (2011) Yann Collet</t>
  </si>
  <si>
    <t>ZHUFF 0.5 (2011) Yann Collet</t>
  </si>
  <si>
    <t>.ZHUFF</t>
  </si>
  <si>
    <t>.zhuff</t>
  </si>
  <si>
    <t>ZHUFF 0.9c (2011) Yann Collet</t>
  </si>
  <si>
    <t>Archiver 0.2 CM2 (2014) Nauful</t>
  </si>
  <si>
    <t>.parc</t>
  </si>
  <si>
    <t>.WEBP 0.4.0 (cwebp.exe -lossless -m 6 -metadata all, 20.12.2013)</t>
  </si>
  <si>
    <t>SMAC 1.20 (2014) Jean-Marie Barone</t>
  </si>
  <si>
    <t>JPEGcrop (Ari Progessive) (1998-2013)</t>
  </si>
  <si>
    <t>JPEGcrop (Huff.Opt. Progessive) (1998-2013)</t>
  </si>
  <si>
    <t>PackJPG 2.5f (26.12.2013) M. Stirner</t>
  </si>
  <si>
    <t>.JPG (JPEG 9a; cjpeg -rgb1 -block 1 -arithmetic) 19.01.2014, lossless (input=pnm)</t>
  </si>
  <si>
    <t>CoBaLP2 (24.02.2014) -sT Tilo Strutz</t>
  </si>
  <si>
    <t>CoBaLP (06.09.2002) color space conversion, max. Tilo Strutz</t>
  </si>
  <si>
    <t>CoBaLP (06.09.2002) color space conversion, fastest, Tilo Strutz</t>
  </si>
  <si>
    <t>.plz</t>
  </si>
  <si>
    <t>RH4 (2014) Nauful</t>
  </si>
  <si>
    <t>.rh4</t>
  </si>
  <si>
    <t>packLZH 0.5 (2014) Matthias Stirner</t>
  </si>
  <si>
    <t>.catcp</t>
  </si>
  <si>
    <t>LZMA fb=273, PPMd mem=1536</t>
  </si>
  <si>
    <t>Cat Compress 1.05 ultra (2014) Jing 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</si>
</sst>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\ [$€-1]_-;\-* #,##0.00\ [$€-1]_-;_-* \-??\ [$€-1]_-"/>
    <numFmt numFmtId="165" formatCode="m/d/yy\ h:mm\ AM/PM;@"/>
    <numFmt numFmtId="166" formatCode="0.00000"/>
    <numFmt numFmtId="167" formatCode="0.0000"/>
    <numFmt numFmtId="168" formatCode="0.0000%"/>
    <numFmt numFmtId="169" formatCode="#,##0.0"/>
    <numFmt numFmtId="170" formatCode="0.000"/>
    <numFmt numFmtId="171" formatCode="0.000000"/>
    <numFmt numFmtId="172" formatCode="[$-409]d\-mmm\-yyyy;@"/>
    <numFmt numFmtId="173" formatCode="#,##0.000"/>
  </numFmts>
  <fonts count="1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8"/>
      <name val="Old English Text MT"/>
      <family val="4"/>
    </font>
    <font>
      <sz val="22"/>
      <name val="Old English Text MT"/>
      <family val="4"/>
    </font>
    <font>
      <sz val="8"/>
      <name val="Arial Narrow"/>
      <family val="2"/>
    </font>
    <font>
      <sz val="8"/>
      <name val="Arial"/>
      <family val="2"/>
    </font>
    <font>
      <sz val="6"/>
      <name val="Small Fonts"/>
      <family val="2"/>
    </font>
    <font>
      <sz val="14"/>
      <color indexed="10"/>
      <name val="Wingdings"/>
      <charset val="2"/>
    </font>
    <font>
      <sz val="48"/>
      <color indexed="52"/>
      <name val="Old English Text MT"/>
      <family val="4"/>
    </font>
    <font>
      <sz val="48"/>
      <color rgb="FFF4910C"/>
      <name val="Arial Unicode MS"/>
      <family val="2"/>
    </font>
    <font>
      <b/>
      <sz val="12"/>
      <name val="Arial Unicode MS"/>
      <family val="2"/>
    </font>
    <font>
      <sz val="12"/>
      <name val="Arial Unicode MS"/>
      <family val="2"/>
    </font>
    <font>
      <b/>
      <sz val="14"/>
      <color indexed="10"/>
      <name val="Arial Unicode MS"/>
      <family val="2"/>
    </font>
    <font>
      <sz val="14"/>
      <name val="Arial Unicode MS"/>
      <family val="2"/>
    </font>
    <font>
      <b/>
      <sz val="14"/>
      <name val="Arial Unicode MS"/>
      <family val="2"/>
    </font>
    <font>
      <sz val="14"/>
      <color indexed="10"/>
      <name val="Arial Unicode MS"/>
      <family val="2"/>
    </font>
    <font>
      <u/>
      <sz val="10"/>
      <color indexed="12"/>
      <name val="Arial"/>
      <family val="2"/>
    </font>
    <font>
      <b/>
      <sz val="14"/>
      <color indexed="8"/>
      <name val="Arial Unicode MS"/>
      <family val="2"/>
    </font>
    <font>
      <i/>
      <sz val="10"/>
      <color indexed="60"/>
      <name val="Arial Narrow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sz val="6"/>
      <name val="Arial Narrow"/>
      <family val="2"/>
    </font>
    <font>
      <u/>
      <sz val="10"/>
      <color indexed="12"/>
      <name val="Arial Narrow"/>
      <family val="2"/>
    </font>
    <font>
      <sz val="10"/>
      <color indexed="10"/>
      <name val="Arial Narrow"/>
      <family val="2"/>
    </font>
    <font>
      <sz val="72"/>
      <color rgb="FFF4910C"/>
      <name val="Arial Unicode MS"/>
      <family val="2"/>
    </font>
    <font>
      <sz val="14"/>
      <color indexed="53"/>
      <name val="Arial Unicode MS"/>
      <family val="2"/>
    </font>
    <font>
      <b/>
      <sz val="10"/>
      <color indexed="10"/>
      <name val="BilboDisplay"/>
    </font>
    <font>
      <i/>
      <sz val="9"/>
      <color rgb="FFC00000"/>
      <name val="Arial Unicode MS"/>
      <family val="2"/>
    </font>
    <font>
      <i/>
      <sz val="10"/>
      <color rgb="FFC00000"/>
      <name val="Arial Narrow"/>
      <family val="2"/>
    </font>
    <font>
      <i/>
      <sz val="10"/>
      <color rgb="FFC00000"/>
      <name val="Arial Unicode MS"/>
      <family val="2"/>
    </font>
    <font>
      <sz val="10"/>
      <color indexed="10"/>
      <name val="Arial Unicode MS"/>
      <family val="2"/>
    </font>
    <font>
      <u/>
      <sz val="10"/>
      <color indexed="12"/>
      <name val="Avalon Quest"/>
    </font>
    <font>
      <u/>
      <sz val="8"/>
      <color indexed="12"/>
      <name val="Arial"/>
      <family val="2"/>
    </font>
    <font>
      <b/>
      <sz val="14"/>
      <name val="Arial Narrow"/>
      <family val="2"/>
    </font>
    <font>
      <b/>
      <sz val="10"/>
      <color indexed="8"/>
      <name val="Arial Unicode MS"/>
      <family val="2"/>
    </font>
    <font>
      <b/>
      <sz val="8"/>
      <color indexed="8"/>
      <name val="Arial"/>
      <family val="2"/>
    </font>
    <font>
      <b/>
      <sz val="12"/>
      <color indexed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b/>
      <sz val="10"/>
      <name val="Arial Unicode MS"/>
      <family val="2"/>
    </font>
    <font>
      <b/>
      <sz val="8"/>
      <name val="Arial Narrow"/>
      <family val="2"/>
    </font>
    <font>
      <sz val="10"/>
      <name val="Arial Unicode MS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"/>
      <name val="Arial"/>
      <family val="2"/>
    </font>
    <font>
      <sz val="9"/>
      <name val="Arial"/>
      <family val="2"/>
    </font>
    <font>
      <b/>
      <sz val="36"/>
      <color rgb="FFF4910C"/>
      <name val="Arial Unicode MS"/>
      <family val="2"/>
    </font>
    <font>
      <u/>
      <sz val="12"/>
      <color indexed="12"/>
      <name val="Arial Unicode MS"/>
      <family val="2"/>
    </font>
    <font>
      <sz val="12"/>
      <color rgb="FFFF0000"/>
      <name val="Arial Unicode MS"/>
      <family val="2"/>
    </font>
    <font>
      <sz val="11"/>
      <color indexed="8"/>
      <name val="Arial"/>
      <family val="2"/>
    </font>
    <font>
      <sz val="14"/>
      <color rgb="FFFF0000"/>
      <name val="Arial"/>
      <family val="2"/>
    </font>
    <font>
      <sz val="8"/>
      <color indexed="8"/>
      <name val="Arial Unicode MS"/>
      <family val="2"/>
    </font>
    <font>
      <sz val="6"/>
      <name val="Arial Unicode MS"/>
      <family val="2"/>
    </font>
    <font>
      <sz val="9"/>
      <name val="Arial Unicode MS"/>
      <family val="2"/>
    </font>
    <font>
      <b/>
      <sz val="11"/>
      <color indexed="12"/>
      <name val="Arial Unicode MS"/>
      <family val="2"/>
    </font>
    <font>
      <b/>
      <sz val="11"/>
      <color indexed="8"/>
      <name val="Arial Unicode MS"/>
      <family val="2"/>
    </font>
    <font>
      <sz val="10"/>
      <color indexed="8"/>
      <name val="Arial Unicode MS"/>
      <family val="2"/>
    </font>
    <font>
      <b/>
      <sz val="11"/>
      <name val="Arial Unicode MS"/>
      <family val="2"/>
    </font>
    <font>
      <sz val="8"/>
      <name val="Arial Unicode MS"/>
      <family val="2"/>
    </font>
    <font>
      <u/>
      <sz val="10"/>
      <color indexed="12"/>
      <name val="Arial Unicode MS"/>
      <family val="2"/>
    </font>
    <font>
      <i/>
      <sz val="11"/>
      <color theme="9" tint="-0.499984740745262"/>
      <name val="Arial"/>
      <family val="2"/>
    </font>
    <font>
      <i/>
      <sz val="14"/>
      <color theme="9" tint="-0.499984740745262"/>
      <name val="Arial"/>
      <family val="2"/>
    </font>
    <font>
      <i/>
      <sz val="9"/>
      <color theme="9" tint="-0.499984740745262"/>
      <name val="Arial"/>
      <family val="2"/>
    </font>
    <font>
      <i/>
      <sz val="11"/>
      <color indexed="60"/>
      <name val="Arial"/>
      <family val="2"/>
    </font>
    <font>
      <i/>
      <sz val="14"/>
      <color indexed="60"/>
      <name val="Arial"/>
      <family val="2"/>
    </font>
    <font>
      <u/>
      <sz val="11"/>
      <color theme="10"/>
      <name val="Calibri"/>
      <family val="2"/>
    </font>
    <font>
      <sz val="22"/>
      <name val="Arial Unicode MS"/>
      <family val="2"/>
    </font>
    <font>
      <sz val="22"/>
      <color theme="1"/>
      <name val="Calibri"/>
      <family val="2"/>
      <scheme val="minor"/>
    </font>
    <font>
      <u/>
      <sz val="8"/>
      <color indexed="12"/>
      <name val="Arial Unicode MS"/>
      <family val="2"/>
    </font>
    <font>
      <b/>
      <sz val="9"/>
      <color indexed="8"/>
      <name val="Arial Unicode MS"/>
      <family val="2"/>
    </font>
    <font>
      <sz val="11"/>
      <name val="Calibri"/>
      <family val="2"/>
      <scheme val="minor"/>
    </font>
    <font>
      <b/>
      <i/>
      <sz val="10"/>
      <name val="Arial Unicode MS"/>
      <family val="2"/>
    </font>
    <font>
      <sz val="48"/>
      <color rgb="FFF4910C"/>
      <name val="Old English Text MT"/>
      <family val="4"/>
    </font>
    <font>
      <sz val="36"/>
      <color rgb="FFF4910C"/>
      <name val="Old English Text MT"/>
      <family val="4"/>
    </font>
    <font>
      <i/>
      <sz val="10"/>
      <color indexed="8"/>
      <name val="Arial Unicode MS"/>
      <family val="2"/>
    </font>
    <font>
      <i/>
      <sz val="10"/>
      <name val="Arial"/>
      <family val="2"/>
    </font>
    <font>
      <i/>
      <sz val="10"/>
      <color theme="1" tint="0.499984740745262"/>
      <name val="Arial Unicode MS"/>
      <family val="2"/>
    </font>
    <font>
      <sz val="10"/>
      <color theme="1" tint="0.499984740745262"/>
      <name val="Arial"/>
      <family val="2"/>
    </font>
    <font>
      <b/>
      <sz val="18"/>
      <color indexed="12"/>
      <name val="Arial Unicode MS"/>
      <family val="2"/>
    </font>
    <font>
      <u/>
      <sz val="14"/>
      <color indexed="12"/>
      <name val="Arial Unicode MS"/>
      <family val="2"/>
    </font>
    <font>
      <b/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theme="0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1"/>
      <color indexed="9"/>
      <name val="BilboDisplay"/>
    </font>
    <font>
      <sz val="14"/>
      <color indexed="10"/>
      <name val="Arial"/>
      <family val="2"/>
    </font>
    <font>
      <sz val="10"/>
      <color rgb="FFFF0000"/>
      <name val="Arial Unicode MS"/>
      <family val="2"/>
    </font>
    <font>
      <sz val="11"/>
      <color indexed="10"/>
      <name val="BilboDisplay"/>
    </font>
    <font>
      <sz val="11"/>
      <color indexed="10"/>
      <name val="Arial"/>
      <family val="2"/>
    </font>
    <font>
      <b/>
      <sz val="8"/>
      <color indexed="9"/>
      <name val="Arial"/>
      <family val="2"/>
    </font>
    <font>
      <sz val="10"/>
      <color theme="0" tint="-0.499984740745262"/>
      <name val="Arial Unicode MS"/>
      <family val="2"/>
    </font>
    <font>
      <sz val="12"/>
      <color theme="0" tint="-0.499984740745262"/>
      <name val="Arial Unicode MS"/>
      <family val="2"/>
    </font>
    <font>
      <u/>
      <sz val="10"/>
      <color theme="0" tint="-0.499984740745262"/>
      <name val="Arial"/>
      <family val="2"/>
    </font>
    <font>
      <sz val="10"/>
      <color rgb="FF0000FF"/>
      <name val="Arial Unicode MS"/>
      <family val="2"/>
    </font>
    <font>
      <b/>
      <sz val="12"/>
      <name val="Arial"/>
      <family val="2"/>
    </font>
    <font>
      <sz val="36"/>
      <color rgb="FFF4910C"/>
      <name val="Arial Unicode MS"/>
      <family val="2"/>
    </font>
    <font>
      <sz val="8"/>
      <color theme="0" tint="-0.14999847407452621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b/>
      <u/>
      <sz val="10"/>
      <color theme="0" tint="-0.499984740745262"/>
      <name val="Arial"/>
      <family val="2"/>
    </font>
    <font>
      <sz val="12"/>
      <name val="Arial"/>
      <family val="2"/>
    </font>
    <font>
      <u/>
      <sz val="11"/>
      <color indexed="12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indexed="60"/>
      <name val="Arial"/>
      <family val="2"/>
    </font>
    <font>
      <b/>
      <i/>
      <sz val="11"/>
      <color indexed="60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11"/>
      <color theme="1"/>
      <name val="Arial"/>
      <family val="2"/>
    </font>
    <font>
      <b/>
      <sz val="11"/>
      <color indexed="10"/>
      <name val="Arial"/>
      <family val="2"/>
    </font>
    <font>
      <i/>
      <sz val="11"/>
      <color indexed="16"/>
      <name val="Arial"/>
      <family val="2"/>
    </font>
    <font>
      <i/>
      <sz val="11"/>
      <name val="Arial"/>
      <family val="2"/>
    </font>
    <font>
      <i/>
      <sz val="11"/>
      <color rgb="FF0000FF"/>
      <name val="Arial"/>
      <family val="2"/>
    </font>
    <font>
      <sz val="11"/>
      <color indexed="16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u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8"/>
      <color indexed="17"/>
      <name val="Arial"/>
      <family val="2"/>
    </font>
    <font>
      <b/>
      <sz val="8"/>
      <color rgb="FF008000"/>
      <name val="Arial"/>
      <family val="2"/>
    </font>
    <font>
      <sz val="12"/>
      <color theme="0" tint="-0.499984740745262"/>
      <name val="Arial Unicode MS"/>
      <family val="2"/>
    </font>
    <font>
      <sz val="12"/>
      <color rgb="FFFF0000"/>
      <name val="Arial"/>
      <family val="2"/>
    </font>
    <font>
      <sz val="12"/>
      <color rgb="FF0000FF"/>
      <name val="Arial Unicode MS"/>
      <family val="2"/>
    </font>
    <font>
      <sz val="12"/>
      <color rgb="FF7030A0"/>
      <name val="Arial Unicode MS"/>
      <family val="2"/>
    </font>
    <font>
      <b/>
      <sz val="16"/>
      <name val="Arial"/>
      <family val="2"/>
    </font>
    <font>
      <sz val="10"/>
      <color theme="0" tint="-0.249977111117893"/>
      <name val="Arial Unicode MS"/>
      <family val="2"/>
    </font>
    <font>
      <sz val="10"/>
      <color rgb="FF7030A0"/>
      <name val="Arial Unicode MS"/>
      <family val="2"/>
    </font>
    <font>
      <u/>
      <sz val="10"/>
      <color rgb="FF0000FF"/>
      <name val="Arial Unicode MS"/>
      <family val="2"/>
    </font>
    <font>
      <b/>
      <u/>
      <sz val="10"/>
      <color rgb="FF0000FF"/>
      <name val="Arial"/>
      <family val="2"/>
    </font>
    <font>
      <b/>
      <sz val="9"/>
      <color indexed="81"/>
      <name val="Segoe UI"/>
      <family val="2"/>
    </font>
    <font>
      <b/>
      <sz val="10"/>
      <color rgb="FF0000FF"/>
      <name val="Arial"/>
      <family val="2"/>
    </font>
    <font>
      <sz val="9"/>
      <color indexed="81"/>
      <name val="Segoe UI"/>
      <family val="2"/>
    </font>
    <font>
      <sz val="9"/>
      <color indexed="8"/>
      <name val="Arial"/>
      <family val="2"/>
    </font>
    <font>
      <u/>
      <sz val="10"/>
      <color rgb="FFFF0000"/>
      <name val="Arial"/>
      <family val="2"/>
    </font>
    <font>
      <b/>
      <sz val="11"/>
      <color rgb="FF0000FF"/>
      <name val="Arial"/>
      <family val="2"/>
    </font>
    <font>
      <b/>
      <sz val="12"/>
      <color rgb="FF0000FF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rgb="FF000000"/>
      <name val="Arial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sz val="12"/>
      <color theme="0" tint="-0.499984740745262"/>
      <name val="Arial"/>
      <family val="2"/>
    </font>
    <font>
      <sz val="12"/>
      <color indexed="8"/>
      <name val="Arial"/>
      <family val="2"/>
    </font>
    <font>
      <sz val="8"/>
      <color rgb="FF0000FF"/>
      <name val="Arial"/>
      <family val="2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</font>
    <font>
      <sz val="48"/>
      <color rgb="FFFFC000"/>
      <name val="Arial"/>
      <family val="2"/>
    </font>
    <font>
      <b/>
      <sz val="12"/>
      <color indexed="17"/>
      <name val="Arial"/>
      <family val="2"/>
    </font>
    <font>
      <sz val="48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2"/>
      <color rgb="FF0000FF"/>
      <name val="Arial"/>
      <family val="2"/>
    </font>
    <font>
      <sz val="11"/>
      <name val="Arial Unicode MS"/>
      <family val="2"/>
    </font>
    <font>
      <b/>
      <sz val="12"/>
      <color rgb="FFFFFF00"/>
      <name val="Arial"/>
      <family val="2"/>
    </font>
    <font>
      <b/>
      <sz val="12"/>
      <color rgb="FFFF0000"/>
      <name val="Arial Unicode MS"/>
      <family val="2"/>
    </font>
    <font>
      <u/>
      <sz val="11"/>
      <color theme="1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31"/>
      </patternFill>
    </fill>
    <fill>
      <patternFill patternType="solid">
        <fgColor rgb="FF99CCFF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0000"/>
        <bgColor indexed="27"/>
      </patternFill>
    </fill>
    <fill>
      <patternFill patternType="solid">
        <fgColor rgb="FFFF0000"/>
        <bgColor indexed="26"/>
      </patternFill>
    </fill>
    <fill>
      <patternFill patternType="solid">
        <fgColor rgb="FFFFFF00"/>
        <bgColor indexed="49"/>
      </patternFill>
    </fill>
    <fill>
      <patternFill patternType="solid">
        <fgColor rgb="FFFFCC99"/>
        <bgColor indexed="31"/>
      </patternFill>
    </fill>
    <fill>
      <patternFill patternType="solid">
        <fgColor rgb="FFFFCC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27"/>
      </patternFill>
    </fill>
    <fill>
      <patternFill patternType="solid">
        <fgColor rgb="FFFFCC00"/>
        <bgColor indexed="13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60"/>
      </patternFill>
    </fill>
    <fill>
      <patternFill patternType="solid">
        <fgColor rgb="FFFFC000"/>
        <bgColor indexed="27"/>
      </patternFill>
    </fill>
    <fill>
      <patternFill patternType="solid">
        <fgColor rgb="FFFFFF00"/>
        <bgColor indexed="22"/>
      </patternFill>
    </fill>
    <fill>
      <patternFill patternType="solid">
        <fgColor rgb="FFFFFF66"/>
        <bgColor indexed="64"/>
      </patternFill>
    </fill>
    <fill>
      <patternFill patternType="solid">
        <fgColor rgb="FFFFE0C1"/>
        <bgColor indexed="64"/>
      </patternFill>
    </fill>
    <fill>
      <patternFill patternType="solid">
        <fgColor rgb="FFFFE0C1"/>
        <bgColor indexed="31"/>
      </patternFill>
    </fill>
    <fill>
      <patternFill patternType="solid">
        <fgColor rgb="FFFFE0C1"/>
        <bgColor indexed="22"/>
      </patternFill>
    </fill>
    <fill>
      <patternFill patternType="solid">
        <fgColor rgb="FFFFE0C1"/>
        <bgColor indexed="27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60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3" tint="0.79998168889431442"/>
        <bgColor indexed="13"/>
      </patternFill>
    </fill>
    <fill>
      <patternFill patternType="solid">
        <fgColor rgb="FFBDFFBD"/>
        <bgColor indexed="31"/>
      </patternFill>
    </fill>
    <fill>
      <patternFill patternType="solid">
        <fgColor rgb="FFBDFFBD"/>
        <bgColor indexed="64"/>
      </patternFill>
    </fill>
    <fill>
      <patternFill patternType="solid">
        <fgColor rgb="FFBDFFBD"/>
        <bgColor indexed="60"/>
      </patternFill>
    </fill>
    <fill>
      <patternFill patternType="solid">
        <fgColor rgb="FFBDFFBD"/>
        <bgColor indexed="27"/>
      </patternFill>
    </fill>
    <fill>
      <patternFill patternType="solid">
        <fgColor rgb="FFBDFFBD"/>
        <bgColor indexed="26"/>
      </patternFill>
    </fill>
    <fill>
      <patternFill patternType="solid">
        <fgColor rgb="FFBDFFBD"/>
        <bgColor auto="1"/>
      </patternFill>
    </fill>
    <fill>
      <patternFill patternType="solid">
        <fgColor rgb="FFBDFFBD"/>
        <bgColor indexed="22"/>
      </patternFill>
    </fill>
    <fill>
      <patternFill patternType="solid">
        <fgColor rgb="FFFFE0C1"/>
        <bgColor indexed="26"/>
      </patternFill>
    </fill>
    <fill>
      <patternFill patternType="solid">
        <fgColor rgb="FFFFE0C1"/>
        <bgColor auto="1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auto="1"/>
      </patternFill>
    </fill>
    <fill>
      <gradientFill degree="90">
        <stop position="0">
          <color rgb="FFBDFFBD"/>
        </stop>
        <stop position="1">
          <color theme="3" tint="0.80001220740379042"/>
        </stop>
      </gradientFill>
    </fill>
    <fill>
      <gradientFill degree="90">
        <stop position="0">
          <color rgb="FFFFE0C1"/>
        </stop>
        <stop position="1">
          <color rgb="FFBDFFBD"/>
        </stop>
      </gradientFill>
    </fill>
    <fill>
      <gradientFill degree="90">
        <stop position="0">
          <color rgb="FFFFFF99"/>
        </stop>
        <stop position="1">
          <color rgb="FFFFE0C1"/>
        </stop>
      </gradientFill>
    </fill>
    <fill>
      <patternFill patternType="solid">
        <fgColor rgb="FF00B050"/>
        <bgColor indexed="64"/>
      </patternFill>
    </fill>
    <fill>
      <patternFill patternType="solid">
        <fgColor rgb="FFFF7C80"/>
        <bgColor indexed="64"/>
      </patternFill>
    </fill>
  </fills>
  <borders count="40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ck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auto="1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64"/>
      </left>
      <right style="thick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0" fontId="2" fillId="0" borderId="0"/>
    <xf numFmtId="164" fontId="2" fillId="0" borderId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3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</cellStyleXfs>
  <cellXfs count="3710">
    <xf numFmtId="0" fontId="0" fillId="0" borderId="0" xfId="0"/>
    <xf numFmtId="0" fontId="2" fillId="0" borderId="0" xfId="1"/>
    <xf numFmtId="0" fontId="9" fillId="0" borderId="0" xfId="1" applyFont="1"/>
    <xf numFmtId="0" fontId="10" fillId="0" borderId="0" xfId="1" applyFont="1"/>
    <xf numFmtId="0" fontId="10" fillId="0" borderId="0" xfId="1" applyFont="1" applyAlignment="1">
      <alignment horizontal="right"/>
    </xf>
    <xf numFmtId="0" fontId="2" fillId="0" borderId="0" xfId="1" applyFill="1"/>
    <xf numFmtId="0" fontId="2" fillId="0" borderId="0" xfId="1" applyFill="1" applyAlignment="1"/>
    <xf numFmtId="0" fontId="2" fillId="0" borderId="0" xfId="1" applyFill="1" applyBorder="1"/>
    <xf numFmtId="3" fontId="17" fillId="0" borderId="0" xfId="1" applyNumberFormat="1" applyFont="1" applyFill="1" applyBorder="1" applyAlignment="1">
      <alignment horizontal="center"/>
    </xf>
    <xf numFmtId="0" fontId="18" fillId="0" borderId="0" xfId="1" applyFont="1" applyFill="1" applyBorder="1"/>
    <xf numFmtId="0" fontId="19" fillId="0" borderId="0" xfId="1" applyFont="1" applyFill="1" applyBorder="1"/>
    <xf numFmtId="0" fontId="20" fillId="0" borderId="0" xfId="1" applyFont="1" applyFill="1" applyBorder="1"/>
    <xf numFmtId="0" fontId="22" fillId="0" borderId="0" xfId="1" applyFont="1" applyFill="1" applyBorder="1"/>
    <xf numFmtId="0" fontId="20" fillId="0" borderId="8" xfId="1" applyFont="1" applyFill="1" applyBorder="1"/>
    <xf numFmtId="0" fontId="26" fillId="0" borderId="0" xfId="1" applyFont="1" applyFill="1" applyAlignment="1">
      <alignment vertical="top"/>
    </xf>
    <xf numFmtId="0" fontId="28" fillId="0" borderId="0" xfId="1" applyFont="1" applyFill="1" applyAlignment="1"/>
    <xf numFmtId="0" fontId="29" fillId="0" borderId="0" xfId="15" applyNumberFormat="1" applyFont="1" applyFill="1" applyBorder="1" applyAlignment="1" applyProtection="1"/>
    <xf numFmtId="0" fontId="27" fillId="0" borderId="0" xfId="1" applyFont="1" applyFill="1"/>
    <xf numFmtId="0" fontId="30" fillId="0" borderId="0" xfId="1" applyFont="1" applyFill="1" applyAlignment="1"/>
    <xf numFmtId="0" fontId="30" fillId="0" borderId="0" xfId="1" applyFont="1" applyFill="1" applyAlignment="1">
      <alignment vertical="top"/>
    </xf>
    <xf numFmtId="165" fontId="6" fillId="0" borderId="0" xfId="1" applyNumberFormat="1" applyFont="1" applyFill="1" applyAlignment="1">
      <alignment horizontal="left"/>
    </xf>
    <xf numFmtId="0" fontId="32" fillId="0" borderId="0" xfId="1" applyFont="1" applyFill="1" applyAlignment="1">
      <alignment vertical="center"/>
    </xf>
    <xf numFmtId="0" fontId="33" fillId="0" borderId="0" xfId="1" applyFont="1" applyFill="1" applyAlignment="1">
      <alignment vertical="top"/>
    </xf>
    <xf numFmtId="0" fontId="23" fillId="0" borderId="0" xfId="15" applyNumberFormat="1" applyFill="1" applyBorder="1" applyAlignment="1" applyProtection="1"/>
    <xf numFmtId="0" fontId="34" fillId="0" borderId="0" xfId="1" applyFont="1" applyFill="1" applyAlignment="1">
      <alignment vertical="center"/>
    </xf>
    <xf numFmtId="0" fontId="35" fillId="0" borderId="0" xfId="15" applyNumberFormat="1" applyFont="1" applyFill="1" applyBorder="1" applyAlignment="1" applyProtection="1">
      <alignment vertical="center"/>
    </xf>
    <xf numFmtId="0" fontId="36" fillId="0" borderId="0" xfId="15" applyNumberFormat="1" applyFont="1" applyFill="1" applyBorder="1" applyAlignment="1" applyProtection="1">
      <alignment vertical="center"/>
    </xf>
    <xf numFmtId="0" fontId="37" fillId="0" borderId="0" xfId="1" applyFont="1" applyFill="1" applyAlignment="1"/>
    <xf numFmtId="0" fontId="36" fillId="0" borderId="0" xfId="1" applyFont="1" applyFill="1" applyAlignment="1">
      <alignment vertical="center"/>
    </xf>
    <xf numFmtId="0" fontId="25" fillId="0" borderId="0" xfId="1" applyFont="1" applyFill="1" applyBorder="1" applyAlignment="1">
      <alignment horizontal="left"/>
    </xf>
    <xf numFmtId="0" fontId="34" fillId="0" borderId="0" xfId="1" applyFont="1" applyFill="1" applyAlignment="1">
      <alignment horizontal="left" vertical="center"/>
    </xf>
    <xf numFmtId="0" fontId="38" fillId="0" borderId="0" xfId="15" applyNumberFormat="1" applyFont="1" applyFill="1" applyBorder="1" applyAlignment="1" applyProtection="1"/>
    <xf numFmtId="0" fontId="13" fillId="0" borderId="0" xfId="1" applyFont="1" applyFill="1" applyAlignment="1"/>
    <xf numFmtId="0" fontId="39" fillId="0" borderId="0" xfId="15" applyNumberFormat="1" applyFont="1" applyFill="1" applyBorder="1" applyAlignment="1" applyProtection="1">
      <alignment horizontal="center" vertical="center"/>
    </xf>
    <xf numFmtId="0" fontId="40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2" fillId="0" borderId="10" xfId="1" applyFill="1" applyBorder="1" applyAlignment="1"/>
    <xf numFmtId="0" fontId="2" fillId="0" borderId="11" xfId="1" applyFill="1" applyBorder="1"/>
    <xf numFmtId="0" fontId="41" fillId="0" borderId="12" xfId="1" applyFont="1" applyFill="1" applyBorder="1" applyAlignment="1">
      <alignment horizontal="center" vertical="center"/>
    </xf>
    <xf numFmtId="0" fontId="43" fillId="0" borderId="14" xfId="1" applyFont="1" applyFill="1" applyBorder="1" applyAlignment="1">
      <alignment horizontal="center" vertical="center"/>
    </xf>
    <xf numFmtId="166" fontId="43" fillId="0" borderId="15" xfId="1" applyNumberFormat="1" applyFont="1" applyFill="1" applyBorder="1" applyAlignment="1">
      <alignment horizontal="center" vertical="center"/>
    </xf>
    <xf numFmtId="14" fontId="11" fillId="0" borderId="0" xfId="1" applyNumberFormat="1" applyFont="1" applyFill="1" applyAlignment="1">
      <alignment vertical="center"/>
    </xf>
    <xf numFmtId="0" fontId="2" fillId="0" borderId="17" xfId="1" applyFill="1" applyBorder="1"/>
    <xf numFmtId="0" fontId="41" fillId="0" borderId="0" xfId="1" applyFont="1" applyFill="1" applyBorder="1" applyAlignment="1">
      <alignment horizontal="center" vertical="center"/>
    </xf>
    <xf numFmtId="167" fontId="46" fillId="0" borderId="0" xfId="1" applyNumberFormat="1" applyFont="1" applyFill="1" applyBorder="1" applyAlignment="1">
      <alignment horizontal="center" vertical="center"/>
    </xf>
    <xf numFmtId="168" fontId="46" fillId="0" borderId="0" xfId="1" applyNumberFormat="1" applyFont="1" applyFill="1" applyBorder="1" applyAlignment="1">
      <alignment horizontal="center" vertical="center"/>
    </xf>
    <xf numFmtId="0" fontId="2" fillId="0" borderId="0" xfId="1" applyFill="1" applyAlignment="1">
      <alignment vertical="center"/>
    </xf>
    <xf numFmtId="0" fontId="51" fillId="0" borderId="0" xfId="1" applyFont="1" applyFill="1" applyBorder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50" fillId="0" borderId="0" xfId="1" applyFont="1" applyFill="1" applyBorder="1" applyAlignment="1">
      <alignment horizontal="left" vertical="center"/>
    </xf>
    <xf numFmtId="166" fontId="42" fillId="0" borderId="0" xfId="1" applyNumberFormat="1" applyFont="1" applyFill="1" applyBorder="1" applyAlignment="1">
      <alignment horizontal="left" vertical="center"/>
    </xf>
    <xf numFmtId="166" fontId="5" fillId="0" borderId="0" xfId="1" applyNumberFormat="1" applyFont="1" applyFill="1" applyBorder="1" applyAlignment="1">
      <alignment horizontal="left" vertical="center"/>
    </xf>
    <xf numFmtId="166" fontId="42" fillId="0" borderId="0" xfId="1" applyNumberFormat="1" applyFont="1" applyFill="1" applyBorder="1" applyAlignment="1">
      <alignment horizontal="center" vertical="center"/>
    </xf>
    <xf numFmtId="3" fontId="52" fillId="0" borderId="0" xfId="1" applyNumberFormat="1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horizontal="left" vertical="center"/>
    </xf>
    <xf numFmtId="0" fontId="18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3" fontId="50" fillId="0" borderId="0" xfId="1" applyNumberFormat="1" applyFont="1" applyFill="1" applyBorder="1" applyAlignment="1">
      <alignment horizontal="center" vertical="center"/>
    </xf>
    <xf numFmtId="167" fontId="42" fillId="0" borderId="0" xfId="1" applyNumberFormat="1" applyFont="1" applyFill="1" applyBorder="1" applyAlignment="1">
      <alignment horizontal="center" vertical="center"/>
    </xf>
    <xf numFmtId="167" fontId="50" fillId="0" borderId="0" xfId="1" applyNumberFormat="1" applyFont="1" applyFill="1" applyBorder="1" applyAlignment="1">
      <alignment horizontal="left" vertical="center"/>
    </xf>
    <xf numFmtId="3" fontId="47" fillId="0" borderId="0" xfId="1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167" fontId="59" fillId="0" borderId="0" xfId="1" applyNumberFormat="1" applyFont="1" applyFill="1" applyAlignment="1">
      <alignment vertical="center"/>
    </xf>
    <xf numFmtId="0" fontId="19" fillId="0" borderId="0" xfId="1" applyFont="1" applyFill="1" applyBorder="1" applyAlignment="1">
      <alignment horizontal="left" vertical="center"/>
    </xf>
    <xf numFmtId="3" fontId="65" fillId="0" borderId="0" xfId="1" applyNumberFormat="1" applyFont="1" applyFill="1" applyBorder="1" applyAlignment="1">
      <alignment horizontal="center" vertical="center"/>
    </xf>
    <xf numFmtId="167" fontId="44" fillId="0" borderId="0" xfId="1" applyNumberFormat="1" applyFont="1" applyFill="1" applyBorder="1" applyAlignment="1">
      <alignment horizontal="center" vertical="center"/>
    </xf>
    <xf numFmtId="166" fontId="44" fillId="0" borderId="0" xfId="1" applyNumberFormat="1" applyFont="1" applyFill="1" applyBorder="1" applyAlignment="1">
      <alignment horizontal="center" vertical="center"/>
    </xf>
    <xf numFmtId="166" fontId="44" fillId="0" borderId="0" xfId="1" applyNumberFormat="1" applyFont="1" applyFill="1" applyBorder="1" applyAlignment="1">
      <alignment horizontal="left" vertical="center"/>
    </xf>
    <xf numFmtId="166" fontId="24" fillId="0" borderId="0" xfId="1" applyNumberFormat="1" applyFont="1" applyFill="1" applyBorder="1" applyAlignment="1">
      <alignment horizontal="left" vertical="center"/>
    </xf>
    <xf numFmtId="0" fontId="65" fillId="0" borderId="0" xfId="1" applyFont="1" applyFill="1" applyBorder="1" applyAlignment="1">
      <alignment horizontal="left" vertical="center"/>
    </xf>
    <xf numFmtId="167" fontId="65" fillId="0" borderId="0" xfId="1" applyNumberFormat="1" applyFont="1" applyFill="1" applyBorder="1" applyAlignment="1">
      <alignment horizontal="left" vertical="center"/>
    </xf>
    <xf numFmtId="3" fontId="45" fillId="0" borderId="0" xfId="1" applyNumberFormat="1" applyFont="1" applyFill="1" applyBorder="1" applyAlignment="1">
      <alignment horizontal="center" vertical="center"/>
    </xf>
    <xf numFmtId="3" fontId="21" fillId="0" borderId="0" xfId="1" applyNumberFormat="1" applyFont="1" applyFill="1" applyBorder="1" applyAlignment="1">
      <alignment horizontal="center" vertical="center"/>
    </xf>
    <xf numFmtId="0" fontId="66" fillId="0" borderId="0" xfId="1" applyFont="1" applyFill="1" applyAlignment="1">
      <alignment vertical="center"/>
    </xf>
    <xf numFmtId="167" fontId="67" fillId="0" borderId="0" xfId="1" applyNumberFormat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48" fillId="0" borderId="0" xfId="1" applyFont="1" applyFill="1" applyAlignment="1">
      <alignment vertical="center"/>
    </xf>
    <xf numFmtId="167" fontId="48" fillId="0" borderId="0" xfId="1" applyNumberFormat="1" applyFont="1" applyFill="1" applyAlignment="1">
      <alignment vertical="center"/>
    </xf>
    <xf numFmtId="0" fontId="68" fillId="0" borderId="0" xfId="1" applyFont="1" applyFill="1" applyBorder="1" applyAlignment="1">
      <alignment horizontal="left" vertical="center"/>
    </xf>
    <xf numFmtId="0" fontId="48" fillId="0" borderId="51" xfId="1" applyFont="1" applyFill="1" applyBorder="1" applyAlignment="1">
      <alignment vertical="center"/>
    </xf>
    <xf numFmtId="0" fontId="20" fillId="0" borderId="51" xfId="1" applyFont="1" applyFill="1" applyBorder="1" applyAlignment="1">
      <alignment vertical="center"/>
    </xf>
    <xf numFmtId="167" fontId="48" fillId="0" borderId="51" xfId="1" applyNumberFormat="1" applyFont="1" applyFill="1" applyBorder="1" applyAlignment="1">
      <alignment vertical="center"/>
    </xf>
    <xf numFmtId="0" fontId="68" fillId="0" borderId="51" xfId="1" applyFont="1" applyFill="1" applyBorder="1" applyAlignment="1">
      <alignment horizontal="left" vertical="center"/>
    </xf>
    <xf numFmtId="0" fontId="23" fillId="0" borderId="0" xfId="15" applyFill="1" applyAlignment="1">
      <alignment vertical="center"/>
    </xf>
    <xf numFmtId="3" fontId="53" fillId="0" borderId="1" xfId="1" applyNumberFormat="1" applyFont="1" applyFill="1" applyBorder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/>
    </xf>
    <xf numFmtId="3" fontId="52" fillId="0" borderId="1" xfId="1" applyNumberFormat="1" applyFont="1" applyFill="1" applyBorder="1" applyAlignment="1">
      <alignment horizontal="center" vertical="center"/>
    </xf>
    <xf numFmtId="0" fontId="63" fillId="0" borderId="5" xfId="1" applyFont="1" applyFill="1" applyBorder="1" applyAlignment="1">
      <alignment horizontal="left" vertical="center"/>
    </xf>
    <xf numFmtId="0" fontId="52" fillId="0" borderId="5" xfId="1" applyFont="1" applyFill="1" applyBorder="1" applyAlignment="1">
      <alignment horizontal="left" vertical="center"/>
    </xf>
    <xf numFmtId="3" fontId="74" fillId="0" borderId="0" xfId="1" applyNumberFormat="1" applyFont="1" applyFill="1" applyBorder="1" applyAlignment="1">
      <alignment horizontal="left" vertical="center"/>
    </xf>
    <xf numFmtId="3" fontId="75" fillId="0" borderId="0" xfId="1" applyNumberFormat="1" applyFont="1" applyFill="1" applyBorder="1" applyAlignment="1">
      <alignment horizontal="left" vertical="center"/>
    </xf>
    <xf numFmtId="3" fontId="76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3" fontId="77" fillId="0" borderId="0" xfId="1" applyNumberFormat="1" applyFont="1" applyFill="1" applyBorder="1" applyAlignment="1">
      <alignment horizontal="left" vertical="center"/>
    </xf>
    <xf numFmtId="3" fontId="78" fillId="0" borderId="0" xfId="1" applyNumberFormat="1" applyFont="1" applyFill="1" applyBorder="1" applyAlignment="1">
      <alignment horizontal="left" vertical="center"/>
    </xf>
    <xf numFmtId="3" fontId="77" fillId="0" borderId="0" xfId="1" applyNumberFormat="1" applyFont="1" applyFill="1" applyBorder="1" applyAlignment="1">
      <alignment horizontal="center" vertical="center"/>
    </xf>
    <xf numFmtId="0" fontId="54" fillId="0" borderId="0" xfId="1" applyFont="1" applyFill="1" applyAlignment="1">
      <alignment vertical="center"/>
    </xf>
    <xf numFmtId="3" fontId="52" fillId="0" borderId="56" xfId="1" applyNumberFormat="1" applyFont="1" applyFill="1" applyBorder="1" applyAlignment="1">
      <alignment horizontal="center" vertical="center"/>
    </xf>
    <xf numFmtId="0" fontId="2" fillId="0" borderId="0" xfId="1" applyAlignment="1"/>
    <xf numFmtId="167" fontId="46" fillId="0" borderId="66" xfId="1" applyNumberFormat="1" applyFont="1" applyFill="1" applyBorder="1" applyAlignment="1">
      <alignment horizontal="center" vertical="center"/>
    </xf>
    <xf numFmtId="167" fontId="47" fillId="0" borderId="66" xfId="1" applyNumberFormat="1" applyFont="1" applyFill="1" applyBorder="1" applyAlignment="1">
      <alignment horizontal="center" vertical="center"/>
    </xf>
    <xf numFmtId="168" fontId="46" fillId="0" borderId="66" xfId="1" applyNumberFormat="1" applyFont="1" applyFill="1" applyBorder="1" applyAlignment="1">
      <alignment horizontal="center" vertical="center"/>
    </xf>
    <xf numFmtId="3" fontId="41" fillId="0" borderId="66" xfId="1" applyNumberFormat="1" applyFont="1" applyFill="1" applyBorder="1" applyAlignment="1">
      <alignment horizontal="center" vertical="center"/>
    </xf>
    <xf numFmtId="3" fontId="49" fillId="0" borderId="66" xfId="1" applyNumberFormat="1" applyFont="1" applyFill="1" applyBorder="1" applyAlignment="1">
      <alignment horizontal="center" vertical="center"/>
    </xf>
    <xf numFmtId="3" fontId="52" fillId="0" borderId="87" xfId="1" applyNumberFormat="1" applyFont="1" applyFill="1" applyBorder="1" applyAlignment="1">
      <alignment horizontal="center" vertical="center"/>
    </xf>
    <xf numFmtId="3" fontId="52" fillId="0" borderId="6" xfId="1" applyNumberFormat="1" applyFont="1" applyFill="1" applyBorder="1" applyAlignment="1">
      <alignment horizontal="center" vertical="center"/>
    </xf>
    <xf numFmtId="165" fontId="19" fillId="0" borderId="0" xfId="1" applyNumberFormat="1" applyFont="1" applyFill="1" applyAlignment="1">
      <alignment horizontal="left"/>
    </xf>
    <xf numFmtId="0" fontId="72" fillId="0" borderId="0" xfId="1" applyFont="1" applyFill="1" applyAlignment="1">
      <alignment horizontal="left"/>
    </xf>
    <xf numFmtId="3" fontId="72" fillId="0" borderId="0" xfId="1" applyNumberFormat="1" applyFont="1" applyFill="1" applyAlignment="1">
      <alignment vertical="center"/>
    </xf>
    <xf numFmtId="0" fontId="73" fillId="0" borderId="0" xfId="15" applyNumberFormat="1" applyFont="1" applyFill="1" applyBorder="1" applyAlignment="1" applyProtection="1">
      <alignment horizontal="center" vertical="center"/>
    </xf>
    <xf numFmtId="0" fontId="82" fillId="0" borderId="0" xfId="15" applyNumberFormat="1" applyFont="1" applyFill="1" applyBorder="1" applyAlignment="1" applyProtection="1">
      <alignment horizontal="center" vertical="center"/>
    </xf>
    <xf numFmtId="3" fontId="41" fillId="0" borderId="4" xfId="1" applyNumberFormat="1" applyFont="1" applyFill="1" applyBorder="1" applyAlignment="1">
      <alignment horizontal="center" vertical="center"/>
    </xf>
    <xf numFmtId="167" fontId="45" fillId="0" borderId="66" xfId="1" applyNumberFormat="1" applyFont="1" applyFill="1" applyBorder="1" applyAlignment="1">
      <alignment horizontal="center" vertical="center"/>
    </xf>
    <xf numFmtId="0" fontId="23" fillId="0" borderId="15" xfId="15" applyFill="1" applyBorder="1" applyAlignment="1">
      <alignment horizontal="center" vertical="center"/>
    </xf>
    <xf numFmtId="0" fontId="23" fillId="0" borderId="0" xfId="15"/>
    <xf numFmtId="0" fontId="2" fillId="0" borderId="8" xfId="1" applyBorder="1"/>
    <xf numFmtId="0" fontId="18" fillId="0" borderId="0" xfId="1" applyFont="1"/>
    <xf numFmtId="0" fontId="18" fillId="0" borderId="0" xfId="1" applyFont="1" applyFill="1"/>
    <xf numFmtId="3" fontId="16" fillId="0" borderId="0" xfId="1" applyNumberFormat="1" applyFont="1" applyFill="1" applyBorder="1" applyAlignment="1">
      <alignment horizontal="center"/>
    </xf>
    <xf numFmtId="0" fontId="23" fillId="0" borderId="0" xfId="15" applyFill="1"/>
    <xf numFmtId="0" fontId="23" fillId="0" borderId="0" xfId="15" applyFill="1" applyBorder="1" applyAlignment="1">
      <alignment horizontal="left"/>
    </xf>
    <xf numFmtId="0" fontId="67" fillId="0" borderId="0" xfId="1" applyFont="1" applyFill="1" applyAlignment="1">
      <alignment vertical="center"/>
    </xf>
    <xf numFmtId="0" fontId="67" fillId="0" borderId="0" xfId="1" applyFont="1" applyFill="1" applyBorder="1" applyAlignment="1">
      <alignment horizontal="left" vertical="center"/>
    </xf>
    <xf numFmtId="165" fontId="6" fillId="0" borderId="0" xfId="1" applyNumberFormat="1" applyFont="1" applyFill="1" applyAlignment="1">
      <alignment horizontal="left"/>
    </xf>
    <xf numFmtId="0" fontId="41" fillId="0" borderId="123" xfId="1" applyFont="1" applyFill="1" applyBorder="1" applyAlignment="1">
      <alignment horizontal="center" vertical="center"/>
    </xf>
    <xf numFmtId="0" fontId="69" fillId="0" borderId="123" xfId="1" applyFont="1" applyFill="1" applyBorder="1" applyAlignment="1">
      <alignment horizontal="center" vertical="center"/>
    </xf>
    <xf numFmtId="0" fontId="17" fillId="0" borderId="118" xfId="1" applyFont="1" applyFill="1" applyBorder="1" applyAlignment="1">
      <alignment horizontal="center" vertical="center"/>
    </xf>
    <xf numFmtId="0" fontId="71" fillId="0" borderId="118" xfId="1" applyFont="1" applyFill="1" applyBorder="1" applyAlignment="1">
      <alignment horizontal="center" vertical="center"/>
    </xf>
    <xf numFmtId="0" fontId="71" fillId="0" borderId="118" xfId="1" applyFont="1" applyFill="1" applyBorder="1" applyAlignment="1">
      <alignment horizontal="center" vertical="center" wrapText="1"/>
    </xf>
    <xf numFmtId="3" fontId="71" fillId="0" borderId="118" xfId="1" applyNumberFormat="1" applyFont="1" applyFill="1" applyBorder="1" applyAlignment="1">
      <alignment horizontal="center" vertical="center" wrapText="1"/>
    </xf>
    <xf numFmtId="0" fontId="17" fillId="0" borderId="112" xfId="1" applyFont="1" applyFill="1" applyBorder="1" applyAlignment="1">
      <alignment horizontal="right" vertical="center"/>
    </xf>
    <xf numFmtId="0" fontId="17" fillId="0" borderId="122" xfId="1" applyFont="1" applyFill="1" applyBorder="1" applyAlignment="1">
      <alignment horizontal="right" vertical="center"/>
    </xf>
    <xf numFmtId="0" fontId="90" fillId="0" borderId="122" xfId="1" applyFont="1" applyFill="1" applyBorder="1" applyAlignment="1">
      <alignment horizontal="center" vertical="center" wrapText="1"/>
    </xf>
    <xf numFmtId="0" fontId="48" fillId="0" borderId="122" xfId="1" applyFont="1" applyFill="1" applyBorder="1" applyAlignment="1">
      <alignment horizontal="center" vertical="center"/>
    </xf>
    <xf numFmtId="0" fontId="48" fillId="22" borderId="122" xfId="1" applyFont="1" applyFill="1" applyBorder="1" applyAlignment="1">
      <alignment horizontal="center" vertical="center"/>
    </xf>
    <xf numFmtId="0" fontId="90" fillId="0" borderId="122" xfId="1" applyFont="1" applyFill="1" applyBorder="1" applyAlignment="1">
      <alignment horizontal="center" vertical="center"/>
    </xf>
    <xf numFmtId="0" fontId="17" fillId="0" borderId="100" xfId="1" applyFont="1" applyFill="1" applyBorder="1" applyAlignment="1">
      <alignment horizontal="center" vertical="center"/>
    </xf>
    <xf numFmtId="0" fontId="17" fillId="0" borderId="52" xfId="1" applyFont="1" applyFill="1" applyBorder="1" applyAlignment="1">
      <alignment horizontal="right" vertical="center"/>
    </xf>
    <xf numFmtId="0" fontId="39" fillId="0" borderId="125" xfId="15" applyFont="1" applyFill="1" applyBorder="1" applyAlignment="1">
      <alignment horizontal="center" vertical="center" wrapText="1"/>
    </xf>
    <xf numFmtId="0" fontId="48" fillId="0" borderId="125" xfId="1" applyFont="1" applyFill="1" applyBorder="1" applyAlignment="1">
      <alignment horizontal="center" vertical="center"/>
    </xf>
    <xf numFmtId="0" fontId="48" fillId="22" borderId="125" xfId="1" applyFont="1" applyFill="1" applyBorder="1" applyAlignment="1">
      <alignment horizontal="center" vertical="center"/>
    </xf>
    <xf numFmtId="0" fontId="90" fillId="0" borderId="125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right" vertical="center"/>
    </xf>
    <xf numFmtId="0" fontId="91" fillId="0" borderId="66" xfId="1" applyFont="1" applyBorder="1" applyAlignment="1">
      <alignment horizontal="center" vertical="center" wrapText="1"/>
    </xf>
    <xf numFmtId="0" fontId="48" fillId="0" borderId="66" xfId="1" applyFont="1" applyFill="1" applyBorder="1" applyAlignment="1">
      <alignment horizontal="center" vertical="center" wrapText="1"/>
    </xf>
    <xf numFmtId="3" fontId="48" fillId="0" borderId="66" xfId="1" applyNumberFormat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43" fillId="0" borderId="127" xfId="1" applyFont="1" applyFill="1" applyBorder="1" applyAlignment="1">
      <alignment horizontal="left" vertical="center"/>
    </xf>
    <xf numFmtId="0" fontId="17" fillId="0" borderId="79" xfId="1" applyFont="1" applyFill="1" applyBorder="1" applyAlignment="1">
      <alignment horizontal="center" vertical="center"/>
    </xf>
    <xf numFmtId="0" fontId="17" fillId="0" borderId="109" xfId="1" applyFont="1" applyFill="1" applyBorder="1" applyAlignment="1">
      <alignment horizontal="center" vertical="center"/>
    </xf>
    <xf numFmtId="0" fontId="43" fillId="0" borderId="112" xfId="1" applyFont="1" applyFill="1" applyBorder="1" applyAlignment="1">
      <alignment horizontal="left" vertical="center"/>
    </xf>
    <xf numFmtId="0" fontId="17" fillId="0" borderId="52" xfId="1" applyFont="1" applyFill="1" applyBorder="1" applyAlignment="1">
      <alignment horizontal="center" vertical="center"/>
    </xf>
    <xf numFmtId="170" fontId="17" fillId="0" borderId="125" xfId="1" applyNumberFormat="1" applyFont="1" applyFill="1" applyBorder="1" applyAlignment="1">
      <alignment horizontal="center" vertical="center"/>
    </xf>
    <xf numFmtId="0" fontId="43" fillId="0" borderId="54" xfId="1" applyFont="1" applyFill="1" applyBorder="1" applyAlignment="1">
      <alignment horizontal="center" vertical="center"/>
    </xf>
    <xf numFmtId="0" fontId="43" fillId="0" borderId="8" xfId="1" applyFont="1" applyFill="1" applyBorder="1" applyAlignment="1">
      <alignment horizontal="center" vertical="center"/>
    </xf>
    <xf numFmtId="3" fontId="17" fillId="0" borderId="128" xfId="1" applyNumberFormat="1" applyFont="1" applyFill="1" applyBorder="1" applyAlignment="1">
      <alignment horizontal="center" vertical="center"/>
    </xf>
    <xf numFmtId="3" fontId="17" fillId="0" borderId="57" xfId="1" applyNumberFormat="1" applyFont="1" applyFill="1" applyBorder="1" applyAlignment="1">
      <alignment horizontal="center" vertical="center"/>
    </xf>
    <xf numFmtId="49" fontId="18" fillId="0" borderId="66" xfId="1" quotePrefix="1" applyNumberFormat="1" applyFont="1" applyFill="1" applyBorder="1" applyAlignment="1">
      <alignment horizontal="center" vertical="center"/>
    </xf>
    <xf numFmtId="3" fontId="17" fillId="0" borderId="66" xfId="1" applyNumberFormat="1" applyFont="1" applyFill="1" applyBorder="1" applyAlignment="1">
      <alignment horizontal="center" vertical="center"/>
    </xf>
    <xf numFmtId="0" fontId="18" fillId="0" borderId="57" xfId="1" applyFont="1" applyFill="1" applyBorder="1" applyAlignment="1">
      <alignment horizontal="left" vertical="center"/>
    </xf>
    <xf numFmtId="49" fontId="18" fillId="0" borderId="66" xfId="1" applyNumberFormat="1" applyFont="1" applyFill="1" applyBorder="1" applyAlignment="1">
      <alignment horizontal="center" vertical="center"/>
    </xf>
    <xf numFmtId="166" fontId="43" fillId="0" borderId="66" xfId="1" applyNumberFormat="1" applyFont="1" applyFill="1" applyBorder="1" applyAlignment="1">
      <alignment horizontal="center" vertical="center"/>
    </xf>
    <xf numFmtId="3" fontId="18" fillId="0" borderId="66" xfId="1" applyNumberFormat="1" applyFont="1" applyFill="1" applyBorder="1" applyAlignment="1">
      <alignment horizontal="center" vertical="center"/>
    </xf>
    <xf numFmtId="0" fontId="18" fillId="0" borderId="129" xfId="1" applyFont="1" applyFill="1" applyBorder="1" applyAlignment="1">
      <alignment horizontal="left" vertical="center"/>
    </xf>
    <xf numFmtId="49" fontId="72" fillId="0" borderId="66" xfId="1" applyNumberFormat="1" applyFont="1" applyFill="1" applyBorder="1" applyAlignment="1">
      <alignment horizontal="center" vertical="center"/>
    </xf>
    <xf numFmtId="0" fontId="18" fillId="7" borderId="129" xfId="1" applyFont="1" applyFill="1" applyBorder="1" applyAlignment="1">
      <alignment horizontal="left" vertical="center"/>
    </xf>
    <xf numFmtId="0" fontId="18" fillId="8" borderId="129" xfId="1" applyFont="1" applyFill="1" applyBorder="1" applyAlignment="1">
      <alignment horizontal="left" vertical="center"/>
    </xf>
    <xf numFmtId="49" fontId="72" fillId="8" borderId="66" xfId="1" applyNumberFormat="1" applyFont="1" applyFill="1" applyBorder="1" applyAlignment="1">
      <alignment horizontal="center" vertical="center"/>
    </xf>
    <xf numFmtId="3" fontId="17" fillId="8" borderId="66" xfId="1" applyNumberFormat="1" applyFont="1" applyFill="1" applyBorder="1" applyAlignment="1">
      <alignment horizontal="center" vertical="center"/>
    </xf>
    <xf numFmtId="166" fontId="43" fillId="8" borderId="66" xfId="1" applyNumberFormat="1" applyFont="1" applyFill="1" applyBorder="1" applyAlignment="1">
      <alignment horizontal="center" vertical="center"/>
    </xf>
    <xf numFmtId="3" fontId="18" fillId="8" borderId="66" xfId="1" applyNumberFormat="1" applyFont="1" applyFill="1" applyBorder="1" applyAlignment="1">
      <alignment horizontal="center" vertical="center"/>
    </xf>
    <xf numFmtId="49" fontId="18" fillId="8" borderId="66" xfId="1" applyNumberFormat="1" applyFont="1" applyFill="1" applyBorder="1" applyAlignment="1">
      <alignment horizontal="center" vertical="center"/>
    </xf>
    <xf numFmtId="49" fontId="72" fillId="8" borderId="57" xfId="1" applyNumberFormat="1" applyFont="1" applyFill="1" applyBorder="1" applyAlignment="1">
      <alignment horizontal="center" vertical="center"/>
    </xf>
    <xf numFmtId="3" fontId="17" fillId="8" borderId="57" xfId="1" applyNumberFormat="1" applyFont="1" applyFill="1" applyBorder="1" applyAlignment="1">
      <alignment horizontal="center" vertical="center"/>
    </xf>
    <xf numFmtId="166" fontId="43" fillId="8" borderId="57" xfId="1" applyNumberFormat="1" applyFont="1" applyFill="1" applyBorder="1" applyAlignment="1">
      <alignment horizontal="center" vertical="center"/>
    </xf>
    <xf numFmtId="3" fontId="18" fillId="8" borderId="57" xfId="1" applyNumberFormat="1" applyFont="1" applyFill="1" applyBorder="1" applyAlignment="1">
      <alignment horizontal="center" vertical="center"/>
    </xf>
    <xf numFmtId="0" fontId="18" fillId="17" borderId="129" xfId="1" applyFont="1" applyFill="1" applyBorder="1" applyAlignment="1">
      <alignment horizontal="left" vertical="center"/>
    </xf>
    <xf numFmtId="49" fontId="72" fillId="17" borderId="66" xfId="1" applyNumberFormat="1" applyFont="1" applyFill="1" applyBorder="1" applyAlignment="1">
      <alignment horizontal="center" vertical="center"/>
    </xf>
    <xf numFmtId="3" fontId="17" fillId="17" borderId="66" xfId="1" applyNumberFormat="1" applyFont="1" applyFill="1" applyBorder="1" applyAlignment="1">
      <alignment horizontal="center" vertical="center"/>
    </xf>
    <xf numFmtId="166" fontId="43" fillId="17" borderId="66" xfId="1" applyNumberFormat="1" applyFont="1" applyFill="1" applyBorder="1" applyAlignment="1">
      <alignment horizontal="center" vertical="center"/>
    </xf>
    <xf numFmtId="3" fontId="18" fillId="17" borderId="66" xfId="1" applyNumberFormat="1" applyFont="1" applyFill="1" applyBorder="1" applyAlignment="1">
      <alignment horizontal="center" vertical="center"/>
    </xf>
    <xf numFmtId="49" fontId="18" fillId="17" borderId="66" xfId="1" applyNumberFormat="1" applyFont="1" applyFill="1" applyBorder="1" applyAlignment="1">
      <alignment horizontal="center" vertical="center"/>
    </xf>
    <xf numFmtId="49" fontId="72" fillId="7" borderId="66" xfId="1" applyNumberFormat="1" applyFont="1" applyFill="1" applyBorder="1" applyAlignment="1">
      <alignment horizontal="center" vertical="center"/>
    </xf>
    <xf numFmtId="3" fontId="17" fillId="7" borderId="66" xfId="1" applyNumberFormat="1" applyFont="1" applyFill="1" applyBorder="1" applyAlignment="1">
      <alignment horizontal="center" vertical="center"/>
    </xf>
    <xf numFmtId="166" fontId="43" fillId="7" borderId="66" xfId="1" applyNumberFormat="1" applyFont="1" applyFill="1" applyBorder="1" applyAlignment="1">
      <alignment horizontal="center" vertical="center"/>
    </xf>
    <xf numFmtId="3" fontId="18" fillId="7" borderId="66" xfId="1" applyNumberFormat="1" applyFont="1" applyFill="1" applyBorder="1" applyAlignment="1">
      <alignment horizontal="center" vertical="center"/>
    </xf>
    <xf numFmtId="49" fontId="18" fillId="7" borderId="66" xfId="1" applyNumberFormat="1" applyFont="1" applyFill="1" applyBorder="1" applyAlignment="1">
      <alignment horizontal="center" vertical="center"/>
    </xf>
    <xf numFmtId="0" fontId="18" fillId="2" borderId="129" xfId="1" applyFont="1" applyFill="1" applyBorder="1" applyAlignment="1">
      <alignment horizontal="left" vertical="center"/>
    </xf>
    <xf numFmtId="3" fontId="17" fillId="2" borderId="66" xfId="1" applyNumberFormat="1" applyFont="1" applyFill="1" applyBorder="1" applyAlignment="1">
      <alignment horizontal="center" vertical="center"/>
    </xf>
    <xf numFmtId="166" fontId="43" fillId="2" borderId="66" xfId="1" applyNumberFormat="1" applyFont="1" applyFill="1" applyBorder="1" applyAlignment="1">
      <alignment horizontal="center" vertical="center"/>
    </xf>
    <xf numFmtId="3" fontId="18" fillId="2" borderId="66" xfId="1" applyNumberFormat="1" applyFont="1" applyFill="1" applyBorder="1" applyAlignment="1">
      <alignment horizontal="center" vertical="center"/>
    </xf>
    <xf numFmtId="0" fontId="18" fillId="18" borderId="129" xfId="1" applyFont="1" applyFill="1" applyBorder="1" applyAlignment="1">
      <alignment horizontal="left" vertical="center"/>
    </xf>
    <xf numFmtId="49" fontId="72" fillId="18" borderId="66" xfId="1" applyNumberFormat="1" applyFont="1" applyFill="1" applyBorder="1" applyAlignment="1">
      <alignment horizontal="center" vertical="center"/>
    </xf>
    <xf numFmtId="3" fontId="17" fillId="18" borderId="66" xfId="1" applyNumberFormat="1" applyFont="1" applyFill="1" applyBorder="1" applyAlignment="1">
      <alignment horizontal="center" vertical="center"/>
    </xf>
    <xf numFmtId="166" fontId="43" fillId="18" borderId="66" xfId="1" applyNumberFormat="1" applyFont="1" applyFill="1" applyBorder="1" applyAlignment="1">
      <alignment horizontal="center" vertical="center"/>
    </xf>
    <xf numFmtId="3" fontId="18" fillId="18" borderId="66" xfId="1" applyNumberFormat="1" applyFont="1" applyFill="1" applyBorder="1" applyAlignment="1">
      <alignment horizontal="center" vertical="center"/>
    </xf>
    <xf numFmtId="0" fontId="18" fillId="2" borderId="57" xfId="1" applyFont="1" applyFill="1" applyBorder="1" applyAlignment="1">
      <alignment horizontal="left" vertical="center"/>
    </xf>
    <xf numFmtId="49" fontId="18" fillId="2" borderId="66" xfId="1" applyNumberFormat="1" applyFont="1" applyFill="1" applyBorder="1" applyAlignment="1">
      <alignment horizontal="center" vertical="center"/>
    </xf>
    <xf numFmtId="49" fontId="18" fillId="2" borderId="66" xfId="1" quotePrefix="1" applyNumberFormat="1" applyFont="1" applyFill="1" applyBorder="1" applyAlignment="1">
      <alignment horizontal="center" vertical="center"/>
    </xf>
    <xf numFmtId="166" fontId="43" fillId="2" borderId="118" xfId="1" applyNumberFormat="1" applyFont="1" applyFill="1" applyBorder="1" applyAlignment="1">
      <alignment horizontal="center" vertical="center"/>
    </xf>
    <xf numFmtId="3" fontId="18" fillId="2" borderId="118" xfId="1" applyNumberFormat="1" applyFont="1" applyFill="1" applyBorder="1" applyAlignment="1">
      <alignment horizontal="center" vertical="center"/>
    </xf>
    <xf numFmtId="0" fontId="23" fillId="0" borderId="0" xfId="15" applyFont="1" applyFill="1" applyBorder="1" applyAlignment="1">
      <alignment horizontal="left" vertical="center"/>
    </xf>
    <xf numFmtId="3" fontId="51" fillId="5" borderId="66" xfId="1" applyNumberFormat="1" applyFont="1" applyFill="1" applyBorder="1" applyAlignment="1">
      <alignment horizontal="left" vertical="center"/>
    </xf>
    <xf numFmtId="0" fontId="23" fillId="5" borderId="0" xfId="15" applyFont="1" applyFill="1" applyBorder="1" applyAlignment="1">
      <alignment horizontal="left" vertical="center"/>
    </xf>
    <xf numFmtId="0" fontId="23" fillId="18" borderId="0" xfId="15" applyFont="1" applyFill="1" applyBorder="1" applyAlignment="1">
      <alignment horizontal="left" vertical="center"/>
    </xf>
    <xf numFmtId="0" fontId="51" fillId="6" borderId="0" xfId="1" applyFont="1" applyFill="1" applyBorder="1" applyAlignment="1">
      <alignment horizontal="left" vertical="center"/>
    </xf>
    <xf numFmtId="0" fontId="23" fillId="6" borderId="0" xfId="15" applyFont="1" applyFill="1" applyBorder="1" applyAlignment="1">
      <alignment horizontal="left" vertical="center"/>
    </xf>
    <xf numFmtId="0" fontId="23" fillId="9" borderId="0" xfId="15" applyFont="1" applyFill="1" applyBorder="1" applyAlignment="1">
      <alignment horizontal="left" vertical="center"/>
    </xf>
    <xf numFmtId="3" fontId="2" fillId="12" borderId="66" xfId="1" applyNumberFormat="1" applyFont="1" applyFill="1" applyBorder="1" applyAlignment="1">
      <alignment horizontal="right" vertical="center"/>
    </xf>
    <xf numFmtId="3" fontId="2" fillId="12" borderId="66" xfId="1" applyNumberFormat="1" applyFont="1" applyFill="1" applyBorder="1" applyAlignment="1">
      <alignment horizontal="center" vertical="center"/>
    </xf>
    <xf numFmtId="3" fontId="51" fillId="12" borderId="66" xfId="1" applyNumberFormat="1" applyFont="1" applyFill="1" applyBorder="1" applyAlignment="1">
      <alignment horizontal="left" vertical="center"/>
    </xf>
    <xf numFmtId="3" fontId="51" fillId="12" borderId="66" xfId="1" applyNumberFormat="1" applyFont="1" applyFill="1" applyBorder="1" applyAlignment="1">
      <alignment horizontal="center" vertical="center"/>
    </xf>
    <xf numFmtId="0" fontId="51" fillId="13" borderId="0" xfId="1" applyFont="1" applyFill="1" applyBorder="1" applyAlignment="1">
      <alignment horizontal="left" vertical="center"/>
    </xf>
    <xf numFmtId="3" fontId="2" fillId="13" borderId="66" xfId="1" applyNumberFormat="1" applyFont="1" applyFill="1" applyBorder="1" applyAlignment="1">
      <alignment horizontal="right" vertical="center"/>
    </xf>
    <xf numFmtId="3" fontId="2" fillId="13" borderId="66" xfId="1" applyNumberFormat="1" applyFont="1" applyFill="1" applyBorder="1" applyAlignment="1">
      <alignment horizontal="center" vertical="center"/>
    </xf>
    <xf numFmtId="3" fontId="2" fillId="13" borderId="66" xfId="1" applyNumberFormat="1" applyFont="1" applyFill="1" applyBorder="1" applyAlignment="1">
      <alignment horizontal="left" vertical="center"/>
    </xf>
    <xf numFmtId="0" fontId="51" fillId="11" borderId="0" xfId="1" applyFont="1" applyFill="1" applyBorder="1" applyAlignment="1">
      <alignment horizontal="left" vertical="center"/>
    </xf>
    <xf numFmtId="3" fontId="96" fillId="11" borderId="66" xfId="1" applyNumberFormat="1" applyFont="1" applyFill="1" applyBorder="1" applyAlignment="1">
      <alignment horizontal="right" vertical="center"/>
    </xf>
    <xf numFmtId="3" fontId="51" fillId="11" borderId="66" xfId="1" applyNumberFormat="1" applyFont="1" applyFill="1" applyBorder="1" applyAlignment="1">
      <alignment horizontal="left" vertical="center"/>
    </xf>
    <xf numFmtId="3" fontId="51" fillId="11" borderId="66" xfId="1" applyNumberFormat="1" applyFont="1" applyFill="1" applyBorder="1" applyAlignment="1">
      <alignment horizontal="center" vertical="center"/>
    </xf>
    <xf numFmtId="0" fontId="51" fillId="12" borderId="0" xfId="1" applyFont="1" applyFill="1" applyBorder="1" applyAlignment="1">
      <alignment horizontal="left" vertical="center"/>
    </xf>
    <xf numFmtId="3" fontId="96" fillId="11" borderId="66" xfId="1" applyNumberFormat="1" applyFont="1" applyFill="1" applyBorder="1" applyAlignment="1">
      <alignment horizontal="center" vertical="center"/>
    </xf>
    <xf numFmtId="3" fontId="2" fillId="12" borderId="66" xfId="1" applyNumberFormat="1" applyFont="1" applyFill="1" applyBorder="1" applyAlignment="1">
      <alignment horizontal="left" vertical="center"/>
    </xf>
    <xf numFmtId="3" fontId="96" fillId="12" borderId="66" xfId="1" applyNumberFormat="1" applyFont="1" applyFill="1" applyBorder="1" applyAlignment="1">
      <alignment horizontal="right" vertical="center"/>
    </xf>
    <xf numFmtId="3" fontId="2" fillId="13" borderId="36" xfId="1" applyNumberFormat="1" applyFont="1" applyFill="1" applyBorder="1" applyAlignment="1">
      <alignment horizontal="right" vertical="center"/>
    </xf>
    <xf numFmtId="3" fontId="2" fillId="13" borderId="37" xfId="1" applyNumberFormat="1" applyFont="1" applyFill="1" applyBorder="1" applyAlignment="1">
      <alignment horizontal="center" vertical="center"/>
    </xf>
    <xf numFmtId="3" fontId="2" fillId="13" borderId="36" xfId="1" applyNumberFormat="1" applyFont="1" applyFill="1" applyBorder="1" applyAlignment="1">
      <alignment horizontal="center" vertical="center"/>
    </xf>
    <xf numFmtId="0" fontId="2" fillId="13" borderId="36" xfId="1" applyFont="1" applyFill="1" applyBorder="1" applyAlignment="1">
      <alignment horizontal="center" vertical="center"/>
    </xf>
    <xf numFmtId="3" fontId="2" fillId="13" borderId="36" xfId="1" applyNumberFormat="1" applyFont="1" applyFill="1" applyBorder="1" applyAlignment="1">
      <alignment horizontal="left" vertical="center"/>
    </xf>
    <xf numFmtId="0" fontId="103" fillId="0" borderId="22" xfId="1" applyFont="1" applyFill="1" applyBorder="1" applyAlignment="1">
      <alignment horizontal="center" vertical="center"/>
    </xf>
    <xf numFmtId="0" fontId="103" fillId="0" borderId="17" xfId="1" applyFont="1" applyFill="1" applyBorder="1" applyAlignment="1">
      <alignment horizontal="center" vertical="center"/>
    </xf>
    <xf numFmtId="0" fontId="103" fillId="0" borderId="26" xfId="1" applyFont="1" applyFill="1" applyBorder="1" applyAlignment="1">
      <alignment horizontal="center" vertical="center"/>
    </xf>
    <xf numFmtId="0" fontId="2" fillId="5" borderId="66" xfId="1" applyFont="1" applyFill="1" applyBorder="1" applyAlignment="1">
      <alignment horizontal="center" vertical="center"/>
    </xf>
    <xf numFmtId="14" fontId="51" fillId="5" borderId="66" xfId="1" applyNumberFormat="1" applyFont="1" applyFill="1" applyBorder="1" applyAlignment="1">
      <alignment horizontal="center" vertical="center"/>
    </xf>
    <xf numFmtId="0" fontId="103" fillId="5" borderId="17" xfId="1" applyFont="1" applyFill="1" applyBorder="1" applyAlignment="1">
      <alignment horizontal="center" vertical="center"/>
    </xf>
    <xf numFmtId="0" fontId="103" fillId="18" borderId="17" xfId="1" applyFont="1" applyFill="1" applyBorder="1" applyAlignment="1">
      <alignment horizontal="center" vertical="center"/>
    </xf>
    <xf numFmtId="0" fontId="103" fillId="6" borderId="17" xfId="1" applyFont="1" applyFill="1" applyBorder="1" applyAlignment="1">
      <alignment horizontal="center" vertical="center"/>
    </xf>
    <xf numFmtId="0" fontId="103" fillId="9" borderId="17" xfId="1" applyFont="1" applyFill="1" applyBorder="1" applyAlignment="1">
      <alignment horizontal="center" vertical="center"/>
    </xf>
    <xf numFmtId="0" fontId="103" fillId="9" borderId="22" xfId="1" applyFont="1" applyFill="1" applyBorder="1" applyAlignment="1">
      <alignment horizontal="center" vertical="center"/>
    </xf>
    <xf numFmtId="0" fontId="103" fillId="9" borderId="29" xfId="1" applyFont="1" applyFill="1" applyBorder="1" applyAlignment="1">
      <alignment horizontal="center" vertical="center"/>
    </xf>
    <xf numFmtId="0" fontId="101" fillId="12" borderId="17" xfId="1" applyFont="1" applyFill="1" applyBorder="1" applyAlignment="1">
      <alignment horizontal="center" vertical="center"/>
    </xf>
    <xf numFmtId="0" fontId="2" fillId="12" borderId="66" xfId="1" applyFont="1" applyFill="1" applyBorder="1" applyAlignment="1">
      <alignment horizontal="center" vertical="center"/>
    </xf>
    <xf numFmtId="14" fontId="51" fillId="12" borderId="66" xfId="1" applyNumberFormat="1" applyFont="1" applyFill="1" applyBorder="1" applyAlignment="1">
      <alignment horizontal="center" vertical="center"/>
    </xf>
    <xf numFmtId="0" fontId="2" fillId="13" borderId="66" xfId="1" applyFont="1" applyFill="1" applyBorder="1" applyAlignment="1">
      <alignment horizontal="center" vertical="center"/>
    </xf>
    <xf numFmtId="14" fontId="2" fillId="13" borderId="66" xfId="1" applyNumberFormat="1" applyFont="1" applyFill="1" applyBorder="1" applyAlignment="1">
      <alignment horizontal="center" vertical="center"/>
    </xf>
    <xf numFmtId="0" fontId="101" fillId="13" borderId="17" xfId="1" applyFont="1" applyFill="1" applyBorder="1" applyAlignment="1">
      <alignment horizontal="center" vertical="center"/>
    </xf>
    <xf numFmtId="0" fontId="2" fillId="11" borderId="66" xfId="1" applyFont="1" applyFill="1" applyBorder="1" applyAlignment="1">
      <alignment horizontal="center" vertical="center"/>
    </xf>
    <xf numFmtId="14" fontId="51" fillId="11" borderId="66" xfId="1" applyNumberFormat="1" applyFont="1" applyFill="1" applyBorder="1" applyAlignment="1">
      <alignment horizontal="center" vertical="center"/>
    </xf>
    <xf numFmtId="0" fontId="101" fillId="11" borderId="17" xfId="1" applyFont="1" applyFill="1" applyBorder="1" applyAlignment="1">
      <alignment horizontal="center" vertical="center"/>
    </xf>
    <xf numFmtId="14" fontId="51" fillId="11" borderId="66" xfId="1" quotePrefix="1" applyNumberFormat="1" applyFont="1" applyFill="1" applyBorder="1" applyAlignment="1">
      <alignment horizontal="center" vertical="center"/>
    </xf>
    <xf numFmtId="14" fontId="2" fillId="12" borderId="66" xfId="1" applyNumberFormat="1" applyFont="1" applyFill="1" applyBorder="1" applyAlignment="1">
      <alignment horizontal="center" vertical="center"/>
    </xf>
    <xf numFmtId="166" fontId="2" fillId="13" borderId="66" xfId="1" applyNumberFormat="1" applyFont="1" applyFill="1" applyBorder="1" applyAlignment="1">
      <alignment horizontal="center" vertical="center"/>
    </xf>
    <xf numFmtId="0" fontId="105" fillId="13" borderId="35" xfId="1" applyFont="1" applyFill="1" applyBorder="1" applyAlignment="1">
      <alignment horizontal="center"/>
    </xf>
    <xf numFmtId="14" fontId="2" fillId="13" borderId="36" xfId="1" applyNumberFormat="1" applyFont="1" applyFill="1" applyBorder="1" applyAlignment="1">
      <alignment horizontal="center" vertical="center"/>
    </xf>
    <xf numFmtId="0" fontId="103" fillId="0" borderId="0" xfId="1" applyFont="1" applyFill="1" applyBorder="1" applyAlignment="1">
      <alignment horizontal="left" vertical="center"/>
    </xf>
    <xf numFmtId="3" fontId="15" fillId="0" borderId="0" xfId="1" applyNumberFormat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2" fillId="0" borderId="0" xfId="1" applyFill="1" applyBorder="1" applyAlignment="1"/>
    <xf numFmtId="3" fontId="3" fillId="0" borderId="0" xfId="1" applyNumberFormat="1" applyFont="1" applyFill="1" applyBorder="1" applyAlignment="1">
      <alignment horizontal="left" vertical="center"/>
    </xf>
    <xf numFmtId="3" fontId="7" fillId="0" borderId="0" xfId="1" applyNumberFormat="1" applyFont="1" applyFill="1" applyBorder="1" applyAlignment="1">
      <alignment horizontal="left" vertical="center"/>
    </xf>
    <xf numFmtId="3" fontId="55" fillId="0" borderId="0" xfId="1" applyNumberFormat="1" applyFont="1" applyFill="1" applyBorder="1" applyAlignment="1">
      <alignment horizontal="center" vertical="center" wrapText="1"/>
    </xf>
    <xf numFmtId="3" fontId="53" fillId="0" borderId="0" xfId="1" applyNumberFormat="1" applyFont="1" applyFill="1" applyBorder="1" applyAlignment="1">
      <alignment horizontal="center" vertical="center"/>
    </xf>
    <xf numFmtId="0" fontId="103" fillId="0" borderId="0" xfId="1" applyFont="1" applyFill="1" applyBorder="1" applyAlignment="1">
      <alignment horizontal="center" vertical="center"/>
    </xf>
    <xf numFmtId="0" fontId="63" fillId="0" borderId="0" xfId="1" applyFont="1" applyFill="1" applyBorder="1" applyAlignment="1">
      <alignment horizontal="left" vertical="center"/>
    </xf>
    <xf numFmtId="0" fontId="58" fillId="0" borderId="0" xfId="1" applyFont="1" applyFill="1" applyBorder="1" applyAlignment="1">
      <alignment horizontal="left" vertical="center"/>
    </xf>
    <xf numFmtId="169" fontId="59" fillId="0" borderId="0" xfId="1" applyNumberFormat="1" applyFont="1" applyFill="1" applyBorder="1" applyAlignment="1">
      <alignment horizontal="right" vertical="center"/>
    </xf>
    <xf numFmtId="3" fontId="63" fillId="0" borderId="0" xfId="1" applyNumberFormat="1" applyFont="1" applyFill="1" applyBorder="1" applyAlignment="1">
      <alignment horizontal="center" vertical="center"/>
    </xf>
    <xf numFmtId="0" fontId="107" fillId="0" borderId="0" xfId="1" applyFont="1" applyFill="1" applyBorder="1" applyAlignment="1">
      <alignment horizontal="center" vertical="center"/>
    </xf>
    <xf numFmtId="0" fontId="63" fillId="0" borderId="0" xfId="1" applyFont="1" applyFill="1" applyBorder="1" applyAlignment="1">
      <alignment vertical="center"/>
    </xf>
    <xf numFmtId="0" fontId="108" fillId="0" borderId="0" xfId="1" applyFont="1" applyFill="1" applyBorder="1" applyAlignment="1">
      <alignment horizontal="center"/>
    </xf>
    <xf numFmtId="0" fontId="58" fillId="0" borderId="0" xfId="1" applyFont="1" applyFill="1" applyBorder="1" applyAlignment="1">
      <alignment vertical="center"/>
    </xf>
    <xf numFmtId="0" fontId="14" fillId="0" borderId="0" xfId="1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vertical="center"/>
    </xf>
    <xf numFmtId="166" fontId="55" fillId="0" borderId="0" xfId="1" applyNumberFormat="1" applyFont="1" applyFill="1" applyBorder="1" applyAlignment="1">
      <alignment horizontal="center" vertical="center"/>
    </xf>
    <xf numFmtId="0" fontId="110" fillId="0" borderId="0" xfId="1" applyFont="1" applyFill="1" applyBorder="1" applyAlignment="1">
      <alignment horizontal="center" vertical="center"/>
    </xf>
    <xf numFmtId="0" fontId="64" fillId="0" borderId="0" xfId="1" applyFont="1" applyFill="1" applyBorder="1" applyAlignment="1">
      <alignment horizontal="center"/>
    </xf>
    <xf numFmtId="0" fontId="53" fillId="0" borderId="0" xfId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center" vertical="center"/>
    </xf>
    <xf numFmtId="3" fontId="111" fillId="0" borderId="0" xfId="1" applyNumberFormat="1" applyFont="1" applyFill="1" applyBorder="1" applyAlignment="1">
      <alignment horizontal="center" vertical="center"/>
    </xf>
    <xf numFmtId="166" fontId="112" fillId="0" borderId="0" xfId="1" applyNumberFormat="1" applyFont="1" applyFill="1" applyBorder="1" applyAlignment="1">
      <alignment horizontal="center" vertical="center"/>
    </xf>
    <xf numFmtId="0" fontId="61" fillId="0" borderId="0" xfId="17" applyFont="1" applyFill="1" applyBorder="1"/>
    <xf numFmtId="0" fontId="2" fillId="0" borderId="140" xfId="15" quotePrefix="1" applyFont="1" applyFill="1" applyBorder="1" applyAlignment="1">
      <alignment horizontal="center" vertical="center"/>
    </xf>
    <xf numFmtId="0" fontId="114" fillId="0" borderId="0" xfId="1" applyFont="1" applyFill="1" applyBorder="1" applyAlignment="1">
      <alignment horizontal="left" vertical="center"/>
    </xf>
    <xf numFmtId="0" fontId="115" fillId="0" borderId="130" xfId="15" applyFont="1" applyFill="1" applyBorder="1" applyAlignment="1">
      <alignment horizontal="left" vertical="center"/>
    </xf>
    <xf numFmtId="0" fontId="50" fillId="0" borderId="111" xfId="1" applyFont="1" applyFill="1" applyBorder="1" applyAlignment="1">
      <alignment horizontal="left" vertical="center"/>
    </xf>
    <xf numFmtId="0" fontId="99" fillId="0" borderId="130" xfId="15" applyFont="1" applyFill="1" applyBorder="1" applyAlignment="1">
      <alignment horizontal="left" vertical="center"/>
    </xf>
    <xf numFmtId="0" fontId="2" fillId="0" borderId="140" xfId="15" applyFont="1" applyFill="1" applyBorder="1" applyAlignment="1">
      <alignment horizontal="center" vertical="center"/>
    </xf>
    <xf numFmtId="0" fontId="2" fillId="0" borderId="0" xfId="17" quotePrefix="1" applyFont="1" applyFill="1" applyBorder="1" applyAlignment="1">
      <alignment horizontal="center" vertical="center"/>
    </xf>
    <xf numFmtId="0" fontId="2" fillId="0" borderId="0" xfId="17" quotePrefix="1" applyFont="1" applyFill="1" applyBorder="1" applyAlignment="1">
      <alignment horizontal="center" vertical="center" wrapText="1"/>
    </xf>
    <xf numFmtId="0" fontId="100" fillId="0" borderId="66" xfId="17" quotePrefix="1" applyFont="1" applyFill="1" applyBorder="1" applyAlignment="1">
      <alignment horizontal="center" vertical="center" wrapText="1"/>
    </xf>
    <xf numFmtId="0" fontId="2" fillId="0" borderId="111" xfId="1" applyFill="1" applyBorder="1"/>
    <xf numFmtId="0" fontId="2" fillId="0" borderId="106" xfId="15" applyFont="1" applyFill="1" applyBorder="1" applyAlignment="1">
      <alignment horizontal="center" vertical="center"/>
    </xf>
    <xf numFmtId="165" fontId="6" fillId="0" borderId="0" xfId="1" applyNumberFormat="1" applyFont="1" applyFill="1" applyAlignment="1">
      <alignment horizontal="left" vertical="top"/>
    </xf>
    <xf numFmtId="171" fontId="117" fillId="0" borderId="180" xfId="1" applyNumberFormat="1" applyFont="1" applyBorder="1" applyAlignment="1">
      <alignment horizontal="center" vertical="center"/>
    </xf>
    <xf numFmtId="0" fontId="2" fillId="0" borderId="68" xfId="1" applyFill="1" applyBorder="1"/>
    <xf numFmtId="0" fontId="51" fillId="0" borderId="5" xfId="1" applyFont="1" applyFill="1" applyBorder="1" applyAlignment="1">
      <alignment horizontal="left" vertical="center"/>
    </xf>
    <xf numFmtId="0" fontId="51" fillId="0" borderId="61" xfId="1" applyFont="1" applyFill="1" applyBorder="1" applyAlignment="1">
      <alignment horizontal="left" vertical="center"/>
    </xf>
    <xf numFmtId="171" fontId="117" fillId="0" borderId="178" xfId="1" applyNumberFormat="1" applyFont="1" applyBorder="1" applyAlignment="1">
      <alignment horizontal="center" vertical="center"/>
    </xf>
    <xf numFmtId="0" fontId="51" fillId="0" borderId="130" xfId="1" applyFont="1" applyFill="1" applyBorder="1" applyAlignment="1">
      <alignment horizontal="left" vertical="center"/>
    </xf>
    <xf numFmtId="0" fontId="12" fillId="0" borderId="67" xfId="17" applyFont="1" applyFill="1" applyBorder="1" applyAlignment="1">
      <alignment horizontal="center" vertical="center"/>
    </xf>
    <xf numFmtId="0" fontId="12" fillId="0" borderId="0" xfId="17" applyFont="1" applyFill="1" applyBorder="1" applyAlignment="1">
      <alignment horizontal="center" vertical="center"/>
    </xf>
    <xf numFmtId="0" fontId="2" fillId="0" borderId="127" xfId="15" applyFont="1" applyFill="1" applyBorder="1" applyAlignment="1">
      <alignment horizontal="center" vertical="center"/>
    </xf>
    <xf numFmtId="0" fontId="119" fillId="0" borderId="140" xfId="17" applyFont="1" applyFill="1" applyBorder="1" applyAlignment="1">
      <alignment horizontal="center" vertical="center"/>
    </xf>
    <xf numFmtId="0" fontId="119" fillId="0" borderId="148" xfId="17" applyFont="1" applyFill="1" applyBorder="1" applyAlignment="1">
      <alignment horizontal="center" vertical="center"/>
    </xf>
    <xf numFmtId="0" fontId="12" fillId="0" borderId="66" xfId="15" applyFont="1" applyFill="1" applyBorder="1" applyAlignment="1">
      <alignment horizontal="center" vertical="center"/>
    </xf>
    <xf numFmtId="0" fontId="2" fillId="0" borderId="66" xfId="17" quotePrefix="1" applyFont="1" applyFill="1" applyBorder="1" applyAlignment="1">
      <alignment horizontal="center" vertical="center"/>
    </xf>
    <xf numFmtId="171" fontId="117" fillId="0" borderId="186" xfId="1" applyNumberFormat="1" applyFont="1" applyBorder="1" applyAlignment="1">
      <alignment horizontal="center" vertical="center"/>
    </xf>
    <xf numFmtId="0" fontId="99" fillId="21" borderId="177" xfId="15" applyFont="1" applyFill="1" applyBorder="1" applyAlignment="1">
      <alignment horizontal="left" vertical="center"/>
    </xf>
    <xf numFmtId="0" fontId="23" fillId="0" borderId="61" xfId="15" applyFont="1" applyFill="1" applyBorder="1" applyAlignment="1">
      <alignment horizontal="left" vertical="center"/>
    </xf>
    <xf numFmtId="0" fontId="2" fillId="0" borderId="5" xfId="15" applyFont="1" applyFill="1" applyBorder="1" applyAlignment="1">
      <alignment horizontal="left" vertical="center"/>
    </xf>
    <xf numFmtId="171" fontId="117" fillId="0" borderId="194" xfId="1" applyNumberFormat="1" applyFont="1" applyBorder="1" applyAlignment="1">
      <alignment horizontal="center" vertical="center"/>
    </xf>
    <xf numFmtId="3" fontId="2" fillId="0" borderId="177" xfId="15" applyNumberFormat="1" applyFont="1" applyFill="1" applyBorder="1" applyAlignment="1">
      <alignment horizontal="left" vertical="center"/>
    </xf>
    <xf numFmtId="14" fontId="120" fillId="0" borderId="0" xfId="1" applyNumberFormat="1" applyFont="1" applyFill="1" applyAlignment="1">
      <alignment horizontal="center" vertical="center"/>
    </xf>
    <xf numFmtId="2" fontId="51" fillId="12" borderId="104" xfId="1" applyNumberFormat="1" applyFont="1" applyFill="1" applyBorder="1" applyAlignment="1">
      <alignment horizontal="center" vertical="center"/>
    </xf>
    <xf numFmtId="2" fontId="51" fillId="12" borderId="38" xfId="1" applyNumberFormat="1" applyFont="1" applyFill="1" applyBorder="1" applyAlignment="1">
      <alignment horizontal="center" vertical="center"/>
    </xf>
    <xf numFmtId="2" fontId="51" fillId="5" borderId="104" xfId="1" applyNumberFormat="1" applyFont="1" applyFill="1" applyBorder="1" applyAlignment="1">
      <alignment horizontal="center" vertical="center"/>
    </xf>
    <xf numFmtId="3" fontId="46" fillId="0" borderId="59" xfId="1" applyNumberFormat="1" applyFont="1" applyFill="1" applyBorder="1" applyAlignment="1">
      <alignment horizontal="center" vertical="center"/>
    </xf>
    <xf numFmtId="0" fontId="97" fillId="12" borderId="0" xfId="1" applyFont="1" applyFill="1" applyBorder="1" applyAlignment="1">
      <alignment horizontal="left" vertical="center"/>
    </xf>
    <xf numFmtId="0" fontId="105" fillId="12" borderId="103" xfId="1" applyFont="1" applyFill="1" applyBorder="1" applyAlignment="1">
      <alignment horizontal="center" vertical="center"/>
    </xf>
    <xf numFmtId="0" fontId="52" fillId="0" borderId="7" xfId="1" applyFont="1" applyFill="1" applyBorder="1" applyAlignment="1">
      <alignment horizontal="left" vertical="center"/>
    </xf>
    <xf numFmtId="3" fontId="52" fillId="0" borderId="200" xfId="1" applyNumberFormat="1" applyFont="1" applyFill="1" applyBorder="1" applyAlignment="1">
      <alignment horizontal="center" vertical="center"/>
    </xf>
    <xf numFmtId="0" fontId="2" fillId="0" borderId="0" xfId="1" applyAlignment="1"/>
    <xf numFmtId="0" fontId="23" fillId="20" borderId="0" xfId="15" applyFont="1" applyFill="1" applyBorder="1" applyAlignment="1">
      <alignment horizontal="left" vertical="center"/>
    </xf>
    <xf numFmtId="3" fontId="52" fillId="0" borderId="204" xfId="1" applyNumberFormat="1" applyFont="1" applyFill="1" applyBorder="1" applyAlignment="1">
      <alignment horizontal="center" vertical="center"/>
    </xf>
    <xf numFmtId="3" fontId="3" fillId="0" borderId="24" xfId="1" applyNumberFormat="1" applyFont="1" applyFill="1" applyBorder="1" applyAlignment="1">
      <alignment horizontal="center" vertical="center" wrapText="1"/>
    </xf>
    <xf numFmtId="3" fontId="53" fillId="0" borderId="3" xfId="1" applyNumberFormat="1" applyFont="1" applyFill="1" applyBorder="1" applyAlignment="1">
      <alignment horizontal="center" vertical="center"/>
    </xf>
    <xf numFmtId="3" fontId="3" fillId="0" borderId="40" xfId="1" applyNumberFormat="1" applyFont="1" applyFill="1" applyBorder="1" applyAlignment="1">
      <alignment horizontal="left" vertical="center"/>
    </xf>
    <xf numFmtId="3" fontId="53" fillId="0" borderId="19" xfId="1" applyNumberFormat="1" applyFont="1" applyFill="1" applyBorder="1" applyAlignment="1">
      <alignment horizontal="center" vertical="center"/>
    </xf>
    <xf numFmtId="0" fontId="63" fillId="3" borderId="5" xfId="1" applyFont="1" applyFill="1" applyBorder="1" applyAlignment="1">
      <alignment horizontal="left" vertical="center"/>
    </xf>
    <xf numFmtId="3" fontId="3" fillId="3" borderId="6" xfId="1" applyNumberFormat="1" applyFont="1" applyFill="1" applyBorder="1" applyAlignment="1">
      <alignment horizontal="center" vertical="center"/>
    </xf>
    <xf numFmtId="3" fontId="63" fillId="0" borderId="6" xfId="1" applyNumberFormat="1" applyFont="1" applyFill="1" applyBorder="1" applyAlignment="1">
      <alignment horizontal="center" vertical="center"/>
    </xf>
    <xf numFmtId="3" fontId="63" fillId="0" borderId="199" xfId="1" applyNumberFormat="1" applyFont="1" applyFill="1" applyBorder="1" applyAlignment="1">
      <alignment horizontal="center" vertical="center"/>
    </xf>
    <xf numFmtId="0" fontId="52" fillId="0" borderId="93" xfId="1" applyFont="1" applyFill="1" applyBorder="1" applyAlignment="1">
      <alignment horizontal="left" vertical="center"/>
    </xf>
    <xf numFmtId="3" fontId="52" fillId="0" borderId="86" xfId="1" applyNumberFormat="1" applyFont="1" applyFill="1" applyBorder="1" applyAlignment="1">
      <alignment horizontal="center" vertical="center"/>
    </xf>
    <xf numFmtId="3" fontId="52" fillId="0" borderId="203" xfId="1" applyNumberFormat="1" applyFont="1" applyFill="1" applyBorder="1" applyAlignment="1">
      <alignment horizontal="center" vertical="center"/>
    </xf>
    <xf numFmtId="3" fontId="63" fillId="0" borderId="86" xfId="1" applyNumberFormat="1" applyFont="1" applyFill="1" applyBorder="1" applyAlignment="1">
      <alignment horizontal="center" vertical="center"/>
    </xf>
    <xf numFmtId="0" fontId="52" fillId="0" borderId="177" xfId="1" applyFont="1" applyFill="1" applyBorder="1" applyAlignment="1">
      <alignment horizontal="left" vertical="center"/>
    </xf>
    <xf numFmtId="3" fontId="63" fillId="0" borderId="1" xfId="1" applyNumberFormat="1" applyFont="1" applyFill="1" applyBorder="1" applyAlignment="1">
      <alignment horizontal="center" vertical="center"/>
    </xf>
    <xf numFmtId="0" fontId="52" fillId="0" borderId="5" xfId="1" applyFont="1" applyFill="1" applyBorder="1" applyAlignment="1">
      <alignment vertical="center"/>
    </xf>
    <xf numFmtId="0" fontId="52" fillId="2" borderId="84" xfId="1" applyFont="1" applyFill="1" applyBorder="1" applyAlignment="1">
      <alignment horizontal="left" vertical="center"/>
    </xf>
    <xf numFmtId="0" fontId="52" fillId="0" borderId="84" xfId="1" applyFont="1" applyFill="1" applyBorder="1" applyAlignment="1">
      <alignment horizontal="left" vertical="center"/>
    </xf>
    <xf numFmtId="3" fontId="3" fillId="0" borderId="19" xfId="1" applyNumberFormat="1" applyFont="1" applyFill="1" applyBorder="1" applyAlignment="1">
      <alignment horizontal="left" vertical="center"/>
    </xf>
    <xf numFmtId="3" fontId="3" fillId="0" borderId="6" xfId="1" applyNumberFormat="1" applyFont="1" applyFill="1" applyBorder="1" applyAlignment="1">
      <alignment horizontal="center" vertical="center" wrapText="1"/>
    </xf>
    <xf numFmtId="169" fontId="52" fillId="0" borderId="42" xfId="1" applyNumberFormat="1" applyFont="1" applyFill="1" applyBorder="1" applyAlignment="1">
      <alignment horizontal="right" vertical="center"/>
    </xf>
    <xf numFmtId="0" fontId="111" fillId="3" borderId="6" xfId="1" applyFont="1" applyFill="1" applyBorder="1" applyAlignment="1">
      <alignment horizontal="center" vertical="center"/>
    </xf>
    <xf numFmtId="169" fontId="52" fillId="0" borderId="43" xfId="1" applyNumberFormat="1" applyFont="1" applyFill="1" applyBorder="1" applyAlignment="1">
      <alignment horizontal="right" vertical="center"/>
    </xf>
    <xf numFmtId="0" fontId="52" fillId="0" borderId="39" xfId="1" applyFont="1" applyFill="1" applyBorder="1" applyAlignment="1">
      <alignment vertical="center"/>
    </xf>
    <xf numFmtId="0" fontId="111" fillId="0" borderId="39" xfId="1" applyFont="1" applyFill="1" applyBorder="1" applyAlignment="1">
      <alignment horizontal="center" vertical="center"/>
    </xf>
    <xf numFmtId="169" fontId="52" fillId="0" borderId="202" xfId="1" applyNumberFormat="1" applyFont="1" applyFill="1" applyBorder="1" applyAlignment="1">
      <alignment horizontal="right" vertical="center"/>
    </xf>
    <xf numFmtId="0" fontId="63" fillId="0" borderId="39" xfId="1" applyFont="1" applyFill="1" applyBorder="1" applyAlignment="1">
      <alignment horizontal="left" vertical="center"/>
    </xf>
    <xf numFmtId="169" fontId="52" fillId="0" borderId="89" xfId="1" applyNumberFormat="1" applyFont="1" applyFill="1" applyBorder="1" applyAlignment="1">
      <alignment horizontal="right" vertical="center"/>
    </xf>
    <xf numFmtId="3" fontId="52" fillId="0" borderId="6" xfId="1" applyNumberFormat="1" applyFont="1" applyFill="1" applyBorder="1" applyAlignment="1">
      <alignment horizontal="left" vertical="center"/>
    </xf>
    <xf numFmtId="169" fontId="52" fillId="0" borderId="206" xfId="1" applyNumberFormat="1" applyFont="1" applyFill="1" applyBorder="1" applyAlignment="1">
      <alignment horizontal="right" vertical="center"/>
    </xf>
    <xf numFmtId="0" fontId="111" fillId="0" borderId="6" xfId="1" applyFont="1" applyFill="1" applyBorder="1" applyAlignment="1">
      <alignment horizontal="center" vertical="center"/>
    </xf>
    <xf numFmtId="0" fontId="111" fillId="0" borderId="86" xfId="1" applyFont="1" applyFill="1" applyBorder="1" applyAlignment="1">
      <alignment horizontal="center" vertical="center"/>
    </xf>
    <xf numFmtId="3" fontId="52" fillId="0" borderId="86" xfId="1" applyNumberFormat="1" applyFont="1" applyFill="1" applyBorder="1" applyAlignment="1">
      <alignment horizontal="left" vertical="center"/>
    </xf>
    <xf numFmtId="0" fontId="52" fillId="0" borderId="19" xfId="1" applyFont="1" applyFill="1" applyBorder="1" applyAlignment="1">
      <alignment vertical="center"/>
    </xf>
    <xf numFmtId="0" fontId="52" fillId="0" borderId="6" xfId="1" applyFont="1" applyFill="1" applyBorder="1" applyAlignment="1">
      <alignment horizontal="left" vertical="center"/>
    </xf>
    <xf numFmtId="0" fontId="52" fillId="0" borderId="6" xfId="1" applyFont="1" applyFill="1" applyBorder="1" applyAlignment="1">
      <alignment vertical="center"/>
    </xf>
    <xf numFmtId="0" fontId="111" fillId="0" borderId="19" xfId="1" applyFont="1" applyFill="1" applyBorder="1" applyAlignment="1">
      <alignment horizontal="center" vertical="center"/>
    </xf>
    <xf numFmtId="169" fontId="52" fillId="0" borderId="91" xfId="1" applyNumberFormat="1" applyFont="1" applyFill="1" applyBorder="1" applyAlignment="1">
      <alignment horizontal="right" vertical="center"/>
    </xf>
    <xf numFmtId="0" fontId="52" fillId="0" borderId="19" xfId="1" applyFont="1" applyFill="1" applyBorder="1" applyAlignment="1">
      <alignment horizontal="left" vertical="center"/>
    </xf>
    <xf numFmtId="169" fontId="52" fillId="0" borderId="99" xfId="1" applyNumberFormat="1" applyFont="1" applyFill="1" applyBorder="1" applyAlignment="1">
      <alignment horizontal="right" vertical="center"/>
    </xf>
    <xf numFmtId="0" fontId="53" fillId="0" borderId="5" xfId="1" applyFont="1" applyFill="1" applyBorder="1" applyAlignment="1">
      <alignment horizontal="left" vertical="center"/>
    </xf>
    <xf numFmtId="3" fontId="3" fillId="0" borderId="5" xfId="1" applyNumberFormat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vertical="center"/>
    </xf>
    <xf numFmtId="3" fontId="53" fillId="3" borderId="6" xfId="1" applyNumberFormat="1" applyFont="1" applyFill="1" applyBorder="1" applyAlignment="1">
      <alignment horizontal="center" vertical="center"/>
    </xf>
    <xf numFmtId="0" fontId="126" fillId="4" borderId="5" xfId="1" applyFont="1" applyFill="1" applyBorder="1" applyAlignment="1">
      <alignment horizontal="left" vertical="center"/>
    </xf>
    <xf numFmtId="0" fontId="52" fillId="0" borderId="49" xfId="1" applyFont="1" applyFill="1" applyBorder="1" applyAlignment="1">
      <alignment horizontal="left" vertical="center"/>
    </xf>
    <xf numFmtId="3" fontId="52" fillId="0" borderId="199" xfId="1" applyNumberFormat="1" applyFont="1" applyFill="1" applyBorder="1" applyAlignment="1">
      <alignment horizontal="center" vertical="center"/>
    </xf>
    <xf numFmtId="3" fontId="63" fillId="0" borderId="203" xfId="1" applyNumberFormat="1" applyFont="1" applyFill="1" applyBorder="1" applyAlignment="1">
      <alignment horizontal="center" vertical="center"/>
    </xf>
    <xf numFmtId="0" fontId="126" fillId="2" borderId="5" xfId="1" applyFont="1" applyFill="1" applyBorder="1" applyAlignment="1">
      <alignment horizontal="left" vertical="center"/>
    </xf>
    <xf numFmtId="3" fontId="63" fillId="0" borderId="56" xfId="1" applyNumberFormat="1" applyFont="1" applyFill="1" applyBorder="1" applyAlignment="1">
      <alignment horizontal="center" vertical="center"/>
    </xf>
    <xf numFmtId="0" fontId="52" fillId="0" borderId="84" xfId="1" applyFont="1" applyFill="1" applyBorder="1" applyAlignment="1">
      <alignment vertical="center"/>
    </xf>
    <xf numFmtId="0" fontId="52" fillId="2" borderId="177" xfId="1" applyFont="1" applyFill="1" applyBorder="1" applyAlignment="1">
      <alignment vertical="center"/>
    </xf>
    <xf numFmtId="0" fontId="52" fillId="4" borderId="177" xfId="1" applyFont="1" applyFill="1" applyBorder="1" applyAlignment="1">
      <alignment vertical="center"/>
    </xf>
    <xf numFmtId="3" fontId="127" fillId="0" borderId="6" xfId="1" applyNumberFormat="1" applyFont="1" applyFill="1" applyBorder="1" applyAlignment="1">
      <alignment horizontal="center" vertical="center"/>
    </xf>
    <xf numFmtId="0" fontId="77" fillId="0" borderId="0" xfId="1" applyFont="1" applyFill="1" applyBorder="1" applyAlignment="1">
      <alignment horizontal="left" vertical="center"/>
    </xf>
    <xf numFmtId="3" fontId="128" fillId="0" borderId="0" xfId="1" applyNumberFormat="1" applyFont="1" applyFill="1" applyBorder="1" applyAlignment="1">
      <alignment horizontal="center" vertical="center"/>
    </xf>
    <xf numFmtId="0" fontId="130" fillId="0" borderId="0" xfId="1" applyFont="1" applyFill="1" applyBorder="1" applyAlignment="1">
      <alignment horizontal="left" vertical="center"/>
    </xf>
    <xf numFmtId="0" fontId="130" fillId="0" borderId="51" xfId="1" applyFont="1" applyFill="1" applyBorder="1" applyAlignment="1">
      <alignment horizontal="left" vertical="center"/>
    </xf>
    <xf numFmtId="0" fontId="53" fillId="0" borderId="7" xfId="1" applyFont="1" applyFill="1" applyBorder="1" applyAlignment="1">
      <alignment horizontal="left" vertical="center"/>
    </xf>
    <xf numFmtId="0" fontId="53" fillId="0" borderId="84" xfId="1" applyFont="1" applyFill="1" applyBorder="1" applyAlignment="1">
      <alignment horizontal="left" vertical="center"/>
    </xf>
    <xf numFmtId="0" fontId="131" fillId="0" borderId="95" xfId="1" applyFont="1" applyFill="1" applyBorder="1" applyAlignment="1">
      <alignment horizontal="left" vertical="center"/>
    </xf>
    <xf numFmtId="0" fontId="131" fillId="0" borderId="5" xfId="1" applyFont="1" applyFill="1" applyBorder="1" applyAlignment="1">
      <alignment horizontal="left" vertical="center"/>
    </xf>
    <xf numFmtId="0" fontId="52" fillId="2" borderId="93" xfId="1" applyFont="1" applyFill="1" applyBorder="1" applyAlignment="1">
      <alignment horizontal="left" vertical="center"/>
    </xf>
    <xf numFmtId="0" fontId="52" fillId="0" borderId="198" xfId="1" applyFont="1" applyFill="1" applyBorder="1" applyAlignment="1">
      <alignment horizontal="left" vertical="center"/>
    </xf>
    <xf numFmtId="0" fontId="52" fillId="0" borderId="95" xfId="1" applyFont="1" applyFill="1" applyBorder="1" applyAlignment="1">
      <alignment horizontal="left" vertical="center"/>
    </xf>
    <xf numFmtId="0" fontId="126" fillId="0" borderId="5" xfId="1" applyFont="1" applyFill="1" applyBorder="1" applyAlignment="1">
      <alignment horizontal="left" vertical="center"/>
    </xf>
    <xf numFmtId="0" fontId="126" fillId="0" borderId="84" xfId="1" applyFont="1" applyFill="1" applyBorder="1" applyAlignment="1">
      <alignment horizontal="left" vertical="center"/>
    </xf>
    <xf numFmtId="0" fontId="52" fillId="2" borderId="5" xfId="1" applyFont="1" applyFill="1" applyBorder="1" applyAlignment="1">
      <alignment horizontal="left" vertical="center"/>
    </xf>
    <xf numFmtId="3" fontId="127" fillId="0" borderId="86" xfId="1" applyNumberFormat="1" applyFont="1" applyFill="1" applyBorder="1" applyAlignment="1">
      <alignment horizontal="center" vertical="center"/>
    </xf>
    <xf numFmtId="0" fontId="126" fillId="2" borderId="84" xfId="1" applyFont="1" applyFill="1" applyBorder="1" applyAlignment="1">
      <alignment horizontal="left" vertical="center"/>
    </xf>
    <xf numFmtId="0" fontId="52" fillId="2" borderId="116" xfId="1" applyFont="1" applyFill="1" applyBorder="1" applyAlignment="1">
      <alignment horizontal="left" vertical="center"/>
    </xf>
    <xf numFmtId="0" fontId="131" fillId="0" borderId="116" xfId="1" applyFont="1" applyFill="1" applyBorder="1" applyAlignment="1">
      <alignment horizontal="left" vertical="center"/>
    </xf>
    <xf numFmtId="3" fontId="127" fillId="0" borderId="115" xfId="1" applyNumberFormat="1" applyFont="1" applyFill="1" applyBorder="1" applyAlignment="1">
      <alignment horizontal="center" vertical="center"/>
    </xf>
    <xf numFmtId="0" fontId="52" fillId="0" borderId="41" xfId="1" applyFont="1" applyFill="1" applyBorder="1" applyAlignment="1">
      <alignment horizontal="left" vertical="center"/>
    </xf>
    <xf numFmtId="0" fontId="126" fillId="3" borderId="49" xfId="1" applyFont="1" applyFill="1" applyBorder="1" applyAlignment="1">
      <alignment horizontal="left" vertical="center"/>
    </xf>
    <xf numFmtId="3" fontId="3" fillId="3" borderId="56" xfId="1" applyNumberFormat="1" applyFont="1" applyFill="1" applyBorder="1" applyAlignment="1">
      <alignment horizontal="center" vertical="center"/>
    </xf>
    <xf numFmtId="0" fontId="52" fillId="2" borderId="177" xfId="1" applyFont="1" applyFill="1" applyBorder="1" applyAlignment="1">
      <alignment horizontal="left" vertical="center"/>
    </xf>
    <xf numFmtId="3" fontId="53" fillId="3" borderId="1" xfId="1" applyNumberFormat="1" applyFont="1" applyFill="1" applyBorder="1" applyAlignment="1">
      <alignment horizontal="center" vertical="center"/>
    </xf>
    <xf numFmtId="0" fontId="52" fillId="2" borderId="198" xfId="1" applyFont="1" applyFill="1" applyBorder="1" applyAlignment="1">
      <alignment horizontal="left" vertical="center"/>
    </xf>
    <xf numFmtId="3" fontId="52" fillId="0" borderId="0" xfId="1" applyNumberFormat="1" applyFont="1" applyFill="1" applyBorder="1" applyAlignment="1">
      <alignment horizontal="left" vertical="center"/>
    </xf>
    <xf numFmtId="0" fontId="3" fillId="0" borderId="177" xfId="1" applyFont="1" applyFill="1" applyBorder="1" applyAlignment="1">
      <alignment vertical="center"/>
    </xf>
    <xf numFmtId="3" fontId="3" fillId="3" borderId="172" xfId="1" applyNumberFormat="1" applyFont="1" applyFill="1" applyBorder="1" applyAlignment="1">
      <alignment horizontal="center" vertical="center"/>
    </xf>
    <xf numFmtId="3" fontId="52" fillId="0" borderId="172" xfId="1" applyNumberFormat="1" applyFont="1" applyFill="1" applyBorder="1" applyAlignment="1">
      <alignment horizontal="center" vertical="center"/>
    </xf>
    <xf numFmtId="3" fontId="52" fillId="0" borderId="114" xfId="1" applyNumberFormat="1" applyFont="1" applyFill="1" applyBorder="1" applyAlignment="1">
      <alignment horizontal="center" vertical="center"/>
    </xf>
    <xf numFmtId="3" fontId="52" fillId="0" borderId="92" xfId="1" applyNumberFormat="1" applyFont="1" applyFill="1" applyBorder="1" applyAlignment="1">
      <alignment horizontal="center" vertical="center"/>
    </xf>
    <xf numFmtId="3" fontId="52" fillId="0" borderId="205" xfId="1" applyNumberFormat="1" applyFont="1" applyFill="1" applyBorder="1" applyAlignment="1">
      <alignment horizontal="center" vertical="center"/>
    </xf>
    <xf numFmtId="3" fontId="52" fillId="0" borderId="171" xfId="1" applyNumberFormat="1" applyFont="1" applyFill="1" applyBorder="1" applyAlignment="1">
      <alignment horizontal="center" vertical="center"/>
    </xf>
    <xf numFmtId="3" fontId="52" fillId="0" borderId="201" xfId="1" applyNumberFormat="1" applyFont="1" applyFill="1" applyBorder="1" applyAlignment="1">
      <alignment horizontal="center" vertical="center"/>
    </xf>
    <xf numFmtId="3" fontId="63" fillId="0" borderId="172" xfId="1" applyNumberFormat="1" applyFont="1" applyFill="1" applyBorder="1" applyAlignment="1">
      <alignment horizontal="center" vertical="center"/>
    </xf>
    <xf numFmtId="0" fontId="52" fillId="2" borderId="41" xfId="1" applyFont="1" applyFill="1" applyBorder="1" applyAlignment="1">
      <alignment horizontal="left" vertical="center"/>
    </xf>
    <xf numFmtId="3" fontId="52" fillId="0" borderId="91" xfId="1" applyNumberFormat="1" applyFont="1" applyFill="1" applyBorder="1" applyAlignment="1">
      <alignment horizontal="center" vertical="center"/>
    </xf>
    <xf numFmtId="3" fontId="127" fillId="0" borderId="0" xfId="1" applyNumberFormat="1" applyFont="1" applyFill="1" applyBorder="1" applyAlignment="1">
      <alignment horizontal="center" vertical="center"/>
    </xf>
    <xf numFmtId="0" fontId="52" fillId="0" borderId="85" xfId="1" applyFont="1" applyFill="1" applyBorder="1" applyAlignment="1">
      <alignment vertical="center"/>
    </xf>
    <xf numFmtId="3" fontId="127" fillId="0" borderId="85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3" fontId="3" fillId="16" borderId="1" xfId="1" applyNumberFormat="1" applyFont="1" applyFill="1" applyBorder="1" applyAlignment="1">
      <alignment horizontal="center" vertical="center"/>
    </xf>
    <xf numFmtId="3" fontId="52" fillId="2" borderId="5" xfId="1" applyNumberFormat="1" applyFont="1" applyFill="1" applyBorder="1" applyAlignment="1">
      <alignment horizontal="left" vertical="center"/>
    </xf>
    <xf numFmtId="0" fontId="126" fillId="0" borderId="95" xfId="1" applyFont="1" applyFill="1" applyBorder="1" applyAlignment="1">
      <alignment vertical="center"/>
    </xf>
    <xf numFmtId="0" fontId="126" fillId="0" borderId="0" xfId="1" applyFont="1" applyFill="1" applyBorder="1" applyAlignment="1">
      <alignment vertical="center"/>
    </xf>
    <xf numFmtId="0" fontId="52" fillId="0" borderId="0" xfId="1" applyFont="1" applyFill="1" applyAlignment="1">
      <alignment vertical="center"/>
    </xf>
    <xf numFmtId="0" fontId="3" fillId="0" borderId="44" xfId="1" applyFont="1" applyFill="1" applyBorder="1" applyAlignment="1">
      <alignment horizontal="center" vertical="center"/>
    </xf>
    <xf numFmtId="3" fontId="3" fillId="0" borderId="20" xfId="1" applyNumberFormat="1" applyFont="1" applyFill="1" applyBorder="1" applyAlignment="1">
      <alignment horizontal="left" vertical="center"/>
    </xf>
    <xf numFmtId="3" fontId="127" fillId="0" borderId="1" xfId="1" applyNumberFormat="1" applyFont="1" applyFill="1" applyBorder="1" applyAlignment="1">
      <alignment horizontal="center" vertical="center"/>
    </xf>
    <xf numFmtId="3" fontId="52" fillId="0" borderId="42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 vertical="center" wrapText="1"/>
    </xf>
    <xf numFmtId="0" fontId="125" fillId="0" borderId="0" xfId="15" applyFont="1" applyFill="1" applyBorder="1" applyAlignment="1">
      <alignment horizontal="left" vertical="center"/>
    </xf>
    <xf numFmtId="0" fontId="133" fillId="0" borderId="0" xfId="1" applyFont="1" applyFill="1" applyBorder="1" applyAlignment="1">
      <alignment horizontal="left" vertical="center"/>
    </xf>
    <xf numFmtId="167" fontId="63" fillId="0" borderId="0" xfId="1" applyNumberFormat="1" applyFont="1" applyFill="1" applyBorder="1" applyAlignment="1">
      <alignment horizontal="left" vertical="center"/>
    </xf>
    <xf numFmtId="0" fontId="134" fillId="0" borderId="0" xfId="1" applyFont="1" applyFill="1" applyBorder="1" applyAlignment="1">
      <alignment horizontal="left" vertical="center"/>
    </xf>
    <xf numFmtId="0" fontId="134" fillId="0" borderId="4" xfId="1" applyFont="1" applyFill="1" applyBorder="1" applyAlignment="1">
      <alignment horizontal="left" vertical="center"/>
    </xf>
    <xf numFmtId="167" fontId="52" fillId="0" borderId="0" xfId="1" applyNumberFormat="1" applyFont="1" applyFill="1" applyAlignment="1">
      <alignment vertical="center"/>
    </xf>
    <xf numFmtId="0" fontId="52" fillId="0" borderId="0" xfId="1" applyFont="1"/>
    <xf numFmtId="0" fontId="53" fillId="0" borderId="39" xfId="1" applyFont="1" applyFill="1" applyBorder="1" applyAlignment="1">
      <alignment horizontal="left" vertical="center"/>
    </xf>
    <xf numFmtId="169" fontId="63" fillId="0" borderId="9" xfId="1" applyNumberFormat="1" applyFont="1" applyFill="1" applyBorder="1" applyAlignment="1">
      <alignment horizontal="right" vertical="center"/>
    </xf>
    <xf numFmtId="3" fontId="3" fillId="0" borderId="4" xfId="1" applyNumberFormat="1" applyFont="1" applyFill="1" applyBorder="1" applyAlignment="1">
      <alignment horizontal="left" vertical="center"/>
    </xf>
    <xf numFmtId="3" fontId="3" fillId="0" borderId="52" xfId="1" applyNumberFormat="1" applyFont="1" applyFill="1" applyBorder="1" applyAlignment="1">
      <alignment horizontal="left" vertical="center"/>
    </xf>
    <xf numFmtId="0" fontId="3" fillId="0" borderId="39" xfId="1" applyFont="1" applyFill="1" applyBorder="1" applyAlignment="1">
      <alignment vertical="center"/>
    </xf>
    <xf numFmtId="0" fontId="111" fillId="3" borderId="50" xfId="1" applyFont="1" applyFill="1" applyBorder="1" applyAlignment="1">
      <alignment horizontal="center" vertical="center"/>
    </xf>
    <xf numFmtId="169" fontId="52" fillId="3" borderId="47" xfId="1" applyNumberFormat="1" applyFont="1" applyFill="1" applyBorder="1" applyAlignment="1">
      <alignment horizontal="right" vertical="center"/>
    </xf>
    <xf numFmtId="167" fontId="53" fillId="0" borderId="1" xfId="1" applyNumberFormat="1" applyFont="1" applyFill="1" applyBorder="1" applyAlignment="1">
      <alignment horizontal="center" vertical="center"/>
    </xf>
    <xf numFmtId="0" fontId="126" fillId="3" borderId="50" xfId="1" applyFont="1" applyFill="1" applyBorder="1" applyAlignment="1">
      <alignment horizontal="left" vertical="center"/>
    </xf>
    <xf numFmtId="169" fontId="126" fillId="3" borderId="47" xfId="1" applyNumberFormat="1" applyFont="1" applyFill="1" applyBorder="1" applyAlignment="1">
      <alignment horizontal="right" vertical="center"/>
    </xf>
    <xf numFmtId="3" fontId="52" fillId="3" borderId="39" xfId="1" applyNumberFormat="1" applyFont="1" applyFill="1" applyBorder="1" applyAlignment="1">
      <alignment horizontal="left" vertical="center"/>
    </xf>
    <xf numFmtId="167" fontId="3" fillId="0" borderId="1" xfId="1" applyNumberFormat="1" applyFont="1" applyFill="1" applyBorder="1" applyAlignment="1">
      <alignment horizontal="center" vertical="center"/>
    </xf>
    <xf numFmtId="169" fontId="63" fillId="0" borderId="47" xfId="1" applyNumberFormat="1" applyFont="1" applyFill="1" applyBorder="1" applyAlignment="1">
      <alignment horizontal="right" vertical="center"/>
    </xf>
    <xf numFmtId="169" fontId="52" fillId="0" borderId="47" xfId="1" applyNumberFormat="1" applyFont="1" applyFill="1" applyBorder="1" applyAlignment="1">
      <alignment horizontal="right" vertical="center"/>
    </xf>
    <xf numFmtId="0" fontId="135" fillId="0" borderId="39" xfId="1" applyFont="1" applyFill="1" applyBorder="1" applyAlignment="1">
      <alignment horizontal="left" vertical="center"/>
    </xf>
    <xf numFmtId="0" fontId="126" fillId="0" borderId="39" xfId="1" applyFont="1" applyFill="1" applyBorder="1" applyAlignment="1">
      <alignment vertical="center"/>
    </xf>
    <xf numFmtId="0" fontId="134" fillId="0" borderId="39" xfId="1" applyFont="1" applyFill="1" applyBorder="1" applyAlignment="1">
      <alignment horizontal="left" vertical="center"/>
    </xf>
    <xf numFmtId="0" fontId="63" fillId="0" borderId="6" xfId="1" applyFont="1" applyFill="1" applyBorder="1" applyAlignment="1">
      <alignment horizontal="left" vertical="center"/>
    </xf>
    <xf numFmtId="3" fontId="52" fillId="0" borderId="39" xfId="1" applyNumberFormat="1" applyFont="1" applyFill="1" applyBorder="1" applyAlignment="1">
      <alignment horizontal="left" vertical="center"/>
    </xf>
    <xf numFmtId="169" fontId="126" fillId="0" borderId="47" xfId="1" applyNumberFormat="1" applyFont="1" applyFill="1" applyBorder="1" applyAlignment="1">
      <alignment horizontal="right" vertical="center"/>
    </xf>
    <xf numFmtId="0" fontId="52" fillId="0" borderId="39" xfId="1" applyFont="1" applyFill="1" applyBorder="1" applyAlignment="1">
      <alignment horizontal="left" vertical="center"/>
    </xf>
    <xf numFmtId="169" fontId="52" fillId="0" borderId="188" xfId="1" applyNumberFormat="1" applyFont="1" applyFill="1" applyBorder="1" applyAlignment="1">
      <alignment horizontal="right" vertical="center"/>
    </xf>
    <xf numFmtId="169" fontId="63" fillId="0" borderId="188" xfId="1" applyNumberFormat="1" applyFont="1" applyFill="1" applyBorder="1" applyAlignment="1">
      <alignment horizontal="right" vertical="center"/>
    </xf>
    <xf numFmtId="0" fontId="111" fillId="0" borderId="88" xfId="1" applyFont="1" applyFill="1" applyBorder="1" applyAlignment="1">
      <alignment horizontal="center" vertical="center"/>
    </xf>
    <xf numFmtId="167" fontId="53" fillId="0" borderId="87" xfId="1" applyNumberFormat="1" applyFont="1" applyFill="1" applyBorder="1" applyAlignment="1">
      <alignment horizontal="center" vertical="center"/>
    </xf>
    <xf numFmtId="0" fontId="63" fillId="0" borderId="88" xfId="1" applyFont="1" applyFill="1" applyBorder="1" applyAlignment="1">
      <alignment horizontal="left" vertical="center"/>
    </xf>
    <xf numFmtId="0" fontId="127" fillId="0" borderId="39" xfId="1" applyFont="1" applyFill="1" applyBorder="1" applyAlignment="1">
      <alignment horizontal="center" vertical="center"/>
    </xf>
    <xf numFmtId="0" fontId="127" fillId="0" borderId="39" xfId="1" applyFont="1" applyFill="1" applyBorder="1" applyAlignment="1">
      <alignment vertical="center"/>
    </xf>
    <xf numFmtId="0" fontId="111" fillId="0" borderId="0" xfId="1" applyFont="1" applyFill="1" applyBorder="1" applyAlignment="1">
      <alignment horizontal="center" vertical="center"/>
    </xf>
    <xf numFmtId="0" fontId="111" fillId="0" borderId="50" xfId="1" applyFont="1" applyFill="1" applyBorder="1" applyAlignment="1">
      <alignment horizontal="center" vertical="center"/>
    </xf>
    <xf numFmtId="169" fontId="63" fillId="0" borderId="43" xfId="1" applyNumberFormat="1" applyFont="1" applyFill="1" applyBorder="1" applyAlignment="1">
      <alignment horizontal="right" vertical="center"/>
    </xf>
    <xf numFmtId="0" fontId="111" fillId="0" borderId="97" xfId="1" applyFont="1" applyFill="1" applyBorder="1" applyAlignment="1">
      <alignment horizontal="center" vertical="center"/>
    </xf>
    <xf numFmtId="169" fontId="137" fillId="0" borderId="47" xfId="1" applyNumberFormat="1" applyFont="1" applyFill="1" applyBorder="1" applyAlignment="1">
      <alignment horizontal="right" vertical="center"/>
    </xf>
    <xf numFmtId="169" fontId="111" fillId="0" borderId="47" xfId="1" applyNumberFormat="1" applyFont="1" applyFill="1" applyBorder="1" applyAlignment="1">
      <alignment horizontal="right" vertical="center"/>
    </xf>
    <xf numFmtId="0" fontId="126" fillId="0" borderId="50" xfId="1" applyFont="1" applyFill="1" applyBorder="1" applyAlignment="1">
      <alignment vertical="center"/>
    </xf>
    <xf numFmtId="0" fontId="63" fillId="0" borderId="50" xfId="1" applyFont="1" applyFill="1" applyBorder="1" applyAlignment="1">
      <alignment horizontal="left" vertical="center"/>
    </xf>
    <xf numFmtId="169" fontId="128" fillId="0" borderId="47" xfId="1" applyNumberFormat="1" applyFont="1" applyFill="1" applyBorder="1" applyAlignment="1">
      <alignment horizontal="right" vertical="center"/>
    </xf>
    <xf numFmtId="167" fontId="53" fillId="0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  <xf numFmtId="3" fontId="134" fillId="0" borderId="0" xfId="1" applyNumberFormat="1" applyFont="1" applyFill="1" applyBorder="1" applyAlignment="1">
      <alignment horizontal="center" vertical="center"/>
    </xf>
    <xf numFmtId="3" fontId="52" fillId="0" borderId="0" xfId="1" applyNumberFormat="1" applyFont="1" applyFill="1" applyBorder="1" applyAlignment="1">
      <alignment vertical="center"/>
    </xf>
    <xf numFmtId="0" fontId="52" fillId="0" borderId="51" xfId="1" applyFont="1" applyFill="1" applyBorder="1" applyAlignment="1">
      <alignment vertical="center"/>
    </xf>
    <xf numFmtId="167" fontId="52" fillId="0" borderId="51" xfId="1" applyNumberFormat="1" applyFont="1" applyFill="1" applyBorder="1" applyAlignment="1">
      <alignment vertical="center"/>
    </xf>
    <xf numFmtId="0" fontId="53" fillId="0" borderId="50" xfId="1" applyFont="1" applyFill="1" applyBorder="1" applyAlignment="1">
      <alignment horizontal="left" vertical="center"/>
    </xf>
    <xf numFmtId="0" fontId="53" fillId="0" borderId="88" xfId="1" applyFont="1" applyFill="1" applyBorder="1" applyAlignment="1">
      <alignment horizontal="left" vertical="center"/>
    </xf>
    <xf numFmtId="0" fontId="53" fillId="0" borderId="9" xfId="1" applyFont="1" applyFill="1" applyBorder="1" applyAlignment="1">
      <alignment horizontal="left" vertical="center"/>
    </xf>
    <xf numFmtId="169" fontId="131" fillId="16" borderId="47" xfId="1" applyNumberFormat="1" applyFont="1" applyFill="1" applyBorder="1" applyAlignment="1">
      <alignment horizontal="right" vertical="center"/>
    </xf>
    <xf numFmtId="169" fontId="52" fillId="3" borderId="101" xfId="1" applyNumberFormat="1" applyFont="1" applyFill="1" applyBorder="1" applyAlignment="1">
      <alignment vertical="center"/>
    </xf>
    <xf numFmtId="0" fontId="126" fillId="3" borderId="50" xfId="1" applyFont="1" applyFill="1" applyBorder="1" applyAlignment="1">
      <alignment vertical="center"/>
    </xf>
    <xf numFmtId="0" fontId="131" fillId="0" borderId="88" xfId="1" applyFont="1" applyFill="1" applyBorder="1" applyAlignment="1">
      <alignment horizontal="left" vertical="center"/>
    </xf>
    <xf numFmtId="169" fontId="131" fillId="0" borderId="47" xfId="1" applyNumberFormat="1" applyFont="1" applyFill="1" applyBorder="1" applyAlignment="1">
      <alignment horizontal="right" vertical="center"/>
    </xf>
    <xf numFmtId="169" fontId="52" fillId="0" borderId="47" xfId="1" applyNumberFormat="1" applyFont="1" applyFill="1" applyBorder="1" applyAlignment="1">
      <alignment vertical="center"/>
    </xf>
    <xf numFmtId="0" fontId="111" fillId="0" borderId="85" xfId="1" applyFont="1" applyFill="1" applyBorder="1" applyAlignment="1">
      <alignment horizontal="center" vertical="center"/>
    </xf>
    <xf numFmtId="0" fontId="131" fillId="0" borderId="39" xfId="1" applyFont="1" applyFill="1" applyBorder="1" applyAlignment="1">
      <alignment horizontal="left" vertical="center"/>
    </xf>
    <xf numFmtId="0" fontId="52" fillId="0" borderId="88" xfId="1" applyFont="1" applyFill="1" applyBorder="1" applyAlignment="1">
      <alignment horizontal="left" vertical="center"/>
    </xf>
    <xf numFmtId="0" fontId="63" fillId="0" borderId="85" xfId="1" applyFont="1" applyFill="1" applyBorder="1" applyAlignment="1">
      <alignment horizontal="left" vertical="center"/>
    </xf>
    <xf numFmtId="169" fontId="52" fillId="0" borderId="188" xfId="1" applyNumberFormat="1" applyFont="1" applyFill="1" applyBorder="1" applyAlignment="1">
      <alignment vertical="center"/>
    </xf>
    <xf numFmtId="0" fontId="77" fillId="0" borderId="39" xfId="1" applyFont="1" applyFill="1" applyBorder="1" applyAlignment="1">
      <alignment horizontal="left" vertical="center"/>
    </xf>
    <xf numFmtId="0" fontId="126" fillId="0" borderId="85" xfId="1" applyFont="1" applyFill="1" applyBorder="1" applyAlignment="1">
      <alignment vertical="center"/>
    </xf>
    <xf numFmtId="0" fontId="63" fillId="0" borderId="4" xfId="1" applyFont="1" applyFill="1" applyBorder="1" applyAlignment="1">
      <alignment horizontal="left" vertical="center"/>
    </xf>
    <xf numFmtId="0" fontId="111" fillId="0" borderId="9" xfId="1" applyFont="1" applyFill="1" applyBorder="1" applyAlignment="1">
      <alignment horizontal="center" vertical="center"/>
    </xf>
    <xf numFmtId="0" fontId="111" fillId="0" borderId="4" xfId="1" applyFont="1" applyFill="1" applyBorder="1" applyAlignment="1">
      <alignment horizontal="center" vertical="center"/>
    </xf>
    <xf numFmtId="0" fontId="52" fillId="0" borderId="4" xfId="1" applyFont="1" applyFill="1" applyBorder="1" applyAlignment="1">
      <alignment horizontal="left" vertical="center"/>
    </xf>
    <xf numFmtId="0" fontId="126" fillId="0" borderId="88" xfId="1" applyFont="1" applyFill="1" applyBorder="1" applyAlignment="1">
      <alignment vertical="center"/>
    </xf>
    <xf numFmtId="0" fontId="111" fillId="0" borderId="98" xfId="1" applyFont="1" applyFill="1" applyBorder="1" applyAlignment="1">
      <alignment horizontal="center" vertical="center"/>
    </xf>
    <xf numFmtId="3" fontId="52" fillId="0" borderId="88" xfId="1" applyNumberFormat="1" applyFont="1" applyFill="1" applyBorder="1" applyAlignment="1">
      <alignment horizontal="left" vertical="center"/>
    </xf>
    <xf numFmtId="0" fontId="52" fillId="0" borderId="50" xfId="1" applyFont="1" applyFill="1" applyBorder="1" applyAlignment="1">
      <alignment vertical="center"/>
    </xf>
    <xf numFmtId="0" fontId="77" fillId="0" borderId="88" xfId="1" applyFont="1" applyFill="1" applyBorder="1" applyAlignment="1">
      <alignment horizontal="left" vertical="center"/>
    </xf>
    <xf numFmtId="0" fontId="52" fillId="0" borderId="117" xfId="1" applyFont="1" applyFill="1" applyBorder="1" applyAlignment="1">
      <alignment vertical="center"/>
    </xf>
    <xf numFmtId="167" fontId="53" fillId="0" borderId="119" xfId="1" applyNumberFormat="1" applyFont="1" applyFill="1" applyBorder="1" applyAlignment="1">
      <alignment horizontal="center" vertical="center"/>
    </xf>
    <xf numFmtId="0" fontId="77" fillId="0" borderId="120" xfId="1" applyFont="1" applyFill="1" applyBorder="1" applyAlignment="1">
      <alignment horizontal="left" vertical="center"/>
    </xf>
    <xf numFmtId="0" fontId="63" fillId="0" borderId="120" xfId="1" applyFont="1" applyFill="1" applyBorder="1" applyAlignment="1">
      <alignment horizontal="left" vertical="center"/>
    </xf>
    <xf numFmtId="0" fontId="52" fillId="0" borderId="147" xfId="1" applyFont="1" applyFill="1" applyBorder="1" applyAlignment="1">
      <alignment vertical="center"/>
    </xf>
    <xf numFmtId="0" fontId="125" fillId="0" borderId="0" xfId="15" applyFont="1" applyFill="1" applyBorder="1" applyAlignment="1">
      <alignment vertical="center"/>
    </xf>
    <xf numFmtId="0" fontId="63" fillId="3" borderId="39" xfId="1" applyFont="1" applyFill="1" applyBorder="1" applyAlignment="1">
      <alignment horizontal="left" vertical="center"/>
    </xf>
    <xf numFmtId="169" fontId="63" fillId="3" borderId="46" xfId="1" applyNumberFormat="1" applyFont="1" applyFill="1" applyBorder="1" applyAlignment="1">
      <alignment horizontal="right" vertical="center"/>
    </xf>
    <xf numFmtId="169" fontId="52" fillId="0" borderId="94" xfId="1" applyNumberFormat="1" applyFont="1" applyFill="1" applyBorder="1" applyAlignment="1">
      <alignment horizontal="right" vertical="center"/>
    </xf>
    <xf numFmtId="169" fontId="63" fillId="0" borderId="94" xfId="1" applyNumberFormat="1" applyFont="1" applyFill="1" applyBorder="1" applyAlignment="1">
      <alignment horizontal="right" vertical="center"/>
    </xf>
    <xf numFmtId="169" fontId="63" fillId="0" borderId="69" xfId="1" applyNumberFormat="1" applyFont="1" applyFill="1" applyBorder="1" applyAlignment="1">
      <alignment horizontal="right" vertical="center"/>
    </xf>
    <xf numFmtId="169" fontId="52" fillId="0" borderId="190" xfId="1" applyNumberFormat="1" applyFont="1" applyFill="1" applyBorder="1" applyAlignment="1">
      <alignment horizontal="right" vertical="center"/>
    </xf>
    <xf numFmtId="0" fontId="127" fillId="0" borderId="88" xfId="1" applyFont="1" applyFill="1" applyBorder="1" applyAlignment="1">
      <alignment horizontal="center" vertical="center"/>
    </xf>
    <xf numFmtId="0" fontId="111" fillId="0" borderId="45" xfId="1" applyFont="1" applyFill="1" applyBorder="1" applyAlignment="1">
      <alignment horizontal="center" vertical="center"/>
    </xf>
    <xf numFmtId="0" fontId="63" fillId="0" borderId="45" xfId="1" applyFont="1" applyFill="1" applyBorder="1" applyAlignment="1">
      <alignment horizontal="left" vertical="center"/>
    </xf>
    <xf numFmtId="0" fontId="111" fillId="0" borderId="96" xfId="1" applyFont="1" applyFill="1" applyBorder="1" applyAlignment="1">
      <alignment horizontal="center" vertical="center"/>
    </xf>
    <xf numFmtId="0" fontId="63" fillId="0" borderId="96" xfId="1" applyFont="1" applyFill="1" applyBorder="1" applyAlignment="1">
      <alignment horizontal="left" vertical="center"/>
    </xf>
    <xf numFmtId="0" fontId="63" fillId="0" borderId="97" xfId="1" applyFont="1" applyFill="1" applyBorder="1" applyAlignment="1">
      <alignment horizontal="left" vertical="center"/>
    </xf>
    <xf numFmtId="0" fontId="52" fillId="0" borderId="4" xfId="1" applyFont="1" applyFill="1" applyBorder="1" applyAlignment="1">
      <alignment vertical="center"/>
    </xf>
    <xf numFmtId="0" fontId="111" fillId="3" borderId="39" xfId="1" applyFont="1" applyFill="1" applyBorder="1" applyAlignment="1">
      <alignment horizontal="center" vertical="center"/>
    </xf>
    <xf numFmtId="0" fontId="52" fillId="3" borderId="97" xfId="1" applyFont="1" applyFill="1" applyBorder="1" applyAlignment="1">
      <alignment vertical="center"/>
    </xf>
    <xf numFmtId="0" fontId="127" fillId="0" borderId="97" xfId="1" applyFont="1" applyFill="1" applyBorder="1" applyAlignment="1">
      <alignment vertical="center"/>
    </xf>
    <xf numFmtId="0" fontId="127" fillId="0" borderId="39" xfId="1" applyFont="1" applyFill="1" applyBorder="1" applyAlignment="1">
      <alignment horizontal="left" vertical="center"/>
    </xf>
    <xf numFmtId="0" fontId="52" fillId="0" borderId="88" xfId="1" applyFont="1" applyFill="1" applyBorder="1" applyAlignment="1">
      <alignment vertical="center"/>
    </xf>
    <xf numFmtId="0" fontId="52" fillId="0" borderId="8" xfId="1" applyFont="1" applyFill="1" applyBorder="1" applyAlignment="1">
      <alignment vertical="center"/>
    </xf>
    <xf numFmtId="169" fontId="52" fillId="3" borderId="44" xfId="1" applyNumberFormat="1" applyFont="1" applyFill="1" applyBorder="1" applyAlignment="1">
      <alignment horizontal="right" vertical="center"/>
    </xf>
    <xf numFmtId="0" fontId="52" fillId="3" borderId="39" xfId="1" applyFont="1" applyFill="1" applyBorder="1" applyAlignment="1">
      <alignment vertical="center"/>
    </xf>
    <xf numFmtId="169" fontId="52" fillId="3" borderId="47" xfId="1" applyNumberFormat="1" applyFont="1" applyFill="1" applyBorder="1" applyAlignment="1">
      <alignment vertical="center"/>
    </xf>
    <xf numFmtId="169" fontId="52" fillId="0" borderId="0" xfId="1" applyNumberFormat="1" applyFont="1" applyFill="1" applyBorder="1" applyAlignment="1">
      <alignment vertical="center"/>
    </xf>
    <xf numFmtId="169" fontId="52" fillId="0" borderId="0" xfId="1" applyNumberFormat="1" applyFont="1" applyFill="1" applyBorder="1" applyAlignment="1">
      <alignment horizontal="right" vertical="center"/>
    </xf>
    <xf numFmtId="169" fontId="63" fillId="0" borderId="90" xfId="1" applyNumberFormat="1" applyFont="1" applyFill="1" applyBorder="1" applyAlignment="1">
      <alignment horizontal="right" vertical="center"/>
    </xf>
    <xf numFmtId="169" fontId="52" fillId="0" borderId="27" xfId="1" applyNumberFormat="1" applyFont="1" applyFill="1" applyBorder="1" applyAlignment="1">
      <alignment horizontal="right" vertical="center"/>
    </xf>
    <xf numFmtId="169" fontId="63" fillId="0" borderId="27" xfId="1" applyNumberFormat="1" applyFont="1" applyFill="1" applyBorder="1" applyAlignment="1">
      <alignment horizontal="right" vertical="center"/>
    </xf>
    <xf numFmtId="0" fontId="127" fillId="0" borderId="0" xfId="1" applyFont="1" applyFill="1" applyBorder="1" applyAlignment="1">
      <alignment horizontal="left" vertical="center"/>
    </xf>
    <xf numFmtId="169" fontId="52" fillId="0" borderId="0" xfId="1" applyNumberFormat="1" applyFont="1" applyFill="1" applyBorder="1" applyAlignment="1">
      <alignment horizontal="left" vertical="center"/>
    </xf>
    <xf numFmtId="169" fontId="63" fillId="0" borderId="0" xfId="1" applyNumberFormat="1" applyFont="1" applyFill="1" applyBorder="1" applyAlignment="1">
      <alignment horizontal="right" vertical="center"/>
    </xf>
    <xf numFmtId="169" fontId="63" fillId="0" borderId="0" xfId="1" applyNumberFormat="1" applyFont="1" applyFill="1" applyBorder="1" applyAlignment="1">
      <alignment horizontal="left" vertical="center"/>
    </xf>
    <xf numFmtId="0" fontId="3" fillId="0" borderId="175" xfId="1" applyFont="1" applyFill="1" applyBorder="1" applyAlignment="1">
      <alignment vertical="center"/>
    </xf>
    <xf numFmtId="0" fontId="3" fillId="0" borderId="157" xfId="1" applyFont="1" applyFill="1" applyBorder="1" applyAlignment="1">
      <alignment vertical="center"/>
    </xf>
    <xf numFmtId="0" fontId="3" fillId="0" borderId="9" xfId="1" applyFont="1" applyFill="1" applyBorder="1" applyAlignment="1">
      <alignment vertical="center"/>
    </xf>
    <xf numFmtId="0" fontId="111" fillId="3" borderId="133" xfId="1" applyFont="1" applyFill="1" applyBorder="1" applyAlignment="1">
      <alignment horizontal="center" vertical="center"/>
    </xf>
    <xf numFmtId="169" fontId="52" fillId="3" borderId="188" xfId="1" applyNumberFormat="1" applyFont="1" applyFill="1" applyBorder="1" applyAlignment="1">
      <alignment horizontal="right" vertical="center"/>
    </xf>
    <xf numFmtId="0" fontId="111" fillId="0" borderId="175" xfId="1" applyFont="1" applyFill="1" applyBorder="1" applyAlignment="1">
      <alignment horizontal="center" vertical="center"/>
    </xf>
    <xf numFmtId="0" fontId="52" fillId="0" borderId="39" xfId="1" applyFont="1" applyFill="1" applyBorder="1" applyAlignment="1">
      <alignment horizontal="center" vertical="center"/>
    </xf>
    <xf numFmtId="3" fontId="52" fillId="0" borderId="117" xfId="1" applyNumberFormat="1" applyFont="1" applyFill="1" applyBorder="1" applyAlignment="1">
      <alignment horizontal="left" vertical="center"/>
    </xf>
    <xf numFmtId="169" fontId="52" fillId="0" borderId="100" xfId="1" applyNumberFormat="1" applyFont="1" applyFill="1" applyBorder="1" applyAlignment="1">
      <alignment horizontal="right" vertical="center"/>
    </xf>
    <xf numFmtId="0" fontId="52" fillId="0" borderId="175" xfId="1" applyFont="1" applyFill="1" applyBorder="1" applyAlignment="1">
      <alignment horizontal="center" vertical="center"/>
    </xf>
    <xf numFmtId="0" fontId="125" fillId="2" borderId="5" xfId="15" applyFont="1" applyFill="1" applyBorder="1" applyAlignment="1">
      <alignment horizontal="left" vertical="center"/>
    </xf>
    <xf numFmtId="169" fontId="52" fillId="0" borderId="112" xfId="1" applyNumberFormat="1" applyFont="1" applyFill="1" applyBorder="1" applyAlignment="1">
      <alignment horizontal="right" vertical="center"/>
    </xf>
    <xf numFmtId="169" fontId="52" fillId="0" borderId="185" xfId="1" applyNumberFormat="1" applyFont="1" applyFill="1" applyBorder="1" applyAlignment="1">
      <alignment horizontal="right" vertical="center"/>
    </xf>
    <xf numFmtId="169" fontId="52" fillId="0" borderId="90" xfId="1" applyNumberFormat="1" applyFont="1" applyFill="1" applyBorder="1" applyAlignment="1">
      <alignment horizontal="right" vertical="center"/>
    </xf>
    <xf numFmtId="169" fontId="52" fillId="0" borderId="111" xfId="1" applyNumberFormat="1" applyFont="1" applyFill="1" applyBorder="1" applyAlignment="1">
      <alignment horizontal="right" vertical="center"/>
    </xf>
    <xf numFmtId="0" fontId="52" fillId="0" borderId="0" xfId="1" applyFont="1" applyFill="1"/>
    <xf numFmtId="0" fontId="52" fillId="0" borderId="0" xfId="1" applyFont="1" applyFill="1" applyBorder="1"/>
    <xf numFmtId="3" fontId="52" fillId="0" borderId="175" xfId="1" applyNumberFormat="1" applyFont="1" applyFill="1" applyBorder="1" applyAlignment="1">
      <alignment horizontal="left" vertical="center"/>
    </xf>
    <xf numFmtId="3" fontId="52" fillId="0" borderId="9" xfId="1" applyNumberFormat="1" applyFont="1" applyFill="1" applyBorder="1" applyAlignment="1">
      <alignment horizontal="left" vertical="center"/>
    </xf>
    <xf numFmtId="0" fontId="63" fillId="0" borderId="175" xfId="1" applyFont="1" applyFill="1" applyBorder="1" applyAlignment="1">
      <alignment horizontal="left" vertical="center"/>
    </xf>
    <xf numFmtId="169" fontId="52" fillId="0" borderId="47" xfId="1" applyNumberFormat="1" applyFont="1" applyFill="1" applyBorder="1" applyAlignment="1">
      <alignment horizontal="left" vertical="center"/>
    </xf>
    <xf numFmtId="0" fontId="52" fillId="0" borderId="157" xfId="1" applyFont="1" applyFill="1" applyBorder="1" applyAlignment="1">
      <alignment horizontal="left" vertical="center"/>
    </xf>
    <xf numFmtId="169" fontId="52" fillId="0" borderId="43" xfId="1" applyNumberFormat="1" applyFont="1" applyFill="1" applyBorder="1" applyAlignment="1">
      <alignment horizontal="left" vertical="center"/>
    </xf>
    <xf numFmtId="0" fontId="52" fillId="0" borderId="175" xfId="1" applyFont="1" applyFill="1" applyBorder="1" applyAlignment="1">
      <alignment horizontal="left" vertical="center"/>
    </xf>
    <xf numFmtId="169" fontId="111" fillId="0" borderId="0" xfId="1" applyNumberFormat="1" applyFont="1" applyFill="1" applyBorder="1" applyAlignment="1">
      <alignment horizontal="right" vertical="center"/>
    </xf>
    <xf numFmtId="167" fontId="138" fillId="0" borderId="0" xfId="1" applyNumberFormat="1" applyFont="1" applyFill="1" applyBorder="1" applyAlignment="1">
      <alignment horizontal="center" vertical="center"/>
    </xf>
    <xf numFmtId="169" fontId="52" fillId="0" borderId="0" xfId="1" applyNumberFormat="1" applyFont="1" applyFill="1" applyBorder="1" applyAlignment="1">
      <alignment horizontal="center" vertical="center"/>
    </xf>
    <xf numFmtId="169" fontId="111" fillId="0" borderId="85" xfId="1" applyNumberFormat="1" applyFont="1" applyFill="1" applyBorder="1" applyAlignment="1">
      <alignment horizontal="right" vertical="center"/>
    </xf>
    <xf numFmtId="167" fontId="3" fillId="0" borderId="85" xfId="1" applyNumberFormat="1" applyFont="1" applyFill="1" applyBorder="1" applyAlignment="1">
      <alignment horizontal="center" vertical="center"/>
    </xf>
    <xf numFmtId="0" fontId="111" fillId="16" borderId="39" xfId="1" applyFont="1" applyFill="1" applyBorder="1" applyAlignment="1">
      <alignment horizontal="center" vertical="center"/>
    </xf>
    <xf numFmtId="169" fontId="52" fillId="16" borderId="46" xfId="1" applyNumberFormat="1" applyFont="1" applyFill="1" applyBorder="1" applyAlignment="1">
      <alignment horizontal="right" vertical="center"/>
    </xf>
    <xf numFmtId="0" fontId="52" fillId="3" borderId="39" xfId="1" applyFont="1" applyFill="1" applyBorder="1" applyAlignment="1">
      <alignment horizontal="left" vertical="center"/>
    </xf>
    <xf numFmtId="0" fontId="63" fillId="0" borderId="9" xfId="1" applyFont="1" applyFill="1" applyBorder="1" applyAlignment="1">
      <alignment horizontal="left" vertical="center"/>
    </xf>
    <xf numFmtId="0" fontId="63" fillId="0" borderId="98" xfId="1" applyFont="1" applyFill="1" applyBorder="1" applyAlignment="1">
      <alignment horizontal="left" vertical="center"/>
    </xf>
    <xf numFmtId="0" fontId="139" fillId="0" borderId="85" xfId="1" applyFont="1" applyFill="1" applyBorder="1" applyAlignment="1">
      <alignment horizontal="center" vertical="center"/>
    </xf>
    <xf numFmtId="0" fontId="139" fillId="0" borderId="0" xfId="1" applyFont="1" applyFill="1" applyBorder="1" applyAlignment="1">
      <alignment horizontal="center" vertical="center"/>
    </xf>
    <xf numFmtId="0" fontId="111" fillId="0" borderId="8" xfId="1" applyFont="1" applyFill="1" applyBorder="1" applyAlignment="1">
      <alignment horizontal="center" vertical="center"/>
    </xf>
    <xf numFmtId="0" fontId="52" fillId="0" borderId="48" xfId="1" applyFont="1" applyFill="1" applyBorder="1" applyAlignment="1">
      <alignment horizontal="left" vertical="center"/>
    </xf>
    <xf numFmtId="3" fontId="52" fillId="0" borderId="48" xfId="1" applyNumberFormat="1" applyFont="1" applyFill="1" applyBorder="1" applyAlignment="1">
      <alignment horizontal="left" vertical="center"/>
    </xf>
    <xf numFmtId="0" fontId="125" fillId="0" borderId="0" xfId="15" applyFont="1" applyFill="1" applyAlignment="1">
      <alignment vertical="center"/>
    </xf>
    <xf numFmtId="3" fontId="3" fillId="0" borderId="6" xfId="1" applyNumberFormat="1" applyFont="1" applyFill="1" applyBorder="1" applyAlignment="1">
      <alignment horizontal="left" vertical="center"/>
    </xf>
    <xf numFmtId="3" fontId="3" fillId="0" borderId="44" xfId="1" applyNumberFormat="1" applyFont="1" applyFill="1" applyBorder="1" applyAlignment="1">
      <alignment horizontal="left" vertical="center"/>
    </xf>
    <xf numFmtId="169" fontId="3" fillId="0" borderId="6" xfId="1" applyNumberFormat="1" applyFont="1" applyFill="1" applyBorder="1" applyAlignment="1">
      <alignment horizontal="center" vertical="center"/>
    </xf>
    <xf numFmtId="169" fontId="52" fillId="3" borderId="6" xfId="1" applyNumberFormat="1" applyFont="1" applyFill="1" applyBorder="1" applyAlignment="1">
      <alignment horizontal="right" vertical="center"/>
    </xf>
    <xf numFmtId="169" fontId="52" fillId="3" borderId="6" xfId="1" applyNumberFormat="1" applyFont="1" applyFill="1" applyBorder="1" applyAlignment="1">
      <alignment vertical="center"/>
    </xf>
    <xf numFmtId="169" fontId="52" fillId="0" borderId="6" xfId="1" applyNumberFormat="1" applyFont="1" applyFill="1" applyBorder="1" applyAlignment="1">
      <alignment horizontal="right" vertical="center"/>
    </xf>
    <xf numFmtId="169" fontId="52" fillId="0" borderId="92" xfId="1" applyNumberFormat="1" applyFont="1" applyFill="1" applyBorder="1" applyAlignment="1">
      <alignment horizontal="right" vertical="center"/>
    </xf>
    <xf numFmtId="169" fontId="52" fillId="0" borderId="112" xfId="1" applyNumberFormat="1" applyFont="1" applyFill="1" applyBorder="1" applyAlignment="1">
      <alignment vertical="center"/>
    </xf>
    <xf numFmtId="0" fontId="52" fillId="0" borderId="86" xfId="1" applyFont="1" applyFill="1" applyBorder="1" applyAlignment="1">
      <alignment vertical="center"/>
    </xf>
    <xf numFmtId="169" fontId="52" fillId="0" borderId="86" xfId="1" applyNumberFormat="1" applyFont="1" applyFill="1" applyBorder="1" applyAlignment="1">
      <alignment horizontal="right" vertical="center"/>
    </xf>
    <xf numFmtId="0" fontId="52" fillId="0" borderId="86" xfId="1" applyFont="1" applyFill="1" applyBorder="1" applyAlignment="1">
      <alignment horizontal="left" vertical="center"/>
    </xf>
    <xf numFmtId="169" fontId="52" fillId="0" borderId="19" xfId="1" applyNumberFormat="1" applyFont="1" applyFill="1" applyBorder="1" applyAlignment="1">
      <alignment horizontal="right" vertical="center"/>
    </xf>
    <xf numFmtId="169" fontId="52" fillId="0" borderId="43" xfId="1" applyNumberFormat="1" applyFont="1" applyFill="1" applyBorder="1" applyAlignment="1">
      <alignment vertical="center"/>
    </xf>
    <xf numFmtId="169" fontId="52" fillId="0" borderId="87" xfId="1" applyNumberFormat="1" applyFont="1" applyFill="1" applyBorder="1" applyAlignment="1">
      <alignment horizontal="right" vertical="center"/>
    </xf>
    <xf numFmtId="3" fontId="52" fillId="0" borderId="19" xfId="1" applyNumberFormat="1" applyFont="1" applyFill="1" applyBorder="1" applyAlignment="1">
      <alignment horizontal="left" vertical="center"/>
    </xf>
    <xf numFmtId="167" fontId="52" fillId="0" borderId="0" xfId="1" applyNumberFormat="1" applyFont="1" applyFill="1" applyBorder="1" applyAlignment="1">
      <alignment vertical="center"/>
    </xf>
    <xf numFmtId="3" fontId="3" fillId="0" borderId="9" xfId="1" applyNumberFormat="1" applyFont="1" applyFill="1" applyBorder="1" applyAlignment="1">
      <alignment horizontal="left" vertical="center"/>
    </xf>
    <xf numFmtId="0" fontId="127" fillId="3" borderId="6" xfId="1" applyFont="1" applyFill="1" applyBorder="1" applyAlignment="1">
      <alignment vertical="center"/>
    </xf>
    <xf numFmtId="0" fontId="52" fillId="3" borderId="6" xfId="1" applyFont="1" applyFill="1" applyBorder="1" applyAlignment="1">
      <alignment vertical="center"/>
    </xf>
    <xf numFmtId="169" fontId="52" fillId="0" borderId="205" xfId="1" applyNumberFormat="1" applyFont="1" applyFill="1" applyBorder="1" applyAlignment="1">
      <alignment horizontal="right" vertical="center"/>
    </xf>
    <xf numFmtId="169" fontId="52" fillId="0" borderId="201" xfId="1" applyNumberFormat="1" applyFont="1" applyFill="1" applyBorder="1" applyAlignment="1">
      <alignment horizontal="right" vertical="center"/>
    </xf>
    <xf numFmtId="169" fontId="52" fillId="0" borderId="58" xfId="1" applyNumberFormat="1" applyFont="1" applyFill="1" applyBorder="1" applyAlignment="1">
      <alignment horizontal="right" vertical="center"/>
    </xf>
    <xf numFmtId="0" fontId="77" fillId="0" borderId="0" xfId="1" applyFont="1" applyFill="1" applyBorder="1"/>
    <xf numFmtId="3" fontId="74" fillId="0" borderId="0" xfId="1" applyNumberFormat="1" applyFont="1" applyFill="1" applyBorder="1" applyAlignment="1">
      <alignment horizontal="center" vertical="center"/>
    </xf>
    <xf numFmtId="0" fontId="125" fillId="0" borderId="51" xfId="15" applyFont="1" applyFill="1" applyBorder="1" applyAlignment="1">
      <alignment vertical="center"/>
    </xf>
    <xf numFmtId="0" fontId="125" fillId="0" borderId="51" xfId="15" applyFont="1" applyFill="1" applyBorder="1" applyAlignment="1">
      <alignment horizontal="left" vertical="center"/>
    </xf>
    <xf numFmtId="169" fontId="52" fillId="3" borderId="43" xfId="1" applyNumberFormat="1" applyFont="1" applyFill="1" applyBorder="1" applyAlignment="1">
      <alignment horizontal="right" vertical="center"/>
    </xf>
    <xf numFmtId="0" fontId="125" fillId="0" borderId="177" xfId="15" applyFont="1" applyFill="1" applyBorder="1" applyAlignment="1">
      <alignment horizontal="left" vertical="center"/>
    </xf>
    <xf numFmtId="0" fontId="136" fillId="0" borderId="39" xfId="1" applyFont="1" applyFill="1" applyBorder="1" applyAlignment="1">
      <alignment horizontal="left" vertical="center"/>
    </xf>
    <xf numFmtId="0" fontId="111" fillId="0" borderId="53" xfId="1" applyFont="1" applyFill="1" applyBorder="1" applyAlignment="1">
      <alignment horizontal="center" vertical="center"/>
    </xf>
    <xf numFmtId="0" fontId="52" fillId="0" borderId="163" xfId="1" applyFont="1" applyFill="1" applyBorder="1" applyAlignment="1">
      <alignment horizontal="left" vertical="center"/>
    </xf>
    <xf numFmtId="0" fontId="125" fillId="0" borderId="5" xfId="15" applyFont="1" applyFill="1" applyBorder="1" applyAlignment="1">
      <alignment horizontal="left" vertical="center"/>
    </xf>
    <xf numFmtId="170" fontId="53" fillId="0" borderId="1" xfId="1" applyNumberFormat="1" applyFont="1" applyFill="1" applyBorder="1" applyAlignment="1">
      <alignment horizontal="center" vertical="center"/>
    </xf>
    <xf numFmtId="170" fontId="53" fillId="0" borderId="87" xfId="1" applyNumberFormat="1" applyFont="1" applyFill="1" applyBorder="1" applyAlignment="1">
      <alignment horizontal="center" vertical="center"/>
    </xf>
    <xf numFmtId="170" fontId="53" fillId="0" borderId="204" xfId="1" applyNumberFormat="1" applyFont="1" applyFill="1" applyBorder="1" applyAlignment="1">
      <alignment horizontal="center" vertical="center"/>
    </xf>
    <xf numFmtId="170" fontId="53" fillId="0" borderId="57" xfId="1" applyNumberFormat="1" applyFont="1" applyFill="1" applyBorder="1" applyAlignment="1">
      <alignment horizontal="center" vertical="center"/>
    </xf>
    <xf numFmtId="170" fontId="3" fillId="0" borderId="1" xfId="1" applyNumberFormat="1" applyFont="1" applyFill="1" applyBorder="1" applyAlignment="1">
      <alignment horizontal="center" vertical="center"/>
    </xf>
    <xf numFmtId="170" fontId="3" fillId="0" borderId="87" xfId="1" applyNumberFormat="1" applyFont="1" applyFill="1" applyBorder="1" applyAlignment="1">
      <alignment horizontal="center" vertical="center"/>
    </xf>
    <xf numFmtId="170" fontId="3" fillId="0" borderId="204" xfId="1" applyNumberFormat="1" applyFont="1" applyFill="1" applyBorder="1" applyAlignment="1">
      <alignment horizontal="center" vertical="center"/>
    </xf>
    <xf numFmtId="3" fontId="52" fillId="0" borderId="4" xfId="1" applyNumberFormat="1" applyFont="1" applyFill="1" applyBorder="1" applyAlignment="1">
      <alignment horizontal="left" vertical="center"/>
    </xf>
    <xf numFmtId="0" fontId="52" fillId="2" borderId="163" xfId="1" applyFont="1" applyFill="1" applyBorder="1" applyAlignment="1">
      <alignment horizontal="left" vertical="center"/>
    </xf>
    <xf numFmtId="0" fontId="127" fillId="0" borderId="96" xfId="1" applyFont="1" applyFill="1" applyBorder="1" applyAlignment="1">
      <alignment horizontal="center" vertical="center"/>
    </xf>
    <xf numFmtId="169" fontId="63" fillId="0" borderId="190" xfId="1" applyNumberFormat="1" applyFont="1" applyFill="1" applyBorder="1" applyAlignment="1">
      <alignment horizontal="right" vertical="center"/>
    </xf>
    <xf numFmtId="0" fontId="52" fillId="0" borderId="93" xfId="1" applyFont="1" applyFill="1" applyBorder="1" applyAlignment="1">
      <alignment vertical="center"/>
    </xf>
    <xf numFmtId="0" fontId="125" fillId="0" borderId="49" xfId="15" applyFont="1" applyFill="1" applyBorder="1" applyAlignment="1">
      <alignment horizontal="left" vertical="center"/>
    </xf>
    <xf numFmtId="0" fontId="125" fillId="0" borderId="95" xfId="15" applyFont="1" applyFill="1" applyBorder="1" applyAlignment="1">
      <alignment horizontal="left" vertical="center"/>
    </xf>
    <xf numFmtId="170" fontId="3" fillId="0" borderId="169" xfId="1" applyNumberFormat="1" applyFont="1" applyFill="1" applyBorder="1" applyAlignment="1">
      <alignment horizontal="center" vertical="center"/>
    </xf>
    <xf numFmtId="170" fontId="53" fillId="0" borderId="3" xfId="1" applyNumberFormat="1" applyFont="1" applyFill="1" applyBorder="1" applyAlignment="1">
      <alignment horizontal="center" vertical="center"/>
    </xf>
    <xf numFmtId="0" fontId="127" fillId="0" borderId="172" xfId="1" applyFont="1" applyFill="1" applyBorder="1" applyAlignment="1">
      <alignment horizontal="left" vertical="center"/>
    </xf>
    <xf numFmtId="0" fontId="111" fillId="0" borderId="172" xfId="1" applyFont="1" applyFill="1" applyBorder="1" applyAlignment="1">
      <alignment horizontal="center" vertical="center"/>
    </xf>
    <xf numFmtId="0" fontId="63" fillId="0" borderId="157" xfId="1" applyFont="1" applyFill="1" applyBorder="1" applyAlignment="1">
      <alignment horizontal="left" vertical="center"/>
    </xf>
    <xf numFmtId="169" fontId="63" fillId="0" borderId="111" xfId="1" applyNumberFormat="1" applyFont="1" applyFill="1" applyBorder="1" applyAlignment="1">
      <alignment horizontal="right" vertical="center"/>
    </xf>
    <xf numFmtId="3" fontId="52" fillId="0" borderId="169" xfId="1" applyNumberFormat="1" applyFont="1" applyFill="1" applyBorder="1" applyAlignment="1">
      <alignment horizontal="center" vertical="center"/>
    </xf>
    <xf numFmtId="0" fontId="127" fillId="0" borderId="9" xfId="1" applyFont="1" applyFill="1" applyBorder="1" applyAlignment="1">
      <alignment horizontal="left" vertical="center"/>
    </xf>
    <xf numFmtId="0" fontId="134" fillId="0" borderId="9" xfId="1" applyFont="1" applyFill="1" applyBorder="1" applyAlignment="1">
      <alignment horizontal="left" vertical="center"/>
    </xf>
    <xf numFmtId="0" fontId="125" fillId="0" borderId="7" xfId="15" applyFont="1" applyFill="1" applyBorder="1" applyAlignment="1">
      <alignment horizontal="left" vertical="center"/>
    </xf>
    <xf numFmtId="0" fontId="127" fillId="0" borderId="48" xfId="1" applyFont="1" applyFill="1" applyBorder="1" applyAlignment="1">
      <alignment horizontal="left" vertical="center"/>
    </xf>
    <xf numFmtId="3" fontId="52" fillId="0" borderId="85" xfId="1" applyNumberFormat="1" applyFont="1" applyFill="1" applyBorder="1" applyAlignment="1">
      <alignment horizontal="left" vertical="center"/>
    </xf>
    <xf numFmtId="170" fontId="53" fillId="0" borderId="55" xfId="1" applyNumberFormat="1" applyFont="1" applyFill="1" applyBorder="1" applyAlignment="1">
      <alignment horizontal="center" vertical="center"/>
    </xf>
    <xf numFmtId="0" fontId="125" fillId="0" borderId="84" xfId="15" applyFont="1" applyFill="1" applyBorder="1" applyAlignment="1">
      <alignment horizontal="left" vertical="center"/>
    </xf>
    <xf numFmtId="0" fontId="52" fillId="0" borderId="97" xfId="1" applyFont="1" applyFill="1" applyBorder="1" applyAlignment="1">
      <alignment vertical="center"/>
    </xf>
    <xf numFmtId="170" fontId="53" fillId="0" borderId="18" xfId="1" applyNumberFormat="1" applyFont="1" applyFill="1" applyBorder="1" applyAlignment="1">
      <alignment horizontal="center" vertical="center"/>
    </xf>
    <xf numFmtId="170" fontId="53" fillId="0" borderId="74" xfId="1" applyNumberFormat="1" applyFont="1" applyFill="1" applyBorder="1" applyAlignment="1">
      <alignment horizontal="center" vertical="center"/>
    </xf>
    <xf numFmtId="170" fontId="53" fillId="0" borderId="183" xfId="1" applyNumberFormat="1" applyFont="1" applyFill="1" applyBorder="1" applyAlignment="1">
      <alignment horizontal="center" vertical="center"/>
    </xf>
    <xf numFmtId="0" fontId="125" fillId="0" borderId="130" xfId="15" applyFont="1" applyFill="1" applyBorder="1" applyAlignment="1">
      <alignment horizontal="left" vertical="center"/>
    </xf>
    <xf numFmtId="0" fontId="125" fillId="19" borderId="5" xfId="15" applyFont="1" applyFill="1" applyBorder="1" applyAlignment="1">
      <alignment horizontal="left" vertical="center"/>
    </xf>
    <xf numFmtId="0" fontId="125" fillId="12" borderId="5" xfId="15" applyFont="1" applyFill="1" applyBorder="1" applyAlignment="1">
      <alignment horizontal="left" vertical="center"/>
    </xf>
    <xf numFmtId="0" fontId="126" fillId="0" borderId="207" xfId="1" applyFont="1" applyFill="1" applyBorder="1" applyAlignment="1">
      <alignment vertical="center"/>
    </xf>
    <xf numFmtId="0" fontId="125" fillId="3" borderId="130" xfId="15" applyFont="1" applyFill="1" applyBorder="1" applyAlignment="1">
      <alignment horizontal="left" vertical="center"/>
    </xf>
    <xf numFmtId="0" fontId="125" fillId="19" borderId="130" xfId="15" applyFont="1" applyFill="1" applyBorder="1" applyAlignment="1">
      <alignment horizontal="left" vertical="center"/>
    </xf>
    <xf numFmtId="0" fontId="125" fillId="0" borderId="61" xfId="15" applyFont="1" applyFill="1" applyBorder="1" applyAlignment="1">
      <alignment horizontal="left" vertical="center"/>
    </xf>
    <xf numFmtId="0" fontId="125" fillId="3" borderId="61" xfId="15" applyFont="1" applyFill="1" applyBorder="1" applyAlignment="1">
      <alignment horizontal="left" vertical="center"/>
    </xf>
    <xf numFmtId="0" fontId="125" fillId="0" borderId="130" xfId="15" applyFont="1" applyFill="1" applyBorder="1" applyAlignment="1">
      <alignment vertical="center"/>
    </xf>
    <xf numFmtId="169" fontId="52" fillId="0" borderId="208" xfId="1" applyNumberFormat="1" applyFont="1" applyFill="1" applyBorder="1" applyAlignment="1">
      <alignment horizontal="right" vertical="center"/>
    </xf>
    <xf numFmtId="169" fontId="52" fillId="0" borderId="210" xfId="1" applyNumberFormat="1" applyFont="1" applyFill="1" applyBorder="1" applyAlignment="1">
      <alignment horizontal="right" vertical="center"/>
    </xf>
    <xf numFmtId="0" fontId="125" fillId="0" borderId="139" xfId="15" applyFont="1" applyFill="1" applyBorder="1" applyAlignment="1">
      <alignment horizontal="left" vertical="center"/>
    </xf>
    <xf numFmtId="0" fontId="125" fillId="3" borderId="213" xfId="15" applyFont="1" applyFill="1" applyBorder="1" applyAlignment="1">
      <alignment horizontal="left" vertical="center"/>
    </xf>
    <xf numFmtId="0" fontId="63" fillId="0" borderId="214" xfId="1" applyFont="1" applyFill="1" applyBorder="1" applyAlignment="1">
      <alignment horizontal="left" vertical="center"/>
    </xf>
    <xf numFmtId="0" fontId="140" fillId="0" borderId="130" xfId="15" applyFont="1" applyFill="1" applyBorder="1" applyAlignment="1">
      <alignment horizontal="left" vertical="center"/>
    </xf>
    <xf numFmtId="0" fontId="125" fillId="0" borderId="215" xfId="15" applyFont="1" applyFill="1" applyBorder="1" applyAlignment="1">
      <alignment horizontal="left" vertical="center"/>
    </xf>
    <xf numFmtId="169" fontId="52" fillId="0" borderId="217" xfId="1" applyNumberFormat="1" applyFont="1" applyFill="1" applyBorder="1" applyAlignment="1">
      <alignment horizontal="right" vertical="center"/>
    </xf>
    <xf numFmtId="0" fontId="125" fillId="0" borderId="216" xfId="15" applyFont="1" applyFill="1" applyBorder="1" applyAlignment="1">
      <alignment horizontal="left" vertical="center"/>
    </xf>
    <xf numFmtId="0" fontId="125" fillId="23" borderId="216" xfId="15" applyFont="1" applyFill="1" applyBorder="1" applyAlignment="1">
      <alignment horizontal="left" vertical="center"/>
    </xf>
    <xf numFmtId="0" fontId="125" fillId="19" borderId="213" xfId="15" applyFont="1" applyFill="1" applyBorder="1" applyAlignment="1">
      <alignment horizontal="left" vertical="center"/>
    </xf>
    <xf numFmtId="0" fontId="125" fillId="3" borderId="216" xfId="15" applyFont="1" applyFill="1" applyBorder="1" applyAlignment="1">
      <alignment horizontal="left" vertical="center"/>
    </xf>
    <xf numFmtId="0" fontId="125" fillId="19" borderId="216" xfId="15" applyFont="1" applyFill="1" applyBorder="1" applyAlignment="1">
      <alignment horizontal="left" vertical="center"/>
    </xf>
    <xf numFmtId="0" fontId="125" fillId="19" borderId="219" xfId="15" applyFont="1" applyFill="1" applyBorder="1" applyAlignment="1">
      <alignment horizontal="left" vertical="center"/>
    </xf>
    <xf numFmtId="0" fontId="125" fillId="0" borderId="219" xfId="15" applyFont="1" applyFill="1" applyBorder="1" applyAlignment="1">
      <alignment horizontal="left" vertical="center"/>
    </xf>
    <xf numFmtId="0" fontId="125" fillId="12" borderId="216" xfId="15" applyFont="1" applyFill="1" applyBorder="1" applyAlignment="1">
      <alignment horizontal="left" vertical="center"/>
    </xf>
    <xf numFmtId="0" fontId="52" fillId="0" borderId="216" xfId="1" applyFont="1" applyFill="1" applyBorder="1" applyAlignment="1">
      <alignment horizontal="left" vertical="center"/>
    </xf>
    <xf numFmtId="0" fontId="126" fillId="2" borderId="216" xfId="1" applyFont="1" applyFill="1" applyBorder="1" applyAlignment="1">
      <alignment horizontal="left" vertical="center"/>
    </xf>
    <xf numFmtId="0" fontId="140" fillId="0" borderId="216" xfId="15" applyFont="1" applyFill="1" applyBorder="1" applyAlignment="1">
      <alignment horizontal="left" vertical="center"/>
    </xf>
    <xf numFmtId="0" fontId="125" fillId="0" borderId="216" xfId="15" applyFont="1" applyFill="1" applyBorder="1" applyAlignment="1">
      <alignment vertical="center"/>
    </xf>
    <xf numFmtId="0" fontId="125" fillId="23" borderId="219" xfId="15" applyFont="1" applyFill="1" applyBorder="1" applyAlignment="1">
      <alignment horizontal="left" vertical="center"/>
    </xf>
    <xf numFmtId="0" fontId="52" fillId="2" borderId="218" xfId="1" applyFont="1" applyFill="1" applyBorder="1" applyAlignment="1">
      <alignment vertical="center"/>
    </xf>
    <xf numFmtId="0" fontId="52" fillId="0" borderId="215" xfId="1" applyFont="1" applyFill="1" applyBorder="1" applyAlignment="1">
      <alignment horizontal="left" vertical="center"/>
    </xf>
    <xf numFmtId="0" fontId="52" fillId="0" borderId="216" xfId="1" applyFont="1" applyFill="1" applyBorder="1" applyAlignment="1">
      <alignment vertical="center"/>
    </xf>
    <xf numFmtId="0" fontId="131" fillId="0" borderId="216" xfId="1" applyFont="1" applyFill="1" applyBorder="1" applyAlignment="1">
      <alignment horizontal="left" vertical="center"/>
    </xf>
    <xf numFmtId="0" fontId="63" fillId="0" borderId="216" xfId="1" applyFont="1" applyFill="1" applyBorder="1" applyAlignment="1">
      <alignment horizontal="left" vertical="center"/>
    </xf>
    <xf numFmtId="0" fontId="125" fillId="19" borderId="139" xfId="15" applyFont="1" applyFill="1" applyBorder="1" applyAlignment="1">
      <alignment horizontal="left" vertical="center"/>
    </xf>
    <xf numFmtId="0" fontId="125" fillId="19" borderId="215" xfId="15" applyFont="1" applyFill="1" applyBorder="1" applyAlignment="1">
      <alignment horizontal="left" vertical="center"/>
    </xf>
    <xf numFmtId="0" fontId="52" fillId="2" borderId="215" xfId="1" applyFont="1" applyFill="1" applyBorder="1" applyAlignment="1">
      <alignment horizontal="left" vertical="center"/>
    </xf>
    <xf numFmtId="0" fontId="52" fillId="0" borderId="218" xfId="1" applyFont="1" applyFill="1" applyBorder="1" applyAlignment="1">
      <alignment horizontal="left" vertical="center"/>
    </xf>
    <xf numFmtId="0" fontId="52" fillId="2" borderId="218" xfId="1" applyFont="1" applyFill="1" applyBorder="1" applyAlignment="1">
      <alignment horizontal="left" vertical="center"/>
    </xf>
    <xf numFmtId="0" fontId="126" fillId="0" borderId="216" xfId="1" applyFont="1" applyFill="1" applyBorder="1" applyAlignment="1">
      <alignment horizontal="left" vertical="center"/>
    </xf>
    <xf numFmtId="0" fontId="52" fillId="2" borderId="216" xfId="1" applyFont="1" applyFill="1" applyBorder="1" applyAlignment="1">
      <alignment horizontal="left" vertical="center"/>
    </xf>
    <xf numFmtId="0" fontId="63" fillId="2" borderId="218" xfId="1" applyFont="1" applyFill="1" applyBorder="1" applyAlignment="1">
      <alignment horizontal="left" vertical="center"/>
    </xf>
    <xf numFmtId="0" fontId="125" fillId="23" borderId="139" xfId="15" applyFont="1" applyFill="1" applyBorder="1" applyAlignment="1">
      <alignment horizontal="left" vertical="center"/>
    </xf>
    <xf numFmtId="0" fontId="63" fillId="2" borderId="216" xfId="1" applyFont="1" applyFill="1" applyBorder="1" applyAlignment="1">
      <alignment horizontal="left" vertical="center"/>
    </xf>
    <xf numFmtId="0" fontId="126" fillId="0" borderId="216" xfId="1" applyFont="1" applyFill="1" applyBorder="1" applyAlignment="1">
      <alignment vertical="center"/>
    </xf>
    <xf numFmtId="0" fontId="63" fillId="0" borderId="215" xfId="1" applyFont="1" applyFill="1" applyBorder="1" applyAlignment="1">
      <alignment horizontal="left" vertical="center"/>
    </xf>
    <xf numFmtId="0" fontId="63" fillId="3" borderId="213" xfId="1" applyFont="1" applyFill="1" applyBorder="1" applyAlignment="1">
      <alignment horizontal="left" vertical="center"/>
    </xf>
    <xf numFmtId="0" fontId="63" fillId="3" borderId="216" xfId="1" applyFont="1" applyFill="1" applyBorder="1" applyAlignment="1">
      <alignment horizontal="left" vertical="center"/>
    </xf>
    <xf numFmtId="3" fontId="52" fillId="0" borderId="216" xfId="1" applyNumberFormat="1" applyFont="1" applyFill="1" applyBorder="1" applyAlignment="1">
      <alignment horizontal="left" vertical="center"/>
    </xf>
    <xf numFmtId="0" fontId="125" fillId="19" borderId="8" xfId="15" applyFont="1" applyFill="1" applyBorder="1" applyAlignment="1">
      <alignment horizontal="left" vertical="center"/>
    </xf>
    <xf numFmtId="0" fontId="53" fillId="0" borderId="220" xfId="1" applyFont="1" applyFill="1" applyBorder="1" applyAlignment="1">
      <alignment horizontal="left" vertical="center"/>
    </xf>
    <xf numFmtId="169" fontId="127" fillId="0" borderId="47" xfId="1" applyNumberFormat="1" applyFont="1" applyFill="1" applyBorder="1" applyAlignment="1">
      <alignment horizontal="right" vertical="center"/>
    </xf>
    <xf numFmtId="3" fontId="141" fillId="3" borderId="6" xfId="1" applyNumberFormat="1" applyFont="1" applyFill="1" applyBorder="1" applyAlignment="1">
      <alignment horizontal="center" vertical="center"/>
    </xf>
    <xf numFmtId="169" fontId="127" fillId="0" borderId="188" xfId="1" applyNumberFormat="1" applyFont="1" applyFill="1" applyBorder="1" applyAlignment="1">
      <alignment horizontal="right" vertical="center"/>
    </xf>
    <xf numFmtId="3" fontId="127" fillId="0" borderId="203" xfId="1" applyNumberFormat="1" applyFont="1" applyFill="1" applyBorder="1" applyAlignment="1">
      <alignment horizontal="center" vertical="center"/>
    </xf>
    <xf numFmtId="3" fontId="127" fillId="0" borderId="87" xfId="1" applyNumberFormat="1" applyFont="1" applyFill="1" applyBorder="1" applyAlignment="1">
      <alignment horizontal="center" vertical="center"/>
    </xf>
    <xf numFmtId="0" fontId="111" fillId="3" borderId="212" xfId="1" applyFont="1" applyFill="1" applyBorder="1" applyAlignment="1">
      <alignment horizontal="center" vertical="center"/>
    </xf>
    <xf numFmtId="0" fontId="52" fillId="0" borderId="212" xfId="1" applyFont="1" applyFill="1" applyBorder="1" applyAlignment="1">
      <alignment vertical="center"/>
    </xf>
    <xf numFmtId="0" fontId="111" fillId="0" borderId="212" xfId="1" applyFont="1" applyFill="1" applyBorder="1" applyAlignment="1">
      <alignment horizontal="center" vertical="center"/>
    </xf>
    <xf numFmtId="0" fontId="52" fillId="0" borderId="212" xfId="1" applyFont="1" applyFill="1" applyBorder="1" applyAlignment="1">
      <alignment horizontal="left" vertical="center"/>
    </xf>
    <xf numFmtId="169" fontId="52" fillId="3" borderId="210" xfId="1" applyNumberFormat="1" applyFont="1" applyFill="1" applyBorder="1" applyAlignment="1">
      <alignment horizontal="right" vertical="center"/>
    </xf>
    <xf numFmtId="169" fontId="52" fillId="0" borderId="128" xfId="1" applyNumberFormat="1" applyFont="1" applyFill="1" applyBorder="1" applyAlignment="1">
      <alignment horizontal="right" vertical="center"/>
    </xf>
    <xf numFmtId="0" fontId="142" fillId="13" borderId="17" xfId="1" applyFont="1" applyFill="1" applyBorder="1" applyAlignment="1">
      <alignment horizontal="center" vertical="center"/>
    </xf>
    <xf numFmtId="0" fontId="142" fillId="11" borderId="17" xfId="1" applyFont="1" applyFill="1" applyBorder="1" applyAlignment="1">
      <alignment horizontal="center" vertical="center"/>
    </xf>
    <xf numFmtId="0" fontId="142" fillId="12" borderId="17" xfId="1" applyFont="1" applyFill="1" applyBorder="1" applyAlignment="1">
      <alignment horizontal="center" vertical="center"/>
    </xf>
    <xf numFmtId="0" fontId="142" fillId="13" borderId="34" xfId="1" applyFont="1" applyFill="1" applyBorder="1" applyAlignment="1">
      <alignment horizontal="center" vertical="center"/>
    </xf>
    <xf numFmtId="0" fontId="142" fillId="0" borderId="0" xfId="1" applyFont="1" applyFill="1" applyBorder="1" applyAlignment="1">
      <alignment horizontal="left" vertical="center"/>
    </xf>
    <xf numFmtId="0" fontId="144" fillId="0" borderId="0" xfId="1" applyFont="1" applyFill="1" applyBorder="1" applyAlignment="1">
      <alignment horizontal="left" vertical="center"/>
    </xf>
    <xf numFmtId="0" fontId="129" fillId="0" borderId="0" xfId="1" applyFont="1" applyFill="1" applyBorder="1" applyAlignment="1">
      <alignment horizontal="left" vertical="center"/>
    </xf>
    <xf numFmtId="0" fontId="125" fillId="0" borderId="5" xfId="15" applyFont="1" applyFill="1" applyBorder="1" applyAlignment="1">
      <alignment vertical="center"/>
    </xf>
    <xf numFmtId="0" fontId="52" fillId="0" borderId="130" xfId="1" applyFont="1" applyFill="1" applyBorder="1" applyAlignment="1">
      <alignment horizontal="left" vertical="center"/>
    </xf>
    <xf numFmtId="0" fontId="125" fillId="19" borderId="84" xfId="15" applyFont="1" applyFill="1" applyBorder="1" applyAlignment="1">
      <alignment horizontal="left" vertical="center"/>
    </xf>
    <xf numFmtId="0" fontId="125" fillId="23" borderId="5" xfId="15" applyFont="1" applyFill="1" applyBorder="1" applyAlignment="1">
      <alignment horizontal="left" vertical="center"/>
    </xf>
    <xf numFmtId="0" fontId="52" fillId="0" borderId="61" xfId="1" applyFont="1" applyFill="1" applyBorder="1" applyAlignment="1">
      <alignment horizontal="left" vertical="center"/>
    </xf>
    <xf numFmtId="0" fontId="125" fillId="0" borderId="93" xfId="15" applyFont="1" applyFill="1" applyBorder="1" applyAlignment="1">
      <alignment horizontal="left" vertical="center"/>
    </xf>
    <xf numFmtId="0" fontId="77" fillId="0" borderId="86" xfId="1" applyFont="1" applyFill="1" applyBorder="1" applyAlignment="1">
      <alignment horizontal="left" vertical="center"/>
    </xf>
    <xf numFmtId="0" fontId="63" fillId="0" borderId="86" xfId="1" applyFont="1" applyFill="1" applyBorder="1" applyAlignment="1">
      <alignment horizontal="left" vertical="center"/>
    </xf>
    <xf numFmtId="0" fontId="23" fillId="0" borderId="4" xfId="15" applyFont="1" applyFill="1" applyBorder="1" applyAlignment="1">
      <alignment horizontal="left" vertical="center"/>
    </xf>
    <xf numFmtId="0" fontId="23" fillId="0" borderId="0" xfId="15" applyFill="1" applyBorder="1" applyAlignment="1">
      <alignment horizontal="left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72" xfId="1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vertical="center"/>
    </xf>
    <xf numFmtId="3" fontId="52" fillId="0" borderId="229" xfId="1" applyNumberFormat="1" applyFont="1" applyFill="1" applyBorder="1" applyAlignment="1">
      <alignment horizontal="center" vertical="center"/>
    </xf>
    <xf numFmtId="3" fontId="52" fillId="0" borderId="224" xfId="1" applyNumberFormat="1" applyFont="1" applyFill="1" applyBorder="1" applyAlignment="1">
      <alignment horizontal="center" vertical="center"/>
    </xf>
    <xf numFmtId="169" fontId="52" fillId="0" borderId="125" xfId="1" applyNumberFormat="1" applyFont="1" applyFill="1" applyBorder="1" applyAlignment="1">
      <alignment horizontal="right" vertical="center"/>
    </xf>
    <xf numFmtId="0" fontId="23" fillId="0" borderId="0" xfId="15" applyFill="1" applyBorder="1" applyAlignment="1">
      <alignment vertical="center"/>
    </xf>
    <xf numFmtId="0" fontId="111" fillId="0" borderId="222" xfId="1" applyFont="1" applyFill="1" applyBorder="1" applyAlignment="1">
      <alignment horizontal="center" vertical="center"/>
    </xf>
    <xf numFmtId="0" fontId="52" fillId="0" borderId="222" xfId="1" applyFont="1" applyFill="1" applyBorder="1" applyAlignment="1">
      <alignment horizontal="center" vertical="center"/>
    </xf>
    <xf numFmtId="169" fontId="52" fillId="0" borderId="125" xfId="1" applyNumberFormat="1" applyFont="1" applyFill="1" applyBorder="1" applyAlignment="1">
      <alignment vertical="center"/>
    </xf>
    <xf numFmtId="0" fontId="125" fillId="2" borderId="218" xfId="15" applyFont="1" applyFill="1" applyBorder="1" applyAlignment="1">
      <alignment horizontal="left" vertical="center"/>
    </xf>
    <xf numFmtId="0" fontId="125" fillId="12" borderId="219" xfId="15" applyFont="1" applyFill="1" applyBorder="1" applyAlignment="1">
      <alignment horizontal="left" vertical="center"/>
    </xf>
    <xf numFmtId="0" fontId="111" fillId="0" borderId="157" xfId="1" applyFont="1" applyFill="1" applyBorder="1" applyAlignment="1">
      <alignment horizontal="center" vertical="center"/>
    </xf>
    <xf numFmtId="3" fontId="52" fillId="0" borderId="223" xfId="1" applyNumberFormat="1" applyFont="1" applyFill="1" applyBorder="1" applyAlignment="1">
      <alignment horizontal="center" vertical="center"/>
    </xf>
    <xf numFmtId="0" fontId="125" fillId="0" borderId="218" xfId="15" applyFont="1" applyFill="1" applyBorder="1" applyAlignment="1">
      <alignment horizontal="left" vertical="center"/>
    </xf>
    <xf numFmtId="0" fontId="125" fillId="19" borderId="218" xfId="15" applyFont="1" applyFill="1" applyBorder="1" applyAlignment="1">
      <alignment horizontal="left" vertical="center"/>
    </xf>
    <xf numFmtId="0" fontId="125" fillId="2" borderId="216" xfId="15" applyFont="1" applyFill="1" applyBorder="1" applyAlignment="1">
      <alignment horizontal="left" vertical="center"/>
    </xf>
    <xf numFmtId="0" fontId="52" fillId="0" borderId="222" xfId="1" applyFont="1" applyFill="1" applyBorder="1" applyAlignment="1">
      <alignment vertical="center"/>
    </xf>
    <xf numFmtId="0" fontId="52" fillId="0" borderId="50" xfId="1" applyFont="1" applyFill="1" applyBorder="1" applyAlignment="1">
      <alignment horizontal="center" vertical="center"/>
    </xf>
    <xf numFmtId="0" fontId="52" fillId="0" borderId="172" xfId="1" applyFont="1" applyFill="1" applyBorder="1" applyAlignment="1">
      <alignment horizontal="left" vertical="center"/>
    </xf>
    <xf numFmtId="169" fontId="52" fillId="0" borderId="140" xfId="1" applyNumberFormat="1" applyFont="1" applyFill="1" applyBorder="1" applyAlignment="1">
      <alignment horizontal="right" vertical="center"/>
    </xf>
    <xf numFmtId="0" fontId="125" fillId="2" borderId="219" xfId="15" applyFont="1" applyFill="1" applyBorder="1" applyAlignment="1">
      <alignment horizontal="left" vertical="center"/>
    </xf>
    <xf numFmtId="0" fontId="3" fillId="0" borderId="175" xfId="1" applyFont="1" applyFill="1" applyBorder="1" applyAlignment="1">
      <alignment horizontal="center" vertical="center"/>
    </xf>
    <xf numFmtId="0" fontId="3" fillId="0" borderId="39" xfId="1" applyFont="1" applyFill="1" applyBorder="1" applyAlignment="1">
      <alignment horizontal="center" vertical="center"/>
    </xf>
    <xf numFmtId="3" fontId="52" fillId="0" borderId="222" xfId="1" applyNumberFormat="1" applyFont="1" applyFill="1" applyBorder="1" applyAlignment="1">
      <alignment horizontal="left" vertical="center"/>
    </xf>
    <xf numFmtId="0" fontId="63" fillId="0" borderId="222" xfId="1" applyFont="1" applyFill="1" applyBorder="1" applyAlignment="1">
      <alignment horizontal="left" vertical="center"/>
    </xf>
    <xf numFmtId="0" fontId="3" fillId="0" borderId="157" xfId="1" applyFont="1" applyFill="1" applyBorder="1" applyAlignment="1">
      <alignment horizontal="center" vertical="center"/>
    </xf>
    <xf numFmtId="0" fontId="127" fillId="0" borderId="50" xfId="1" applyFont="1" applyFill="1" applyBorder="1" applyAlignment="1">
      <alignment horizontal="left" vertical="center"/>
    </xf>
    <xf numFmtId="0" fontId="63" fillId="0" borderId="19" xfId="1" applyFont="1" applyFill="1" applyBorder="1" applyAlignment="1">
      <alignment horizontal="left" vertical="center"/>
    </xf>
    <xf numFmtId="169" fontId="63" fillId="0" borderId="185" xfId="1" applyNumberFormat="1" applyFont="1" applyFill="1" applyBorder="1" applyAlignment="1">
      <alignment horizontal="right" vertical="center"/>
    </xf>
    <xf numFmtId="3" fontId="63" fillId="0" borderId="224" xfId="1" applyNumberFormat="1" applyFont="1" applyFill="1" applyBorder="1" applyAlignment="1">
      <alignment horizontal="center" vertical="center"/>
    </xf>
    <xf numFmtId="0" fontId="125" fillId="3" borderId="218" xfId="15" applyFont="1" applyFill="1" applyBorder="1" applyAlignment="1">
      <alignment horizontal="left" vertical="center"/>
    </xf>
    <xf numFmtId="0" fontId="52" fillId="3" borderId="133" xfId="1" applyFont="1" applyFill="1" applyBorder="1" applyAlignment="1">
      <alignment horizontal="center" vertical="center"/>
    </xf>
    <xf numFmtId="0" fontId="52" fillId="0" borderId="86" xfId="1" applyFont="1" applyFill="1" applyBorder="1" applyAlignment="1">
      <alignment horizontal="center" vertical="center"/>
    </xf>
    <xf numFmtId="169" fontId="52" fillId="3" borderId="221" xfId="1" applyNumberFormat="1" applyFont="1" applyFill="1" applyBorder="1" applyAlignment="1">
      <alignment horizontal="right" vertical="center"/>
    </xf>
    <xf numFmtId="3" fontId="3" fillId="3" borderId="224" xfId="1" applyNumberFormat="1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vertical="center"/>
    </xf>
    <xf numFmtId="0" fontId="23" fillId="2" borderId="0" xfId="15" applyFont="1" applyFill="1" applyBorder="1" applyAlignment="1">
      <alignment horizontal="left" vertical="center"/>
    </xf>
    <xf numFmtId="0" fontId="105" fillId="9" borderId="19" xfId="1" applyFont="1" applyFill="1" applyBorder="1" applyAlignment="1">
      <alignment horizontal="center" vertical="center"/>
    </xf>
    <xf numFmtId="3" fontId="2" fillId="12" borderId="103" xfId="1" applyNumberFormat="1" applyFont="1" applyFill="1" applyBorder="1" applyAlignment="1">
      <alignment horizontal="center" vertical="center"/>
    </xf>
    <xf numFmtId="170" fontId="53" fillId="0" borderId="0" xfId="1" applyNumberFormat="1" applyFont="1" applyFill="1" applyBorder="1" applyAlignment="1">
      <alignment horizontal="center" vertical="center"/>
    </xf>
    <xf numFmtId="0" fontId="125" fillId="0" borderId="230" xfId="15" applyFont="1" applyFill="1" applyBorder="1" applyAlignment="1">
      <alignment horizontal="left" vertical="center"/>
    </xf>
    <xf numFmtId="0" fontId="53" fillId="0" borderId="232" xfId="1" applyFont="1" applyFill="1" applyBorder="1" applyAlignment="1">
      <alignment horizontal="left" vertical="center"/>
    </xf>
    <xf numFmtId="0" fontId="111" fillId="0" borderId="234" xfId="1" applyFont="1" applyFill="1" applyBorder="1" applyAlignment="1">
      <alignment horizontal="center" vertical="center"/>
    </xf>
    <xf numFmtId="3" fontId="52" fillId="0" borderId="233" xfId="1" applyNumberFormat="1" applyFont="1" applyFill="1" applyBorder="1" applyAlignment="1">
      <alignment horizontal="center" vertical="center"/>
    </xf>
    <xf numFmtId="3" fontId="63" fillId="0" borderId="233" xfId="1" applyNumberFormat="1" applyFont="1" applyFill="1" applyBorder="1" applyAlignment="1">
      <alignment horizontal="center" vertical="center"/>
    </xf>
    <xf numFmtId="0" fontId="125" fillId="27" borderId="219" xfId="15" applyFont="1" applyFill="1" applyBorder="1" applyAlignment="1">
      <alignment horizontal="left" vertical="center"/>
    </xf>
    <xf numFmtId="3" fontId="127" fillId="0" borderId="233" xfId="1" applyNumberFormat="1" applyFont="1" applyFill="1" applyBorder="1" applyAlignment="1">
      <alignment horizontal="center" vertical="center"/>
    </xf>
    <xf numFmtId="0" fontId="63" fillId="0" borderId="234" xfId="1" applyFont="1" applyFill="1" applyBorder="1" applyAlignment="1">
      <alignment horizontal="left" vertical="center"/>
    </xf>
    <xf numFmtId="0" fontId="126" fillId="0" borderId="105" xfId="1" applyFont="1" applyFill="1" applyBorder="1" applyAlignment="1">
      <alignment vertical="center"/>
    </xf>
    <xf numFmtId="0" fontId="111" fillId="0" borderId="207" xfId="1" applyFont="1" applyFill="1" applyBorder="1" applyAlignment="1">
      <alignment horizontal="center" vertical="center"/>
    </xf>
    <xf numFmtId="0" fontId="63" fillId="0" borderId="207" xfId="1" applyFont="1" applyFill="1" applyBorder="1" applyAlignment="1">
      <alignment horizontal="left" vertical="center"/>
    </xf>
    <xf numFmtId="0" fontId="111" fillId="0" borderId="105" xfId="1" applyFont="1" applyFill="1" applyBorder="1" applyAlignment="1">
      <alignment horizontal="center" vertical="center"/>
    </xf>
    <xf numFmtId="0" fontId="126" fillId="0" borderId="4" xfId="1" applyFont="1" applyFill="1" applyBorder="1" applyAlignment="1">
      <alignment vertical="center"/>
    </xf>
    <xf numFmtId="0" fontId="63" fillId="0" borderId="231" xfId="1" applyFont="1" applyFill="1" applyBorder="1" applyAlignment="1">
      <alignment horizontal="left" vertical="center"/>
    </xf>
    <xf numFmtId="3" fontId="141" fillId="3" borderId="1" xfId="1" applyNumberFormat="1" applyFont="1" applyFill="1" applyBorder="1" applyAlignment="1">
      <alignment horizontal="center" vertical="center"/>
    </xf>
    <xf numFmtId="0" fontId="132" fillId="0" borderId="230" xfId="0" applyFont="1" applyBorder="1"/>
    <xf numFmtId="0" fontId="126" fillId="0" borderId="234" xfId="1" applyFont="1" applyFill="1" applyBorder="1" applyAlignment="1">
      <alignment vertical="center"/>
    </xf>
    <xf numFmtId="0" fontId="132" fillId="0" borderId="216" xfId="0" applyFont="1" applyBorder="1"/>
    <xf numFmtId="0" fontId="125" fillId="0" borderId="219" xfId="15" applyFont="1" applyFill="1" applyBorder="1" applyAlignment="1">
      <alignment vertical="center"/>
    </xf>
    <xf numFmtId="0" fontId="52" fillId="0" borderId="234" xfId="1" applyFont="1" applyFill="1" applyBorder="1" applyAlignment="1">
      <alignment horizontal="left" vertical="center"/>
    </xf>
    <xf numFmtId="0" fontId="131" fillId="0" borderId="234" xfId="1" applyFont="1" applyFill="1" applyBorder="1" applyAlignment="1">
      <alignment horizontal="left" vertical="center"/>
    </xf>
    <xf numFmtId="0" fontId="111" fillId="3" borderId="8" xfId="1" applyFont="1" applyFill="1" applyBorder="1" applyAlignment="1">
      <alignment horizontal="center" vertical="center"/>
    </xf>
    <xf numFmtId="0" fontId="125" fillId="0" borderId="148" xfId="15" applyFont="1" applyFill="1" applyBorder="1" applyAlignment="1">
      <alignment horizontal="left" vertical="center"/>
    </xf>
    <xf numFmtId="0" fontId="125" fillId="0" borderId="40" xfId="15" applyFont="1" applyFill="1" applyBorder="1" applyAlignment="1">
      <alignment horizontal="left" vertical="center"/>
    </xf>
    <xf numFmtId="0" fontId="125" fillId="0" borderId="54" xfId="15" applyFont="1" applyFill="1" applyBorder="1" applyAlignment="1">
      <alignment horizontal="left" vertical="center"/>
    </xf>
    <xf numFmtId="0" fontId="132" fillId="0" borderId="40" xfId="0" applyFont="1" applyBorder="1"/>
    <xf numFmtId="0" fontId="125" fillId="2" borderId="235" xfId="15" applyFont="1" applyFill="1" applyBorder="1" applyAlignment="1">
      <alignment horizontal="left" vertical="center"/>
    </xf>
    <xf numFmtId="0" fontId="125" fillId="0" borderId="192" xfId="15" applyFont="1" applyFill="1" applyBorder="1" applyAlignment="1">
      <alignment horizontal="left" vertical="center"/>
    </xf>
    <xf numFmtId="0" fontId="125" fillId="0" borderId="235" xfId="15" applyFont="1" applyFill="1" applyBorder="1" applyAlignment="1">
      <alignment horizontal="left" vertical="center"/>
    </xf>
    <xf numFmtId="0" fontId="125" fillId="0" borderId="235" xfId="15" applyFont="1" applyFill="1" applyBorder="1" applyAlignment="1">
      <alignment vertical="center"/>
    </xf>
    <xf numFmtId="0" fontId="125" fillId="27" borderId="235" xfId="15" applyFont="1" applyFill="1" applyBorder="1" applyAlignment="1">
      <alignment horizontal="left" vertical="center"/>
    </xf>
    <xf numFmtId="0" fontId="52" fillId="0" borderId="236" xfId="1" applyFont="1" applyFill="1" applyBorder="1" applyAlignment="1">
      <alignment horizontal="left" vertical="center"/>
    </xf>
    <xf numFmtId="0" fontId="132" fillId="0" borderId="236" xfId="0" applyFont="1" applyBorder="1"/>
    <xf numFmtId="0" fontId="52" fillId="0" borderId="235" xfId="1" applyFont="1" applyFill="1" applyBorder="1" applyAlignment="1">
      <alignment horizontal="left" vertical="center"/>
    </xf>
    <xf numFmtId="0" fontId="131" fillId="0" borderId="19" xfId="1" applyFont="1" applyFill="1" applyBorder="1" applyAlignment="1">
      <alignment horizontal="left" vertical="center"/>
    </xf>
    <xf numFmtId="0" fontId="125" fillId="2" borderId="40" xfId="15" applyFont="1" applyFill="1" applyBorder="1" applyAlignment="1">
      <alignment horizontal="left" vertical="center"/>
    </xf>
    <xf numFmtId="0" fontId="125" fillId="2" borderId="148" xfId="15" applyFont="1" applyFill="1" applyBorder="1" applyAlignment="1">
      <alignment horizontal="left" vertical="center"/>
    </xf>
    <xf numFmtId="0" fontId="125" fillId="2" borderId="54" xfId="15" applyFont="1" applyFill="1" applyBorder="1" applyAlignment="1">
      <alignment horizontal="left" vertical="center"/>
    </xf>
    <xf numFmtId="0" fontId="125" fillId="27" borderId="61" xfId="15" applyFont="1" applyFill="1" applyBorder="1" applyAlignment="1">
      <alignment horizontal="left" vertical="center"/>
    </xf>
    <xf numFmtId="0" fontId="52" fillId="0" borderId="0" xfId="1" applyFont="1" applyFill="1" applyBorder="1" applyAlignment="1">
      <alignment vertical="center"/>
    </xf>
    <xf numFmtId="0" fontId="125" fillId="12" borderId="235" xfId="15" applyFont="1" applyFill="1" applyBorder="1" applyAlignment="1">
      <alignment horizontal="left" vertical="center"/>
    </xf>
    <xf numFmtId="0" fontId="125" fillId="2" borderId="192" xfId="15" applyFont="1" applyFill="1" applyBorder="1" applyAlignment="1">
      <alignment horizontal="left" vertical="center"/>
    </xf>
    <xf numFmtId="0" fontId="126" fillId="2" borderId="235" xfId="1" applyFont="1" applyFill="1" applyBorder="1" applyAlignment="1">
      <alignment horizontal="left" vertical="center"/>
    </xf>
    <xf numFmtId="3" fontId="52" fillId="0" borderId="234" xfId="1" applyNumberFormat="1" applyFont="1" applyFill="1" applyBorder="1" applyAlignment="1">
      <alignment horizontal="left" vertical="center"/>
    </xf>
    <xf numFmtId="0" fontId="52" fillId="0" borderId="192" xfId="1" applyFont="1" applyFill="1" applyBorder="1" applyAlignment="1">
      <alignment horizontal="left" vertical="center"/>
    </xf>
    <xf numFmtId="0" fontId="52" fillId="0" borderId="234" xfId="1" applyFont="1" applyFill="1" applyBorder="1" applyAlignment="1">
      <alignment vertical="center"/>
    </xf>
    <xf numFmtId="0" fontId="126" fillId="0" borderId="0" xfId="1" applyFont="1" applyFill="1" applyBorder="1" applyAlignment="1">
      <alignment horizontal="left" vertical="center"/>
    </xf>
    <xf numFmtId="167" fontId="53" fillId="0" borderId="222" xfId="1" applyNumberFormat="1" applyFont="1" applyFill="1" applyBorder="1" applyAlignment="1">
      <alignment horizontal="center" vertical="center"/>
    </xf>
    <xf numFmtId="170" fontId="53" fillId="0" borderId="222" xfId="1" applyNumberFormat="1" applyFont="1" applyFill="1" applyBorder="1" applyAlignment="1">
      <alignment horizontal="center" vertical="center"/>
    </xf>
    <xf numFmtId="0" fontId="125" fillId="0" borderId="8" xfId="15" applyFont="1" applyFill="1" applyBorder="1" applyAlignment="1">
      <alignment vertical="center"/>
    </xf>
    <xf numFmtId="0" fontId="148" fillId="0" borderId="0" xfId="1" applyFont="1" applyFill="1" applyAlignment="1">
      <alignment vertical="center"/>
    </xf>
    <xf numFmtId="0" fontId="63" fillId="0" borderId="8" xfId="1" applyFont="1" applyFill="1" applyBorder="1" applyAlignment="1">
      <alignment horizontal="left" vertical="center"/>
    </xf>
    <xf numFmtId="0" fontId="130" fillId="0" borderId="237" xfId="1" applyFont="1" applyFill="1" applyBorder="1" applyAlignment="1">
      <alignment horizontal="left" vertical="center"/>
    </xf>
    <xf numFmtId="0" fontId="52" fillId="0" borderId="237" xfId="1" applyFont="1" applyFill="1" applyBorder="1" applyAlignment="1">
      <alignment vertical="center"/>
    </xf>
    <xf numFmtId="0" fontId="48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vertical="center"/>
    </xf>
    <xf numFmtId="167" fontId="48" fillId="0" borderId="0" xfId="1" applyNumberFormat="1" applyFont="1" applyFill="1" applyBorder="1" applyAlignment="1">
      <alignment vertical="center"/>
    </xf>
    <xf numFmtId="0" fontId="111" fillId="0" borderId="231" xfId="1" applyFont="1" applyFill="1" applyBorder="1" applyAlignment="1">
      <alignment horizontal="center" vertical="center"/>
    </xf>
    <xf numFmtId="0" fontId="125" fillId="0" borderId="236" xfId="15" applyFont="1" applyFill="1" applyBorder="1" applyAlignment="1">
      <alignment horizontal="left" vertical="center"/>
    </xf>
    <xf numFmtId="0" fontId="125" fillId="27" borderId="216" xfId="15" applyFont="1" applyFill="1" applyBorder="1" applyAlignment="1">
      <alignment horizontal="left" vertical="center"/>
    </xf>
    <xf numFmtId="0" fontId="52" fillId="0" borderId="50" xfId="1" applyFont="1" applyFill="1" applyBorder="1" applyAlignment="1">
      <alignment horizontal="left" vertical="center"/>
    </xf>
    <xf numFmtId="0" fontId="125" fillId="2" borderId="61" xfId="15" applyFont="1" applyFill="1" applyBorder="1" applyAlignment="1">
      <alignment horizontal="left" vertical="center"/>
    </xf>
    <xf numFmtId="0" fontId="125" fillId="12" borderId="61" xfId="15" applyFont="1" applyFill="1" applyBorder="1" applyAlignment="1">
      <alignment horizontal="left" vertical="center"/>
    </xf>
    <xf numFmtId="0" fontId="125" fillId="12" borderId="54" xfId="15" applyFont="1" applyFill="1" applyBorder="1" applyAlignment="1">
      <alignment horizontal="left" vertical="center"/>
    </xf>
    <xf numFmtId="0" fontId="126" fillId="2" borderId="219" xfId="1" applyFont="1" applyFill="1" applyBorder="1" applyAlignment="1">
      <alignment horizontal="left" vertical="center"/>
    </xf>
    <xf numFmtId="0" fontId="125" fillId="2" borderId="236" xfId="15" applyFont="1" applyFill="1" applyBorder="1" applyAlignment="1">
      <alignment horizontal="left" vertical="center"/>
    </xf>
    <xf numFmtId="0" fontId="126" fillId="0" borderId="86" xfId="1" applyFont="1" applyFill="1" applyBorder="1" applyAlignment="1">
      <alignment vertical="center"/>
    </xf>
    <xf numFmtId="0" fontId="126" fillId="2" borderId="61" xfId="1" applyFont="1" applyFill="1" applyBorder="1" applyAlignment="1">
      <alignment horizontal="left" vertical="center"/>
    </xf>
    <xf numFmtId="0" fontId="132" fillId="0" borderId="216" xfId="0" applyFont="1" applyFill="1" applyBorder="1"/>
    <xf numFmtId="0" fontId="125" fillId="3" borderId="40" xfId="15" applyFont="1" applyFill="1" applyBorder="1" applyAlignment="1">
      <alignment horizontal="left" vertical="center"/>
    </xf>
    <xf numFmtId="0" fontId="111" fillId="3" borderId="234" xfId="1" applyFont="1" applyFill="1" applyBorder="1" applyAlignment="1">
      <alignment horizontal="center" vertical="center"/>
    </xf>
    <xf numFmtId="169" fontId="52" fillId="0" borderId="101" xfId="1" applyNumberFormat="1" applyFont="1" applyFill="1" applyBorder="1" applyAlignment="1">
      <alignment vertical="center"/>
    </xf>
    <xf numFmtId="3" fontId="127" fillId="0" borderId="199" xfId="1" applyNumberFormat="1" applyFont="1" applyFill="1" applyBorder="1" applyAlignment="1">
      <alignment horizontal="center" vertical="center"/>
    </xf>
    <xf numFmtId="0" fontId="52" fillId="0" borderId="207" xfId="1" applyFont="1" applyFill="1" applyBorder="1" applyAlignment="1">
      <alignment horizontal="left" vertical="center"/>
    </xf>
    <xf numFmtId="0" fontId="125" fillId="0" borderId="226" xfId="15" applyFont="1" applyFill="1" applyBorder="1" applyAlignment="1">
      <alignment horizontal="left" vertical="center"/>
    </xf>
    <xf numFmtId="169" fontId="52" fillId="21" borderId="210" xfId="1" applyNumberFormat="1" applyFont="1" applyFill="1" applyBorder="1" applyAlignment="1">
      <alignment horizontal="right" vertical="center"/>
    </xf>
    <xf numFmtId="3" fontId="52" fillId="21" borderId="6" xfId="1" applyNumberFormat="1" applyFont="1" applyFill="1" applyBorder="1" applyAlignment="1">
      <alignment horizontal="center" vertical="center"/>
    </xf>
    <xf numFmtId="0" fontId="125" fillId="19" borderId="177" xfId="15" applyFont="1" applyFill="1" applyBorder="1" applyAlignment="1">
      <alignment horizontal="left" vertical="center"/>
    </xf>
    <xf numFmtId="0" fontId="125" fillId="0" borderId="177" xfId="15" applyFont="1" applyFill="1" applyBorder="1" applyAlignment="1">
      <alignment vertical="center"/>
    </xf>
    <xf numFmtId="0" fontId="52" fillId="2" borderId="130" xfId="1" applyFont="1" applyFill="1" applyBorder="1" applyAlignment="1">
      <alignment horizontal="left" vertical="center"/>
    </xf>
    <xf numFmtId="0" fontId="125" fillId="12" borderId="163" xfId="15" applyFont="1" applyFill="1" applyBorder="1" applyAlignment="1">
      <alignment horizontal="left" vertical="center"/>
    </xf>
    <xf numFmtId="3" fontId="52" fillId="0" borderId="50" xfId="1" applyNumberFormat="1" applyFont="1" applyFill="1" applyBorder="1" applyAlignment="1">
      <alignment horizontal="left" vertical="center"/>
    </xf>
    <xf numFmtId="3" fontId="3" fillId="3" borderId="55" xfId="1" applyNumberFormat="1" applyFont="1" applyFill="1" applyBorder="1" applyAlignment="1">
      <alignment horizontal="center" vertical="center"/>
    </xf>
    <xf numFmtId="3" fontId="52" fillId="0" borderId="55" xfId="1" applyNumberFormat="1" applyFont="1" applyFill="1" applyBorder="1" applyAlignment="1">
      <alignment horizontal="center" vertical="center"/>
    </xf>
    <xf numFmtId="0" fontId="125" fillId="19" borderId="61" xfId="15" applyFont="1" applyFill="1" applyBorder="1" applyAlignment="1">
      <alignment horizontal="left" vertical="center"/>
    </xf>
    <xf numFmtId="169" fontId="52" fillId="0" borderId="113" xfId="1" applyNumberFormat="1" applyFont="1" applyFill="1" applyBorder="1" applyAlignment="1">
      <alignment vertical="center"/>
    </xf>
    <xf numFmtId="3" fontId="3" fillId="3" borderId="87" xfId="1" applyNumberFormat="1" applyFont="1" applyFill="1" applyBorder="1" applyAlignment="1">
      <alignment horizontal="center" vertical="center"/>
    </xf>
    <xf numFmtId="3" fontId="70" fillId="0" borderId="2" xfId="1" applyNumberFormat="1" applyFont="1" applyFill="1" applyBorder="1" applyAlignment="1">
      <alignment horizontal="center" vertical="center"/>
    </xf>
    <xf numFmtId="3" fontId="48" fillId="0" borderId="66" xfId="1" applyNumberFormat="1" applyFont="1" applyFill="1" applyBorder="1" applyAlignment="1">
      <alignment horizontal="center" vertical="center"/>
    </xf>
    <xf numFmtId="3" fontId="70" fillId="0" borderId="23" xfId="1" applyNumberFormat="1" applyFont="1" applyFill="1" applyBorder="1" applyAlignment="1">
      <alignment horizontal="center" vertical="center"/>
    </xf>
    <xf numFmtId="172" fontId="51" fillId="5" borderId="66" xfId="1" applyNumberFormat="1" applyFont="1" applyFill="1" applyBorder="1" applyAlignment="1">
      <alignment horizontal="center" vertical="center"/>
    </xf>
    <xf numFmtId="3" fontId="70" fillId="0" borderId="74" xfId="1" applyNumberFormat="1" applyFont="1" applyFill="1" applyBorder="1" applyAlignment="1">
      <alignment horizontal="center" vertical="center"/>
    </xf>
    <xf numFmtId="172" fontId="51" fillId="12" borderId="66" xfId="1" applyNumberFormat="1" applyFont="1" applyFill="1" applyBorder="1" applyAlignment="1">
      <alignment horizontal="center" vertical="center"/>
    </xf>
    <xf numFmtId="172" fontId="2" fillId="13" borderId="66" xfId="1" applyNumberFormat="1" applyFont="1" applyFill="1" applyBorder="1" applyAlignment="1">
      <alignment horizontal="center" vertical="center"/>
    </xf>
    <xf numFmtId="0" fontId="23" fillId="13" borderId="0" xfId="15" applyFont="1" applyFill="1" applyBorder="1" applyAlignment="1">
      <alignment horizontal="left" vertical="center"/>
    </xf>
    <xf numFmtId="172" fontId="51" fillId="11" borderId="66" xfId="1" applyNumberFormat="1" applyFont="1" applyFill="1" applyBorder="1" applyAlignment="1">
      <alignment horizontal="center" vertical="center"/>
    </xf>
    <xf numFmtId="172" fontId="2" fillId="12" borderId="66" xfId="1" applyNumberFormat="1" applyFont="1" applyFill="1" applyBorder="1" applyAlignment="1">
      <alignment horizontal="center" vertical="center"/>
    </xf>
    <xf numFmtId="172" fontId="2" fillId="13" borderId="36" xfId="1" applyNumberFormat="1" applyFont="1" applyFill="1" applyBorder="1" applyAlignment="1">
      <alignment horizontal="center" vertical="center"/>
    </xf>
    <xf numFmtId="3" fontId="48" fillId="0" borderId="103" xfId="1" applyNumberFormat="1" applyFont="1" applyFill="1" applyBorder="1" applyAlignment="1">
      <alignment horizontal="center" vertical="center"/>
    </xf>
    <xf numFmtId="3" fontId="70" fillId="0" borderId="66" xfId="1" applyNumberFormat="1" applyFont="1" applyFill="1" applyBorder="1" applyAlignment="1">
      <alignment horizontal="center" vertical="center"/>
    </xf>
    <xf numFmtId="3" fontId="48" fillId="0" borderId="0" xfId="1" applyNumberFormat="1" applyFont="1" applyFill="1" applyBorder="1" applyAlignment="1">
      <alignment horizontal="center" vertical="center"/>
    </xf>
    <xf numFmtId="3" fontId="48" fillId="0" borderId="23" xfId="1" applyNumberFormat="1" applyFont="1" applyFill="1" applyBorder="1" applyAlignment="1">
      <alignment horizontal="center" vertical="center"/>
    </xf>
    <xf numFmtId="3" fontId="48" fillId="0" borderId="2" xfId="1" applyNumberFormat="1" applyFont="1" applyFill="1" applyBorder="1" applyAlignment="1">
      <alignment horizontal="center" vertical="center"/>
    </xf>
    <xf numFmtId="3" fontId="70" fillId="0" borderId="25" xfId="1" applyNumberFormat="1" applyFont="1" applyFill="1" applyBorder="1" applyAlignment="1">
      <alignment horizontal="center" vertical="center"/>
    </xf>
    <xf numFmtId="3" fontId="48" fillId="0" borderId="25" xfId="1" applyNumberFormat="1" applyFont="1" applyFill="1" applyBorder="1" applyAlignment="1">
      <alignment horizontal="center" vertical="center"/>
    </xf>
    <xf numFmtId="3" fontId="48" fillId="0" borderId="74" xfId="1" applyNumberFormat="1" applyFont="1" applyFill="1" applyBorder="1" applyAlignment="1">
      <alignment horizontal="center" vertical="center"/>
    </xf>
    <xf numFmtId="3" fontId="48" fillId="0" borderId="80" xfId="1" applyNumberFormat="1" applyFont="1" applyFill="1" applyBorder="1" applyAlignment="1">
      <alignment horizontal="center" vertical="center"/>
    </xf>
    <xf numFmtId="3" fontId="70" fillId="0" borderId="80" xfId="1" applyNumberFormat="1" applyFont="1" applyFill="1" applyBorder="1" applyAlignment="1">
      <alignment horizontal="center" vertical="center"/>
    </xf>
    <xf numFmtId="3" fontId="149" fillId="18" borderId="28" xfId="1" applyNumberFormat="1" applyFont="1" applyFill="1" applyBorder="1" applyAlignment="1">
      <alignment horizontal="center" vertical="center"/>
    </xf>
    <xf numFmtId="3" fontId="70" fillId="9" borderId="66" xfId="1" applyNumberFormat="1" applyFont="1" applyFill="1" applyBorder="1" applyAlignment="1">
      <alignment horizontal="center" vertical="center"/>
    </xf>
    <xf numFmtId="3" fontId="70" fillId="0" borderId="103" xfId="1" applyNumberFormat="1" applyFont="1" applyFill="1" applyBorder="1" applyAlignment="1">
      <alignment horizontal="center" vertical="center"/>
    </xf>
    <xf numFmtId="0" fontId="99" fillId="21" borderId="256" xfId="15" applyFont="1" applyFill="1" applyBorder="1" applyAlignment="1">
      <alignment horizontal="left" vertical="center"/>
    </xf>
    <xf numFmtId="3" fontId="51" fillId="0" borderId="61" xfId="1" applyNumberFormat="1" applyFont="1" applyFill="1" applyBorder="1" applyAlignment="1">
      <alignment horizontal="left" vertical="center"/>
    </xf>
    <xf numFmtId="0" fontId="97" fillId="0" borderId="61" xfId="1" applyFont="1" applyFill="1" applyBorder="1" applyAlignment="1">
      <alignment horizontal="left" vertical="center"/>
    </xf>
    <xf numFmtId="3" fontId="23" fillId="0" borderId="61" xfId="15" applyNumberFormat="1" applyFont="1" applyFill="1" applyBorder="1" applyAlignment="1">
      <alignment horizontal="left" vertical="center"/>
    </xf>
    <xf numFmtId="0" fontId="23" fillId="0" borderId="177" xfId="15" applyFont="1" applyFill="1" applyBorder="1" applyAlignment="1">
      <alignment horizontal="left" vertical="center"/>
    </xf>
    <xf numFmtId="3" fontId="51" fillId="0" borderId="60" xfId="1" applyNumberFormat="1" applyFont="1" applyFill="1" applyBorder="1" applyAlignment="1">
      <alignment horizontal="left" vertical="center"/>
    </xf>
    <xf numFmtId="0" fontId="97" fillId="0" borderId="177" xfId="1" applyFont="1" applyFill="1" applyBorder="1" applyAlignment="1">
      <alignment horizontal="left" vertical="center"/>
    </xf>
    <xf numFmtId="0" fontId="2" fillId="0" borderId="256" xfId="1" applyFont="1" applyFill="1" applyBorder="1" applyAlignment="1">
      <alignment horizontal="left" vertical="center"/>
    </xf>
    <xf numFmtId="0" fontId="51" fillId="0" borderId="177" xfId="1" applyFont="1" applyFill="1" applyBorder="1" applyAlignment="1">
      <alignment horizontal="left" vertical="center"/>
    </xf>
    <xf numFmtId="0" fontId="115" fillId="0" borderId="61" xfId="15" applyFont="1" applyFill="1" applyBorder="1" applyAlignment="1">
      <alignment horizontal="left" vertical="center"/>
    </xf>
    <xf numFmtId="0" fontId="2" fillId="0" borderId="130" xfId="1" applyFont="1" applyFill="1" applyBorder="1" applyAlignment="1">
      <alignment horizontal="left" vertical="center"/>
    </xf>
    <xf numFmtId="0" fontId="115" fillId="21" borderId="256" xfId="15" applyFont="1" applyFill="1" applyBorder="1" applyAlignment="1">
      <alignment horizontal="left" vertical="center"/>
    </xf>
    <xf numFmtId="3" fontId="23" fillId="0" borderId="5" xfId="15" applyNumberFormat="1" applyFont="1" applyFill="1" applyBorder="1" applyAlignment="1">
      <alignment horizontal="left" vertical="center"/>
    </xf>
    <xf numFmtId="0" fontId="23" fillId="0" borderId="5" xfId="15" applyFont="1" applyFill="1" applyBorder="1" applyAlignment="1">
      <alignment horizontal="left" vertical="center"/>
    </xf>
    <xf numFmtId="0" fontId="23" fillId="0" borderId="130" xfId="15" applyFont="1" applyFill="1" applyBorder="1" applyAlignment="1">
      <alignment horizontal="left" vertical="center"/>
    </xf>
    <xf numFmtId="0" fontId="23" fillId="0" borderId="163" xfId="15" applyFont="1" applyFill="1" applyBorder="1" applyAlignment="1">
      <alignment horizontal="left" vertical="center"/>
    </xf>
    <xf numFmtId="0" fontId="97" fillId="0" borderId="5" xfId="1" applyFont="1" applyFill="1" applyBorder="1" applyAlignment="1">
      <alignment horizontal="left" vertical="center"/>
    </xf>
    <xf numFmtId="0" fontId="23" fillId="0" borderId="84" xfId="15" applyFont="1" applyFill="1" applyBorder="1" applyAlignment="1">
      <alignment horizontal="left" vertical="center"/>
    </xf>
    <xf numFmtId="0" fontId="23" fillId="0" borderId="93" xfId="15" applyFont="1" applyFill="1" applyBorder="1" applyAlignment="1">
      <alignment horizontal="left" vertical="center"/>
    </xf>
    <xf numFmtId="3" fontId="51" fillId="0" borderId="256" xfId="1" applyNumberFormat="1" applyFont="1" applyFill="1" applyBorder="1" applyAlignment="1">
      <alignment horizontal="left" vertical="center"/>
    </xf>
    <xf numFmtId="3" fontId="23" fillId="0" borderId="256" xfId="15" applyNumberFormat="1" applyFont="1" applyFill="1" applyBorder="1" applyAlignment="1">
      <alignment horizontal="left" vertical="center"/>
    </xf>
    <xf numFmtId="0" fontId="2" fillId="0" borderId="61" xfId="1" applyFont="1" applyFill="1" applyBorder="1" applyAlignment="1">
      <alignment horizontal="left" vertical="center"/>
    </xf>
    <xf numFmtId="0" fontId="23" fillId="0" borderId="243" xfId="15" applyFont="1" applyFill="1" applyBorder="1" applyAlignment="1">
      <alignment horizontal="left" vertical="center"/>
    </xf>
    <xf numFmtId="3" fontId="51" fillId="0" borderId="84" xfId="1" applyNumberFormat="1" applyFont="1" applyFill="1" applyBorder="1" applyAlignment="1">
      <alignment horizontal="left" vertical="center"/>
    </xf>
    <xf numFmtId="3" fontId="149" fillId="0" borderId="263" xfId="1" applyNumberFormat="1" applyFont="1" applyFill="1" applyBorder="1" applyAlignment="1">
      <alignment horizontal="center" vertical="center"/>
    </xf>
    <xf numFmtId="3" fontId="70" fillId="0" borderId="19" xfId="1" applyNumberFormat="1" applyFont="1" applyFill="1" applyBorder="1" applyAlignment="1">
      <alignment horizontal="center" vertical="center"/>
    </xf>
    <xf numFmtId="3" fontId="48" fillId="0" borderId="183" xfId="1" applyNumberFormat="1" applyFont="1" applyFill="1" applyBorder="1" applyAlignment="1">
      <alignment horizontal="center" vertical="center"/>
    </xf>
    <xf numFmtId="3" fontId="48" fillId="0" borderId="268" xfId="1" applyNumberFormat="1" applyFont="1" applyFill="1" applyBorder="1" applyAlignment="1">
      <alignment horizontal="center" vertical="center"/>
    </xf>
    <xf numFmtId="3" fontId="48" fillId="0" borderId="264" xfId="1" applyNumberFormat="1" applyFont="1" applyFill="1" applyBorder="1" applyAlignment="1">
      <alignment horizontal="center" vertical="center"/>
    </xf>
    <xf numFmtId="3" fontId="70" fillId="0" borderId="183" xfId="1" applyNumberFormat="1" applyFont="1" applyFill="1" applyBorder="1" applyAlignment="1">
      <alignment horizontal="center" vertical="center"/>
    </xf>
    <xf numFmtId="3" fontId="48" fillId="0" borderId="19" xfId="1" applyNumberFormat="1" applyFont="1" applyFill="1" applyBorder="1" applyAlignment="1">
      <alignment horizontal="center" vertical="center"/>
    </xf>
    <xf numFmtId="3" fontId="48" fillId="0" borderId="248" xfId="1" applyNumberFormat="1" applyFont="1" applyFill="1" applyBorder="1" applyAlignment="1">
      <alignment horizontal="center" vertical="center"/>
    </xf>
    <xf numFmtId="3" fontId="70" fillId="0" borderId="264" xfId="1" applyNumberFormat="1" applyFont="1" applyFill="1" applyBorder="1" applyAlignment="1">
      <alignment horizontal="center" vertical="center"/>
    </xf>
    <xf numFmtId="3" fontId="48" fillId="0" borderId="270" xfId="1" applyNumberFormat="1" applyFont="1" applyFill="1" applyBorder="1" applyAlignment="1">
      <alignment horizontal="center" vertical="center"/>
    </xf>
    <xf numFmtId="3" fontId="48" fillId="0" borderId="54" xfId="1" applyNumberFormat="1" applyFont="1" applyFill="1" applyBorder="1" applyAlignment="1">
      <alignment horizontal="center" vertical="center"/>
    </xf>
    <xf numFmtId="3" fontId="70" fillId="0" borderId="268" xfId="1" applyNumberFormat="1" applyFont="1" applyFill="1" applyBorder="1" applyAlignment="1">
      <alignment horizontal="center" vertical="center"/>
    </xf>
    <xf numFmtId="0" fontId="103" fillId="18" borderId="26" xfId="1" applyFont="1" applyFill="1" applyBorder="1" applyAlignment="1">
      <alignment horizontal="center" vertical="center"/>
    </xf>
    <xf numFmtId="0" fontId="23" fillId="18" borderId="4" xfId="15" applyFont="1" applyFill="1" applyBorder="1" applyAlignment="1">
      <alignment horizontal="left" vertical="center"/>
    </xf>
    <xf numFmtId="0" fontId="103" fillId="6" borderId="26" xfId="1" applyFont="1" applyFill="1" applyBorder="1" applyAlignment="1">
      <alignment horizontal="center" vertical="center"/>
    </xf>
    <xf numFmtId="0" fontId="103" fillId="9" borderId="26" xfId="1" applyFont="1" applyFill="1" applyBorder="1" applyAlignment="1">
      <alignment horizontal="center" vertical="center"/>
    </xf>
    <xf numFmtId="3" fontId="2" fillId="12" borderId="248" xfId="1" applyNumberFormat="1" applyFont="1" applyFill="1" applyBorder="1" applyAlignment="1">
      <alignment horizontal="center" vertical="center"/>
    </xf>
    <xf numFmtId="0" fontId="106" fillId="13" borderId="103" xfId="1" applyFont="1" applyFill="1" applyBorder="1" applyAlignment="1">
      <alignment horizontal="center"/>
    </xf>
    <xf numFmtId="3" fontId="2" fillId="13" borderId="103" xfId="1" applyNumberFormat="1" applyFont="1" applyFill="1" applyBorder="1" applyAlignment="1">
      <alignment horizontal="center" vertical="center"/>
    </xf>
    <xf numFmtId="3" fontId="2" fillId="13" borderId="248" xfId="1" applyNumberFormat="1" applyFont="1" applyFill="1" applyBorder="1" applyAlignment="1">
      <alignment horizontal="center" vertical="center"/>
    </xf>
    <xf numFmtId="3" fontId="51" fillId="12" borderId="103" xfId="1" applyNumberFormat="1" applyFont="1" applyFill="1" applyBorder="1" applyAlignment="1">
      <alignment horizontal="center" vertical="center"/>
    </xf>
    <xf numFmtId="0" fontId="105" fillId="13" borderId="103" xfId="1" applyFont="1" applyFill="1" applyBorder="1" applyAlignment="1">
      <alignment horizontal="center"/>
    </xf>
    <xf numFmtId="0" fontId="2" fillId="12" borderId="103" xfId="1" applyFont="1" applyFill="1" applyBorder="1" applyAlignment="1">
      <alignment horizontal="center" vertical="center"/>
    </xf>
    <xf numFmtId="0" fontId="106" fillId="11" borderId="103" xfId="1" applyFont="1" applyFill="1" applyBorder="1" applyAlignment="1">
      <alignment horizontal="center"/>
    </xf>
    <xf numFmtId="3" fontId="2" fillId="11" borderId="66" xfId="1" applyNumberFormat="1" applyFont="1" applyFill="1" applyBorder="1" applyAlignment="1">
      <alignment horizontal="center" vertical="center"/>
    </xf>
    <xf numFmtId="3" fontId="2" fillId="11" borderId="66" xfId="1" applyNumberFormat="1" applyFont="1" applyFill="1" applyBorder="1" applyAlignment="1">
      <alignment horizontal="left" vertical="center"/>
    </xf>
    <xf numFmtId="172" fontId="2" fillId="11" borderId="66" xfId="1" applyNumberFormat="1" applyFont="1" applyFill="1" applyBorder="1" applyAlignment="1">
      <alignment horizontal="center" vertical="center"/>
    </xf>
    <xf numFmtId="14" fontId="2" fillId="11" borderId="66" xfId="1" applyNumberFormat="1" applyFont="1" applyFill="1" applyBorder="1" applyAlignment="1">
      <alignment horizontal="center" vertical="center"/>
    </xf>
    <xf numFmtId="0" fontId="105" fillId="11" borderId="103" xfId="1" applyFont="1" applyFill="1" applyBorder="1" applyAlignment="1">
      <alignment horizontal="center"/>
    </xf>
    <xf numFmtId="3" fontId="51" fillId="12" borderId="248" xfId="1" applyNumberFormat="1" applyFont="1" applyFill="1" applyBorder="1" applyAlignment="1">
      <alignment horizontal="center" vertical="center"/>
    </xf>
    <xf numFmtId="3" fontId="2" fillId="12" borderId="0" xfId="1" applyNumberFormat="1" applyFont="1" applyFill="1" applyBorder="1" applyAlignment="1">
      <alignment horizontal="center" vertical="center"/>
    </xf>
    <xf numFmtId="0" fontId="105" fillId="12" borderId="103" xfId="1" applyFont="1" applyFill="1" applyBorder="1" applyAlignment="1">
      <alignment horizontal="center"/>
    </xf>
    <xf numFmtId="0" fontId="23" fillId="9" borderId="4" xfId="15" applyFont="1" applyFill="1" applyBorder="1" applyAlignment="1">
      <alignment horizontal="left" vertical="center"/>
    </xf>
    <xf numFmtId="0" fontId="105" fillId="9" borderId="19" xfId="1" applyFont="1" applyFill="1" applyBorder="1" applyAlignment="1">
      <alignment horizontal="center"/>
    </xf>
    <xf numFmtId="0" fontId="142" fillId="12" borderId="26" xfId="1" applyFont="1" applyFill="1" applyBorder="1" applyAlignment="1">
      <alignment horizontal="center" vertical="center"/>
    </xf>
    <xf numFmtId="3" fontId="2" fillId="12" borderId="183" xfId="1" applyNumberFormat="1" applyFont="1" applyFill="1" applyBorder="1" applyAlignment="1">
      <alignment horizontal="center" vertical="center"/>
    </xf>
    <xf numFmtId="3" fontId="2" fillId="12" borderId="19" xfId="1" applyNumberFormat="1" applyFont="1" applyFill="1" applyBorder="1" applyAlignment="1">
      <alignment horizontal="center" vertical="center"/>
    </xf>
    <xf numFmtId="3" fontId="51" fillId="12" borderId="183" xfId="1" applyNumberFormat="1" applyFont="1" applyFill="1" applyBorder="1" applyAlignment="1">
      <alignment horizontal="left" vertical="center"/>
    </xf>
    <xf numFmtId="0" fontId="2" fillId="12" borderId="183" xfId="1" applyFont="1" applyFill="1" applyBorder="1" applyAlignment="1">
      <alignment horizontal="center" vertical="center"/>
    </xf>
    <xf numFmtId="172" fontId="51" fillId="12" borderId="183" xfId="1" applyNumberFormat="1" applyFont="1" applyFill="1" applyBorder="1" applyAlignment="1">
      <alignment horizontal="center" vertical="center"/>
    </xf>
    <xf numFmtId="2" fontId="51" fillId="12" borderId="21" xfId="1" applyNumberFormat="1" applyFont="1" applyFill="1" applyBorder="1" applyAlignment="1">
      <alignment horizontal="center" vertical="center"/>
    </xf>
    <xf numFmtId="0" fontId="51" fillId="13" borderId="266" xfId="1" applyFont="1" applyFill="1" applyBorder="1" applyAlignment="1">
      <alignment horizontal="left" vertical="center"/>
    </xf>
    <xf numFmtId="0" fontId="105" fillId="13" borderId="268" xfId="1" applyFont="1" applyFill="1" applyBorder="1" applyAlignment="1">
      <alignment horizontal="center"/>
    </xf>
    <xf numFmtId="3" fontId="2" fillId="13" borderId="264" xfId="1" applyNumberFormat="1" applyFont="1" applyFill="1" applyBorder="1" applyAlignment="1">
      <alignment horizontal="right" vertical="center"/>
    </xf>
    <xf numFmtId="3" fontId="2" fillId="13" borderId="268" xfId="1" applyNumberFormat="1" applyFont="1" applyFill="1" applyBorder="1" applyAlignment="1">
      <alignment horizontal="center" vertical="center"/>
    </xf>
    <xf numFmtId="3" fontId="2" fillId="13" borderId="264" xfId="1" applyNumberFormat="1" applyFont="1" applyFill="1" applyBorder="1" applyAlignment="1">
      <alignment horizontal="center" vertical="center"/>
    </xf>
    <xf numFmtId="3" fontId="2" fillId="13" borderId="264" xfId="1" applyNumberFormat="1" applyFont="1" applyFill="1" applyBorder="1" applyAlignment="1">
      <alignment horizontal="left" vertical="center"/>
    </xf>
    <xf numFmtId="0" fontId="2" fillId="13" borderId="264" xfId="1" applyFont="1" applyFill="1" applyBorder="1" applyAlignment="1">
      <alignment horizontal="center" vertical="center"/>
    </xf>
    <xf numFmtId="172" fontId="2" fillId="13" borderId="264" xfId="1" applyNumberFormat="1" applyFont="1" applyFill="1" applyBorder="1" applyAlignment="1">
      <alignment horizontal="center" vertical="center"/>
    </xf>
    <xf numFmtId="14" fontId="2" fillId="13" borderId="264" xfId="1" applyNumberFormat="1" applyFont="1" applyFill="1" applyBorder="1" applyAlignment="1">
      <alignment horizontal="center" vertical="center"/>
    </xf>
    <xf numFmtId="2" fontId="51" fillId="12" borderId="269" xfId="1" applyNumberFormat="1" applyFont="1" applyFill="1" applyBorder="1" applyAlignment="1">
      <alignment horizontal="center" vertical="center"/>
    </xf>
    <xf numFmtId="0" fontId="101" fillId="13" borderId="26" xfId="1" applyFont="1" applyFill="1" applyBorder="1" applyAlignment="1">
      <alignment horizontal="center" vertical="center"/>
    </xf>
    <xf numFmtId="0" fontId="51" fillId="13" borderId="4" xfId="1" applyFont="1" applyFill="1" applyBorder="1" applyAlignment="1">
      <alignment horizontal="left" vertical="center"/>
    </xf>
    <xf numFmtId="0" fontId="2" fillId="12" borderId="19" xfId="1" applyFont="1" applyFill="1" applyBorder="1" applyAlignment="1">
      <alignment horizontal="center" vertical="center"/>
    </xf>
    <xf numFmtId="3" fontId="2" fillId="13" borderId="183" xfId="1" applyNumberFormat="1" applyFont="1" applyFill="1" applyBorder="1" applyAlignment="1">
      <alignment horizontal="center" vertical="center"/>
    </xf>
    <xf numFmtId="3" fontId="2" fillId="13" borderId="183" xfId="1" applyNumberFormat="1" applyFont="1" applyFill="1" applyBorder="1" applyAlignment="1">
      <alignment horizontal="left" vertical="center"/>
    </xf>
    <xf numFmtId="0" fontId="2" fillId="13" borderId="183" xfId="1" applyFont="1" applyFill="1" applyBorder="1" applyAlignment="1">
      <alignment horizontal="center" vertical="center"/>
    </xf>
    <xf numFmtId="172" fontId="2" fillId="13" borderId="183" xfId="1" applyNumberFormat="1" applyFont="1" applyFill="1" applyBorder="1" applyAlignment="1">
      <alignment horizontal="center" vertical="center"/>
    </xf>
    <xf numFmtId="14" fontId="2" fillId="13" borderId="183" xfId="1" applyNumberFormat="1" applyFont="1" applyFill="1" applyBorder="1" applyAlignment="1">
      <alignment horizontal="center" vertical="center"/>
    </xf>
    <xf numFmtId="0" fontId="101" fillId="13" borderId="265" xfId="1" applyFont="1" applyFill="1" applyBorder="1" applyAlignment="1">
      <alignment horizontal="center" vertical="center"/>
    </xf>
    <xf numFmtId="0" fontId="51" fillId="13" borderId="19" xfId="1" applyFont="1" applyFill="1" applyBorder="1" applyAlignment="1">
      <alignment horizontal="center"/>
    </xf>
    <xf numFmtId="0" fontId="97" fillId="13" borderId="266" xfId="1" applyFont="1" applyFill="1" applyBorder="1" applyAlignment="1">
      <alignment horizontal="left" vertical="center"/>
    </xf>
    <xf numFmtId="3" fontId="2" fillId="12" borderId="268" xfId="1" applyNumberFormat="1" applyFont="1" applyFill="1" applyBorder="1" applyAlignment="1">
      <alignment horizontal="center" vertical="center"/>
    </xf>
    <xf numFmtId="0" fontId="101" fillId="12" borderId="26" xfId="1" applyFont="1" applyFill="1" applyBorder="1" applyAlignment="1">
      <alignment horizontal="center" vertical="center"/>
    </xf>
    <xf numFmtId="0" fontId="97" fillId="13" borderId="4" xfId="1" applyFont="1" applyFill="1" applyBorder="1" applyAlignment="1">
      <alignment horizontal="left" vertical="center"/>
    </xf>
    <xf numFmtId="3" fontId="2" fillId="13" borderId="183" xfId="1" applyNumberFormat="1" applyFont="1" applyFill="1" applyBorder="1" applyAlignment="1">
      <alignment horizontal="right" vertical="center"/>
    </xf>
    <xf numFmtId="14" fontId="2" fillId="13" borderId="183" xfId="1" quotePrefix="1" applyNumberFormat="1" applyFont="1" applyFill="1" applyBorder="1" applyAlignment="1">
      <alignment horizontal="center" vertical="center"/>
    </xf>
    <xf numFmtId="0" fontId="142" fillId="13" borderId="26" xfId="1" applyFont="1" applyFill="1" applyBorder="1" applyAlignment="1">
      <alignment horizontal="center" vertical="center"/>
    </xf>
    <xf numFmtId="0" fontId="106" fillId="13" borderId="19" xfId="1" applyFont="1" applyFill="1" applyBorder="1" applyAlignment="1">
      <alignment horizontal="center"/>
    </xf>
    <xf numFmtId="3" fontId="96" fillId="12" borderId="183" xfId="1" applyNumberFormat="1" applyFont="1" applyFill="1" applyBorder="1" applyAlignment="1">
      <alignment horizontal="right" vertical="center"/>
    </xf>
    <xf numFmtId="3" fontId="51" fillId="12" borderId="183" xfId="1" applyNumberFormat="1" applyFont="1" applyFill="1" applyBorder="1" applyAlignment="1">
      <alignment horizontal="center" vertical="center"/>
    </xf>
    <xf numFmtId="14" fontId="51" fillId="12" borderId="183" xfId="1" applyNumberFormat="1" applyFont="1" applyFill="1" applyBorder="1" applyAlignment="1">
      <alignment horizontal="center" vertical="center"/>
    </xf>
    <xf numFmtId="0" fontId="51" fillId="12" borderId="266" xfId="1" applyFont="1" applyFill="1" applyBorder="1" applyAlignment="1">
      <alignment horizontal="left" vertical="center"/>
    </xf>
    <xf numFmtId="3" fontId="96" fillId="12" borderId="264" xfId="1" applyNumberFormat="1" applyFont="1" applyFill="1" applyBorder="1" applyAlignment="1">
      <alignment horizontal="right" vertical="center"/>
    </xf>
    <xf numFmtId="3" fontId="51" fillId="12" borderId="264" xfId="1" applyNumberFormat="1" applyFont="1" applyFill="1" applyBorder="1" applyAlignment="1">
      <alignment horizontal="center" vertical="center"/>
    </xf>
    <xf numFmtId="3" fontId="2" fillId="12" borderId="264" xfId="1" applyNumberFormat="1" applyFont="1" applyFill="1" applyBorder="1" applyAlignment="1">
      <alignment horizontal="center" vertical="center"/>
    </xf>
    <xf numFmtId="3" fontId="51" fillId="12" borderId="264" xfId="1" applyNumberFormat="1" applyFont="1" applyFill="1" applyBorder="1" applyAlignment="1">
      <alignment horizontal="left" vertical="center"/>
    </xf>
    <xf numFmtId="0" fontId="2" fillId="12" borderId="264" xfId="1" applyFont="1" applyFill="1" applyBorder="1" applyAlignment="1">
      <alignment horizontal="center" vertical="center"/>
    </xf>
    <xf numFmtId="172" fontId="51" fillId="12" borderId="264" xfId="1" applyNumberFormat="1" applyFont="1" applyFill="1" applyBorder="1" applyAlignment="1">
      <alignment horizontal="center" vertical="center"/>
    </xf>
    <xf numFmtId="14" fontId="51" fillId="12" borderId="264" xfId="1" applyNumberFormat="1" applyFont="1" applyFill="1" applyBorder="1" applyAlignment="1">
      <alignment horizontal="center" vertical="center"/>
    </xf>
    <xf numFmtId="3" fontId="2" fillId="12" borderId="270" xfId="1" applyNumberFormat="1" applyFont="1" applyFill="1" applyBorder="1" applyAlignment="1">
      <alignment horizontal="center" vertical="center"/>
    </xf>
    <xf numFmtId="0" fontId="51" fillId="12" borderId="4" xfId="1" applyFont="1" applyFill="1" applyBorder="1" applyAlignment="1">
      <alignment horizontal="left" vertical="center"/>
    </xf>
    <xf numFmtId="0" fontId="105" fillId="12" borderId="19" xfId="1" applyFont="1" applyFill="1" applyBorder="1" applyAlignment="1">
      <alignment horizontal="center"/>
    </xf>
    <xf numFmtId="0" fontId="101" fillId="12" borderId="265" xfId="1" applyFont="1" applyFill="1" applyBorder="1" applyAlignment="1">
      <alignment horizontal="center" vertical="center"/>
    </xf>
    <xf numFmtId="3" fontId="41" fillId="0" borderId="249" xfId="1" applyNumberFormat="1" applyFont="1" applyFill="1" applyBorder="1" applyAlignment="1">
      <alignment horizontal="center" vertical="center"/>
    </xf>
    <xf numFmtId="3" fontId="48" fillId="5" borderId="260" xfId="1" applyNumberFormat="1" applyFont="1" applyFill="1" applyBorder="1" applyAlignment="1">
      <alignment horizontal="center" vertical="center"/>
    </xf>
    <xf numFmtId="3" fontId="48" fillId="6" borderId="103" xfId="1" applyNumberFormat="1" applyFont="1" applyFill="1" applyBorder="1" applyAlignment="1">
      <alignment horizontal="center" vertical="center"/>
    </xf>
    <xf numFmtId="0" fontId="99" fillId="0" borderId="0" xfId="15" applyFont="1" applyFill="1" applyBorder="1" applyAlignment="1">
      <alignment horizontal="left" vertical="center"/>
    </xf>
    <xf numFmtId="0" fontId="105" fillId="0" borderId="19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03" fillId="25" borderId="17" xfId="1" applyFont="1" applyFill="1" applyBorder="1" applyAlignment="1">
      <alignment horizontal="center" vertical="center"/>
    </xf>
    <xf numFmtId="0" fontId="94" fillId="3" borderId="0" xfId="15" applyFont="1" applyFill="1" applyBorder="1" applyAlignment="1">
      <alignment horizontal="left" vertical="center"/>
    </xf>
    <xf numFmtId="166" fontId="41" fillId="0" borderId="279" xfId="1" applyNumberFormat="1" applyFont="1" applyFill="1" applyBorder="1" applyAlignment="1">
      <alignment horizontal="center" vertical="center"/>
    </xf>
    <xf numFmtId="3" fontId="48" fillId="0" borderId="279" xfId="1" applyNumberFormat="1" applyFont="1" applyFill="1" applyBorder="1" applyAlignment="1">
      <alignment horizontal="center" vertical="center"/>
    </xf>
    <xf numFmtId="2" fontId="51" fillId="0" borderId="283" xfId="1" applyNumberFormat="1" applyFont="1" applyFill="1" applyBorder="1" applyAlignment="1">
      <alignment horizontal="center" vertical="center"/>
    </xf>
    <xf numFmtId="3" fontId="48" fillId="0" borderId="281" xfId="1" applyNumberFormat="1" applyFont="1" applyFill="1" applyBorder="1" applyAlignment="1">
      <alignment horizontal="center" vertical="center"/>
    </xf>
    <xf numFmtId="3" fontId="48" fillId="0" borderId="280" xfId="1" applyNumberFormat="1" applyFont="1" applyFill="1" applyBorder="1" applyAlignment="1">
      <alignment horizontal="center" vertical="center"/>
    </xf>
    <xf numFmtId="3" fontId="70" fillId="0" borderId="279" xfId="1" applyNumberFormat="1" applyFont="1" applyFill="1" applyBorder="1" applyAlignment="1">
      <alignment horizontal="center" vertical="center"/>
    </xf>
    <xf numFmtId="3" fontId="48" fillId="0" borderId="263" xfId="1" applyNumberFormat="1" applyFont="1" applyFill="1" applyBorder="1" applyAlignment="1">
      <alignment horizontal="center" vertical="center"/>
    </xf>
    <xf numFmtId="0" fontId="105" fillId="3" borderId="301" xfId="1" applyFont="1" applyFill="1" applyBorder="1" applyAlignment="1">
      <alignment horizontal="center"/>
    </xf>
    <xf numFmtId="0" fontId="105" fillId="0" borderId="31" xfId="1" applyFont="1" applyFill="1" applyBorder="1" applyAlignment="1">
      <alignment horizontal="center" vertical="center"/>
    </xf>
    <xf numFmtId="3" fontId="48" fillId="0" borderId="300" xfId="1" applyNumberFormat="1" applyFont="1" applyFill="1" applyBorder="1" applyAlignment="1">
      <alignment horizontal="center" vertical="center"/>
    </xf>
    <xf numFmtId="0" fontId="103" fillId="0" borderId="308" xfId="1" applyFont="1" applyFill="1" applyBorder="1" applyAlignment="1">
      <alignment horizontal="center" vertical="center"/>
    </xf>
    <xf numFmtId="0" fontId="23" fillId="0" borderId="309" xfId="15" applyFont="1" applyFill="1" applyBorder="1" applyAlignment="1">
      <alignment horizontal="left" vertical="center"/>
    </xf>
    <xf numFmtId="3" fontId="48" fillId="0" borderId="306" xfId="1" applyNumberFormat="1" applyFont="1" applyFill="1" applyBorder="1" applyAlignment="1">
      <alignment horizontal="center" vertical="center"/>
    </xf>
    <xf numFmtId="3" fontId="48" fillId="0" borderId="305" xfId="1" applyNumberFormat="1" applyFont="1" applyFill="1" applyBorder="1" applyAlignment="1">
      <alignment horizontal="center" vertical="center"/>
    </xf>
    <xf numFmtId="2" fontId="51" fillId="0" borderId="314" xfId="1" applyNumberFormat="1" applyFont="1" applyFill="1" applyBorder="1" applyAlignment="1">
      <alignment horizontal="center" vertical="center"/>
    </xf>
    <xf numFmtId="2" fontId="51" fillId="18" borderId="283" xfId="1" applyNumberFormat="1" applyFont="1" applyFill="1" applyBorder="1" applyAlignment="1">
      <alignment horizontal="center" vertical="center"/>
    </xf>
    <xf numFmtId="3" fontId="70" fillId="0" borderId="300" xfId="1" applyNumberFormat="1" applyFont="1" applyFill="1" applyBorder="1" applyAlignment="1">
      <alignment horizontal="center" vertical="center"/>
    </xf>
    <xf numFmtId="3" fontId="70" fillId="0" borderId="306" xfId="1" applyNumberFormat="1" applyFont="1" applyFill="1" applyBorder="1" applyAlignment="1">
      <alignment horizontal="center" vertical="center"/>
    </xf>
    <xf numFmtId="3" fontId="70" fillId="0" borderId="305" xfId="1" applyNumberFormat="1" applyFont="1" applyFill="1" applyBorder="1" applyAlignment="1">
      <alignment horizontal="center" vertical="center"/>
    </xf>
    <xf numFmtId="2" fontId="51" fillId="18" borderId="314" xfId="1" applyNumberFormat="1" applyFont="1" applyFill="1" applyBorder="1" applyAlignment="1">
      <alignment horizontal="center" vertical="center"/>
    </xf>
    <xf numFmtId="0" fontId="2" fillId="0" borderId="177" xfId="1" applyFont="1" applyFill="1" applyBorder="1" applyAlignment="1">
      <alignment horizontal="left" vertical="center"/>
    </xf>
    <xf numFmtId="0" fontId="23" fillId="0" borderId="256" xfId="15" applyFont="1" applyFill="1" applyBorder="1" applyAlignment="1">
      <alignment horizontal="left" vertical="center"/>
    </xf>
    <xf numFmtId="0" fontId="23" fillId="0" borderId="5" xfId="15" applyFont="1" applyFill="1" applyBorder="1" applyAlignment="1">
      <alignment vertical="center"/>
    </xf>
    <xf numFmtId="0" fontId="115" fillId="0" borderId="5" xfId="15" applyFont="1" applyFill="1" applyBorder="1" applyAlignment="1">
      <alignment horizontal="left" vertical="center"/>
    </xf>
    <xf numFmtId="171" fontId="117" fillId="0" borderId="261" xfId="1" applyNumberFormat="1" applyFont="1" applyBorder="1" applyAlignment="1">
      <alignment horizontal="center" vertical="center"/>
    </xf>
    <xf numFmtId="0" fontId="51" fillId="0" borderId="60" xfId="1" applyFont="1" applyFill="1" applyBorder="1" applyAlignment="1">
      <alignment horizontal="left" vertical="center"/>
    </xf>
    <xf numFmtId="3" fontId="2" fillId="0" borderId="5" xfId="15" applyNumberFormat="1" applyFont="1" applyFill="1" applyBorder="1" applyAlignment="1">
      <alignment horizontal="left" vertical="center"/>
    </xf>
    <xf numFmtId="3" fontId="51" fillId="0" borderId="5" xfId="1" applyNumberFormat="1" applyFont="1" applyFill="1" applyBorder="1" applyAlignment="1">
      <alignment horizontal="left" vertical="center"/>
    </xf>
    <xf numFmtId="0" fontId="44" fillId="0" borderId="13" xfId="1" applyFont="1" applyFill="1" applyBorder="1" applyAlignment="1">
      <alignment horizontal="center" vertical="center"/>
    </xf>
    <xf numFmtId="3" fontId="23" fillId="0" borderId="0" xfId="15" applyNumberFormat="1" applyFill="1" applyAlignment="1">
      <alignment horizontal="center"/>
    </xf>
    <xf numFmtId="0" fontId="23" fillId="0" borderId="0" xfId="15" applyNumberFormat="1" applyFill="1" applyBorder="1" applyAlignment="1" applyProtection="1">
      <alignment horizontal="center" vertical="center"/>
    </xf>
    <xf numFmtId="166" fontId="41" fillId="0" borderId="127" xfId="1" applyNumberFormat="1" applyFont="1" applyFill="1" applyBorder="1" applyAlignment="1">
      <alignment horizontal="center" vertical="center"/>
    </xf>
    <xf numFmtId="166" fontId="103" fillId="13" borderId="127" xfId="1" applyNumberFormat="1" applyFont="1" applyFill="1" applyBorder="1" applyAlignment="1">
      <alignment horizontal="center" vertical="center"/>
    </xf>
    <xf numFmtId="166" fontId="95" fillId="12" borderId="127" xfId="1" applyNumberFormat="1" applyFont="1" applyFill="1" applyBorder="1" applyAlignment="1">
      <alignment horizontal="center" vertical="center"/>
    </xf>
    <xf numFmtId="166" fontId="103" fillId="13" borderId="316" xfId="1" applyNumberFormat="1" applyFont="1" applyFill="1" applyBorder="1" applyAlignment="1">
      <alignment horizontal="center" vertical="center"/>
    </xf>
    <xf numFmtId="166" fontId="103" fillId="13" borderId="311" xfId="1" applyNumberFormat="1" applyFont="1" applyFill="1" applyBorder="1" applyAlignment="1">
      <alignment horizontal="center" vertical="center"/>
    </xf>
    <xf numFmtId="166" fontId="98" fillId="12" borderId="127" xfId="1" applyNumberFormat="1" applyFont="1" applyFill="1" applyBorder="1" applyAlignment="1">
      <alignment horizontal="center" vertical="center"/>
    </xf>
    <xf numFmtId="166" fontId="98" fillId="12" borderId="316" xfId="1" applyNumberFormat="1" applyFont="1" applyFill="1" applyBorder="1" applyAlignment="1">
      <alignment horizontal="center" vertical="center"/>
    </xf>
    <xf numFmtId="166" fontId="103" fillId="12" borderId="311" xfId="1" applyNumberFormat="1" applyFont="1" applyFill="1" applyBorder="1" applyAlignment="1">
      <alignment horizontal="center" vertical="center"/>
    </xf>
    <xf numFmtId="166" fontId="95" fillId="12" borderId="316" xfId="1" applyNumberFormat="1" applyFont="1" applyFill="1" applyBorder="1" applyAlignment="1">
      <alignment horizontal="center" vertical="center"/>
    </xf>
    <xf numFmtId="166" fontId="98" fillId="12" borderId="311" xfId="1" applyNumberFormat="1" applyFont="1" applyFill="1" applyBorder="1" applyAlignment="1">
      <alignment horizontal="center" vertical="center"/>
    </xf>
    <xf numFmtId="166" fontId="51" fillId="12" borderId="311" xfId="1" applyNumberFormat="1" applyFont="1" applyFill="1" applyBorder="1" applyAlignment="1">
      <alignment horizontal="center" vertical="center"/>
    </xf>
    <xf numFmtId="166" fontId="103" fillId="13" borderId="323" xfId="1" applyNumberFormat="1" applyFont="1" applyFill="1" applyBorder="1" applyAlignment="1">
      <alignment horizontal="center" vertical="center"/>
    </xf>
    <xf numFmtId="3" fontId="48" fillId="0" borderId="322" xfId="1" applyNumberFormat="1" applyFont="1" applyFill="1" applyBorder="1" applyAlignment="1">
      <alignment horizontal="center" vertical="center"/>
    </xf>
    <xf numFmtId="0" fontId="23" fillId="0" borderId="15" xfId="15" applyBorder="1" applyAlignment="1">
      <alignment horizontal="center"/>
    </xf>
    <xf numFmtId="167" fontId="46" fillId="0" borderId="279" xfId="1" applyNumberFormat="1" applyFont="1" applyFill="1" applyBorder="1" applyAlignment="1">
      <alignment horizontal="center" vertical="center"/>
    </xf>
    <xf numFmtId="168" fontId="46" fillId="0" borderId="279" xfId="1" applyNumberFormat="1" applyFont="1" applyFill="1" applyBorder="1" applyAlignment="1">
      <alignment horizontal="center" vertical="center"/>
    </xf>
    <xf numFmtId="3" fontId="46" fillId="0" borderId="279" xfId="1" applyNumberFormat="1" applyFont="1" applyFill="1" applyBorder="1" applyAlignment="1">
      <alignment horizontal="center" vertical="center"/>
    </xf>
    <xf numFmtId="3" fontId="41" fillId="0" borderId="322" xfId="1" applyNumberFormat="1" applyFont="1" applyFill="1" applyBorder="1" applyAlignment="1">
      <alignment horizontal="center" vertical="center"/>
    </xf>
    <xf numFmtId="0" fontId="44" fillId="0" borderId="300" xfId="1" applyFont="1" applyFill="1" applyBorder="1" applyAlignment="1">
      <alignment horizontal="center" vertical="center"/>
    </xf>
    <xf numFmtId="0" fontId="41" fillId="0" borderId="4" xfId="1" applyFont="1" applyFill="1" applyBorder="1" applyAlignment="1">
      <alignment horizontal="center" vertical="center"/>
    </xf>
    <xf numFmtId="0" fontId="44" fillId="0" borderId="19" xfId="1" applyFont="1" applyFill="1" applyBorder="1" applyAlignment="1">
      <alignment horizontal="center" vertical="center"/>
    </xf>
    <xf numFmtId="0" fontId="142" fillId="3" borderId="17" xfId="1" applyFont="1" applyFill="1" applyBorder="1" applyAlignment="1">
      <alignment horizontal="center" vertical="center"/>
    </xf>
    <xf numFmtId="0" fontId="2" fillId="0" borderId="26" xfId="1" applyFill="1" applyBorder="1"/>
    <xf numFmtId="0" fontId="16" fillId="0" borderId="0" xfId="1" applyFont="1" applyFill="1" applyBorder="1" applyAlignment="1">
      <alignment horizontal="center" vertical="center"/>
    </xf>
    <xf numFmtId="3" fontId="23" fillId="0" borderId="0" xfId="15" applyNumberFormat="1" applyFill="1" applyAlignment="1">
      <alignment horizontal="center" vertical="top"/>
    </xf>
    <xf numFmtId="165" fontId="23" fillId="0" borderId="0" xfId="15" applyNumberFormat="1" applyFill="1" applyAlignment="1">
      <alignment horizontal="center" vertical="top"/>
    </xf>
    <xf numFmtId="165" fontId="125" fillId="0" borderId="0" xfId="15" applyNumberFormat="1" applyFont="1" applyFill="1" applyAlignment="1">
      <alignment horizontal="center" vertical="top"/>
    </xf>
    <xf numFmtId="3" fontId="125" fillId="0" borderId="0" xfId="15" applyNumberFormat="1" applyFont="1" applyFill="1" applyAlignment="1">
      <alignment horizontal="center" vertical="top"/>
    </xf>
    <xf numFmtId="0" fontId="44" fillId="0" borderId="13" xfId="1" applyFont="1" applyFill="1" applyBorder="1" applyAlignment="1">
      <alignment horizontal="center" vertical="center"/>
    </xf>
    <xf numFmtId="3" fontId="51" fillId="3" borderId="66" xfId="1" applyNumberFormat="1" applyFont="1" applyFill="1" applyBorder="1" applyAlignment="1">
      <alignment horizontal="left" vertical="center"/>
    </xf>
    <xf numFmtId="3" fontId="98" fillId="3" borderId="66" xfId="1" applyNumberFormat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/>
    </xf>
    <xf numFmtId="172" fontId="95" fillId="3" borderId="25" xfId="1" applyNumberFormat="1" applyFont="1" applyFill="1" applyBorder="1" applyAlignment="1">
      <alignment horizontal="center" vertical="center"/>
    </xf>
    <xf numFmtId="14" fontId="51" fillId="3" borderId="25" xfId="1" applyNumberFormat="1" applyFont="1" applyFill="1" applyBorder="1" applyAlignment="1">
      <alignment horizontal="center" vertical="center"/>
    </xf>
    <xf numFmtId="2" fontId="51" fillId="3" borderId="104" xfId="1" applyNumberFormat="1" applyFont="1" applyFill="1" applyBorder="1" applyAlignment="1">
      <alignment horizontal="center" vertical="center"/>
    </xf>
    <xf numFmtId="3" fontId="48" fillId="3" borderId="279" xfId="1" applyNumberFormat="1" applyFont="1" applyFill="1" applyBorder="1" applyAlignment="1">
      <alignment horizontal="center" vertical="center"/>
    </xf>
    <xf numFmtId="3" fontId="48" fillId="0" borderId="296" xfId="1" applyNumberFormat="1" applyFont="1" applyFill="1" applyBorder="1" applyAlignment="1">
      <alignment horizontal="center" vertical="center"/>
    </xf>
    <xf numFmtId="0" fontId="51" fillId="0" borderId="8" xfId="1" applyFont="1" applyFill="1" applyBorder="1" applyAlignment="1">
      <alignment horizontal="left" vertical="center"/>
    </xf>
    <xf numFmtId="0" fontId="105" fillId="0" borderId="106" xfId="1" applyFont="1" applyFill="1" applyBorder="1" applyAlignment="1">
      <alignment horizontal="center" vertical="center"/>
    </xf>
    <xf numFmtId="3" fontId="149" fillId="18" borderId="261" xfId="1" applyNumberFormat="1" applyFont="1" applyFill="1" applyBorder="1" applyAlignment="1">
      <alignment horizontal="center" vertical="center"/>
    </xf>
    <xf numFmtId="3" fontId="2" fillId="0" borderId="0" xfId="1" applyNumberFormat="1" applyFill="1"/>
    <xf numFmtId="0" fontId="151" fillId="0" borderId="0" xfId="15" applyNumberFormat="1" applyFont="1" applyFill="1" applyBorder="1" applyAlignment="1" applyProtection="1">
      <alignment horizontal="center" vertical="center"/>
    </xf>
    <xf numFmtId="0" fontId="23" fillId="0" borderId="0" xfId="15" applyAlignment="1">
      <alignment horizontal="center"/>
    </xf>
    <xf numFmtId="166" fontId="41" fillId="0" borderId="324" xfId="1" applyNumberFormat="1" applyFont="1" applyFill="1" applyBorder="1" applyAlignment="1">
      <alignment horizontal="center" vertical="center"/>
    </xf>
    <xf numFmtId="167" fontId="46" fillId="0" borderId="300" xfId="1" applyNumberFormat="1" applyFont="1" applyFill="1" applyBorder="1" applyAlignment="1">
      <alignment horizontal="center" vertical="center"/>
    </xf>
    <xf numFmtId="167" fontId="46" fillId="0" borderId="324" xfId="1" applyNumberFormat="1" applyFont="1" applyFill="1" applyBorder="1" applyAlignment="1">
      <alignment horizontal="center" vertical="center"/>
    </xf>
    <xf numFmtId="167" fontId="45" fillId="0" borderId="324" xfId="1" applyNumberFormat="1" applyFont="1" applyFill="1" applyBorder="1" applyAlignment="1">
      <alignment horizontal="center" vertical="center"/>
    </xf>
    <xf numFmtId="168" fontId="46" fillId="0" borderId="324" xfId="1" applyNumberFormat="1" applyFont="1" applyFill="1" applyBorder="1" applyAlignment="1">
      <alignment horizontal="center" vertical="center"/>
    </xf>
    <xf numFmtId="167" fontId="47" fillId="0" borderId="324" xfId="1" applyNumberFormat="1" applyFont="1" applyFill="1" applyBorder="1" applyAlignment="1">
      <alignment horizontal="center" vertical="center"/>
    </xf>
    <xf numFmtId="3" fontId="46" fillId="0" borderId="300" xfId="1" applyNumberFormat="1" applyFont="1" applyFill="1" applyBorder="1" applyAlignment="1">
      <alignment horizontal="center" vertical="center"/>
    </xf>
    <xf numFmtId="0" fontId="41" fillId="0" borderId="8" xfId="1" applyFont="1" applyFill="1" applyBorder="1" applyAlignment="1">
      <alignment horizontal="center" vertical="center"/>
    </xf>
    <xf numFmtId="0" fontId="44" fillId="0" borderId="106" xfId="1" applyFont="1" applyFill="1" applyBorder="1" applyAlignment="1">
      <alignment horizontal="center" vertical="center"/>
    </xf>
    <xf numFmtId="3" fontId="41" fillId="0" borderId="324" xfId="1" applyNumberFormat="1" applyFont="1" applyFill="1" applyBorder="1" applyAlignment="1">
      <alignment horizontal="center" vertical="center"/>
    </xf>
    <xf numFmtId="3" fontId="49" fillId="0" borderId="324" xfId="1" applyNumberFormat="1" applyFont="1" applyFill="1" applyBorder="1" applyAlignment="1">
      <alignment horizontal="center" vertical="center"/>
    </xf>
    <xf numFmtId="0" fontId="105" fillId="0" borderId="300" xfId="1" applyFont="1" applyFill="1" applyBorder="1" applyAlignment="1">
      <alignment horizontal="center" vertical="center"/>
    </xf>
    <xf numFmtId="3" fontId="41" fillId="0" borderId="0" xfId="1" applyNumberFormat="1" applyFont="1" applyFill="1" applyBorder="1" applyAlignment="1">
      <alignment horizontal="center" vertical="center"/>
    </xf>
    <xf numFmtId="3" fontId="149" fillId="0" borderId="0" xfId="1" applyNumberFormat="1" applyFont="1" applyFill="1" applyBorder="1" applyAlignment="1">
      <alignment horizontal="center" vertical="center"/>
    </xf>
    <xf numFmtId="3" fontId="149" fillId="0" borderId="192" xfId="1" applyNumberFormat="1" applyFont="1" applyFill="1" applyBorder="1" applyAlignment="1">
      <alignment horizontal="center" vertical="center"/>
    </xf>
    <xf numFmtId="3" fontId="48" fillId="0" borderId="324" xfId="1" applyNumberFormat="1" applyFont="1" applyFill="1" applyBorder="1" applyAlignment="1">
      <alignment horizontal="center" vertical="center"/>
    </xf>
    <xf numFmtId="3" fontId="51" fillId="0" borderId="324" xfId="1" applyNumberFormat="1" applyFont="1" applyFill="1" applyBorder="1" applyAlignment="1">
      <alignment horizontal="left" vertical="center"/>
    </xf>
    <xf numFmtId="3" fontId="51" fillId="0" borderId="324" xfId="1" applyNumberFormat="1" applyFont="1" applyFill="1" applyBorder="1" applyAlignment="1">
      <alignment horizontal="center" vertical="center"/>
    </xf>
    <xf numFmtId="0" fontId="2" fillId="0" borderId="324" xfId="1" applyFont="1" applyFill="1" applyBorder="1" applyAlignment="1">
      <alignment horizontal="center" vertical="center"/>
    </xf>
    <xf numFmtId="14" fontId="51" fillId="0" borderId="324" xfId="1" applyNumberFormat="1" applyFont="1" applyFill="1" applyBorder="1" applyAlignment="1">
      <alignment horizontal="center" vertical="center"/>
    </xf>
    <xf numFmtId="3" fontId="149" fillId="0" borderId="8" xfId="1" applyNumberFormat="1" applyFont="1" applyFill="1" applyBorder="1" applyAlignment="1">
      <alignment horizontal="center" vertical="center"/>
    </xf>
    <xf numFmtId="3" fontId="113" fillId="0" borderId="329" xfId="1" applyNumberFormat="1" applyFont="1" applyFill="1" applyBorder="1" applyAlignment="1">
      <alignment horizontal="center" vertical="center"/>
    </xf>
    <xf numFmtId="3" fontId="48" fillId="0" borderId="106" xfId="1" applyNumberFormat="1" applyFont="1" applyFill="1" applyBorder="1" applyAlignment="1">
      <alignment horizontal="center" vertical="center"/>
    </xf>
    <xf numFmtId="3" fontId="48" fillId="0" borderId="328" xfId="1" applyNumberFormat="1" applyFont="1" applyFill="1" applyBorder="1" applyAlignment="1">
      <alignment horizontal="center" vertical="center"/>
    </xf>
    <xf numFmtId="3" fontId="51" fillId="0" borderId="328" xfId="1" applyNumberFormat="1" applyFont="1" applyFill="1" applyBorder="1" applyAlignment="1">
      <alignment horizontal="left" vertical="center"/>
    </xf>
    <xf numFmtId="3" fontId="2" fillId="0" borderId="328" xfId="1" applyNumberFormat="1" applyFont="1" applyFill="1" applyBorder="1" applyAlignment="1">
      <alignment horizontal="center" vertical="center"/>
    </xf>
    <xf numFmtId="0" fontId="2" fillId="0" borderId="328" xfId="1" applyFont="1" applyFill="1" applyBorder="1" applyAlignment="1">
      <alignment horizontal="center" vertical="center"/>
    </xf>
    <xf numFmtId="172" fontId="51" fillId="0" borderId="328" xfId="1" applyNumberFormat="1" applyFont="1" applyFill="1" applyBorder="1" applyAlignment="1">
      <alignment horizontal="center" vertical="center"/>
    </xf>
    <xf numFmtId="14" fontId="51" fillId="0" borderId="328" xfId="1" applyNumberFormat="1" applyFont="1" applyFill="1" applyBorder="1" applyAlignment="1">
      <alignment horizontal="center" vertical="center"/>
    </xf>
    <xf numFmtId="2" fontId="51" fillId="0" borderId="331" xfId="1" applyNumberFormat="1" applyFont="1" applyFill="1" applyBorder="1" applyAlignment="1">
      <alignment horizontal="center" vertical="center"/>
    </xf>
    <xf numFmtId="3" fontId="113" fillId="0" borderId="192" xfId="1" applyNumberFormat="1" applyFont="1" applyFill="1" applyBorder="1" applyAlignment="1">
      <alignment horizontal="center" vertical="center"/>
    </xf>
    <xf numFmtId="3" fontId="2" fillId="0" borderId="324" xfId="1" applyNumberFormat="1" applyFont="1" applyFill="1" applyBorder="1" applyAlignment="1">
      <alignment horizontal="center" vertical="center"/>
    </xf>
    <xf numFmtId="172" fontId="51" fillId="0" borderId="324" xfId="1" applyNumberFormat="1" applyFont="1" applyFill="1" applyBorder="1" applyAlignment="1">
      <alignment horizontal="center" vertical="center"/>
    </xf>
    <xf numFmtId="3" fontId="48" fillId="0" borderId="329" xfId="1" applyNumberFormat="1" applyFont="1" applyFill="1" applyBorder="1" applyAlignment="1">
      <alignment horizontal="center" vertical="center"/>
    </xf>
    <xf numFmtId="3" fontId="70" fillId="0" borderId="106" xfId="1" applyNumberFormat="1" applyFont="1" applyFill="1" applyBorder="1" applyAlignment="1">
      <alignment horizontal="center" vertical="center"/>
    </xf>
    <xf numFmtId="3" fontId="70" fillId="0" borderId="328" xfId="1" applyNumberFormat="1" applyFont="1" applyFill="1" applyBorder="1" applyAlignment="1">
      <alignment horizontal="center" vertical="center"/>
    </xf>
    <xf numFmtId="3" fontId="149" fillId="0" borderId="329" xfId="1" applyNumberFormat="1" applyFont="1" applyFill="1" applyBorder="1" applyAlignment="1">
      <alignment horizontal="center" vertical="center"/>
    </xf>
    <xf numFmtId="3" fontId="51" fillId="0" borderId="328" xfId="1" applyNumberFormat="1" applyFont="1" applyFill="1" applyBorder="1" applyAlignment="1">
      <alignment horizontal="center" vertical="center"/>
    </xf>
    <xf numFmtId="3" fontId="48" fillId="0" borderId="192" xfId="1" applyNumberFormat="1" applyFont="1" applyFill="1" applyBorder="1" applyAlignment="1">
      <alignment horizontal="center" vertical="center"/>
    </xf>
    <xf numFmtId="3" fontId="70" fillId="0" borderId="324" xfId="1" applyNumberFormat="1" applyFont="1" applyFill="1" applyBorder="1" applyAlignment="1">
      <alignment horizontal="center" vertical="center"/>
    </xf>
    <xf numFmtId="0" fontId="105" fillId="0" borderId="306" xfId="1" applyFont="1" applyFill="1" applyBorder="1" applyAlignment="1">
      <alignment horizontal="center" vertical="center"/>
    </xf>
    <xf numFmtId="3" fontId="48" fillId="0" borderId="325" xfId="1" applyNumberFormat="1" applyFont="1" applyFill="1" applyBorder="1" applyAlignment="1">
      <alignment horizontal="center" vertical="center"/>
    </xf>
    <xf numFmtId="3" fontId="51" fillId="0" borderId="325" xfId="1" applyNumberFormat="1" applyFont="1" applyFill="1" applyBorder="1" applyAlignment="1">
      <alignment horizontal="left" vertical="center"/>
    </xf>
    <xf numFmtId="3" fontId="51" fillId="0" borderId="325" xfId="1" applyNumberFormat="1" applyFont="1" applyFill="1" applyBorder="1" applyAlignment="1">
      <alignment horizontal="center" vertical="center"/>
    </xf>
    <xf numFmtId="0" fontId="2" fillId="0" borderId="325" xfId="1" applyFont="1" applyFill="1" applyBorder="1" applyAlignment="1">
      <alignment horizontal="center" vertical="center"/>
    </xf>
    <xf numFmtId="172" fontId="51" fillId="0" borderId="325" xfId="1" applyNumberFormat="1" applyFont="1" applyFill="1" applyBorder="1" applyAlignment="1">
      <alignment horizontal="center" vertical="center"/>
    </xf>
    <xf numFmtId="14" fontId="51" fillId="0" borderId="325" xfId="1" applyNumberFormat="1" applyFont="1" applyFill="1" applyBorder="1" applyAlignment="1">
      <alignment horizontal="center" vertical="center"/>
    </xf>
    <xf numFmtId="3" fontId="70" fillId="0" borderId="322" xfId="1" applyNumberFormat="1" applyFont="1" applyFill="1" applyBorder="1" applyAlignment="1">
      <alignment horizontal="center" vertical="center"/>
    </xf>
    <xf numFmtId="3" fontId="51" fillId="0" borderId="322" xfId="1" applyNumberFormat="1" applyFont="1" applyFill="1" applyBorder="1" applyAlignment="1">
      <alignment horizontal="left" vertical="center"/>
    </xf>
    <xf numFmtId="3" fontId="51" fillId="0" borderId="322" xfId="1" applyNumberFormat="1" applyFont="1" applyFill="1" applyBorder="1" applyAlignment="1">
      <alignment horizontal="center" vertical="center"/>
    </xf>
    <xf numFmtId="0" fontId="2" fillId="0" borderId="322" xfId="1" applyFont="1" applyFill="1" applyBorder="1" applyAlignment="1">
      <alignment horizontal="center" vertical="center"/>
    </xf>
    <xf numFmtId="172" fontId="51" fillId="0" borderId="322" xfId="1" applyNumberFormat="1" applyFont="1" applyFill="1" applyBorder="1" applyAlignment="1">
      <alignment horizontal="center" vertical="center"/>
    </xf>
    <xf numFmtId="14" fontId="51" fillId="0" borderId="322" xfId="1" applyNumberFormat="1" applyFont="1" applyFill="1" applyBorder="1" applyAlignment="1">
      <alignment horizontal="center" vertical="center"/>
    </xf>
    <xf numFmtId="2" fontId="51" fillId="0" borderId="330" xfId="1" applyNumberFormat="1" applyFont="1" applyFill="1" applyBorder="1" applyAlignment="1">
      <alignment horizontal="center" vertical="center"/>
    </xf>
    <xf numFmtId="0" fontId="105" fillId="0" borderId="332" xfId="1" applyFont="1" applyFill="1" applyBorder="1" applyAlignment="1">
      <alignment horizontal="center" vertical="center"/>
    </xf>
    <xf numFmtId="0" fontId="105" fillId="0" borderId="292" xfId="1" applyFont="1" applyFill="1" applyBorder="1" applyAlignment="1">
      <alignment horizontal="center" vertical="center"/>
    </xf>
    <xf numFmtId="3" fontId="48" fillId="0" borderId="342" xfId="1" applyNumberFormat="1" applyFont="1" applyFill="1" applyBorder="1" applyAlignment="1">
      <alignment horizontal="center" vertical="center"/>
    </xf>
    <xf numFmtId="2" fontId="51" fillId="0" borderId="343" xfId="1" applyNumberFormat="1" applyFont="1" applyFill="1" applyBorder="1" applyAlignment="1">
      <alignment horizontal="center" vertical="center"/>
    </xf>
    <xf numFmtId="166" fontId="41" fillId="0" borderId="345" xfId="1" applyNumberFormat="1" applyFont="1" applyFill="1" applyBorder="1" applyAlignment="1">
      <alignment horizontal="center" vertical="center"/>
    </xf>
    <xf numFmtId="3" fontId="48" fillId="0" borderId="336" xfId="1" applyNumberFormat="1" applyFont="1" applyFill="1" applyBorder="1" applyAlignment="1">
      <alignment horizontal="center" vertical="center"/>
    </xf>
    <xf numFmtId="3" fontId="48" fillId="0" borderId="352" xfId="1" applyNumberFormat="1" applyFont="1" applyFill="1" applyBorder="1" applyAlignment="1">
      <alignment horizontal="center" vertical="center"/>
    </xf>
    <xf numFmtId="3" fontId="48" fillId="0" borderId="351" xfId="1" applyNumberFormat="1" applyFont="1" applyFill="1" applyBorder="1" applyAlignment="1">
      <alignment horizontal="center" vertical="center"/>
    </xf>
    <xf numFmtId="3" fontId="51" fillId="0" borderId="351" xfId="1" applyNumberFormat="1" applyFont="1" applyFill="1" applyBorder="1" applyAlignment="1">
      <alignment horizontal="left" vertical="center"/>
    </xf>
    <xf numFmtId="3" fontId="51" fillId="0" borderId="351" xfId="1" applyNumberFormat="1" applyFont="1" applyFill="1" applyBorder="1" applyAlignment="1">
      <alignment horizontal="center" vertical="center"/>
    </xf>
    <xf numFmtId="0" fontId="2" fillId="0" borderId="351" xfId="1" applyFont="1" applyFill="1" applyBorder="1" applyAlignment="1">
      <alignment horizontal="center" vertical="center"/>
    </xf>
    <xf numFmtId="172" fontId="51" fillId="0" borderId="351" xfId="1" applyNumberFormat="1" applyFont="1" applyFill="1" applyBorder="1" applyAlignment="1">
      <alignment horizontal="center" vertical="center"/>
    </xf>
    <xf numFmtId="14" fontId="51" fillId="0" borderId="351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103" fillId="12" borderId="17" xfId="1" applyFont="1" applyFill="1" applyBorder="1" applyAlignment="1">
      <alignment horizontal="center" vertical="center"/>
    </xf>
    <xf numFmtId="0" fontId="23" fillId="12" borderId="0" xfId="15" applyFont="1" applyFill="1" applyBorder="1" applyAlignment="1">
      <alignment horizontal="left" vertical="center"/>
    </xf>
    <xf numFmtId="3" fontId="48" fillId="11" borderId="66" xfId="1" applyNumberFormat="1" applyFont="1" applyFill="1" applyBorder="1" applyAlignment="1">
      <alignment horizontal="center" vertical="center"/>
    </xf>
    <xf numFmtId="0" fontId="23" fillId="11" borderId="0" xfId="15" applyFont="1" applyFill="1" applyBorder="1" applyAlignment="1">
      <alignment horizontal="left" vertical="center"/>
    </xf>
    <xf numFmtId="0" fontId="142" fillId="15" borderId="17" xfId="1" applyFont="1" applyFill="1" applyBorder="1" applyAlignment="1">
      <alignment horizontal="center" vertical="center"/>
    </xf>
    <xf numFmtId="3" fontId="70" fillId="0" borderId="352" xfId="1" applyNumberFormat="1" applyFont="1" applyFill="1" applyBorder="1" applyAlignment="1">
      <alignment horizontal="center" vertical="center"/>
    </xf>
    <xf numFmtId="3" fontId="70" fillId="0" borderId="351" xfId="1" applyNumberFormat="1" applyFont="1" applyFill="1" applyBorder="1" applyAlignment="1">
      <alignment horizontal="center" vertical="center"/>
    </xf>
    <xf numFmtId="166" fontId="41" fillId="3" borderId="345" xfId="1" applyNumberFormat="1" applyFont="1" applyFill="1" applyBorder="1" applyAlignment="1">
      <alignment horizontal="center" vertical="center"/>
    </xf>
    <xf numFmtId="3" fontId="48" fillId="0" borderId="357" xfId="1" applyNumberFormat="1" applyFont="1" applyFill="1" applyBorder="1" applyAlignment="1">
      <alignment horizontal="center" vertical="center"/>
    </xf>
    <xf numFmtId="3" fontId="70" fillId="0" borderId="359" xfId="1" applyNumberFormat="1" applyFont="1" applyFill="1" applyBorder="1" applyAlignment="1">
      <alignment horizontal="center" vertical="center"/>
    </xf>
    <xf numFmtId="3" fontId="70" fillId="0" borderId="358" xfId="1" applyNumberFormat="1" applyFont="1" applyFill="1" applyBorder="1" applyAlignment="1">
      <alignment horizontal="center" vertical="center"/>
    </xf>
    <xf numFmtId="3" fontId="48" fillId="0" borderId="358" xfId="1" applyNumberFormat="1" applyFont="1" applyFill="1" applyBorder="1" applyAlignment="1">
      <alignment horizontal="center" vertical="center"/>
    </xf>
    <xf numFmtId="2" fontId="51" fillId="18" borderId="330" xfId="1" applyNumberFormat="1" applyFont="1" applyFill="1" applyBorder="1" applyAlignment="1">
      <alignment horizontal="center" vertical="center"/>
    </xf>
    <xf numFmtId="2" fontId="51" fillId="6" borderId="343" xfId="1" applyNumberFormat="1" applyFont="1" applyFill="1" applyBorder="1" applyAlignment="1">
      <alignment horizontal="center" vertical="center"/>
    </xf>
    <xf numFmtId="0" fontId="105" fillId="6" borderId="352" xfId="1" applyFont="1" applyFill="1" applyBorder="1" applyAlignment="1">
      <alignment horizontal="center" vertical="center"/>
    </xf>
    <xf numFmtId="2" fontId="51" fillId="6" borderId="369" xfId="1" applyNumberFormat="1" applyFont="1" applyFill="1" applyBorder="1" applyAlignment="1">
      <alignment horizontal="center" vertical="center"/>
    </xf>
    <xf numFmtId="3" fontId="70" fillId="0" borderId="357" xfId="1" applyNumberFormat="1" applyFont="1" applyFill="1" applyBorder="1" applyAlignment="1">
      <alignment horizontal="center" vertical="center"/>
    </xf>
    <xf numFmtId="0" fontId="105" fillId="6" borderId="352" xfId="1" applyFont="1" applyFill="1" applyBorder="1" applyAlignment="1">
      <alignment horizontal="center"/>
    </xf>
    <xf numFmtId="3" fontId="48" fillId="6" borderId="352" xfId="1" applyNumberFormat="1" applyFont="1" applyFill="1" applyBorder="1" applyAlignment="1">
      <alignment horizontal="center" vertical="center"/>
    </xf>
    <xf numFmtId="3" fontId="48" fillId="6" borderId="351" xfId="1" applyNumberFormat="1" applyFont="1" applyFill="1" applyBorder="1" applyAlignment="1">
      <alignment horizontal="center" vertical="center"/>
    </xf>
    <xf numFmtId="3" fontId="51" fillId="6" borderId="351" xfId="1" applyNumberFormat="1" applyFont="1" applyFill="1" applyBorder="1" applyAlignment="1">
      <alignment horizontal="left" vertical="center"/>
    </xf>
    <xf numFmtId="172" fontId="51" fillId="6" borderId="351" xfId="1" applyNumberFormat="1" applyFont="1" applyFill="1" applyBorder="1" applyAlignment="1">
      <alignment horizontal="center" vertical="center"/>
    </xf>
    <xf numFmtId="14" fontId="51" fillId="6" borderId="351" xfId="1" applyNumberFormat="1" applyFont="1" applyFill="1" applyBorder="1" applyAlignment="1">
      <alignment horizontal="center" vertical="center"/>
    </xf>
    <xf numFmtId="3" fontId="149" fillId="6" borderId="351" xfId="1" applyNumberFormat="1" applyFont="1" applyFill="1" applyBorder="1" applyAlignment="1">
      <alignment horizontal="center" vertical="center"/>
    </xf>
    <xf numFmtId="0" fontId="103" fillId="6" borderId="367" xfId="1" applyFont="1" applyFill="1" applyBorder="1" applyAlignment="1">
      <alignment horizontal="center" vertical="center"/>
    </xf>
    <xf numFmtId="2" fontId="51" fillId="6" borderId="330" xfId="1" applyNumberFormat="1" applyFont="1" applyFill="1" applyBorder="1" applyAlignment="1">
      <alignment horizontal="center" vertical="center"/>
    </xf>
    <xf numFmtId="3" fontId="48" fillId="6" borderId="358" xfId="1" applyNumberFormat="1" applyFont="1" applyFill="1" applyBorder="1" applyAlignment="1">
      <alignment horizontal="center" vertical="center"/>
    </xf>
    <xf numFmtId="3" fontId="149" fillId="6" borderId="358" xfId="1" applyNumberFormat="1" applyFont="1" applyFill="1" applyBorder="1" applyAlignment="1">
      <alignment horizontal="center" vertical="center"/>
    </xf>
    <xf numFmtId="3" fontId="48" fillId="0" borderId="359" xfId="1" applyNumberFormat="1" applyFont="1" applyFill="1" applyBorder="1" applyAlignment="1">
      <alignment horizontal="center" vertical="center"/>
    </xf>
    <xf numFmtId="3" fontId="51" fillId="6" borderId="358" xfId="1" applyNumberFormat="1" applyFont="1" applyFill="1" applyBorder="1" applyAlignment="1">
      <alignment horizontal="left" vertical="center"/>
    </xf>
    <xf numFmtId="172" fontId="51" fillId="6" borderId="358" xfId="1" applyNumberFormat="1" applyFont="1" applyFill="1" applyBorder="1" applyAlignment="1">
      <alignment horizontal="center" vertical="center"/>
    </xf>
    <xf numFmtId="14" fontId="51" fillId="6" borderId="358" xfId="1" applyNumberFormat="1" applyFont="1" applyFill="1" applyBorder="1" applyAlignment="1">
      <alignment horizontal="center" vertical="center"/>
    </xf>
    <xf numFmtId="3" fontId="48" fillId="6" borderId="357" xfId="1" applyNumberFormat="1" applyFont="1" applyFill="1" applyBorder="1" applyAlignment="1">
      <alignment horizontal="center" vertical="center"/>
    </xf>
    <xf numFmtId="3" fontId="51" fillId="6" borderId="357" xfId="1" applyNumberFormat="1" applyFont="1" applyFill="1" applyBorder="1" applyAlignment="1">
      <alignment horizontal="left" vertical="center"/>
    </xf>
    <xf numFmtId="14" fontId="51" fillId="6" borderId="357" xfId="1" applyNumberFormat="1" applyFont="1" applyFill="1" applyBorder="1" applyAlignment="1">
      <alignment horizontal="center" vertical="center"/>
    </xf>
    <xf numFmtId="3" fontId="149" fillId="6" borderId="352" xfId="1" applyNumberFormat="1" applyFont="1" applyFill="1" applyBorder="1" applyAlignment="1">
      <alignment horizontal="center" vertical="center"/>
    </xf>
    <xf numFmtId="0" fontId="2" fillId="6" borderId="351" xfId="1" applyFont="1" applyFill="1" applyBorder="1" applyAlignment="1">
      <alignment horizontal="center" vertical="center"/>
    </xf>
    <xf numFmtId="3" fontId="51" fillId="6" borderId="351" xfId="1" applyNumberFormat="1" applyFont="1" applyFill="1" applyBorder="1" applyAlignment="1">
      <alignment horizontal="center" vertical="center"/>
    </xf>
    <xf numFmtId="0" fontId="2" fillId="6" borderId="357" xfId="1" applyFont="1" applyFill="1" applyBorder="1" applyAlignment="1">
      <alignment horizontal="center" vertical="center"/>
    </xf>
    <xf numFmtId="3" fontId="51" fillId="6" borderId="358" xfId="1" applyNumberFormat="1" applyFont="1" applyFill="1" applyBorder="1" applyAlignment="1">
      <alignment horizontal="center" vertical="center"/>
    </xf>
    <xf numFmtId="0" fontId="2" fillId="6" borderId="358" xfId="1" applyFont="1" applyFill="1" applyBorder="1" applyAlignment="1">
      <alignment horizontal="center" vertical="center"/>
    </xf>
    <xf numFmtId="3" fontId="51" fillId="6" borderId="357" xfId="1" applyNumberFormat="1" applyFont="1" applyFill="1" applyBorder="1" applyAlignment="1">
      <alignment horizontal="center" vertical="center"/>
    </xf>
    <xf numFmtId="2" fontId="51" fillId="9" borderId="343" xfId="1" applyNumberFormat="1" applyFont="1" applyFill="1" applyBorder="1" applyAlignment="1">
      <alignment horizontal="center" vertical="center"/>
    </xf>
    <xf numFmtId="3" fontId="149" fillId="9" borderId="352" xfId="1" applyNumberFormat="1" applyFont="1" applyFill="1" applyBorder="1" applyAlignment="1">
      <alignment horizontal="center" vertical="center"/>
    </xf>
    <xf numFmtId="3" fontId="149" fillId="9" borderId="351" xfId="1" applyNumberFormat="1" applyFont="1" applyFill="1" applyBorder="1" applyAlignment="1">
      <alignment horizontal="center" vertical="center"/>
    </xf>
    <xf numFmtId="172" fontId="51" fillId="9" borderId="351" xfId="1" applyNumberFormat="1" applyFont="1" applyFill="1" applyBorder="1" applyAlignment="1">
      <alignment horizontal="center" vertical="center"/>
    </xf>
    <xf numFmtId="3" fontId="51" fillId="9" borderId="351" xfId="1" applyNumberFormat="1" applyFont="1" applyFill="1" applyBorder="1" applyAlignment="1">
      <alignment horizontal="left" vertical="center"/>
    </xf>
    <xf numFmtId="0" fontId="2" fillId="9" borderId="351" xfId="1" applyFont="1" applyFill="1" applyBorder="1" applyAlignment="1">
      <alignment horizontal="center" vertical="center"/>
    </xf>
    <xf numFmtId="0" fontId="105" fillId="9" borderId="359" xfId="1" applyFont="1" applyFill="1" applyBorder="1" applyAlignment="1">
      <alignment horizontal="center" vertical="center"/>
    </xf>
    <xf numFmtId="2" fontId="51" fillId="9" borderId="369" xfId="1" applyNumberFormat="1" applyFont="1" applyFill="1" applyBorder="1" applyAlignment="1">
      <alignment horizontal="center" vertical="center"/>
    </xf>
    <xf numFmtId="2" fontId="51" fillId="9" borderId="330" xfId="1" applyNumberFormat="1" applyFont="1" applyFill="1" applyBorder="1" applyAlignment="1">
      <alignment horizontal="center" vertical="center"/>
    </xf>
    <xf numFmtId="0" fontId="2" fillId="12" borderId="0" xfId="1" applyFont="1" applyFill="1" applyBorder="1" applyAlignment="1">
      <alignment horizontal="left" vertical="center"/>
    </xf>
    <xf numFmtId="166" fontId="41" fillId="0" borderId="351" xfId="1" applyNumberFormat="1" applyFont="1" applyFill="1" applyBorder="1" applyAlignment="1">
      <alignment horizontal="center" vertical="center"/>
    </xf>
    <xf numFmtId="166" fontId="41" fillId="3" borderId="375" xfId="1" applyNumberFormat="1" applyFont="1" applyFill="1" applyBorder="1" applyAlignment="1">
      <alignment horizontal="center" vertical="center"/>
    </xf>
    <xf numFmtId="3" fontId="41" fillId="0" borderId="192" xfId="1" applyNumberFormat="1" applyFont="1" applyFill="1" applyBorder="1" applyAlignment="1">
      <alignment horizontal="center" vertical="center"/>
    </xf>
    <xf numFmtId="3" fontId="41" fillId="0" borderId="365" xfId="1" applyNumberFormat="1" applyFont="1" applyFill="1" applyBorder="1" applyAlignment="1">
      <alignment horizontal="center" vertical="center"/>
    </xf>
    <xf numFmtId="3" fontId="41" fillId="0" borderId="273" xfId="1" applyNumberFormat="1" applyFont="1" applyFill="1" applyBorder="1" applyAlignment="1">
      <alignment horizontal="center" vertical="center"/>
    </xf>
    <xf numFmtId="3" fontId="41" fillId="0" borderId="329" xfId="1" applyNumberFormat="1" applyFont="1" applyFill="1" applyBorder="1" applyAlignment="1">
      <alignment horizontal="center" vertical="center"/>
    </xf>
    <xf numFmtId="3" fontId="41" fillId="0" borderId="362" xfId="1" applyNumberFormat="1" applyFont="1" applyFill="1" applyBorder="1" applyAlignment="1">
      <alignment horizontal="center" vertical="center"/>
    </xf>
    <xf numFmtId="3" fontId="41" fillId="0" borderId="360" xfId="1" applyNumberFormat="1" applyFont="1" applyFill="1" applyBorder="1" applyAlignment="1">
      <alignment horizontal="center" vertical="center"/>
    </xf>
    <xf numFmtId="3" fontId="41" fillId="0" borderId="368" xfId="1" applyNumberFormat="1" applyFont="1" applyFill="1" applyBorder="1" applyAlignment="1">
      <alignment horizontal="center" vertical="center"/>
    </xf>
    <xf numFmtId="3" fontId="41" fillId="0" borderId="326" xfId="1" applyNumberFormat="1" applyFont="1" applyFill="1" applyBorder="1" applyAlignment="1">
      <alignment horizontal="center" vertical="center"/>
    </xf>
    <xf numFmtId="3" fontId="41" fillId="0" borderId="366" xfId="1" applyNumberFormat="1" applyFont="1" applyFill="1" applyBorder="1" applyAlignment="1">
      <alignment horizontal="center" vertical="center"/>
    </xf>
    <xf numFmtId="3" fontId="48" fillId="0" borderId="8" xfId="1" applyNumberFormat="1" applyFont="1" applyFill="1" applyBorder="1" applyAlignment="1">
      <alignment horizontal="center" vertical="center"/>
    </xf>
    <xf numFmtId="3" fontId="149" fillId="0" borderId="31" xfId="1" applyNumberFormat="1" applyFont="1" applyFill="1" applyBorder="1" applyAlignment="1">
      <alignment horizontal="center" vertical="center"/>
    </xf>
    <xf numFmtId="166" fontId="41" fillId="0" borderId="261" xfId="1" applyNumberFormat="1" applyFont="1" applyFill="1" applyBorder="1" applyAlignment="1">
      <alignment horizontal="center" vertical="center"/>
    </xf>
    <xf numFmtId="3" fontId="48" fillId="0" borderId="295" xfId="1" applyNumberFormat="1" applyFont="1" applyFill="1" applyBorder="1" applyAlignment="1">
      <alignment horizontal="center" vertical="center"/>
    </xf>
    <xf numFmtId="3" fontId="48" fillId="0" borderId="337" xfId="1" applyNumberFormat="1" applyFont="1" applyFill="1" applyBorder="1" applyAlignment="1">
      <alignment horizontal="center" vertical="center"/>
    </xf>
    <xf numFmtId="3" fontId="70" fillId="0" borderId="342" xfId="1" applyNumberFormat="1" applyFont="1" applyFill="1" applyBorder="1" applyAlignment="1">
      <alignment horizontal="center" vertical="center"/>
    </xf>
    <xf numFmtId="0" fontId="103" fillId="5" borderId="26" xfId="1" applyFont="1" applyFill="1" applyBorder="1" applyAlignment="1">
      <alignment horizontal="center" vertical="center"/>
    </xf>
    <xf numFmtId="3" fontId="149" fillId="5" borderId="261" xfId="1" applyNumberFormat="1" applyFont="1" applyFill="1" applyBorder="1" applyAlignment="1">
      <alignment horizontal="center" vertical="center"/>
    </xf>
    <xf numFmtId="0" fontId="97" fillId="0" borderId="0" xfId="1" applyFont="1" applyFill="1" applyBorder="1" applyAlignment="1">
      <alignment horizontal="left" vertical="center"/>
    </xf>
    <xf numFmtId="0" fontId="99" fillId="0" borderId="15" xfId="15" applyFont="1" applyFill="1" applyBorder="1" applyAlignment="1">
      <alignment horizontal="center" vertical="center"/>
    </xf>
    <xf numFmtId="0" fontId="115" fillId="6" borderId="0" xfId="15" applyFont="1" applyFill="1" applyBorder="1" applyAlignment="1">
      <alignment horizontal="left" vertical="center"/>
    </xf>
    <xf numFmtId="0" fontId="105" fillId="18" borderId="0" xfId="1" applyFont="1" applyFill="1" applyBorder="1" applyAlignment="1">
      <alignment horizontal="center"/>
    </xf>
    <xf numFmtId="3" fontId="70" fillId="12" borderId="66" xfId="1" applyNumberFormat="1" applyFont="1" applyFill="1" applyBorder="1" applyAlignment="1">
      <alignment horizontal="center" vertical="center"/>
    </xf>
    <xf numFmtId="14" fontId="51" fillId="12" borderId="66" xfId="1" quotePrefix="1" applyNumberFormat="1" applyFont="1" applyFill="1" applyBorder="1" applyAlignment="1">
      <alignment horizontal="center" vertical="center"/>
    </xf>
    <xf numFmtId="0" fontId="101" fillId="11" borderId="26" xfId="1" applyFont="1" applyFill="1" applyBorder="1" applyAlignment="1">
      <alignment horizontal="center" vertical="center"/>
    </xf>
    <xf numFmtId="0" fontId="142" fillId="12" borderId="265" xfId="1" applyFont="1" applyFill="1" applyBorder="1" applyAlignment="1">
      <alignment horizontal="center" vertical="center"/>
    </xf>
    <xf numFmtId="0" fontId="101" fillId="14" borderId="265" xfId="1" applyFont="1" applyFill="1" applyBorder="1" applyAlignment="1">
      <alignment horizontal="center" vertical="center"/>
    </xf>
    <xf numFmtId="0" fontId="97" fillId="11" borderId="4" xfId="1" applyFont="1" applyFill="1" applyBorder="1" applyAlignment="1">
      <alignment horizontal="left" vertical="center"/>
    </xf>
    <xf numFmtId="0" fontId="115" fillId="2" borderId="0" xfId="15" applyFont="1" applyFill="1" applyBorder="1" applyAlignment="1">
      <alignment horizontal="left" vertical="center"/>
    </xf>
    <xf numFmtId="0" fontId="97" fillId="14" borderId="266" xfId="1" applyFont="1" applyFill="1" applyBorder="1" applyAlignment="1">
      <alignment horizontal="left" vertical="center"/>
    </xf>
    <xf numFmtId="0" fontId="51" fillId="15" borderId="0" xfId="1" applyFont="1" applyFill="1" applyBorder="1" applyAlignment="1">
      <alignment horizontal="left" vertical="center"/>
    </xf>
    <xf numFmtId="0" fontId="2" fillId="12" borderId="266" xfId="15" applyFont="1" applyFill="1" applyBorder="1" applyAlignment="1">
      <alignment horizontal="left" vertical="center"/>
    </xf>
    <xf numFmtId="0" fontId="2" fillId="12" borderId="266" xfId="1" applyFont="1" applyFill="1" applyBorder="1" applyAlignment="1">
      <alignment horizontal="left" vertical="center"/>
    </xf>
    <xf numFmtId="0" fontId="105" fillId="11" borderId="19" xfId="1" applyFont="1" applyFill="1" applyBorder="1" applyAlignment="1">
      <alignment horizontal="center"/>
    </xf>
    <xf numFmtId="0" fontId="105" fillId="13" borderId="19" xfId="1" applyFont="1" applyFill="1" applyBorder="1" applyAlignment="1">
      <alignment horizontal="center"/>
    </xf>
    <xf numFmtId="0" fontId="106" fillId="12" borderId="268" xfId="1" applyFont="1" applyFill="1" applyBorder="1" applyAlignment="1">
      <alignment horizontal="center"/>
    </xf>
    <xf numFmtId="0" fontId="105" fillId="14" borderId="268" xfId="1" applyFont="1" applyFill="1" applyBorder="1" applyAlignment="1">
      <alignment horizontal="center"/>
    </xf>
    <xf numFmtId="0" fontId="106" fillId="15" borderId="103" xfId="1" applyFont="1" applyFill="1" applyBorder="1" applyAlignment="1">
      <alignment horizontal="center"/>
    </xf>
    <xf numFmtId="166" fontId="103" fillId="13" borderId="345" xfId="1" applyNumberFormat="1" applyFont="1" applyFill="1" applyBorder="1" applyAlignment="1">
      <alignment horizontal="center" vertical="center"/>
    </xf>
    <xf numFmtId="166" fontId="103" fillId="12" borderId="316" xfId="1" applyNumberFormat="1" applyFont="1" applyFill="1" applyBorder="1" applyAlignment="1">
      <alignment horizontal="center" vertical="center"/>
    </xf>
    <xf numFmtId="166" fontId="95" fillId="12" borderId="345" xfId="1" applyNumberFormat="1" applyFont="1" applyFill="1" applyBorder="1" applyAlignment="1">
      <alignment horizontal="center" vertical="center"/>
    </xf>
    <xf numFmtId="166" fontId="41" fillId="12" borderId="127" xfId="1" applyNumberFormat="1" applyFont="1" applyFill="1" applyBorder="1" applyAlignment="1">
      <alignment horizontal="center" vertical="center"/>
    </xf>
    <xf numFmtId="166" fontId="101" fillId="12" borderId="127" xfId="1" applyNumberFormat="1" applyFont="1" applyFill="1" applyBorder="1" applyAlignment="1">
      <alignment horizontal="center" vertical="center"/>
    </xf>
    <xf numFmtId="166" fontId="98" fillId="13" borderId="311" xfId="1" applyNumberFormat="1" applyFont="1" applyFill="1" applyBorder="1" applyAlignment="1">
      <alignment horizontal="center" vertical="center"/>
    </xf>
    <xf numFmtId="166" fontId="41" fillId="12" borderId="316" xfId="1" applyNumberFormat="1" applyFont="1" applyFill="1" applyBorder="1" applyAlignment="1">
      <alignment horizontal="center" vertical="center"/>
    </xf>
    <xf numFmtId="3" fontId="2" fillId="11" borderId="183" xfId="1" applyNumberFormat="1" applyFont="1" applyFill="1" applyBorder="1" applyAlignment="1">
      <alignment horizontal="right" vertical="center"/>
    </xf>
    <xf numFmtId="3" fontId="2" fillId="14" borderId="264" xfId="1" applyNumberFormat="1" applyFont="1" applyFill="1" applyBorder="1" applyAlignment="1">
      <alignment horizontal="right" vertical="center"/>
    </xf>
    <xf numFmtId="3" fontId="2" fillId="15" borderId="66" xfId="1" applyNumberFormat="1" applyFont="1" applyFill="1" applyBorder="1" applyAlignment="1">
      <alignment horizontal="right" vertical="center"/>
    </xf>
    <xf numFmtId="3" fontId="48" fillId="12" borderId="264" xfId="1" applyNumberFormat="1" applyFont="1" applyFill="1" applyBorder="1" applyAlignment="1">
      <alignment horizontal="center" vertical="center"/>
    </xf>
    <xf numFmtId="3" fontId="149" fillId="12" borderId="264" xfId="1" applyNumberFormat="1" applyFont="1" applyFill="1" applyBorder="1" applyAlignment="1">
      <alignment horizontal="center" vertical="center"/>
    </xf>
    <xf numFmtId="3" fontId="2" fillId="13" borderId="54" xfId="1" applyNumberFormat="1" applyFont="1" applyFill="1" applyBorder="1" applyAlignment="1">
      <alignment horizontal="center" vertical="center"/>
    </xf>
    <xf numFmtId="3" fontId="100" fillId="12" borderId="264" xfId="1" applyNumberFormat="1" applyFont="1" applyFill="1" applyBorder="1" applyAlignment="1">
      <alignment horizontal="center" vertical="center"/>
    </xf>
    <xf numFmtId="3" fontId="2" fillId="11" borderId="183" xfId="1" applyNumberFormat="1" applyFont="1" applyFill="1" applyBorder="1" applyAlignment="1">
      <alignment horizontal="left" vertical="center"/>
    </xf>
    <xf numFmtId="3" fontId="2" fillId="14" borderId="264" xfId="1" applyNumberFormat="1" applyFont="1" applyFill="1" applyBorder="1" applyAlignment="1">
      <alignment horizontal="left" vertical="center"/>
    </xf>
    <xf numFmtId="3" fontId="2" fillId="15" borderId="66" xfId="1" applyNumberFormat="1" applyFont="1" applyFill="1" applyBorder="1" applyAlignment="1">
      <alignment horizontal="left" vertical="center"/>
    </xf>
    <xf numFmtId="3" fontId="2" fillId="12" borderId="264" xfId="1" applyNumberFormat="1" applyFont="1" applyFill="1" applyBorder="1" applyAlignment="1">
      <alignment horizontal="left" vertical="center"/>
    </xf>
    <xf numFmtId="3" fontId="2" fillId="11" borderId="183" xfId="1" applyNumberFormat="1" applyFont="1" applyFill="1" applyBorder="1" applyAlignment="1">
      <alignment horizontal="center" vertical="center"/>
    </xf>
    <xf numFmtId="3" fontId="2" fillId="14" borderId="264" xfId="1" applyNumberFormat="1" applyFont="1" applyFill="1" applyBorder="1" applyAlignment="1">
      <alignment horizontal="center" vertical="center"/>
    </xf>
    <xf numFmtId="3" fontId="2" fillId="15" borderId="66" xfId="1" applyNumberFormat="1" applyFont="1" applyFill="1" applyBorder="1" applyAlignment="1">
      <alignment horizontal="center" vertical="center"/>
    </xf>
    <xf numFmtId="0" fontId="2" fillId="11" borderId="183" xfId="1" applyFont="1" applyFill="1" applyBorder="1" applyAlignment="1">
      <alignment horizontal="center" vertical="center"/>
    </xf>
    <xf numFmtId="0" fontId="101" fillId="12" borderId="264" xfId="1" applyFont="1" applyFill="1" applyBorder="1" applyAlignment="1">
      <alignment horizontal="center" vertical="center"/>
    </xf>
    <xf numFmtId="0" fontId="2" fillId="14" borderId="264" xfId="1" applyFont="1" applyFill="1" applyBorder="1" applyAlignment="1">
      <alignment horizontal="center" vertical="center"/>
    </xf>
    <xf numFmtId="0" fontId="101" fillId="15" borderId="66" xfId="1" applyFont="1" applyFill="1" applyBorder="1" applyAlignment="1">
      <alignment horizontal="center" vertical="center"/>
    </xf>
    <xf numFmtId="172" fontId="2" fillId="11" borderId="183" xfId="1" applyNumberFormat="1" applyFont="1" applyFill="1" applyBorder="1" applyAlignment="1">
      <alignment horizontal="center" vertical="center"/>
    </xf>
    <xf numFmtId="172" fontId="2" fillId="14" borderId="264" xfId="1" applyNumberFormat="1" applyFont="1" applyFill="1" applyBorder="1" applyAlignment="1">
      <alignment horizontal="center" vertical="center"/>
    </xf>
    <xf numFmtId="172" fontId="2" fillId="15" borderId="66" xfId="1" applyNumberFormat="1" applyFont="1" applyFill="1" applyBorder="1" applyAlignment="1">
      <alignment horizontal="center" vertical="center"/>
    </xf>
    <xf numFmtId="172" fontId="2" fillId="12" borderId="264" xfId="1" applyNumberFormat="1" applyFont="1" applyFill="1" applyBorder="1" applyAlignment="1">
      <alignment horizontal="center" vertical="center"/>
    </xf>
    <xf numFmtId="14" fontId="2" fillId="11" borderId="183" xfId="1" applyNumberFormat="1" applyFont="1" applyFill="1" applyBorder="1" applyAlignment="1">
      <alignment horizontal="center" vertical="center"/>
    </xf>
    <xf numFmtId="14" fontId="2" fillId="14" borderId="264" xfId="1" applyNumberFormat="1" applyFont="1" applyFill="1" applyBorder="1" applyAlignment="1">
      <alignment horizontal="center" vertical="center"/>
    </xf>
    <xf numFmtId="14" fontId="2" fillId="15" borderId="66" xfId="1" applyNumberFormat="1" applyFont="1" applyFill="1" applyBorder="1" applyAlignment="1">
      <alignment horizontal="center" vertical="center"/>
    </xf>
    <xf numFmtId="14" fontId="2" fillId="12" borderId="264" xfId="1" applyNumberFormat="1" applyFont="1" applyFill="1" applyBorder="1" applyAlignment="1">
      <alignment horizontal="center" vertical="center"/>
    </xf>
    <xf numFmtId="166" fontId="2" fillId="13" borderId="183" xfId="1" applyNumberFormat="1" applyFont="1" applyFill="1" applyBorder="1" applyAlignment="1">
      <alignment horizontal="center" vertical="center"/>
    </xf>
    <xf numFmtId="3" fontId="48" fillId="12" borderId="66" xfId="1" applyNumberFormat="1" applyFont="1" applyFill="1" applyBorder="1" applyAlignment="1">
      <alignment horizontal="center" vertical="center"/>
    </xf>
    <xf numFmtId="3" fontId="100" fillId="13" borderId="66" xfId="1" applyNumberFormat="1" applyFont="1" applyFill="1" applyBorder="1" applyAlignment="1">
      <alignment horizontal="center" vertical="center"/>
    </xf>
    <xf numFmtId="0" fontId="51" fillId="13" borderId="268" xfId="1" applyFont="1" applyFill="1" applyBorder="1" applyAlignment="1">
      <alignment horizontal="center"/>
    </xf>
    <xf numFmtId="3" fontId="70" fillId="12" borderId="103" xfId="1" applyNumberFormat="1" applyFont="1" applyFill="1" applyBorder="1" applyAlignment="1">
      <alignment horizontal="center" vertical="center"/>
    </xf>
    <xf numFmtId="0" fontId="115" fillId="9" borderId="4" xfId="15" applyFont="1" applyFill="1" applyBorder="1" applyAlignment="1">
      <alignment horizontal="left" vertical="center"/>
    </xf>
    <xf numFmtId="14" fontId="51" fillId="9" borderId="351" xfId="1" applyNumberFormat="1" applyFont="1" applyFill="1" applyBorder="1" applyAlignment="1">
      <alignment horizontal="center" vertical="center"/>
    </xf>
    <xf numFmtId="0" fontId="105" fillId="18" borderId="4" xfId="1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vertical="center"/>
    </xf>
    <xf numFmtId="3" fontId="51" fillId="9" borderId="351" xfId="1" applyNumberFormat="1" applyFont="1" applyFill="1" applyBorder="1" applyAlignment="1">
      <alignment horizontal="center" vertical="center"/>
    </xf>
    <xf numFmtId="3" fontId="63" fillId="0" borderId="321" xfId="1" applyNumberFormat="1" applyFont="1" applyFill="1" applyBorder="1" applyAlignment="1">
      <alignment horizontal="center" vertical="center"/>
    </xf>
    <xf numFmtId="0" fontId="63" fillId="0" borderId="255" xfId="1" applyFont="1" applyFill="1" applyBorder="1" applyAlignment="1">
      <alignment horizontal="left" vertical="center"/>
    </xf>
    <xf numFmtId="0" fontId="52" fillId="0" borderId="255" xfId="1" applyFont="1" applyFill="1" applyBorder="1" applyAlignment="1">
      <alignment vertical="center"/>
    </xf>
    <xf numFmtId="3" fontId="52" fillId="0" borderId="321" xfId="1" applyNumberFormat="1" applyFont="1" applyFill="1" applyBorder="1" applyAlignment="1">
      <alignment horizontal="center" vertical="center"/>
    </xf>
    <xf numFmtId="169" fontId="52" fillId="0" borderId="347" xfId="1" applyNumberFormat="1" applyFont="1" applyFill="1" applyBorder="1" applyAlignment="1">
      <alignment horizontal="right" vertical="center"/>
    </xf>
    <xf numFmtId="0" fontId="111" fillId="0" borderId="255" xfId="1" applyFont="1" applyFill="1" applyBorder="1" applyAlignment="1">
      <alignment horizontal="center" vertical="center"/>
    </xf>
    <xf numFmtId="0" fontId="111" fillId="0" borderId="365" xfId="1" applyFont="1" applyFill="1" applyBorder="1" applyAlignment="1">
      <alignment horizontal="center" vertical="center"/>
    </xf>
    <xf numFmtId="169" fontId="63" fillId="0" borderId="319" xfId="1" applyNumberFormat="1" applyFont="1" applyFill="1" applyBorder="1" applyAlignment="1">
      <alignment horizontal="right" vertical="center"/>
    </xf>
    <xf numFmtId="169" fontId="52" fillId="0" borderId="380" xfId="1" applyNumberFormat="1" applyFont="1" applyFill="1" applyBorder="1" applyAlignment="1">
      <alignment horizontal="right" vertical="center"/>
    </xf>
    <xf numFmtId="169" fontId="52" fillId="0" borderId="319" xfId="1" applyNumberFormat="1" applyFont="1" applyFill="1" applyBorder="1" applyAlignment="1">
      <alignment horizontal="right" vertical="center"/>
    </xf>
    <xf numFmtId="3" fontId="52" fillId="0" borderId="217" xfId="1" applyNumberFormat="1" applyFont="1" applyFill="1" applyBorder="1" applyAlignment="1">
      <alignment horizontal="center" vertical="center"/>
    </xf>
    <xf numFmtId="0" fontId="63" fillId="0" borderId="365" xfId="1" applyFont="1" applyFill="1" applyBorder="1" applyAlignment="1">
      <alignment horizontal="left" vertical="center"/>
    </xf>
    <xf numFmtId="0" fontId="111" fillId="0" borderId="321" xfId="1" applyFont="1" applyFill="1" applyBorder="1" applyAlignment="1">
      <alignment horizontal="center" vertical="center"/>
    </xf>
    <xf numFmtId="0" fontId="52" fillId="0" borderId="255" xfId="1" applyFont="1" applyFill="1" applyBorder="1" applyAlignment="1">
      <alignment horizontal="left" vertical="center"/>
    </xf>
    <xf numFmtId="169" fontId="52" fillId="0" borderId="311" xfId="1" applyNumberFormat="1" applyFont="1" applyFill="1" applyBorder="1" applyAlignment="1">
      <alignment horizontal="right" vertical="center"/>
    </xf>
    <xf numFmtId="3" fontId="52" fillId="0" borderId="251" xfId="1" applyNumberFormat="1" applyFont="1" applyFill="1" applyBorder="1" applyAlignment="1">
      <alignment horizontal="center" vertical="center"/>
    </xf>
    <xf numFmtId="169" fontId="52" fillId="0" borderId="321" xfId="1" applyNumberFormat="1" applyFont="1" applyFill="1" applyBorder="1" applyAlignment="1">
      <alignment horizontal="right" vertical="center"/>
    </xf>
    <xf numFmtId="169" fontId="52" fillId="0" borderId="316" xfId="1" applyNumberFormat="1" applyFont="1" applyFill="1" applyBorder="1" applyAlignment="1">
      <alignment horizontal="right" vertical="center"/>
    </xf>
    <xf numFmtId="169" fontId="52" fillId="0" borderId="359" xfId="1" applyNumberFormat="1" applyFont="1" applyFill="1" applyBorder="1" applyAlignment="1">
      <alignment horizontal="right" vertical="center"/>
    </xf>
    <xf numFmtId="0" fontId="125" fillId="12" borderId="130" xfId="15" applyFont="1" applyFill="1" applyBorder="1" applyAlignment="1">
      <alignment horizontal="left" vertical="center"/>
    </xf>
    <xf numFmtId="0" fontId="125" fillId="23" borderId="130" xfId="15" applyFont="1" applyFill="1" applyBorder="1" applyAlignment="1">
      <alignment horizontal="left" vertical="center"/>
    </xf>
    <xf numFmtId="3" fontId="52" fillId="0" borderId="255" xfId="1" applyNumberFormat="1" applyFont="1" applyFill="1" applyBorder="1" applyAlignment="1">
      <alignment horizontal="left" vertical="center"/>
    </xf>
    <xf numFmtId="0" fontId="52" fillId="0" borderId="102" xfId="1" applyFont="1" applyFill="1" applyBorder="1" applyAlignment="1">
      <alignment horizontal="left" vertical="center"/>
    </xf>
    <xf numFmtId="0" fontId="125" fillId="12" borderId="177" xfId="15" applyFont="1" applyFill="1" applyBorder="1" applyAlignment="1">
      <alignment horizontal="left" vertical="center"/>
    </xf>
    <xf numFmtId="0" fontId="125" fillId="12" borderId="139" xfId="15" applyFont="1" applyFill="1" applyBorder="1" applyAlignment="1">
      <alignment horizontal="left" vertical="center"/>
    </xf>
    <xf numFmtId="0" fontId="52" fillId="2" borderId="219" xfId="1" applyFont="1" applyFill="1" applyBorder="1" applyAlignment="1">
      <alignment horizontal="left" vertical="center"/>
    </xf>
    <xf numFmtId="0" fontId="3" fillId="0" borderId="4" xfId="1" applyFont="1" applyFill="1" applyBorder="1" applyAlignment="1">
      <alignment horizontal="center" vertical="center"/>
    </xf>
    <xf numFmtId="0" fontId="52" fillId="0" borderId="172" xfId="1" applyFont="1" applyFill="1" applyBorder="1" applyAlignment="1">
      <alignment vertical="center"/>
    </xf>
    <xf numFmtId="169" fontId="127" fillId="0" borderId="380" xfId="1" applyNumberFormat="1" applyFont="1" applyFill="1" applyBorder="1" applyAlignment="1">
      <alignment horizontal="right" vertical="center"/>
    </xf>
    <xf numFmtId="0" fontId="103" fillId="9" borderId="367" xfId="1" applyFont="1" applyFill="1" applyBorder="1" applyAlignment="1">
      <alignment horizontal="center" vertical="center"/>
    </xf>
    <xf numFmtId="0" fontId="105" fillId="9" borderId="352" xfId="1" applyFont="1" applyFill="1" applyBorder="1" applyAlignment="1">
      <alignment horizontal="center" vertical="center"/>
    </xf>
    <xf numFmtId="3" fontId="51" fillId="9" borderId="358" xfId="1" applyNumberFormat="1" applyFont="1" applyFill="1" applyBorder="1" applyAlignment="1">
      <alignment horizontal="left" vertical="center"/>
    </xf>
    <xf numFmtId="0" fontId="2" fillId="9" borderId="358" xfId="1" applyFont="1" applyFill="1" applyBorder="1" applyAlignment="1">
      <alignment horizontal="center" vertical="center"/>
    </xf>
    <xf numFmtId="172" fontId="51" fillId="9" borderId="358" xfId="1" applyNumberFormat="1" applyFont="1" applyFill="1" applyBorder="1" applyAlignment="1">
      <alignment horizontal="center" vertical="center"/>
    </xf>
    <xf numFmtId="14" fontId="51" fillId="9" borderId="358" xfId="1" applyNumberFormat="1" applyFont="1" applyFill="1" applyBorder="1" applyAlignment="1">
      <alignment horizontal="center" vertical="center"/>
    </xf>
    <xf numFmtId="0" fontId="23" fillId="12" borderId="0" xfId="15" applyFill="1" applyBorder="1" applyAlignment="1">
      <alignment horizontal="left" vertical="center"/>
    </xf>
    <xf numFmtId="3" fontId="149" fillId="9" borderId="19" xfId="1" applyNumberFormat="1" applyFont="1" applyFill="1" applyBorder="1" applyAlignment="1">
      <alignment horizontal="center" vertical="center"/>
    </xf>
    <xf numFmtId="3" fontId="51" fillId="9" borderId="357" xfId="1" applyNumberFormat="1" applyFont="1" applyFill="1" applyBorder="1" applyAlignment="1">
      <alignment horizontal="left" vertical="center"/>
    </xf>
    <xf numFmtId="0" fontId="2" fillId="9" borderId="357" xfId="1" applyFont="1" applyFill="1" applyBorder="1" applyAlignment="1">
      <alignment horizontal="center" vertical="center"/>
    </xf>
    <xf numFmtId="172" fontId="51" fillId="9" borderId="357" xfId="1" applyNumberFormat="1" applyFont="1" applyFill="1" applyBorder="1" applyAlignment="1">
      <alignment horizontal="center" vertical="center"/>
    </xf>
    <xf numFmtId="14" fontId="51" fillId="9" borderId="357" xfId="1" applyNumberFormat="1" applyFont="1" applyFill="1" applyBorder="1" applyAlignment="1">
      <alignment horizontal="center" vertical="center"/>
    </xf>
    <xf numFmtId="2" fontId="51" fillId="3" borderId="197" xfId="1" applyNumberFormat="1" applyFont="1" applyFill="1" applyBorder="1" applyAlignment="1">
      <alignment horizontal="center" vertical="center"/>
    </xf>
    <xf numFmtId="0" fontId="23" fillId="0" borderId="54" xfId="15" applyFont="1" applyFill="1" applyBorder="1" applyAlignment="1">
      <alignment horizontal="left" vertical="center"/>
    </xf>
    <xf numFmtId="0" fontId="23" fillId="0" borderId="155" xfId="15" applyFont="1" applyFill="1" applyBorder="1" applyAlignment="1">
      <alignment horizontal="left" vertical="center"/>
    </xf>
    <xf numFmtId="0" fontId="23" fillId="19" borderId="130" xfId="15" applyFont="1" applyFill="1" applyBorder="1" applyAlignment="1">
      <alignment horizontal="left" vertical="center"/>
    </xf>
    <xf numFmtId="0" fontId="23" fillId="0" borderId="130" xfId="15" applyFont="1" applyFill="1" applyBorder="1" applyAlignment="1">
      <alignment vertical="center"/>
    </xf>
    <xf numFmtId="0" fontId="23" fillId="19" borderId="130" xfId="15" applyFont="1" applyFill="1" applyBorder="1" applyAlignment="1">
      <alignment vertical="center"/>
    </xf>
    <xf numFmtId="0" fontId="23" fillId="0" borderId="93" xfId="15" applyFont="1" applyFill="1" applyBorder="1" applyAlignment="1">
      <alignment vertical="center"/>
    </xf>
    <xf numFmtId="0" fontId="97" fillId="0" borderId="130" xfId="1" applyFont="1" applyFill="1" applyBorder="1" applyAlignment="1">
      <alignment horizontal="left" vertical="center"/>
    </xf>
    <xf numFmtId="0" fontId="23" fillId="19" borderId="93" xfId="15" applyFont="1" applyFill="1" applyBorder="1" applyAlignment="1">
      <alignment horizontal="left" vertical="center"/>
    </xf>
    <xf numFmtId="0" fontId="97" fillId="0" borderId="227" xfId="1" applyFont="1" applyFill="1" applyBorder="1" applyAlignment="1">
      <alignment horizontal="left" vertical="center"/>
    </xf>
    <xf numFmtId="0" fontId="23" fillId="24" borderId="130" xfId="15" applyFont="1" applyFill="1" applyBorder="1" applyAlignment="1">
      <alignment horizontal="left" vertical="center"/>
    </xf>
    <xf numFmtId="0" fontId="2" fillId="12" borderId="130" xfId="1" applyFont="1" applyFill="1" applyBorder="1" applyAlignment="1">
      <alignment horizontal="left" vertical="center"/>
    </xf>
    <xf numFmtId="0" fontId="23" fillId="0" borderId="227" xfId="15" applyFont="1" applyFill="1" applyBorder="1" applyAlignment="1">
      <alignment horizontal="left" vertical="center"/>
    </xf>
    <xf numFmtId="0" fontId="2" fillId="0" borderId="163" xfId="1" applyFont="1" applyFill="1" applyBorder="1" applyAlignment="1">
      <alignment horizontal="left" vertical="center"/>
    </xf>
    <xf numFmtId="0" fontId="23" fillId="24" borderId="93" xfId="15" applyFont="1" applyFill="1" applyBorder="1" applyAlignment="1">
      <alignment horizontal="left" vertical="center"/>
    </xf>
    <xf numFmtId="0" fontId="23" fillId="0" borderId="246" xfId="15" applyFont="1" applyFill="1" applyBorder="1" applyAlignment="1">
      <alignment horizontal="left" vertical="center"/>
    </xf>
    <xf numFmtId="0" fontId="23" fillId="21" borderId="5" xfId="15" applyFont="1" applyFill="1" applyBorder="1" applyAlignment="1">
      <alignment horizontal="left" vertical="center"/>
    </xf>
    <xf numFmtId="0" fontId="2" fillId="0" borderId="0" xfId="1" applyFont="1"/>
    <xf numFmtId="3" fontId="2" fillId="0" borderId="40" xfId="1" applyNumberFormat="1" applyFont="1" applyFill="1" applyBorder="1" applyAlignment="1">
      <alignment horizontal="left" vertical="center"/>
    </xf>
    <xf numFmtId="0" fontId="23" fillId="19" borderId="177" xfId="15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102" fillId="0" borderId="141" xfId="0" applyFont="1" applyBorder="1"/>
    <xf numFmtId="0" fontId="154" fillId="0" borderId="67" xfId="1" applyFont="1" applyFill="1" applyBorder="1" applyAlignment="1">
      <alignment horizontal="center" vertical="center"/>
    </xf>
    <xf numFmtId="3" fontId="154" fillId="0" borderId="148" xfId="1" applyNumberFormat="1" applyFont="1" applyFill="1" applyBorder="1" applyAlignment="1">
      <alignment horizontal="center" vertical="center"/>
    </xf>
    <xf numFmtId="166" fontId="43" fillId="2" borderId="351" xfId="1" applyNumberFormat="1" applyFont="1" applyFill="1" applyBorder="1" applyAlignment="1">
      <alignment horizontal="center" vertical="center"/>
    </xf>
    <xf numFmtId="3" fontId="18" fillId="2" borderId="351" xfId="1" applyNumberFormat="1" applyFont="1" applyFill="1" applyBorder="1" applyAlignment="1">
      <alignment horizontal="center" vertical="center"/>
    </xf>
    <xf numFmtId="0" fontId="18" fillId="0" borderId="357" xfId="1" applyFont="1" applyFill="1" applyBorder="1" applyAlignment="1">
      <alignment horizontal="left" vertical="center"/>
    </xf>
    <xf numFmtId="166" fontId="43" fillId="0" borderId="351" xfId="1" applyNumberFormat="1" applyFont="1" applyFill="1" applyBorder="1" applyAlignment="1">
      <alignment horizontal="center" vertical="center"/>
    </xf>
    <xf numFmtId="3" fontId="18" fillId="0" borderId="351" xfId="1" applyNumberFormat="1" applyFont="1" applyFill="1" applyBorder="1" applyAlignment="1">
      <alignment horizontal="center" vertical="center"/>
    </xf>
    <xf numFmtId="49" fontId="18" fillId="0" borderId="351" xfId="1" quotePrefix="1" applyNumberFormat="1" applyFont="1" applyFill="1" applyBorder="1" applyAlignment="1">
      <alignment horizontal="center" vertical="center"/>
    </xf>
    <xf numFmtId="0" fontId="142" fillId="6" borderId="26" xfId="1" applyFont="1" applyFill="1" applyBorder="1" applyAlignment="1">
      <alignment horizontal="center" vertical="center"/>
    </xf>
    <xf numFmtId="0" fontId="23" fillId="6" borderId="4" xfId="15" applyFont="1" applyFill="1" applyBorder="1" applyAlignment="1">
      <alignment horizontal="left" vertical="center"/>
    </xf>
    <xf numFmtId="0" fontId="23" fillId="18" borderId="309" xfId="15" applyFont="1" applyFill="1" applyBorder="1" applyAlignment="1">
      <alignment horizontal="left" vertical="center"/>
    </xf>
    <xf numFmtId="0" fontId="105" fillId="6" borderId="103" xfId="1" applyFont="1" applyFill="1" applyBorder="1" applyAlignment="1">
      <alignment horizontal="center"/>
    </xf>
    <xf numFmtId="3" fontId="48" fillId="9" borderId="352" xfId="1" applyNumberFormat="1" applyFont="1" applyFill="1" applyBorder="1" applyAlignment="1">
      <alignment horizontal="center" vertical="center"/>
    </xf>
    <xf numFmtId="3" fontId="48" fillId="18" borderId="31" xfId="1" applyNumberFormat="1" applyFont="1" applyFill="1" applyBorder="1" applyAlignment="1">
      <alignment horizontal="center" vertical="center"/>
    </xf>
    <xf numFmtId="3" fontId="48" fillId="9" borderId="351" xfId="1" applyNumberFormat="1" applyFont="1" applyFill="1" applyBorder="1" applyAlignment="1">
      <alignment horizontal="center" vertical="center"/>
    </xf>
    <xf numFmtId="3" fontId="70" fillId="9" borderId="328" xfId="1" applyNumberFormat="1" applyFont="1" applyFill="1" applyBorder="1" applyAlignment="1">
      <alignment horizontal="center" vertical="center"/>
    </xf>
    <xf numFmtId="3" fontId="51" fillId="9" borderId="357" xfId="1" applyNumberFormat="1" applyFont="1" applyFill="1" applyBorder="1" applyAlignment="1">
      <alignment horizontal="center" vertical="center"/>
    </xf>
    <xf numFmtId="3" fontId="98" fillId="9" borderId="351" xfId="1" applyNumberFormat="1" applyFont="1" applyFill="1" applyBorder="1" applyAlignment="1">
      <alignment horizontal="center" vertical="center"/>
    </xf>
    <xf numFmtId="3" fontId="2" fillId="9" borderId="351" xfId="1" applyNumberFormat="1" applyFont="1" applyFill="1" applyBorder="1" applyAlignment="1">
      <alignment horizontal="center" vertical="center"/>
    </xf>
    <xf numFmtId="172" fontId="2" fillId="6" borderId="358" xfId="1" applyNumberFormat="1" applyFont="1" applyFill="1" applyBorder="1" applyAlignment="1">
      <alignment horizontal="center" vertical="center"/>
    </xf>
    <xf numFmtId="0" fontId="105" fillId="9" borderId="379" xfId="1" applyFont="1" applyFill="1" applyBorder="1" applyAlignment="1">
      <alignment horizontal="center" vertical="center"/>
    </xf>
    <xf numFmtId="0" fontId="123" fillId="9" borderId="274" xfId="15" applyFont="1" applyFill="1" applyBorder="1" applyAlignment="1">
      <alignment horizontal="left" vertical="center"/>
    </xf>
    <xf numFmtId="0" fontId="105" fillId="9" borderId="377" xfId="1" applyFont="1" applyFill="1" applyBorder="1" applyAlignment="1">
      <alignment horizontal="center"/>
    </xf>
    <xf numFmtId="3" fontId="48" fillId="9" borderId="359" xfId="1" applyNumberFormat="1" applyFont="1" applyFill="1" applyBorder="1" applyAlignment="1">
      <alignment horizontal="center" vertical="center"/>
    </xf>
    <xf numFmtId="3" fontId="48" fillId="9" borderId="358" xfId="1" applyNumberFormat="1" applyFont="1" applyFill="1" applyBorder="1" applyAlignment="1">
      <alignment horizontal="center" vertical="center"/>
    </xf>
    <xf numFmtId="3" fontId="109" fillId="9" borderId="19" xfId="1" applyNumberFormat="1" applyFont="1" applyFill="1" applyBorder="1" applyAlignment="1">
      <alignment horizontal="center" vertical="center"/>
    </xf>
    <xf numFmtId="3" fontId="149" fillId="9" borderId="357" xfId="1" applyNumberFormat="1" applyFont="1" applyFill="1" applyBorder="1" applyAlignment="1">
      <alignment horizontal="center" vertical="center"/>
    </xf>
    <xf numFmtId="3" fontId="70" fillId="9" borderId="357" xfId="1" applyNumberFormat="1" applyFont="1" applyFill="1" applyBorder="1" applyAlignment="1">
      <alignment horizontal="center" vertical="center"/>
    </xf>
    <xf numFmtId="3" fontId="48" fillId="9" borderId="357" xfId="1" applyNumberFormat="1" applyFont="1" applyFill="1" applyBorder="1" applyAlignment="1">
      <alignment horizontal="center" vertical="center"/>
    </xf>
    <xf numFmtId="3" fontId="70" fillId="9" borderId="351" xfId="1" applyNumberFormat="1" applyFont="1" applyFill="1" applyBorder="1" applyAlignment="1">
      <alignment horizontal="center" vertical="center"/>
    </xf>
    <xf numFmtId="3" fontId="2" fillId="9" borderId="358" xfId="1" applyNumberFormat="1" applyFont="1" applyFill="1" applyBorder="1" applyAlignment="1">
      <alignment horizontal="center" vertical="center"/>
    </xf>
    <xf numFmtId="3" fontId="48" fillId="9" borderId="328" xfId="1" applyNumberFormat="1" applyFont="1" applyFill="1" applyBorder="1" applyAlignment="1">
      <alignment horizontal="center" vertical="center"/>
    </xf>
    <xf numFmtId="3" fontId="51" fillId="9" borderId="328" xfId="1" applyNumberFormat="1" applyFont="1" applyFill="1" applyBorder="1" applyAlignment="1">
      <alignment horizontal="left" vertical="center"/>
    </xf>
    <xf numFmtId="0" fontId="2" fillId="9" borderId="328" xfId="1" applyFont="1" applyFill="1" applyBorder="1" applyAlignment="1">
      <alignment horizontal="center" vertical="center"/>
    </xf>
    <xf numFmtId="172" fontId="51" fillId="9" borderId="328" xfId="1" applyNumberFormat="1" applyFont="1" applyFill="1" applyBorder="1" applyAlignment="1">
      <alignment horizontal="center" vertical="center"/>
    </xf>
    <xf numFmtId="14" fontId="51" fillId="9" borderId="328" xfId="1" applyNumberFormat="1" applyFont="1" applyFill="1" applyBorder="1" applyAlignment="1">
      <alignment horizontal="center" vertical="center"/>
    </xf>
    <xf numFmtId="2" fontId="51" fillId="9" borderId="331" xfId="1" applyNumberFormat="1" applyFont="1" applyFill="1" applyBorder="1" applyAlignment="1">
      <alignment horizontal="center" vertical="center"/>
    </xf>
    <xf numFmtId="3" fontId="70" fillId="9" borderId="377" xfId="1" applyNumberFormat="1" applyFont="1" applyFill="1" applyBorder="1" applyAlignment="1">
      <alignment horizontal="center" vertical="center"/>
    </xf>
    <xf numFmtId="3" fontId="70" fillId="9" borderId="378" xfId="1" applyNumberFormat="1" applyFont="1" applyFill="1" applyBorder="1" applyAlignment="1">
      <alignment horizontal="center" vertical="center"/>
    </xf>
    <xf numFmtId="3" fontId="48" fillId="9" borderId="378" xfId="1" applyNumberFormat="1" applyFont="1" applyFill="1" applyBorder="1" applyAlignment="1">
      <alignment horizontal="center" vertical="center"/>
    </xf>
    <xf numFmtId="3" fontId="51" fillId="9" borderId="378" xfId="1" applyNumberFormat="1" applyFont="1" applyFill="1" applyBorder="1" applyAlignment="1">
      <alignment horizontal="left" vertical="center"/>
    </xf>
    <xf numFmtId="3" fontId="51" fillId="9" borderId="378" xfId="1" applyNumberFormat="1" applyFont="1" applyFill="1" applyBorder="1" applyAlignment="1">
      <alignment horizontal="center" vertical="center"/>
    </xf>
    <xf numFmtId="0" fontId="2" fillId="9" borderId="378" xfId="1" applyFont="1" applyFill="1" applyBorder="1" applyAlignment="1">
      <alignment horizontal="center" vertical="center"/>
    </xf>
    <xf numFmtId="172" fontId="51" fillId="9" borderId="378" xfId="1" applyNumberFormat="1" applyFont="1" applyFill="1" applyBorder="1" applyAlignment="1">
      <alignment horizontal="center" vertical="center"/>
    </xf>
    <xf numFmtId="14" fontId="51" fillId="9" borderId="378" xfId="1" applyNumberFormat="1" applyFont="1" applyFill="1" applyBorder="1" applyAlignment="1">
      <alignment horizontal="center" vertical="center"/>
    </xf>
    <xf numFmtId="14" fontId="51" fillId="9" borderId="357" xfId="1" quotePrefix="1" applyNumberFormat="1" applyFont="1" applyFill="1" applyBorder="1" applyAlignment="1">
      <alignment horizontal="center" vertical="center"/>
    </xf>
    <xf numFmtId="0" fontId="106" fillId="6" borderId="19" xfId="1" applyFont="1" applyFill="1" applyBorder="1" applyAlignment="1">
      <alignment horizontal="center"/>
    </xf>
    <xf numFmtId="0" fontId="23" fillId="6" borderId="309" xfId="15" applyFont="1" applyFill="1" applyBorder="1" applyAlignment="1">
      <alignment horizontal="left" vertical="center"/>
    </xf>
    <xf numFmtId="0" fontId="106" fillId="6" borderId="103" xfId="1" applyFont="1" applyFill="1" applyBorder="1" applyAlignment="1">
      <alignment horizontal="center"/>
    </xf>
    <xf numFmtId="0" fontId="103" fillId="6" borderId="308" xfId="1" applyFont="1" applyFill="1" applyBorder="1" applyAlignment="1">
      <alignment horizontal="center" vertical="center"/>
    </xf>
    <xf numFmtId="0" fontId="115" fillId="6" borderId="309" xfId="15" applyFont="1" applyFill="1" applyBorder="1" applyAlignment="1">
      <alignment horizontal="left" vertical="center"/>
    </xf>
    <xf numFmtId="0" fontId="105" fillId="6" borderId="306" xfId="1" applyFont="1" applyFill="1" applyBorder="1" applyAlignment="1">
      <alignment horizontal="center"/>
    </xf>
    <xf numFmtId="0" fontId="51" fillId="6" borderId="365" xfId="1" applyFont="1" applyFill="1" applyBorder="1" applyAlignment="1">
      <alignment horizontal="left" vertical="center"/>
    </xf>
    <xf numFmtId="0" fontId="105" fillId="6" borderId="359" xfId="1" applyFont="1" applyFill="1" applyBorder="1" applyAlignment="1">
      <alignment horizontal="center"/>
    </xf>
    <xf numFmtId="0" fontId="105" fillId="6" borderId="4" xfId="1" applyFont="1" applyFill="1" applyBorder="1" applyAlignment="1">
      <alignment horizontal="center" vertical="center"/>
    </xf>
    <xf numFmtId="0" fontId="105" fillId="6" borderId="0" xfId="1" applyFont="1" applyFill="1" applyBorder="1" applyAlignment="1">
      <alignment horizontal="center"/>
    </xf>
    <xf numFmtId="3" fontId="113" fillId="6" borderId="19" xfId="1" applyNumberFormat="1" applyFont="1" applyFill="1" applyBorder="1" applyAlignment="1">
      <alignment horizontal="center" vertical="center"/>
    </xf>
    <xf numFmtId="3" fontId="113" fillId="6" borderId="322" xfId="1" applyNumberFormat="1" applyFont="1" applyFill="1" applyBorder="1" applyAlignment="1">
      <alignment horizontal="center" vertical="center"/>
    </xf>
    <xf numFmtId="3" fontId="70" fillId="6" borderId="19" xfId="1" applyNumberFormat="1" applyFont="1" applyFill="1" applyBorder="1" applyAlignment="1">
      <alignment horizontal="center" vertical="center"/>
    </xf>
    <xf numFmtId="3" fontId="70" fillId="6" borderId="322" xfId="1" applyNumberFormat="1" applyFont="1" applyFill="1" applyBorder="1" applyAlignment="1">
      <alignment horizontal="center" vertical="center"/>
    </xf>
    <xf numFmtId="3" fontId="48" fillId="6" borderId="322" xfId="1" applyNumberFormat="1" applyFont="1" applyFill="1" applyBorder="1" applyAlignment="1">
      <alignment horizontal="center" vertical="center"/>
    </xf>
    <xf numFmtId="3" fontId="51" fillId="6" borderId="322" xfId="1" applyNumberFormat="1" applyFont="1" applyFill="1" applyBorder="1" applyAlignment="1">
      <alignment horizontal="left" vertical="center"/>
    </xf>
    <xf numFmtId="3" fontId="51" fillId="6" borderId="322" xfId="1" applyNumberFormat="1" applyFont="1" applyFill="1" applyBorder="1" applyAlignment="1">
      <alignment horizontal="center" vertical="center"/>
    </xf>
    <xf numFmtId="0" fontId="2" fillId="6" borderId="322" xfId="1" applyFont="1" applyFill="1" applyBorder="1" applyAlignment="1">
      <alignment horizontal="center" vertical="center"/>
    </xf>
    <xf numFmtId="172" fontId="2" fillId="6" borderId="322" xfId="1" applyNumberFormat="1" applyFont="1" applyFill="1" applyBorder="1" applyAlignment="1">
      <alignment horizontal="center" vertical="center"/>
    </xf>
    <xf numFmtId="14" fontId="51" fillId="6" borderId="322" xfId="1" applyNumberFormat="1" applyFont="1" applyFill="1" applyBorder="1" applyAlignment="1">
      <alignment horizontal="center" vertical="center"/>
    </xf>
    <xf numFmtId="3" fontId="149" fillId="6" borderId="324" xfId="1" applyNumberFormat="1" applyFont="1" applyFill="1" applyBorder="1" applyAlignment="1">
      <alignment horizontal="center" vertical="center"/>
    </xf>
    <xf numFmtId="3" fontId="48" fillId="6" borderId="324" xfId="1" applyNumberFormat="1" applyFont="1" applyFill="1" applyBorder="1" applyAlignment="1">
      <alignment horizontal="center" vertical="center"/>
    </xf>
    <xf numFmtId="3" fontId="2" fillId="6" borderId="324" xfId="1" applyNumberFormat="1" applyFont="1" applyFill="1" applyBorder="1" applyAlignment="1">
      <alignment horizontal="left" vertical="center"/>
    </xf>
    <xf numFmtId="3" fontId="2" fillId="6" borderId="324" xfId="1" applyNumberFormat="1" applyFont="1" applyFill="1" applyBorder="1" applyAlignment="1">
      <alignment horizontal="center" vertical="center"/>
    </xf>
    <xf numFmtId="0" fontId="2" fillId="6" borderId="324" xfId="1" applyFont="1" applyFill="1" applyBorder="1" applyAlignment="1">
      <alignment horizontal="center" vertical="center"/>
    </xf>
    <xf numFmtId="172" fontId="2" fillId="6" borderId="324" xfId="1" applyNumberFormat="1" applyFont="1" applyFill="1" applyBorder="1" applyAlignment="1">
      <alignment horizontal="center" vertical="center"/>
    </xf>
    <xf numFmtId="14" fontId="2" fillId="6" borderId="324" xfId="1" applyNumberFormat="1" applyFont="1" applyFill="1" applyBorder="1" applyAlignment="1">
      <alignment horizontal="center" vertical="center"/>
    </xf>
    <xf numFmtId="2" fontId="51" fillId="6" borderId="283" xfId="1" applyNumberFormat="1" applyFont="1" applyFill="1" applyBorder="1" applyAlignment="1">
      <alignment horizontal="center" vertical="center"/>
    </xf>
    <xf numFmtId="3" fontId="70" fillId="6" borderId="324" xfId="1" applyNumberFormat="1" applyFont="1" applyFill="1" applyBorder="1" applyAlignment="1">
      <alignment horizontal="center" vertical="center"/>
    </xf>
    <xf numFmtId="14" fontId="51" fillId="6" borderId="324" xfId="1" applyNumberFormat="1" applyFont="1" applyFill="1" applyBorder="1" applyAlignment="1">
      <alignment horizontal="center" vertical="center"/>
    </xf>
    <xf numFmtId="3" fontId="149" fillId="6" borderId="359" xfId="1" applyNumberFormat="1" applyFont="1" applyFill="1" applyBorder="1" applyAlignment="1">
      <alignment horizontal="center" vertical="center"/>
    </xf>
    <xf numFmtId="3" fontId="48" fillId="6" borderId="306" xfId="1" applyNumberFormat="1" applyFont="1" applyFill="1" applyBorder="1" applyAlignment="1">
      <alignment horizontal="center" vertical="center"/>
    </xf>
    <xf numFmtId="3" fontId="70" fillId="6" borderId="325" xfId="1" applyNumberFormat="1" applyFont="1" applyFill="1" applyBorder="1" applyAlignment="1">
      <alignment horizontal="center" vertical="center"/>
    </xf>
    <xf numFmtId="3" fontId="48" fillId="6" borderId="325" xfId="1" applyNumberFormat="1" applyFont="1" applyFill="1" applyBorder="1" applyAlignment="1">
      <alignment horizontal="center" vertical="center"/>
    </xf>
    <xf numFmtId="3" fontId="51" fillId="6" borderId="325" xfId="1" applyNumberFormat="1" applyFont="1" applyFill="1" applyBorder="1" applyAlignment="1">
      <alignment horizontal="left" vertical="center"/>
    </xf>
    <xf numFmtId="3" fontId="51" fillId="6" borderId="325" xfId="1" applyNumberFormat="1" applyFont="1" applyFill="1" applyBorder="1" applyAlignment="1">
      <alignment horizontal="center" vertical="center"/>
    </xf>
    <xf numFmtId="0" fontId="2" fillId="6" borderId="325" xfId="1" applyFont="1" applyFill="1" applyBorder="1" applyAlignment="1">
      <alignment horizontal="center" vertical="center"/>
    </xf>
    <xf numFmtId="172" fontId="51" fillId="6" borderId="325" xfId="1" applyNumberFormat="1" applyFont="1" applyFill="1" applyBorder="1" applyAlignment="1">
      <alignment horizontal="center" vertical="center"/>
    </xf>
    <xf numFmtId="14" fontId="51" fillId="6" borderId="325" xfId="1" applyNumberFormat="1" applyFont="1" applyFill="1" applyBorder="1" applyAlignment="1">
      <alignment horizontal="center" vertical="center"/>
    </xf>
    <xf numFmtId="2" fontId="51" fillId="6" borderId="314" xfId="1" applyNumberFormat="1" applyFont="1" applyFill="1" applyBorder="1" applyAlignment="1">
      <alignment horizontal="center" vertical="center"/>
    </xf>
    <xf numFmtId="3" fontId="70" fillId="6" borderId="352" xfId="1" applyNumberFormat="1" applyFont="1" applyFill="1" applyBorder="1" applyAlignment="1">
      <alignment horizontal="center" vertical="center"/>
    </xf>
    <xf numFmtId="3" fontId="70" fillId="6" borderId="351" xfId="1" applyNumberFormat="1" applyFont="1" applyFill="1" applyBorder="1" applyAlignment="1">
      <alignment horizontal="center" vertical="center"/>
    </xf>
    <xf numFmtId="3" fontId="48" fillId="6" borderId="192" xfId="1" applyNumberFormat="1" applyFont="1" applyFill="1" applyBorder="1" applyAlignment="1">
      <alignment horizontal="center" vertical="center"/>
    </xf>
    <xf numFmtId="3" fontId="70" fillId="6" borderId="359" xfId="1" applyNumberFormat="1" applyFont="1" applyFill="1" applyBorder="1" applyAlignment="1">
      <alignment horizontal="center" vertical="center"/>
    </xf>
    <xf numFmtId="3" fontId="70" fillId="6" borderId="358" xfId="1" applyNumberFormat="1" applyFont="1" applyFill="1" applyBorder="1" applyAlignment="1">
      <alignment horizontal="center" vertical="center"/>
    </xf>
    <xf numFmtId="3" fontId="149" fillId="6" borderId="31" xfId="1" applyNumberFormat="1" applyFont="1" applyFill="1" applyBorder="1" applyAlignment="1">
      <alignment horizontal="center" vertical="center"/>
    </xf>
    <xf numFmtId="3" fontId="149" fillId="6" borderId="263" xfId="1" applyNumberFormat="1" applyFont="1" applyFill="1" applyBorder="1" applyAlignment="1">
      <alignment horizontal="center" vertical="center"/>
    </xf>
    <xf numFmtId="3" fontId="70" fillId="6" borderId="357" xfId="1" applyNumberFormat="1" applyFont="1" applyFill="1" applyBorder="1" applyAlignment="1">
      <alignment horizontal="center" vertical="center"/>
    </xf>
    <xf numFmtId="172" fontId="2" fillId="6" borderId="357" xfId="1" applyNumberFormat="1" applyFont="1" applyFill="1" applyBorder="1" applyAlignment="1">
      <alignment horizontal="center" vertical="center"/>
    </xf>
    <xf numFmtId="3" fontId="109" fillId="6" borderId="344" xfId="1" applyNumberFormat="1" applyFont="1" applyFill="1" applyBorder="1" applyAlignment="1">
      <alignment horizontal="center" vertical="center"/>
    </xf>
    <xf numFmtId="3" fontId="149" fillId="6" borderId="261" xfId="1" applyNumberFormat="1" applyFont="1" applyFill="1" applyBorder="1" applyAlignment="1">
      <alignment horizontal="center" vertical="center"/>
    </xf>
    <xf numFmtId="3" fontId="51" fillId="6" borderId="354" xfId="1" applyNumberFormat="1" applyFont="1" applyFill="1" applyBorder="1" applyAlignment="1">
      <alignment horizontal="left" vertical="center"/>
    </xf>
    <xf numFmtId="0" fontId="2" fillId="6" borderId="261" xfId="1" applyFont="1" applyFill="1" applyBorder="1" applyAlignment="1">
      <alignment horizontal="center" vertical="center"/>
    </xf>
    <xf numFmtId="172" fontId="51" fillId="6" borderId="261" xfId="1" applyNumberFormat="1" applyFont="1" applyFill="1" applyBorder="1" applyAlignment="1">
      <alignment horizontal="center" vertical="center"/>
    </xf>
    <xf numFmtId="14" fontId="51" fillId="6" borderId="261" xfId="1" applyNumberFormat="1" applyFont="1" applyFill="1" applyBorder="1" applyAlignment="1">
      <alignment horizontal="center" vertical="center"/>
    </xf>
    <xf numFmtId="14" fontId="51" fillId="6" borderId="333" xfId="1" applyNumberFormat="1" applyFont="1" applyFill="1" applyBorder="1" applyAlignment="1">
      <alignment horizontal="center" vertical="center"/>
    </xf>
    <xf numFmtId="0" fontId="103" fillId="18" borderId="32" xfId="1" applyFont="1" applyFill="1" applyBorder="1" applyAlignment="1">
      <alignment horizontal="center" vertical="center"/>
    </xf>
    <xf numFmtId="0" fontId="105" fillId="18" borderId="332" xfId="1" applyFont="1" applyFill="1" applyBorder="1" applyAlignment="1">
      <alignment horizontal="center" vertical="center"/>
    </xf>
    <xf numFmtId="0" fontId="103" fillId="18" borderId="315" xfId="1" applyFont="1" applyFill="1" applyBorder="1" applyAlignment="1">
      <alignment horizontal="center" vertical="center"/>
    </xf>
    <xf numFmtId="0" fontId="105" fillId="18" borderId="309" xfId="1" applyFont="1" applyFill="1" applyBorder="1" applyAlignment="1">
      <alignment horizontal="center" vertical="center"/>
    </xf>
    <xf numFmtId="3" fontId="149" fillId="18" borderId="353" xfId="1" applyNumberFormat="1" applyFont="1" applyFill="1" applyBorder="1" applyAlignment="1">
      <alignment horizontal="center" vertical="center"/>
    </xf>
    <xf numFmtId="3" fontId="48" fillId="18" borderId="0" xfId="1" applyNumberFormat="1" applyFont="1" applyFill="1" applyBorder="1" applyAlignment="1">
      <alignment horizontal="center" vertical="center"/>
    </xf>
    <xf numFmtId="3" fontId="70" fillId="18" borderId="261" xfId="1" applyNumberFormat="1" applyFont="1" applyFill="1" applyBorder="1" applyAlignment="1">
      <alignment horizontal="center" vertical="center"/>
    </xf>
    <xf numFmtId="3" fontId="48" fillId="18" borderId="261" xfId="1" applyNumberFormat="1" applyFont="1" applyFill="1" applyBorder="1" applyAlignment="1">
      <alignment horizontal="center" vertical="center"/>
    </xf>
    <xf numFmtId="3" fontId="51" fillId="18" borderId="261" xfId="1" applyNumberFormat="1" applyFont="1" applyFill="1" applyBorder="1" applyAlignment="1">
      <alignment horizontal="left" vertical="center"/>
    </xf>
    <xf numFmtId="3" fontId="51" fillId="18" borderId="261" xfId="1" applyNumberFormat="1" applyFont="1" applyFill="1" applyBorder="1" applyAlignment="1">
      <alignment horizontal="center" vertical="center"/>
    </xf>
    <xf numFmtId="0" fontId="2" fillId="18" borderId="261" xfId="1" applyFont="1" applyFill="1" applyBorder="1" applyAlignment="1">
      <alignment horizontal="center" vertical="center"/>
    </xf>
    <xf numFmtId="172" fontId="51" fillId="18" borderId="261" xfId="1" applyNumberFormat="1" applyFont="1" applyFill="1" applyBorder="1" applyAlignment="1">
      <alignment horizontal="center" vertical="center"/>
    </xf>
    <xf numFmtId="14" fontId="51" fillId="18" borderId="261" xfId="1" applyNumberFormat="1" applyFont="1" applyFill="1" applyBorder="1" applyAlignment="1">
      <alignment horizontal="center" vertical="center"/>
    </xf>
    <xf numFmtId="2" fontId="51" fillId="18" borderId="335" xfId="1" applyNumberFormat="1" applyFont="1" applyFill="1" applyBorder="1" applyAlignment="1">
      <alignment horizontal="center" vertical="center"/>
    </xf>
    <xf numFmtId="3" fontId="48" fillId="18" borderId="376" xfId="1" applyNumberFormat="1" applyFont="1" applyFill="1" applyBorder="1" applyAlignment="1">
      <alignment horizontal="center" vertical="center"/>
    </xf>
    <xf numFmtId="3" fontId="48" fillId="18" borderId="299" xfId="1" applyNumberFormat="1" applyFont="1" applyFill="1" applyBorder="1" applyAlignment="1">
      <alignment horizontal="center" vertical="center"/>
    </xf>
    <xf numFmtId="3" fontId="48" fillId="18" borderId="309" xfId="1" applyNumberFormat="1" applyFont="1" applyFill="1" applyBorder="1" applyAlignment="1">
      <alignment horizontal="center" vertical="center"/>
    </xf>
    <xf numFmtId="3" fontId="51" fillId="18" borderId="299" xfId="1" applyNumberFormat="1" applyFont="1" applyFill="1" applyBorder="1" applyAlignment="1">
      <alignment horizontal="left" vertical="center"/>
    </xf>
    <xf numFmtId="3" fontId="51" fillId="18" borderId="299" xfId="1" applyNumberFormat="1" applyFont="1" applyFill="1" applyBorder="1" applyAlignment="1">
      <alignment horizontal="center" vertical="center"/>
    </xf>
    <xf numFmtId="0" fontId="2" fillId="18" borderId="299" xfId="1" applyFont="1" applyFill="1" applyBorder="1" applyAlignment="1">
      <alignment horizontal="center" vertical="center"/>
    </xf>
    <xf numFmtId="172" fontId="51" fillId="18" borderId="299" xfId="1" applyNumberFormat="1" applyFont="1" applyFill="1" applyBorder="1" applyAlignment="1">
      <alignment horizontal="center" vertical="center"/>
    </xf>
    <xf numFmtId="14" fontId="51" fillId="18" borderId="299" xfId="1" applyNumberFormat="1" applyFont="1" applyFill="1" applyBorder="1" applyAlignment="1">
      <alignment horizontal="center" vertical="center"/>
    </xf>
    <xf numFmtId="3" fontId="149" fillId="18" borderId="263" xfId="1" applyNumberFormat="1" applyFont="1" applyFill="1" applyBorder="1" applyAlignment="1">
      <alignment horizontal="center" vertical="center"/>
    </xf>
    <xf numFmtId="3" fontId="70" fillId="18" borderId="19" xfId="1" applyNumberFormat="1" applyFont="1" applyFill="1" applyBorder="1" applyAlignment="1">
      <alignment horizontal="center" vertical="center"/>
    </xf>
    <xf numFmtId="3" fontId="48" fillId="18" borderId="19" xfId="1" applyNumberFormat="1" applyFont="1" applyFill="1" applyBorder="1" applyAlignment="1">
      <alignment horizontal="center" vertical="center"/>
    </xf>
    <xf numFmtId="3" fontId="51" fillId="18" borderId="322" xfId="1" applyNumberFormat="1" applyFont="1" applyFill="1" applyBorder="1" applyAlignment="1">
      <alignment horizontal="left" vertical="center"/>
    </xf>
    <xf numFmtId="3" fontId="51" fillId="18" borderId="322" xfId="1" applyNumberFormat="1" applyFont="1" applyFill="1" applyBorder="1" applyAlignment="1">
      <alignment horizontal="center" vertical="center"/>
    </xf>
    <xf numFmtId="0" fontId="2" fillId="18" borderId="322" xfId="1" applyFont="1" applyFill="1" applyBorder="1" applyAlignment="1">
      <alignment horizontal="center" vertical="center"/>
    </xf>
    <xf numFmtId="172" fontId="51" fillId="18" borderId="322" xfId="1" applyNumberFormat="1" applyFont="1" applyFill="1" applyBorder="1" applyAlignment="1">
      <alignment horizontal="center" vertical="center"/>
    </xf>
    <xf numFmtId="14" fontId="51" fillId="18" borderId="322" xfId="1" applyNumberFormat="1" applyFont="1" applyFill="1" applyBorder="1" applyAlignment="1">
      <alignment horizontal="center" vertical="center"/>
    </xf>
    <xf numFmtId="3" fontId="70" fillId="18" borderId="103" xfId="1" applyNumberFormat="1" applyFont="1" applyFill="1" applyBorder="1" applyAlignment="1">
      <alignment horizontal="center" vertical="center"/>
    </xf>
    <xf numFmtId="3" fontId="48" fillId="18" borderId="103" xfId="1" applyNumberFormat="1" applyFont="1" applyFill="1" applyBorder="1" applyAlignment="1">
      <alignment horizontal="center" vertical="center"/>
    </xf>
    <xf numFmtId="3" fontId="51" fillId="18" borderId="324" xfId="1" applyNumberFormat="1" applyFont="1" applyFill="1" applyBorder="1" applyAlignment="1">
      <alignment horizontal="left" vertical="center"/>
    </xf>
    <xf numFmtId="3" fontId="51" fillId="18" borderId="324" xfId="1" applyNumberFormat="1" applyFont="1" applyFill="1" applyBorder="1" applyAlignment="1">
      <alignment horizontal="center" vertical="center"/>
    </xf>
    <xf numFmtId="0" fontId="2" fillId="18" borderId="324" xfId="1" applyFont="1" applyFill="1" applyBorder="1" applyAlignment="1">
      <alignment horizontal="center" vertical="center"/>
    </xf>
    <xf numFmtId="172" fontId="51" fillId="18" borderId="324" xfId="1" applyNumberFormat="1" applyFont="1" applyFill="1" applyBorder="1" applyAlignment="1">
      <alignment horizontal="center" vertical="center"/>
    </xf>
    <xf numFmtId="14" fontId="51" fillId="18" borderId="324" xfId="1" applyNumberFormat="1" applyFont="1" applyFill="1" applyBorder="1" applyAlignment="1">
      <alignment horizontal="center" vertical="center"/>
    </xf>
    <xf numFmtId="3" fontId="48" fillId="18" borderId="353" xfId="1" applyNumberFormat="1" applyFont="1" applyFill="1" applyBorder="1" applyAlignment="1">
      <alignment horizontal="center" vertical="center"/>
    </xf>
    <xf numFmtId="3" fontId="48" fillId="18" borderId="324" xfId="1" applyNumberFormat="1" applyFont="1" applyFill="1" applyBorder="1" applyAlignment="1">
      <alignment horizontal="center" vertical="center"/>
    </xf>
    <xf numFmtId="3" fontId="70" fillId="18" borderId="324" xfId="1" applyNumberFormat="1" applyFont="1" applyFill="1" applyBorder="1" applyAlignment="1">
      <alignment horizontal="center" vertical="center"/>
    </xf>
    <xf numFmtId="3" fontId="48" fillId="18" borderId="248" xfId="1" applyNumberFormat="1" applyFont="1" applyFill="1" applyBorder="1" applyAlignment="1">
      <alignment horizontal="center" vertical="center"/>
    </xf>
    <xf numFmtId="3" fontId="48" fillId="18" borderId="359" xfId="1" applyNumberFormat="1" applyFont="1" applyFill="1" applyBorder="1" applyAlignment="1">
      <alignment horizontal="center" vertical="center"/>
    </xf>
    <xf numFmtId="3" fontId="48" fillId="18" borderId="325" xfId="1" applyNumberFormat="1" applyFont="1" applyFill="1" applyBorder="1" applyAlignment="1">
      <alignment horizontal="center" vertical="center"/>
    </xf>
    <xf numFmtId="3" fontId="51" fillId="18" borderId="325" xfId="1" applyNumberFormat="1" applyFont="1" applyFill="1" applyBorder="1" applyAlignment="1">
      <alignment horizontal="left" vertical="center"/>
    </xf>
    <xf numFmtId="0" fontId="2" fillId="18" borderId="325" xfId="1" applyFont="1" applyFill="1" applyBorder="1" applyAlignment="1">
      <alignment horizontal="center" vertical="center"/>
    </xf>
    <xf numFmtId="172" fontId="51" fillId="18" borderId="325" xfId="1" applyNumberFormat="1" applyFont="1" applyFill="1" applyBorder="1" applyAlignment="1">
      <alignment horizontal="center" vertical="center"/>
    </xf>
    <xf numFmtId="14" fontId="51" fillId="18" borderId="325" xfId="1" applyNumberFormat="1" applyFont="1" applyFill="1" applyBorder="1" applyAlignment="1">
      <alignment horizontal="center" vertical="center"/>
    </xf>
    <xf numFmtId="3" fontId="48" fillId="18" borderId="322" xfId="1" applyNumberFormat="1" applyFont="1" applyFill="1" applyBorder="1" applyAlignment="1">
      <alignment horizontal="center" vertical="center"/>
    </xf>
    <xf numFmtId="0" fontId="142" fillId="18" borderId="17" xfId="1" applyFont="1" applyFill="1" applyBorder="1" applyAlignment="1">
      <alignment horizontal="center" vertical="center"/>
    </xf>
    <xf numFmtId="0" fontId="103" fillId="18" borderId="308" xfId="1" applyFont="1" applyFill="1" applyBorder="1" applyAlignment="1">
      <alignment horizontal="center" vertical="center"/>
    </xf>
    <xf numFmtId="0" fontId="105" fillId="18" borderId="19" xfId="1" applyFont="1" applyFill="1" applyBorder="1" applyAlignment="1">
      <alignment horizontal="center"/>
    </xf>
    <xf numFmtId="0" fontId="106" fillId="18" borderId="103" xfId="1" applyFont="1" applyFill="1" applyBorder="1" applyAlignment="1">
      <alignment horizontal="center"/>
    </xf>
    <xf numFmtId="0" fontId="105" fillId="18" borderId="306" xfId="1" applyFont="1" applyFill="1" applyBorder="1" applyAlignment="1">
      <alignment horizontal="center" vertical="center"/>
    </xf>
    <xf numFmtId="3" fontId="149" fillId="18" borderId="31" xfId="1" applyNumberFormat="1" applyFont="1" applyFill="1" applyBorder="1" applyAlignment="1">
      <alignment horizontal="center" vertical="center"/>
    </xf>
    <xf numFmtId="3" fontId="149" fillId="18" borderId="28" xfId="1" applyNumberFormat="1" applyFont="1" applyFill="1" applyBorder="1" applyAlignment="1">
      <alignment horizontal="center" vertical="center" wrapText="1"/>
    </xf>
    <xf numFmtId="3" fontId="70" fillId="18" borderId="0" xfId="1" applyNumberFormat="1" applyFont="1" applyFill="1" applyBorder="1" applyAlignment="1">
      <alignment horizontal="center" vertical="center"/>
    </xf>
    <xf numFmtId="3" fontId="70" fillId="18" borderId="322" xfId="1" applyNumberFormat="1" applyFont="1" applyFill="1" applyBorder="1" applyAlignment="1">
      <alignment horizontal="center" vertical="center"/>
    </xf>
    <xf numFmtId="3" fontId="2" fillId="18" borderId="325" xfId="1" applyNumberFormat="1" applyFont="1" applyFill="1" applyBorder="1" applyAlignment="1">
      <alignment horizontal="center" vertical="center"/>
    </xf>
    <xf numFmtId="0" fontId="51" fillId="5" borderId="309" xfId="1" applyFont="1" applyFill="1" applyBorder="1" applyAlignment="1">
      <alignment horizontal="left" vertical="center"/>
    </xf>
    <xf numFmtId="3" fontId="48" fillId="5" borderId="353" xfId="1" applyNumberFormat="1" applyFont="1" applyFill="1" applyBorder="1" applyAlignment="1">
      <alignment horizontal="center" vertical="center"/>
    </xf>
    <xf numFmtId="3" fontId="70" fillId="5" borderId="103" xfId="1" applyNumberFormat="1" applyFont="1" applyFill="1" applyBorder="1" applyAlignment="1">
      <alignment horizontal="center" vertical="center"/>
    </xf>
    <xf numFmtId="3" fontId="70" fillId="5" borderId="324" xfId="1" applyNumberFormat="1" applyFont="1" applyFill="1" applyBorder="1" applyAlignment="1">
      <alignment horizontal="center" vertical="center"/>
    </xf>
    <xf numFmtId="3" fontId="48" fillId="5" borderId="324" xfId="1" applyNumberFormat="1" applyFont="1" applyFill="1" applyBorder="1" applyAlignment="1">
      <alignment horizontal="center" vertical="center"/>
    </xf>
    <xf numFmtId="3" fontId="51" fillId="5" borderId="324" xfId="1" applyNumberFormat="1" applyFont="1" applyFill="1" applyBorder="1" applyAlignment="1">
      <alignment horizontal="left" vertical="center"/>
    </xf>
    <xf numFmtId="3" fontId="51" fillId="5" borderId="324" xfId="1" applyNumberFormat="1" applyFont="1" applyFill="1" applyBorder="1" applyAlignment="1">
      <alignment horizontal="center" vertical="center"/>
    </xf>
    <xf numFmtId="0" fontId="2" fillId="5" borderId="324" xfId="1" applyFont="1" applyFill="1" applyBorder="1" applyAlignment="1">
      <alignment horizontal="center" vertical="center"/>
    </xf>
    <xf numFmtId="172" fontId="51" fillId="5" borderId="324" xfId="1" applyNumberFormat="1" applyFont="1" applyFill="1" applyBorder="1" applyAlignment="1">
      <alignment horizontal="center" vertical="center"/>
    </xf>
    <xf numFmtId="14" fontId="51" fillId="5" borderId="324" xfId="1" applyNumberFormat="1" applyFont="1" applyFill="1" applyBorder="1" applyAlignment="1">
      <alignment horizontal="center" vertical="center"/>
    </xf>
    <xf numFmtId="2" fontId="51" fillId="5" borderId="283" xfId="1" applyNumberFormat="1" applyFont="1" applyFill="1" applyBorder="1" applyAlignment="1">
      <alignment horizontal="center" vertical="center"/>
    </xf>
    <xf numFmtId="3" fontId="48" fillId="5" borderId="376" xfId="1" applyNumberFormat="1" applyFont="1" applyFill="1" applyBorder="1" applyAlignment="1">
      <alignment horizontal="center" vertical="center"/>
    </xf>
    <xf numFmtId="3" fontId="48" fillId="5" borderId="325" xfId="1" applyNumberFormat="1" applyFont="1" applyFill="1" applyBorder="1" applyAlignment="1">
      <alignment horizontal="center" vertical="center"/>
    </xf>
    <xf numFmtId="3" fontId="51" fillId="5" borderId="325" xfId="1" applyNumberFormat="1" applyFont="1" applyFill="1" applyBorder="1" applyAlignment="1">
      <alignment horizontal="left" vertical="center"/>
    </xf>
    <xf numFmtId="3" fontId="51" fillId="5" borderId="325" xfId="1" applyNumberFormat="1" applyFont="1" applyFill="1" applyBorder="1" applyAlignment="1">
      <alignment horizontal="center" vertical="center"/>
    </xf>
    <xf numFmtId="0" fontId="2" fillId="5" borderId="325" xfId="1" applyFont="1" applyFill="1" applyBorder="1" applyAlignment="1">
      <alignment horizontal="center" vertical="center"/>
    </xf>
    <xf numFmtId="14" fontId="51" fillId="5" borderId="325" xfId="1" applyNumberFormat="1" applyFont="1" applyFill="1" applyBorder="1" applyAlignment="1">
      <alignment horizontal="center" vertical="center"/>
    </xf>
    <xf numFmtId="2" fontId="51" fillId="5" borderId="314" xfId="1" applyNumberFormat="1" applyFont="1" applyFill="1" applyBorder="1" applyAlignment="1">
      <alignment horizontal="center" vertical="center"/>
    </xf>
    <xf numFmtId="3" fontId="109" fillId="0" borderId="353" xfId="1" applyNumberFormat="1" applyFont="1" applyFill="1" applyBorder="1" applyAlignment="1">
      <alignment horizontal="center" vertical="center"/>
    </xf>
    <xf numFmtId="3" fontId="109" fillId="0" borderId="0" xfId="1" applyNumberFormat="1" applyFont="1" applyFill="1" applyBorder="1" applyAlignment="1">
      <alignment horizontal="center" vertical="center"/>
    </xf>
    <xf numFmtId="3" fontId="109" fillId="0" borderId="309" xfId="1" applyNumberFormat="1" applyFont="1" applyFill="1" applyBorder="1" applyAlignment="1">
      <alignment horizontal="center" vertical="center"/>
    </xf>
    <xf numFmtId="3" fontId="109" fillId="0" borderId="4" xfId="1" applyNumberFormat="1" applyFont="1" applyFill="1" applyBorder="1" applyAlignment="1">
      <alignment horizontal="center" vertical="center"/>
    </xf>
    <xf numFmtId="0" fontId="105" fillId="5" borderId="103" xfId="1" applyFont="1" applyFill="1" applyBorder="1" applyAlignment="1">
      <alignment horizontal="center"/>
    </xf>
    <xf numFmtId="3" fontId="149" fillId="5" borderId="353" xfId="1" applyNumberFormat="1" applyFont="1" applyFill="1" applyBorder="1" applyAlignment="1">
      <alignment horizontal="center" vertical="center"/>
    </xf>
    <xf numFmtId="3" fontId="109" fillId="0" borderId="192" xfId="1" applyNumberFormat="1" applyFont="1" applyFill="1" applyBorder="1" applyAlignment="1">
      <alignment horizontal="center" vertical="center"/>
    </xf>
    <xf numFmtId="3" fontId="149" fillId="0" borderId="318" xfId="1" applyNumberFormat="1" applyFont="1" applyFill="1" applyBorder="1" applyAlignment="1">
      <alignment horizontal="center" vertical="center"/>
    </xf>
    <xf numFmtId="0" fontId="97" fillId="9" borderId="8" xfId="1" applyFont="1" applyFill="1" applyBorder="1" applyAlignment="1">
      <alignment horizontal="left" vertical="center"/>
    </xf>
    <xf numFmtId="3" fontId="70" fillId="0" borderId="248" xfId="1" applyNumberFormat="1" applyFont="1" applyFill="1" applyBorder="1" applyAlignment="1">
      <alignment horizontal="center" vertical="center"/>
    </xf>
    <xf numFmtId="0" fontId="142" fillId="5" borderId="308" xfId="1" applyFont="1" applyFill="1" applyBorder="1" applyAlignment="1">
      <alignment horizontal="center" vertical="center"/>
    </xf>
    <xf numFmtId="0" fontId="105" fillId="5" borderId="103" xfId="1" applyFont="1" applyFill="1" applyBorder="1" applyAlignment="1">
      <alignment horizontal="center" vertical="center"/>
    </xf>
    <xf numFmtId="0" fontId="106" fillId="5" borderId="306" xfId="1" applyFont="1" applyFill="1" applyBorder="1" applyAlignment="1">
      <alignment horizontal="center"/>
    </xf>
    <xf numFmtId="3" fontId="109" fillId="5" borderId="261" xfId="1" applyNumberFormat="1" applyFont="1" applyFill="1" applyBorder="1" applyAlignment="1">
      <alignment horizontal="center" vertical="center"/>
    </xf>
    <xf numFmtId="3" fontId="149" fillId="5" borderId="313" xfId="1" applyNumberFormat="1" applyFont="1" applyFill="1" applyBorder="1" applyAlignment="1">
      <alignment horizontal="center" vertical="center"/>
    </xf>
    <xf numFmtId="3" fontId="48" fillId="5" borderId="103" xfId="1" applyNumberFormat="1" applyFont="1" applyFill="1" applyBorder="1" applyAlignment="1">
      <alignment horizontal="center" vertical="center"/>
    </xf>
    <xf numFmtId="3" fontId="70" fillId="5" borderId="306" xfId="1" applyNumberFormat="1" applyFont="1" applyFill="1" applyBorder="1" applyAlignment="1">
      <alignment horizontal="center" vertical="center"/>
    </xf>
    <xf numFmtId="3" fontId="70" fillId="5" borderId="325" xfId="1" applyNumberFormat="1" applyFont="1" applyFill="1" applyBorder="1" applyAlignment="1">
      <alignment horizontal="center" vertical="center"/>
    </xf>
    <xf numFmtId="172" fontId="51" fillId="5" borderId="325" xfId="1" applyNumberFormat="1" applyFont="1" applyFill="1" applyBorder="1" applyAlignment="1">
      <alignment horizontal="center" vertical="center"/>
    </xf>
    <xf numFmtId="3" fontId="109" fillId="6" borderId="359" xfId="1" applyNumberFormat="1" applyFont="1" applyFill="1" applyBorder="1" applyAlignment="1">
      <alignment horizontal="center" vertical="center"/>
    </xf>
    <xf numFmtId="3" fontId="109" fillId="6" borderId="325" xfId="1" applyNumberFormat="1" applyFont="1" applyFill="1" applyBorder="1" applyAlignment="1">
      <alignment horizontal="center" vertical="center"/>
    </xf>
    <xf numFmtId="2" fontId="51" fillId="5" borderId="330" xfId="1" applyNumberFormat="1" applyFont="1" applyFill="1" applyBorder="1" applyAlignment="1">
      <alignment horizontal="center" vertical="center"/>
    </xf>
    <xf numFmtId="3" fontId="48" fillId="0" borderId="379" xfId="1" applyNumberFormat="1" applyFont="1" applyFill="1" applyBorder="1" applyAlignment="1">
      <alignment horizontal="center" vertical="center"/>
    </xf>
    <xf numFmtId="3" fontId="48" fillId="0" borderId="376" xfId="1" applyNumberFormat="1" applyFont="1" applyFill="1" applyBorder="1" applyAlignment="1">
      <alignment horizontal="center" vertical="center"/>
    </xf>
    <xf numFmtId="0" fontId="23" fillId="0" borderId="0" xfId="15" applyFont="1" applyFill="1" applyBorder="1" applyAlignment="1">
      <alignment vertical="center"/>
    </xf>
    <xf numFmtId="0" fontId="51" fillId="0" borderId="4" xfId="1" applyFont="1" applyFill="1" applyBorder="1" applyAlignment="1">
      <alignment horizontal="left" vertical="center"/>
    </xf>
    <xf numFmtId="166" fontId="23" fillId="12" borderId="309" xfId="15" applyNumberFormat="1" applyFill="1" applyBorder="1" applyAlignment="1">
      <alignment horizontal="left" vertical="center"/>
    </xf>
    <xf numFmtId="3" fontId="48" fillId="0" borderId="353" xfId="1" applyNumberFormat="1" applyFont="1" applyFill="1" applyBorder="1" applyAlignment="1">
      <alignment horizontal="center" vertical="center"/>
    </xf>
    <xf numFmtId="3" fontId="113" fillId="0" borderId="326" xfId="1" applyNumberFormat="1" applyFont="1" applyFill="1" applyBorder="1" applyAlignment="1">
      <alignment horizontal="center" vertical="center"/>
    </xf>
    <xf numFmtId="3" fontId="70" fillId="0" borderId="288" xfId="1" applyNumberFormat="1" applyFont="1" applyFill="1" applyBorder="1" applyAlignment="1">
      <alignment horizontal="center" vertical="center"/>
    </xf>
    <xf numFmtId="3" fontId="70" fillId="0" borderId="281" xfId="1" applyNumberFormat="1" applyFont="1" applyFill="1" applyBorder="1" applyAlignment="1">
      <alignment horizontal="center" vertical="center"/>
    </xf>
    <xf numFmtId="3" fontId="48" fillId="9" borderId="192" xfId="1" applyNumberFormat="1" applyFont="1" applyFill="1" applyBorder="1" applyAlignment="1">
      <alignment horizontal="center" vertical="center"/>
    </xf>
    <xf numFmtId="3" fontId="48" fillId="0" borderId="365" xfId="1" applyNumberFormat="1" applyFont="1" applyFill="1" applyBorder="1" applyAlignment="1">
      <alignment horizontal="center" vertical="center"/>
    </xf>
    <xf numFmtId="0" fontId="23" fillId="2" borderId="61" xfId="15" applyFont="1" applyFill="1" applyBorder="1" applyAlignment="1">
      <alignment horizontal="left" vertical="center"/>
    </xf>
    <xf numFmtId="0" fontId="23" fillId="2" borderId="130" xfId="15" applyFont="1" applyFill="1" applyBorder="1" applyAlignment="1">
      <alignment horizontal="left" vertical="center"/>
    </xf>
    <xf numFmtId="0" fontId="23" fillId="2" borderId="256" xfId="15" applyFont="1" applyFill="1" applyBorder="1" applyAlignment="1">
      <alignment horizontal="left" vertical="center"/>
    </xf>
    <xf numFmtId="0" fontId="23" fillId="2" borderId="318" xfId="15" applyFont="1" applyFill="1" applyBorder="1" applyAlignment="1">
      <alignment horizontal="left" vertical="center"/>
    </xf>
    <xf numFmtId="0" fontId="23" fillId="2" borderId="5" xfId="15" applyFont="1" applyFill="1" applyBorder="1" applyAlignment="1">
      <alignment horizontal="left" vertical="center"/>
    </xf>
    <xf numFmtId="0" fontId="104" fillId="0" borderId="0" xfId="1" applyFont="1" applyFill="1" applyBorder="1" applyAlignment="1">
      <alignment horizontal="left" vertical="center"/>
    </xf>
    <xf numFmtId="3" fontId="2" fillId="13" borderId="351" xfId="1" applyNumberFormat="1" applyFont="1" applyFill="1" applyBorder="1" applyAlignment="1">
      <alignment horizontal="center" vertical="center"/>
    </xf>
    <xf numFmtId="2" fontId="51" fillId="12" borderId="343" xfId="1" applyNumberFormat="1" applyFont="1" applyFill="1" applyBorder="1" applyAlignment="1">
      <alignment horizontal="center" vertical="center"/>
    </xf>
    <xf numFmtId="0" fontId="51" fillId="9" borderId="365" xfId="1" applyFont="1" applyFill="1" applyBorder="1" applyAlignment="1">
      <alignment horizontal="left" vertical="center"/>
    </xf>
    <xf numFmtId="0" fontId="104" fillId="0" borderId="8" xfId="1" applyFont="1" applyFill="1" applyBorder="1" applyAlignment="1">
      <alignment horizontal="left" vertical="center"/>
    </xf>
    <xf numFmtId="0" fontId="157" fillId="0" borderId="0" xfId="15" applyFont="1" applyFill="1" applyBorder="1" applyAlignment="1">
      <alignment horizontal="left" vertical="center"/>
    </xf>
    <xf numFmtId="0" fontId="94" fillId="6" borderId="365" xfId="15" applyFont="1" applyFill="1" applyBorder="1" applyAlignment="1">
      <alignment horizontal="left" vertical="center"/>
    </xf>
    <xf numFmtId="3" fontId="51" fillId="9" borderId="328" xfId="1" applyNumberFormat="1" applyFont="1" applyFill="1" applyBorder="1" applyAlignment="1">
      <alignment horizontal="center" vertical="center"/>
    </xf>
    <xf numFmtId="14" fontId="51" fillId="9" borderId="328" xfId="1" quotePrefix="1" applyNumberFormat="1" applyFont="1" applyFill="1" applyBorder="1" applyAlignment="1">
      <alignment horizontal="center" vertical="center"/>
    </xf>
    <xf numFmtId="3" fontId="98" fillId="6" borderId="261" xfId="1" applyNumberFormat="1" applyFont="1" applyFill="1" applyBorder="1" applyAlignment="1">
      <alignment horizontal="center" vertical="center"/>
    </xf>
    <xf numFmtId="0" fontId="99" fillId="6" borderId="0" xfId="15" applyFont="1" applyFill="1" applyBorder="1" applyAlignment="1">
      <alignment horizontal="left" vertical="center"/>
    </xf>
    <xf numFmtId="0" fontId="102" fillId="0" borderId="8" xfId="1" applyFont="1" applyFill="1" applyBorder="1" applyAlignment="1">
      <alignment horizontal="left" vertical="center"/>
    </xf>
    <xf numFmtId="0" fontId="99" fillId="0" borderId="8" xfId="15" applyFont="1" applyFill="1" applyBorder="1" applyAlignment="1">
      <alignment horizontal="left" vertical="center"/>
    </xf>
    <xf numFmtId="3" fontId="70" fillId="0" borderId="0" xfId="1" applyNumberFormat="1" applyFont="1" applyFill="1" applyBorder="1" applyAlignment="1">
      <alignment horizontal="center" vertical="center"/>
    </xf>
    <xf numFmtId="3" fontId="70" fillId="0" borderId="192" xfId="1" applyNumberFormat="1" applyFont="1" applyFill="1" applyBorder="1" applyAlignment="1">
      <alignment horizontal="center" vertical="center"/>
    </xf>
    <xf numFmtId="3" fontId="109" fillId="0" borderId="329" xfId="1" applyNumberFormat="1" applyFont="1" applyFill="1" applyBorder="1" applyAlignment="1">
      <alignment horizontal="center" vertical="center"/>
    </xf>
    <xf numFmtId="0" fontId="104" fillId="5" borderId="0" xfId="1" applyFont="1" applyFill="1" applyBorder="1" applyAlignment="1">
      <alignment horizontal="left" vertical="center"/>
    </xf>
    <xf numFmtId="3" fontId="48" fillId="0" borderId="189" xfId="1" applyNumberFormat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left" vertical="center"/>
    </xf>
    <xf numFmtId="0" fontId="23" fillId="12" borderId="61" xfId="15" applyFont="1" applyFill="1" applyBorder="1" applyAlignment="1">
      <alignment horizontal="left" vertical="center"/>
    </xf>
    <xf numFmtId="0" fontId="51" fillId="0" borderId="318" xfId="1" applyFont="1" applyFill="1" applyBorder="1" applyAlignment="1">
      <alignment horizontal="left" vertical="center"/>
    </xf>
    <xf numFmtId="0" fontId="23" fillId="19" borderId="61" xfId="15" applyFont="1" applyFill="1" applyBorder="1" applyAlignment="1">
      <alignment horizontal="left" vertical="center"/>
    </xf>
    <xf numFmtId="0" fontId="23" fillId="12" borderId="8" xfId="15" applyFont="1" applyFill="1" applyBorder="1" applyAlignment="1">
      <alignment horizontal="left" vertical="center"/>
    </xf>
    <xf numFmtId="173" fontId="113" fillId="0" borderId="192" xfId="1" applyNumberFormat="1" applyFont="1" applyFill="1" applyBorder="1" applyAlignment="1">
      <alignment horizontal="center" vertical="center"/>
    </xf>
    <xf numFmtId="171" fontId="117" fillId="0" borderId="341" xfId="1" applyNumberFormat="1" applyFont="1" applyBorder="1" applyAlignment="1">
      <alignment horizontal="center" vertical="center"/>
    </xf>
    <xf numFmtId="171" fontId="117" fillId="0" borderId="341" xfId="1" quotePrefix="1" applyNumberFormat="1" applyFont="1" applyBorder="1" applyAlignment="1">
      <alignment horizontal="center" vertical="center"/>
    </xf>
    <xf numFmtId="0" fontId="53" fillId="0" borderId="134" xfId="1" applyFont="1" applyFill="1" applyBorder="1" applyAlignment="1">
      <alignment horizontal="center" vertical="center"/>
    </xf>
    <xf numFmtId="0" fontId="100" fillId="0" borderId="66" xfId="1" applyFont="1" applyFill="1" applyBorder="1" applyAlignment="1">
      <alignment horizontal="center" vertical="center" wrapText="1"/>
    </xf>
    <xf numFmtId="3" fontId="159" fillId="0" borderId="148" xfId="1" applyNumberFormat="1" applyFont="1" applyFill="1" applyBorder="1" applyAlignment="1">
      <alignment horizontal="left" vertical="center"/>
    </xf>
    <xf numFmtId="3" fontId="159" fillId="0" borderId="148" xfId="1" applyNumberFormat="1" applyFont="1" applyFill="1" applyBorder="1" applyAlignment="1">
      <alignment horizontal="center" vertical="center"/>
    </xf>
    <xf numFmtId="3" fontId="124" fillId="0" borderId="40" xfId="1" applyNumberFormat="1" applyFont="1" applyFill="1" applyBorder="1" applyAlignment="1">
      <alignment horizontal="left" vertical="center"/>
    </xf>
    <xf numFmtId="0" fontId="132" fillId="0" borderId="141" xfId="0" applyFont="1" applyBorder="1"/>
    <xf numFmtId="0" fontId="159" fillId="0" borderId="144" xfId="1" applyFont="1" applyFill="1" applyBorder="1" applyAlignment="1">
      <alignment horizontal="right" vertical="center"/>
    </xf>
    <xf numFmtId="0" fontId="159" fillId="0" borderId="145" xfId="1" applyFont="1" applyFill="1" applyBorder="1" applyAlignment="1">
      <alignment horizontal="right" vertical="center"/>
    </xf>
    <xf numFmtId="0" fontId="23" fillId="0" borderId="66" xfId="15" applyFont="1" applyFill="1" applyBorder="1" applyAlignment="1">
      <alignment horizontal="center" vertical="center"/>
    </xf>
    <xf numFmtId="0" fontId="23" fillId="0" borderId="66" xfId="15" quotePrefix="1" applyFont="1" applyFill="1" applyBorder="1" applyAlignment="1">
      <alignment horizontal="center" vertical="center"/>
    </xf>
    <xf numFmtId="3" fontId="162" fillId="0" borderId="164" xfId="17" applyNumberFormat="1" applyFont="1" applyFill="1" applyBorder="1" applyAlignment="1">
      <alignment horizontal="center" vertical="center"/>
    </xf>
    <xf numFmtId="3" fontId="117" fillId="0" borderId="179" xfId="1" applyNumberFormat="1" applyFont="1" applyFill="1" applyBorder="1" applyAlignment="1">
      <alignment horizontal="left" vertical="center"/>
    </xf>
    <xf numFmtId="3" fontId="163" fillId="0" borderId="106" xfId="1" applyNumberFormat="1" applyFont="1" applyFill="1" applyBorder="1" applyAlignment="1">
      <alignment horizontal="center" vertical="center"/>
    </xf>
    <xf numFmtId="3" fontId="163" fillId="0" borderId="140" xfId="1" applyNumberFormat="1" applyFont="1" applyFill="1" applyBorder="1" applyAlignment="1">
      <alignment horizontal="center" vertical="center"/>
    </xf>
    <xf numFmtId="0" fontId="164" fillId="0" borderId="52" xfId="1" applyFont="1" applyFill="1" applyBorder="1" applyAlignment="1">
      <alignment horizontal="center"/>
    </xf>
    <xf numFmtId="3" fontId="124" fillId="0" borderId="4" xfId="1" applyNumberFormat="1" applyFont="1" applyFill="1" applyBorder="1" applyAlignment="1">
      <alignment horizontal="center" vertical="center"/>
    </xf>
    <xf numFmtId="3" fontId="124" fillId="0" borderId="139" xfId="1" applyNumberFormat="1" applyFont="1" applyFill="1" applyBorder="1" applyAlignment="1">
      <alignment horizontal="center" vertical="center"/>
    </xf>
    <xf numFmtId="3" fontId="117" fillId="0" borderId="57" xfId="1" applyNumberFormat="1" applyFont="1" applyFill="1" applyBorder="1" applyAlignment="1">
      <alignment horizontal="center" vertical="center"/>
    </xf>
    <xf numFmtId="0" fontId="145" fillId="0" borderId="52" xfId="1" applyFont="1" applyFill="1" applyBorder="1" applyAlignment="1">
      <alignment horizontal="left" vertical="center"/>
    </xf>
    <xf numFmtId="3" fontId="124" fillId="0" borderId="179" xfId="1" applyNumberFormat="1" applyFont="1" applyFill="1" applyBorder="1" applyAlignment="1">
      <alignment horizontal="center" vertical="center"/>
    </xf>
    <xf numFmtId="3" fontId="124" fillId="0" borderId="159" xfId="1" applyNumberFormat="1" applyFont="1" applyFill="1" applyBorder="1" applyAlignment="1">
      <alignment horizontal="center" vertical="center"/>
    </xf>
    <xf numFmtId="3" fontId="124" fillId="0" borderId="158" xfId="1" applyNumberFormat="1" applyFont="1" applyFill="1" applyBorder="1" applyAlignment="1">
      <alignment horizontal="center" vertical="center"/>
    </xf>
    <xf numFmtId="3" fontId="124" fillId="0" borderId="57" xfId="1" applyNumberFormat="1" applyFont="1" applyFill="1" applyBorder="1" applyAlignment="1">
      <alignment horizontal="center" vertical="center"/>
    </xf>
    <xf numFmtId="0" fontId="145" fillId="0" borderId="8" xfId="1" applyFont="1" applyFill="1" applyBorder="1" applyAlignment="1">
      <alignment horizontal="left" vertical="center"/>
    </xf>
    <xf numFmtId="3" fontId="124" fillId="0" borderId="8" xfId="1" applyNumberFormat="1" applyFont="1" applyFill="1" applyBorder="1" applyAlignment="1">
      <alignment horizontal="center" vertical="center"/>
    </xf>
    <xf numFmtId="3" fontId="124" fillId="0" borderId="160" xfId="1" applyNumberFormat="1" applyFont="1" applyFill="1" applyBorder="1" applyAlignment="1">
      <alignment horizontal="center" vertical="center"/>
    </xf>
    <xf numFmtId="3" fontId="124" fillId="0" borderId="140" xfId="1" applyNumberFormat="1" applyFont="1" applyFill="1" applyBorder="1" applyAlignment="1">
      <alignment horizontal="center" vertical="center"/>
    </xf>
    <xf numFmtId="0" fontId="145" fillId="0" borderId="0" xfId="1" applyFont="1" applyFill="1" applyBorder="1" applyAlignment="1">
      <alignment horizontal="center"/>
    </xf>
    <xf numFmtId="3" fontId="124" fillId="0" borderId="0" xfId="1" applyNumberFormat="1" applyFont="1" applyFill="1" applyBorder="1" applyAlignment="1">
      <alignment horizontal="center" vertical="center"/>
    </xf>
    <xf numFmtId="3" fontId="124" fillId="0" borderId="111" xfId="1" applyNumberFormat="1" applyFont="1" applyFill="1" applyBorder="1" applyAlignment="1">
      <alignment horizontal="center" vertical="center"/>
    </xf>
    <xf numFmtId="0" fontId="145" fillId="0" borderId="157" xfId="1" applyFont="1" applyFill="1" applyBorder="1" applyAlignment="1">
      <alignment horizontal="left" vertical="center"/>
    </xf>
    <xf numFmtId="3" fontId="124" fillId="0" borderId="157" xfId="1" applyNumberFormat="1" applyFont="1" applyFill="1" applyBorder="1" applyAlignment="1">
      <alignment horizontal="center" vertical="center"/>
    </xf>
    <xf numFmtId="3" fontId="124" fillId="0" borderId="138" xfId="1" applyNumberFormat="1" applyFont="1" applyFill="1" applyBorder="1" applyAlignment="1">
      <alignment horizontal="center" vertical="center"/>
    </xf>
    <xf numFmtId="3" fontId="124" fillId="0" borderId="150" xfId="1" applyNumberFormat="1" applyFont="1" applyFill="1" applyBorder="1" applyAlignment="1">
      <alignment horizontal="center" vertical="center"/>
    </xf>
    <xf numFmtId="3" fontId="124" fillId="0" borderId="137" xfId="1" applyNumberFormat="1" applyFont="1" applyFill="1" applyBorder="1" applyAlignment="1">
      <alignment horizontal="center" vertical="center"/>
    </xf>
    <xf numFmtId="3" fontId="124" fillId="0" borderId="168" xfId="1" applyNumberFormat="1" applyFont="1" applyFill="1" applyBorder="1" applyAlignment="1">
      <alignment horizontal="center" vertical="center"/>
    </xf>
    <xf numFmtId="3" fontId="124" fillId="0" borderId="169" xfId="1" applyNumberFormat="1" applyFont="1" applyFill="1" applyBorder="1" applyAlignment="1">
      <alignment horizontal="center" vertical="center"/>
    </xf>
    <xf numFmtId="3" fontId="124" fillId="0" borderId="176" xfId="1" applyNumberFormat="1" applyFont="1" applyFill="1" applyBorder="1" applyAlignment="1">
      <alignment horizontal="center" vertical="center"/>
    </xf>
    <xf numFmtId="0" fontId="145" fillId="0" borderId="157" xfId="1" applyFont="1" applyFill="1" applyBorder="1" applyAlignment="1">
      <alignment horizontal="center"/>
    </xf>
    <xf numFmtId="3" fontId="124" fillId="0" borderId="151" xfId="1" applyNumberFormat="1" applyFont="1" applyFill="1" applyBorder="1" applyAlignment="1">
      <alignment horizontal="center" vertical="center"/>
    </xf>
    <xf numFmtId="3" fontId="124" fillId="0" borderId="132" xfId="1" applyNumberFormat="1" applyFont="1" applyFill="1" applyBorder="1" applyAlignment="1">
      <alignment horizontal="center" vertical="center"/>
    </xf>
    <xf numFmtId="3" fontId="124" fillId="0" borderId="143" xfId="1" applyNumberFormat="1" applyFont="1" applyFill="1" applyBorder="1" applyAlignment="1">
      <alignment horizontal="center" vertical="center"/>
    </xf>
    <xf numFmtId="0" fontId="164" fillId="0" borderId="175" xfId="1" applyFont="1" applyFill="1" applyBorder="1" applyAlignment="1">
      <alignment horizontal="center" vertical="center"/>
    </xf>
    <xf numFmtId="3" fontId="124" fillId="0" borderId="175" xfId="1" applyNumberFormat="1" applyFont="1" applyFill="1" applyBorder="1" applyAlignment="1">
      <alignment horizontal="center" vertical="center"/>
    </xf>
    <xf numFmtId="3" fontId="124" fillId="0" borderId="102" xfId="1" applyNumberFormat="1" applyFont="1" applyFill="1" applyBorder="1" applyAlignment="1">
      <alignment horizontal="center" vertical="center"/>
    </xf>
    <xf numFmtId="3" fontId="124" fillId="0" borderId="152" xfId="1" applyNumberFormat="1" applyFont="1" applyFill="1" applyBorder="1" applyAlignment="1">
      <alignment horizontal="center" vertical="center"/>
    </xf>
    <xf numFmtId="3" fontId="124" fillId="0" borderId="133" xfId="1" applyNumberFormat="1" applyFont="1" applyFill="1" applyBorder="1" applyAlignment="1">
      <alignment horizontal="center" vertical="center"/>
    </xf>
    <xf numFmtId="3" fontId="124" fillId="0" borderId="136" xfId="1" applyNumberFormat="1" applyFont="1" applyFill="1" applyBorder="1" applyAlignment="1">
      <alignment horizontal="center" vertical="center"/>
    </xf>
    <xf numFmtId="3" fontId="124" fillId="0" borderId="153" xfId="1" applyNumberFormat="1" applyFont="1" applyFill="1" applyBorder="1" applyAlignment="1">
      <alignment horizontal="center" vertical="center"/>
    </xf>
    <xf numFmtId="0" fontId="164" fillId="0" borderId="157" xfId="1" applyFont="1" applyFill="1" applyBorder="1" applyAlignment="1">
      <alignment horizontal="center"/>
    </xf>
    <xf numFmtId="0" fontId="164" fillId="0" borderId="157" xfId="1" applyFont="1" applyFill="1" applyBorder="1" applyAlignment="1">
      <alignment horizontal="center" vertical="center"/>
    </xf>
    <xf numFmtId="0" fontId="145" fillId="0" borderId="157" xfId="1" applyFont="1" applyFill="1" applyBorder="1" applyAlignment="1">
      <alignment vertical="center"/>
    </xf>
    <xf numFmtId="0" fontId="124" fillId="0" borderId="157" xfId="1" applyFont="1" applyFill="1" applyBorder="1" applyAlignment="1">
      <alignment horizontal="left" vertical="center"/>
    </xf>
    <xf numFmtId="0" fontId="145" fillId="0" borderId="175" xfId="1" applyFont="1" applyFill="1" applyBorder="1" applyAlignment="1">
      <alignment horizontal="left" vertical="center"/>
    </xf>
    <xf numFmtId="3" fontId="124" fillId="0" borderId="172" xfId="1" applyNumberFormat="1" applyFont="1" applyFill="1" applyBorder="1" applyAlignment="1">
      <alignment horizontal="center" vertical="center"/>
    </xf>
    <xf numFmtId="3" fontId="124" fillId="0" borderId="131" xfId="1" applyNumberFormat="1" applyFont="1" applyFill="1" applyBorder="1" applyAlignment="1">
      <alignment horizontal="center" vertical="center"/>
    </xf>
    <xf numFmtId="3" fontId="124" fillId="0" borderId="162" xfId="1" applyNumberFormat="1" applyFont="1" applyFill="1" applyBorder="1" applyAlignment="1">
      <alignment horizontal="center" vertical="center"/>
    </xf>
    <xf numFmtId="3" fontId="124" fillId="0" borderId="161" xfId="1" applyNumberFormat="1" applyFont="1" applyFill="1" applyBorder="1" applyAlignment="1">
      <alignment horizontal="center" vertical="center"/>
    </xf>
    <xf numFmtId="0" fontId="145" fillId="0" borderId="175" xfId="1" applyFont="1" applyFill="1" applyBorder="1" applyAlignment="1">
      <alignment horizontal="center"/>
    </xf>
    <xf numFmtId="0" fontId="145" fillId="0" borderId="225" xfId="1" applyFont="1" applyFill="1" applyBorder="1" applyAlignment="1">
      <alignment horizontal="left" vertical="center"/>
    </xf>
    <xf numFmtId="3" fontId="124" fillId="0" borderId="225" xfId="1" applyNumberFormat="1" applyFont="1" applyFill="1" applyBorder="1" applyAlignment="1">
      <alignment horizontal="center" vertical="center"/>
    </xf>
    <xf numFmtId="3" fontId="124" fillId="0" borderId="226" xfId="1" applyNumberFormat="1" applyFont="1" applyFill="1" applyBorder="1" applyAlignment="1">
      <alignment horizontal="center" vertical="center"/>
    </xf>
    <xf numFmtId="3" fontId="124" fillId="0" borderId="223" xfId="1" applyNumberFormat="1" applyFont="1" applyFill="1" applyBorder="1" applyAlignment="1">
      <alignment horizontal="center" vertical="center"/>
    </xf>
    <xf numFmtId="3" fontId="124" fillId="0" borderId="255" xfId="1" applyNumberFormat="1" applyFont="1" applyFill="1" applyBorder="1" applyAlignment="1">
      <alignment horizontal="center" vertical="center"/>
    </xf>
    <xf numFmtId="3" fontId="124" fillId="0" borderId="254" xfId="1" applyNumberFormat="1" applyFont="1" applyFill="1" applyBorder="1" applyAlignment="1">
      <alignment horizontal="center" vertical="center"/>
    </xf>
    <xf numFmtId="3" fontId="124" fillId="0" borderId="251" xfId="1" applyNumberFormat="1" applyFont="1" applyFill="1" applyBorder="1" applyAlignment="1">
      <alignment horizontal="center" vertical="center"/>
    </xf>
    <xf numFmtId="3" fontId="124" fillId="0" borderId="165" xfId="1" applyNumberFormat="1" applyFont="1" applyFill="1" applyBorder="1" applyAlignment="1">
      <alignment horizontal="center" vertical="center"/>
    </xf>
    <xf numFmtId="0" fontId="124" fillId="0" borderId="175" xfId="1" applyFont="1" applyFill="1" applyBorder="1" applyAlignment="1">
      <alignment horizontal="left" vertical="center"/>
    </xf>
    <xf numFmtId="0" fontId="164" fillId="0" borderId="175" xfId="1" applyFont="1" applyFill="1" applyBorder="1" applyAlignment="1">
      <alignment horizontal="center"/>
    </xf>
    <xf numFmtId="0" fontId="145" fillId="12" borderId="175" xfId="1" applyFont="1" applyFill="1" applyBorder="1" applyAlignment="1">
      <alignment horizontal="center"/>
    </xf>
    <xf numFmtId="3" fontId="145" fillId="0" borderId="137" xfId="1" applyNumberFormat="1" applyFont="1" applyFill="1" applyBorder="1" applyAlignment="1">
      <alignment horizontal="center" vertical="center"/>
    </xf>
    <xf numFmtId="0" fontId="145" fillId="12" borderId="175" xfId="1" applyFont="1" applyFill="1" applyBorder="1" applyAlignment="1">
      <alignment horizontal="left" vertical="center"/>
    </xf>
    <xf numFmtId="3" fontId="145" fillId="0" borderId="157" xfId="1" applyNumberFormat="1" applyFont="1" applyFill="1" applyBorder="1" applyAlignment="1">
      <alignment horizontal="center" vertical="center"/>
    </xf>
    <xf numFmtId="3" fontId="145" fillId="0" borderId="150" xfId="1" applyNumberFormat="1" applyFont="1" applyFill="1" applyBorder="1" applyAlignment="1">
      <alignment horizontal="center" vertical="center"/>
    </xf>
    <xf numFmtId="3" fontId="145" fillId="0" borderId="138" xfId="1" applyNumberFormat="1" applyFont="1" applyFill="1" applyBorder="1" applyAlignment="1">
      <alignment horizontal="center" vertical="center"/>
    </xf>
    <xf numFmtId="0" fontId="124" fillId="0" borderId="179" xfId="1" applyFont="1" applyFill="1" applyBorder="1" applyAlignment="1">
      <alignment horizontal="left" vertical="center"/>
    </xf>
    <xf numFmtId="3" fontId="145" fillId="0" borderId="172" xfId="1" applyNumberFormat="1" applyFont="1" applyFill="1" applyBorder="1" applyAlignment="1">
      <alignment horizontal="center" vertical="center"/>
    </xf>
    <xf numFmtId="3" fontId="145" fillId="0" borderId="154" xfId="1" applyNumberFormat="1" applyFont="1" applyFill="1" applyBorder="1" applyAlignment="1">
      <alignment horizontal="center" vertical="center"/>
    </xf>
    <xf numFmtId="0" fontId="165" fillId="0" borderId="0" xfId="1" applyFont="1" applyFill="1" applyBorder="1" applyAlignment="1">
      <alignment horizontal="left" vertical="center"/>
    </xf>
    <xf numFmtId="0" fontId="145" fillId="0" borderId="0" xfId="1" applyFont="1" applyFill="1" applyBorder="1" applyAlignment="1">
      <alignment horizontal="left" vertical="center"/>
    </xf>
    <xf numFmtId="169" fontId="124" fillId="0" borderId="0" xfId="1" applyNumberFormat="1" applyFont="1" applyFill="1" applyBorder="1" applyAlignment="1">
      <alignment horizontal="right" vertical="center"/>
    </xf>
    <xf numFmtId="3" fontId="145" fillId="0" borderId="0" xfId="1" applyNumberFormat="1" applyFont="1" applyFill="1" applyBorder="1" applyAlignment="1">
      <alignment horizontal="center" vertical="center"/>
    </xf>
    <xf numFmtId="0" fontId="124" fillId="0" borderId="0" xfId="1" applyFont="1" applyFill="1" applyBorder="1" applyAlignment="1">
      <alignment horizontal="left" vertical="center"/>
    </xf>
    <xf numFmtId="0" fontId="117" fillId="0" borderId="0" xfId="1" applyFont="1" applyFill="1" applyBorder="1" applyAlignment="1">
      <alignment horizontal="center"/>
    </xf>
    <xf numFmtId="0" fontId="159" fillId="0" borderId="105" xfId="1" applyFont="1" applyFill="1" applyBorder="1" applyAlignment="1">
      <alignment horizontal="right" vertical="center"/>
    </xf>
    <xf numFmtId="3" fontId="117" fillId="0" borderId="142" xfId="1" applyNumberFormat="1" applyFont="1" applyFill="1" applyBorder="1" applyAlignment="1">
      <alignment horizontal="left" vertical="center"/>
    </xf>
    <xf numFmtId="3" fontId="163" fillId="0" borderId="387" xfId="1" applyNumberFormat="1" applyFont="1" applyFill="1" applyBorder="1" applyAlignment="1">
      <alignment horizontal="center" vertical="center"/>
    </xf>
    <xf numFmtId="3" fontId="124" fillId="0" borderId="321" xfId="1" applyNumberFormat="1" applyFont="1" applyFill="1" applyBorder="1" applyAlignment="1">
      <alignment horizontal="center" vertical="center"/>
    </xf>
    <xf numFmtId="3" fontId="124" fillId="0" borderId="173" xfId="1" applyNumberFormat="1" applyFont="1" applyFill="1" applyBorder="1" applyAlignment="1">
      <alignment horizontal="center" vertical="center"/>
    </xf>
    <xf numFmtId="0" fontId="145" fillId="0" borderId="222" xfId="1" applyFont="1" applyFill="1" applyBorder="1" applyAlignment="1">
      <alignment horizontal="left" vertical="center"/>
    </xf>
    <xf numFmtId="3" fontId="124" fillId="0" borderId="228" xfId="1" applyNumberFormat="1" applyFont="1" applyFill="1" applyBorder="1" applyAlignment="1">
      <alignment horizontal="center" vertical="center"/>
    </xf>
    <xf numFmtId="3" fontId="145" fillId="0" borderId="255" xfId="1" applyNumberFormat="1" applyFont="1" applyFill="1" applyBorder="1" applyAlignment="1">
      <alignment horizontal="center" vertical="center"/>
    </xf>
    <xf numFmtId="3" fontId="145" fillId="0" borderId="102" xfId="1" applyNumberFormat="1" applyFont="1" applyFill="1" applyBorder="1" applyAlignment="1">
      <alignment horizontal="center" vertical="center"/>
    </xf>
    <xf numFmtId="3" fontId="145" fillId="0" borderId="173" xfId="1" applyNumberFormat="1" applyFont="1" applyFill="1" applyBorder="1" applyAlignment="1">
      <alignment horizontal="center" vertical="center"/>
    </xf>
    <xf numFmtId="3" fontId="145" fillId="0" borderId="321" xfId="1" applyNumberFormat="1" applyFont="1" applyFill="1" applyBorder="1" applyAlignment="1">
      <alignment horizontal="center" vertical="center"/>
    </xf>
    <xf numFmtId="0" fontId="145" fillId="12" borderId="157" xfId="1" applyFont="1" applyFill="1" applyBorder="1" applyAlignment="1">
      <alignment horizontal="center"/>
    </xf>
    <xf numFmtId="0" fontId="145" fillId="0" borderId="175" xfId="1" applyFont="1" applyFill="1" applyBorder="1" applyAlignment="1">
      <alignment vertical="center"/>
    </xf>
    <xf numFmtId="3" fontId="145" fillId="0" borderId="176" xfId="1" applyNumberFormat="1" applyFont="1" applyFill="1" applyBorder="1" applyAlignment="1">
      <alignment horizontal="center" vertical="center"/>
    </xf>
    <xf numFmtId="0" fontId="124" fillId="0" borderId="146" xfId="1" applyFont="1" applyFill="1" applyBorder="1" applyAlignment="1">
      <alignment horizontal="left" vertical="center"/>
    </xf>
    <xf numFmtId="171" fontId="117" fillId="0" borderId="347" xfId="1" quotePrefix="1" applyNumberFormat="1" applyFont="1" applyBorder="1" applyAlignment="1">
      <alignment horizontal="center" vertical="center"/>
    </xf>
    <xf numFmtId="171" fontId="117" fillId="0" borderId="386" xfId="1" quotePrefix="1" applyNumberFormat="1" applyFont="1" applyBorder="1" applyAlignment="1">
      <alignment horizontal="center" vertical="center"/>
    </xf>
    <xf numFmtId="171" fontId="117" fillId="0" borderId="385" xfId="1" quotePrefix="1" applyNumberFormat="1" applyFont="1" applyBorder="1" applyAlignment="1">
      <alignment horizontal="center" vertical="center"/>
    </xf>
    <xf numFmtId="0" fontId="159" fillId="0" borderId="156" xfId="1" applyFont="1" applyFill="1" applyBorder="1" applyAlignment="1">
      <alignment horizontal="right" vertical="center"/>
    </xf>
    <xf numFmtId="0" fontId="159" fillId="0" borderId="157" xfId="1" applyFont="1" applyFill="1" applyBorder="1" applyAlignment="1">
      <alignment horizontal="right" vertical="center"/>
    </xf>
    <xf numFmtId="0" fontId="95" fillId="0" borderId="149" xfId="1" applyFont="1" applyFill="1" applyBorder="1" applyAlignment="1">
      <alignment horizontal="center" vertical="center"/>
    </xf>
    <xf numFmtId="0" fontId="159" fillId="0" borderId="0" xfId="1" applyFont="1" applyFill="1" applyBorder="1" applyAlignment="1">
      <alignment horizontal="right" vertical="center"/>
    </xf>
    <xf numFmtId="0" fontId="159" fillId="0" borderId="67" xfId="1" applyFont="1" applyFill="1" applyBorder="1" applyAlignment="1">
      <alignment horizontal="center" vertical="center"/>
    </xf>
    <xf numFmtId="0" fontId="23" fillId="0" borderId="103" xfId="15" applyFont="1" applyFill="1" applyBorder="1" applyAlignment="1">
      <alignment horizontal="center" vertical="center"/>
    </xf>
    <xf numFmtId="0" fontId="23" fillId="0" borderId="66" xfId="17" quotePrefix="1" applyFont="1" applyFill="1" applyBorder="1" applyAlignment="1">
      <alignment horizontal="center" vertical="center"/>
    </xf>
    <xf numFmtId="3" fontId="117" fillId="0" borderId="106" xfId="1" applyNumberFormat="1" applyFont="1" applyFill="1" applyBorder="1" applyAlignment="1">
      <alignment horizontal="center" vertical="center" wrapText="1"/>
    </xf>
    <xf numFmtId="0" fontId="145" fillId="0" borderId="64" xfId="1" applyFont="1" applyFill="1" applyBorder="1" applyAlignment="1">
      <alignment horizontal="center"/>
    </xf>
    <xf numFmtId="3" fontId="124" fillId="0" borderId="68" xfId="1" applyNumberFormat="1" applyFont="1" applyFill="1" applyBorder="1" applyAlignment="1">
      <alignment horizontal="center" vertical="center"/>
    </xf>
    <xf numFmtId="3" fontId="124" fillId="0" borderId="66" xfId="1" applyNumberFormat="1" applyFont="1" applyFill="1" applyBorder="1" applyAlignment="1">
      <alignment horizontal="center" vertical="center"/>
    </xf>
    <xf numFmtId="3" fontId="124" fillId="0" borderId="183" xfId="1" applyNumberFormat="1" applyFont="1" applyFill="1" applyBorder="1" applyAlignment="1">
      <alignment horizontal="center" vertical="center"/>
    </xf>
    <xf numFmtId="3" fontId="124" fillId="0" borderId="167" xfId="1" applyNumberFormat="1" applyFont="1" applyFill="1" applyBorder="1" applyAlignment="1">
      <alignment horizontal="center" vertical="center"/>
    </xf>
    <xf numFmtId="3" fontId="124" fillId="0" borderId="170" xfId="1" applyNumberFormat="1" applyFont="1" applyFill="1" applyBorder="1" applyAlignment="1">
      <alignment horizontal="center" vertical="center"/>
    </xf>
    <xf numFmtId="0" fontId="166" fillId="0" borderId="64" xfId="1" applyFont="1" applyFill="1" applyBorder="1" applyAlignment="1">
      <alignment horizontal="center" vertical="center"/>
    </xf>
    <xf numFmtId="0" fontId="166" fillId="0" borderId="85" xfId="1" applyFont="1" applyFill="1" applyBorder="1" applyAlignment="1">
      <alignment horizontal="center" vertical="center"/>
    </xf>
    <xf numFmtId="3" fontId="124" fillId="0" borderId="185" xfId="1" applyNumberFormat="1" applyFont="1" applyFill="1" applyBorder="1" applyAlignment="1">
      <alignment horizontal="center" vertical="center"/>
    </xf>
    <xf numFmtId="3" fontId="124" fillId="0" borderId="184" xfId="1" applyNumberFormat="1" applyFont="1" applyFill="1" applyBorder="1" applyAlignment="1">
      <alignment horizontal="center" vertical="center"/>
    </xf>
    <xf numFmtId="0" fontId="166" fillId="0" borderId="238" xfId="1" applyFont="1" applyFill="1" applyBorder="1" applyAlignment="1">
      <alignment horizontal="center" vertical="center"/>
    </xf>
    <xf numFmtId="3" fontId="124" fillId="0" borderId="247" xfId="1" applyNumberFormat="1" applyFont="1" applyFill="1" applyBorder="1" applyAlignment="1">
      <alignment horizontal="center" vertical="center"/>
    </xf>
    <xf numFmtId="3" fontId="124" fillId="0" borderId="245" xfId="1" applyNumberFormat="1" applyFont="1" applyFill="1" applyBorder="1" applyAlignment="1">
      <alignment horizontal="center" vertical="center"/>
    </xf>
    <xf numFmtId="3" fontId="124" fillId="0" borderId="319" xfId="1" applyNumberFormat="1" applyFont="1" applyFill="1" applyBorder="1" applyAlignment="1">
      <alignment horizontal="center" vertical="center"/>
    </xf>
    <xf numFmtId="3" fontId="124" fillId="0" borderId="320" xfId="1" applyNumberFormat="1" applyFont="1" applyFill="1" applyBorder="1" applyAlignment="1">
      <alignment horizontal="center" vertical="center"/>
    </xf>
    <xf numFmtId="3" fontId="124" fillId="0" borderId="280" xfId="1" applyNumberFormat="1" applyFont="1" applyFill="1" applyBorder="1" applyAlignment="1">
      <alignment horizontal="center" vertical="center"/>
    </xf>
    <xf numFmtId="0" fontId="166" fillId="0" borderId="252" xfId="1" applyFont="1" applyFill="1" applyBorder="1" applyAlignment="1">
      <alignment horizontal="center" vertical="center"/>
    </xf>
    <xf numFmtId="0" fontId="164" fillId="0" borderId="252" xfId="1" applyFont="1" applyFill="1" applyBorder="1" applyAlignment="1">
      <alignment horizontal="center" vertical="center"/>
    </xf>
    <xf numFmtId="0" fontId="166" fillId="0" borderId="365" xfId="1" applyFont="1" applyFill="1" applyBorder="1" applyAlignment="1">
      <alignment horizontal="center" vertical="center"/>
    </xf>
    <xf numFmtId="3" fontId="124" fillId="0" borderId="357" xfId="1" applyNumberFormat="1" applyFont="1" applyFill="1" applyBorder="1" applyAlignment="1">
      <alignment horizontal="center" vertical="center"/>
    </xf>
    <xf numFmtId="0" fontId="166" fillId="0" borderId="157" xfId="1" applyFont="1" applyFill="1" applyBorder="1" applyAlignment="1">
      <alignment horizontal="center" vertical="center"/>
    </xf>
    <xf numFmtId="3" fontId="124" fillId="0" borderId="188" xfId="1" applyNumberFormat="1" applyFont="1" applyFill="1" applyBorder="1" applyAlignment="1">
      <alignment horizontal="center" vertical="center"/>
    </xf>
    <xf numFmtId="3" fontId="124" fillId="0" borderId="90" xfId="1" applyNumberFormat="1" applyFont="1" applyFill="1" applyBorder="1" applyAlignment="1">
      <alignment horizontal="center" vertical="center"/>
    </xf>
    <xf numFmtId="0" fontId="164" fillId="0" borderId="64" xfId="1" applyFont="1" applyFill="1" applyBorder="1" applyAlignment="1">
      <alignment horizontal="center" vertical="center"/>
    </xf>
    <xf numFmtId="3" fontId="124" fillId="0" borderId="189" xfId="1" applyNumberFormat="1" applyFont="1" applyFill="1" applyBorder="1" applyAlignment="1">
      <alignment horizontal="center" vertical="center"/>
    </xf>
    <xf numFmtId="3" fontId="124" fillId="0" borderId="190" xfId="1" applyNumberFormat="1" applyFont="1" applyFill="1" applyBorder="1" applyAlignment="1">
      <alignment horizontal="center" vertical="center"/>
    </xf>
    <xf numFmtId="3" fontId="124" fillId="0" borderId="195" xfId="1" applyNumberFormat="1" applyFont="1" applyFill="1" applyBorder="1" applyAlignment="1">
      <alignment horizontal="center" vertical="center"/>
    </xf>
    <xf numFmtId="3" fontId="124" fillId="0" borderId="156" xfId="1" applyNumberFormat="1" applyFont="1" applyFill="1" applyBorder="1" applyAlignment="1">
      <alignment horizontal="center" vertical="center"/>
    </xf>
    <xf numFmtId="3" fontId="124" fillId="0" borderId="28" xfId="1" applyNumberFormat="1" applyFont="1" applyFill="1" applyBorder="1" applyAlignment="1">
      <alignment horizontal="center" vertical="center"/>
    </xf>
    <xf numFmtId="3" fontId="124" fillId="0" borderId="191" xfId="1" applyNumberFormat="1" applyFont="1" applyFill="1" applyBorder="1" applyAlignment="1">
      <alignment horizontal="center" vertical="center"/>
    </xf>
    <xf numFmtId="3" fontId="124" fillId="0" borderId="187" xfId="1" applyNumberFormat="1" applyFont="1" applyFill="1" applyBorder="1" applyAlignment="1">
      <alignment horizontal="center" vertical="center"/>
    </xf>
    <xf numFmtId="0" fontId="166" fillId="0" borderId="62" xfId="1" applyFont="1" applyFill="1" applyBorder="1" applyAlignment="1">
      <alignment horizontal="center" vertical="center"/>
    </xf>
    <xf numFmtId="3" fontId="124" fillId="0" borderId="171" xfId="1" applyNumberFormat="1" applyFont="1" applyFill="1" applyBorder="1" applyAlignment="1">
      <alignment horizontal="center" vertical="center"/>
    </xf>
    <xf numFmtId="0" fontId="164" fillId="0" borderId="62" xfId="1" applyFont="1" applyFill="1" applyBorder="1" applyAlignment="1">
      <alignment horizontal="center" vertical="center"/>
    </xf>
    <xf numFmtId="3" fontId="124" fillId="0" borderId="166" xfId="1" applyNumberFormat="1" applyFont="1" applyFill="1" applyBorder="1" applyAlignment="1">
      <alignment horizontal="center" vertical="center"/>
    </xf>
    <xf numFmtId="0" fontId="166" fillId="0" borderId="39" xfId="1" applyFont="1" applyFill="1" applyBorder="1" applyAlignment="1">
      <alignment horizontal="center" vertical="center"/>
    </xf>
    <xf numFmtId="0" fontId="164" fillId="0" borderId="39" xfId="1" applyFont="1" applyFill="1" applyBorder="1" applyAlignment="1">
      <alignment horizontal="center" vertical="center"/>
    </xf>
    <xf numFmtId="0" fontId="164" fillId="0" borderId="117" xfId="1" applyFont="1" applyFill="1" applyBorder="1" applyAlignment="1">
      <alignment horizontal="center" vertical="center"/>
    </xf>
    <xf numFmtId="0" fontId="166" fillId="0" borderId="63" xfId="1" applyFont="1" applyFill="1" applyBorder="1" applyAlignment="1">
      <alignment horizontal="center" vertical="center"/>
    </xf>
    <xf numFmtId="0" fontId="166" fillId="0" borderId="9" xfId="1" applyFont="1" applyFill="1" applyBorder="1" applyAlignment="1">
      <alignment horizontal="center" vertical="center"/>
    </xf>
    <xf numFmtId="0" fontId="145" fillId="0" borderId="39" xfId="1" applyFont="1" applyFill="1" applyBorder="1" applyAlignment="1">
      <alignment horizontal="center"/>
    </xf>
    <xf numFmtId="0" fontId="164" fillId="0" borderId="9" xfId="1" applyFont="1" applyFill="1" applyBorder="1" applyAlignment="1">
      <alignment horizontal="center" vertical="center"/>
    </xf>
    <xf numFmtId="0" fontId="145" fillId="0" borderId="62" xfId="1" applyFont="1" applyFill="1" applyBorder="1" applyAlignment="1">
      <alignment horizontal="center"/>
    </xf>
    <xf numFmtId="0" fontId="164" fillId="0" borderId="63" xfId="1" applyFont="1" applyFill="1" applyBorder="1" applyAlignment="1">
      <alignment horizontal="center" vertical="center"/>
    </xf>
    <xf numFmtId="0" fontId="51" fillId="0" borderId="62" xfId="1" applyFont="1" applyFill="1" applyBorder="1" applyAlignment="1">
      <alignment horizontal="center" vertical="center"/>
    </xf>
    <xf numFmtId="0" fontId="51" fillId="0" borderId="39" xfId="1" applyFont="1" applyFill="1" applyBorder="1" applyAlignment="1">
      <alignment horizontal="center" vertical="center"/>
    </xf>
    <xf numFmtId="0" fontId="164" fillId="0" borderId="365" xfId="1" applyFont="1" applyFill="1" applyBorder="1" applyAlignment="1">
      <alignment horizontal="center" vertical="center"/>
    </xf>
    <xf numFmtId="0" fontId="51" fillId="0" borderId="117" xfId="1" applyFont="1" applyFill="1" applyBorder="1" applyAlignment="1">
      <alignment horizontal="center" vertical="center"/>
    </xf>
    <xf numFmtId="0" fontId="51" fillId="0" borderId="157" xfId="1" applyFont="1" applyFill="1" applyBorder="1" applyAlignment="1">
      <alignment horizontal="center" vertical="center"/>
    </xf>
    <xf numFmtId="0" fontId="164" fillId="0" borderId="85" xfId="1" applyFont="1" applyFill="1" applyBorder="1" applyAlignment="1">
      <alignment horizontal="center" vertical="center"/>
    </xf>
    <xf numFmtId="0" fontId="51" fillId="0" borderId="9" xfId="1" applyFont="1" applyFill="1" applyBorder="1" applyAlignment="1">
      <alignment horizontal="center" vertical="center"/>
    </xf>
    <xf numFmtId="0" fontId="166" fillId="0" borderId="255" xfId="1" applyFont="1" applyFill="1" applyBorder="1" applyAlignment="1">
      <alignment horizontal="center" vertical="center"/>
    </xf>
    <xf numFmtId="3" fontId="124" fillId="0" borderId="253" xfId="1" applyNumberFormat="1" applyFont="1" applyFill="1" applyBorder="1" applyAlignment="1">
      <alignment horizontal="center" vertical="center"/>
    </xf>
    <xf numFmtId="0" fontId="145" fillId="0" borderId="63" xfId="1" applyFont="1" applyFill="1" applyBorder="1" applyAlignment="1">
      <alignment horizontal="center"/>
    </xf>
    <xf numFmtId="0" fontId="166" fillId="0" borderId="242" xfId="1" applyFont="1" applyFill="1" applyBorder="1" applyAlignment="1">
      <alignment horizontal="center" vertical="center"/>
    </xf>
    <xf numFmtId="3" fontId="124" fillId="0" borderId="240" xfId="1" applyNumberFormat="1" applyFont="1" applyFill="1" applyBorder="1" applyAlignment="1">
      <alignment horizontal="center" vertical="center"/>
    </xf>
    <xf numFmtId="3" fontId="124" fillId="0" borderId="241" xfId="1" applyNumberFormat="1" applyFont="1" applyFill="1" applyBorder="1" applyAlignment="1">
      <alignment horizontal="center" vertical="center"/>
    </xf>
    <xf numFmtId="3" fontId="145" fillId="0" borderId="175" xfId="1" applyNumberFormat="1" applyFont="1" applyFill="1" applyBorder="1" applyAlignment="1">
      <alignment horizontal="center" vertical="center"/>
    </xf>
    <xf numFmtId="3" fontId="145" fillId="0" borderId="165" xfId="1" applyNumberFormat="1" applyFont="1" applyFill="1" applyBorder="1" applyAlignment="1">
      <alignment horizontal="center" vertical="center"/>
    </xf>
    <xf numFmtId="3" fontId="145" fillId="0" borderId="169" xfId="1" applyNumberFormat="1" applyFont="1" applyFill="1" applyBorder="1" applyAlignment="1">
      <alignment horizontal="center" vertical="center"/>
    </xf>
    <xf numFmtId="0" fontId="95" fillId="0" borderId="93" xfId="1" applyFont="1" applyFill="1" applyBorder="1" applyAlignment="1">
      <alignment horizontal="center" vertical="center"/>
    </xf>
    <xf numFmtId="0" fontId="95" fillId="0" borderId="67" xfId="1" applyFont="1" applyFill="1" applyBorder="1" applyAlignment="1">
      <alignment horizontal="center" vertical="center"/>
    </xf>
    <xf numFmtId="0" fontId="95" fillId="0" borderId="0" xfId="1" applyFont="1" applyFill="1" applyBorder="1" applyAlignment="1">
      <alignment horizontal="center" vertical="center"/>
    </xf>
    <xf numFmtId="0" fontId="167" fillId="0" borderId="66" xfId="1" applyFont="1" applyFill="1" applyBorder="1" applyAlignment="1">
      <alignment horizontal="center" vertical="center" wrapText="1"/>
    </xf>
    <xf numFmtId="0" fontId="100" fillId="0" borderId="67" xfId="1" applyFont="1" applyFill="1" applyBorder="1" applyAlignment="1">
      <alignment horizontal="center" vertical="center" wrapText="1"/>
    </xf>
    <xf numFmtId="0" fontId="100" fillId="0" borderId="0" xfId="1" applyFont="1" applyFill="1" applyBorder="1" applyAlignment="1">
      <alignment horizontal="center" vertical="center" wrapText="1"/>
    </xf>
    <xf numFmtId="0" fontId="23" fillId="0" borderId="67" xfId="17" quotePrefix="1" applyFont="1" applyFill="1" applyBorder="1" applyAlignment="1">
      <alignment horizontal="center" vertical="center"/>
    </xf>
    <xf numFmtId="0" fontId="23" fillId="0" borderId="0" xfId="17" quotePrefix="1" applyFont="1" applyFill="1" applyBorder="1" applyAlignment="1">
      <alignment horizontal="center" vertical="center"/>
    </xf>
    <xf numFmtId="0" fontId="23" fillId="0" borderId="67" xfId="15" quotePrefix="1" applyFont="1" applyFill="1" applyBorder="1" applyAlignment="1">
      <alignment horizontal="center" vertical="center"/>
    </xf>
    <xf numFmtId="0" fontId="23" fillId="0" borderId="0" xfId="15" quotePrefix="1" applyFont="1" applyFill="1" applyBorder="1" applyAlignment="1">
      <alignment horizontal="center" vertical="center"/>
    </xf>
    <xf numFmtId="3" fontId="162" fillId="0" borderId="67" xfId="17" applyNumberFormat="1" applyFont="1" applyFill="1" applyBorder="1" applyAlignment="1">
      <alignment horizontal="center" vertical="center"/>
    </xf>
    <xf numFmtId="3" fontId="162" fillId="0" borderId="0" xfId="17" applyNumberFormat="1" applyFont="1" applyFill="1" applyBorder="1" applyAlignment="1">
      <alignment horizontal="center" vertical="center"/>
    </xf>
    <xf numFmtId="3" fontId="163" fillId="0" borderId="148" xfId="1" applyNumberFormat="1" applyFont="1" applyFill="1" applyBorder="1" applyAlignment="1">
      <alignment horizontal="center" vertical="center"/>
    </xf>
    <xf numFmtId="3" fontId="163" fillId="0" borderId="67" xfId="1" applyNumberFormat="1" applyFont="1" applyFill="1" applyBorder="1" applyAlignment="1">
      <alignment horizontal="center" vertical="center"/>
    </xf>
    <xf numFmtId="3" fontId="163" fillId="0" borderId="0" xfId="1" applyNumberFormat="1" applyFont="1" applyFill="1" applyBorder="1" applyAlignment="1">
      <alignment horizontal="center" vertical="center"/>
    </xf>
    <xf numFmtId="3" fontId="124" fillId="0" borderId="54" xfId="1" applyNumberFormat="1" applyFont="1" applyFill="1" applyBorder="1" applyAlignment="1">
      <alignment horizontal="center" vertical="center"/>
    </xf>
    <xf numFmtId="3" fontId="124" fillId="0" borderId="67" xfId="1" applyNumberFormat="1" applyFont="1" applyFill="1" applyBorder="1" applyAlignment="1">
      <alignment horizontal="center" vertical="center"/>
    </xf>
    <xf numFmtId="3" fontId="124" fillId="0" borderId="193" xfId="1" applyNumberFormat="1" applyFont="1" applyFill="1" applyBorder="1" applyAlignment="1">
      <alignment horizontal="center" vertical="center"/>
    </xf>
    <xf numFmtId="3" fontId="124" fillId="0" borderId="192" xfId="1" applyNumberFormat="1" applyFont="1" applyFill="1" applyBorder="1" applyAlignment="1">
      <alignment horizontal="center" vertical="center"/>
    </xf>
    <xf numFmtId="3" fontId="124" fillId="0" borderId="259" xfId="1" applyNumberFormat="1" applyFont="1" applyFill="1" applyBorder="1" applyAlignment="1">
      <alignment horizontal="center" vertical="center"/>
    </xf>
    <xf numFmtId="0" fontId="166" fillId="0" borderId="179" xfId="1" applyFont="1" applyFill="1" applyBorder="1" applyAlignment="1">
      <alignment horizontal="center" vertical="center"/>
    </xf>
    <xf numFmtId="0" fontId="145" fillId="0" borderId="179" xfId="1" applyFont="1" applyFill="1" applyBorder="1" applyAlignment="1">
      <alignment horizontal="center"/>
    </xf>
    <xf numFmtId="3" fontId="124" fillId="0" borderId="125" xfId="1" applyNumberFormat="1" applyFont="1" applyFill="1" applyBorder="1" applyAlignment="1">
      <alignment horizontal="center" vertical="center"/>
    </xf>
    <xf numFmtId="0" fontId="164" fillId="0" borderId="250" xfId="1" applyFont="1" applyFill="1" applyBorder="1" applyAlignment="1">
      <alignment horizontal="center" vertical="center"/>
    </xf>
    <xf numFmtId="3" fontId="124" fillId="0" borderId="249" xfId="1" applyNumberFormat="1" applyFont="1" applyFill="1" applyBorder="1" applyAlignment="1">
      <alignment horizontal="center" vertical="center"/>
    </xf>
    <xf numFmtId="3" fontId="124" fillId="0" borderId="248" xfId="1" applyNumberFormat="1" applyFont="1" applyFill="1" applyBorder="1" applyAlignment="1">
      <alignment horizontal="center" vertical="center"/>
    </xf>
    <xf numFmtId="3" fontId="124" fillId="0" borderId="257" xfId="1" applyNumberFormat="1" applyFont="1" applyFill="1" applyBorder="1" applyAlignment="1">
      <alignment horizontal="center" vertical="center"/>
    </xf>
    <xf numFmtId="3" fontId="124" fillId="0" borderId="258" xfId="1" applyNumberFormat="1" applyFont="1" applyFill="1" applyBorder="1" applyAlignment="1">
      <alignment horizontal="center" vertical="center"/>
    </xf>
    <xf numFmtId="0" fontId="166" fillId="0" borderId="250" xfId="1" applyFont="1" applyFill="1" applyBorder="1" applyAlignment="1">
      <alignment horizontal="center" vertical="center"/>
    </xf>
    <xf numFmtId="0" fontId="164" fillId="0" borderId="179" xfId="1" applyFont="1" applyFill="1" applyBorder="1" applyAlignment="1">
      <alignment horizontal="center" vertical="center"/>
    </xf>
    <xf numFmtId="3" fontId="124" fillId="0" borderId="95" xfId="1" applyNumberFormat="1" applyFont="1" applyFill="1" applyBorder="1" applyAlignment="1">
      <alignment horizontal="center" vertical="center"/>
    </xf>
    <xf numFmtId="0" fontId="164" fillId="0" borderId="244" xfId="1" applyFont="1" applyFill="1" applyBorder="1" applyAlignment="1">
      <alignment horizontal="center" vertical="center"/>
    </xf>
    <xf numFmtId="3" fontId="124" fillId="0" borderId="148" xfId="1" applyNumberFormat="1" applyFont="1" applyFill="1" applyBorder="1" applyAlignment="1">
      <alignment horizontal="center" vertical="center"/>
    </xf>
    <xf numFmtId="0" fontId="164" fillId="0" borderId="242" xfId="1" applyFont="1" applyFill="1" applyBorder="1" applyAlignment="1">
      <alignment horizontal="center" vertical="center"/>
    </xf>
    <xf numFmtId="3" fontId="124" fillId="0" borderId="177" xfId="1" applyNumberFormat="1" applyFont="1" applyFill="1" applyBorder="1" applyAlignment="1">
      <alignment horizontal="center" vertical="center"/>
    </xf>
    <xf numFmtId="0" fontId="164" fillId="0" borderId="135" xfId="1" applyFont="1" applyFill="1" applyBorder="1" applyAlignment="1">
      <alignment horizontal="center" vertical="center"/>
    </xf>
    <xf numFmtId="3" fontId="124" fillId="0" borderId="383" xfId="1" applyNumberFormat="1" applyFont="1" applyFill="1" applyBorder="1" applyAlignment="1">
      <alignment horizontal="center" vertical="center"/>
    </xf>
    <xf numFmtId="3" fontId="124" fillId="0" borderId="243" xfId="1" applyNumberFormat="1" applyFont="1" applyFill="1" applyBorder="1" applyAlignment="1">
      <alignment horizontal="center" vertical="center"/>
    </xf>
    <xf numFmtId="0" fontId="104" fillId="0" borderId="62" xfId="1" applyFont="1" applyFill="1" applyBorder="1" applyAlignment="1">
      <alignment horizontal="center"/>
    </xf>
    <xf numFmtId="0" fontId="51" fillId="0" borderId="63" xfId="1" applyFont="1" applyFill="1" applyBorder="1" applyAlignment="1">
      <alignment horizontal="center" vertical="center"/>
    </xf>
    <xf numFmtId="0" fontId="51" fillId="0" borderId="175" xfId="1" applyFont="1" applyFill="1" applyBorder="1" applyAlignment="1">
      <alignment horizontal="center" vertical="center"/>
    </xf>
    <xf numFmtId="0" fontId="145" fillId="0" borderId="238" xfId="1" applyFont="1" applyFill="1" applyBorder="1" applyAlignment="1">
      <alignment horizontal="center"/>
    </xf>
    <xf numFmtId="3" fontId="124" fillId="0" borderId="239" xfId="1" applyNumberFormat="1" applyFont="1" applyFill="1" applyBorder="1" applyAlignment="1">
      <alignment horizontal="center" vertical="center"/>
    </xf>
    <xf numFmtId="3" fontId="145" fillId="0" borderId="177" xfId="1" applyNumberFormat="1" applyFont="1" applyFill="1" applyBorder="1" applyAlignment="1">
      <alignment horizontal="center" vertical="center"/>
    </xf>
    <xf numFmtId="3" fontId="117" fillId="0" borderId="67" xfId="1" applyNumberFormat="1" applyFont="1" applyFill="1" applyBorder="1" applyAlignment="1">
      <alignment horizontal="center" vertical="center"/>
    </xf>
    <xf numFmtId="3" fontId="117" fillId="0" borderId="0" xfId="1" applyNumberFormat="1" applyFont="1" applyFill="1" applyBorder="1" applyAlignment="1">
      <alignment horizontal="center" vertical="center"/>
    </xf>
    <xf numFmtId="0" fontId="164" fillId="0" borderId="309" xfId="1" applyFont="1" applyFill="1" applyBorder="1" applyAlignment="1">
      <alignment horizontal="center" vertical="center"/>
    </xf>
    <xf numFmtId="3" fontId="117" fillId="0" borderId="248" xfId="1" applyNumberFormat="1" applyFont="1" applyFill="1" applyBorder="1" applyAlignment="1">
      <alignment horizontal="center" vertical="center"/>
    </xf>
    <xf numFmtId="0" fontId="51" fillId="0" borderId="309" xfId="1" applyFont="1" applyFill="1" applyBorder="1" applyAlignment="1">
      <alignment horizontal="center" vertical="center"/>
    </xf>
    <xf numFmtId="3" fontId="145" fillId="0" borderId="67" xfId="1" applyNumberFormat="1" applyFont="1" applyFill="1" applyBorder="1" applyAlignment="1">
      <alignment horizontal="center" vertical="center"/>
    </xf>
    <xf numFmtId="0" fontId="159" fillId="0" borderId="393" xfId="1" applyFont="1" applyFill="1" applyBorder="1" applyAlignment="1">
      <alignment horizontal="right" vertical="center"/>
    </xf>
    <xf numFmtId="3" fontId="163" fillId="0" borderId="379" xfId="1" applyNumberFormat="1" applyFont="1" applyFill="1" applyBorder="1" applyAlignment="1">
      <alignment horizontal="center" vertical="center"/>
    </xf>
    <xf numFmtId="3" fontId="124" fillId="0" borderId="382" xfId="1" applyNumberFormat="1" applyFont="1" applyFill="1" applyBorder="1" applyAlignment="1">
      <alignment horizontal="center" vertical="center"/>
    </xf>
    <xf numFmtId="3" fontId="124" fillId="0" borderId="52" xfId="1" applyNumberFormat="1" applyFont="1" applyFill="1" applyBorder="1" applyAlignment="1">
      <alignment horizontal="center" vertical="center"/>
    </xf>
    <xf numFmtId="3" fontId="124" fillId="0" borderId="393" xfId="1" applyNumberFormat="1" applyFont="1" applyFill="1" applyBorder="1" applyAlignment="1">
      <alignment horizontal="center" vertical="center"/>
    </xf>
    <xf numFmtId="3" fontId="124" fillId="0" borderId="392" xfId="1" applyNumberFormat="1" applyFont="1" applyFill="1" applyBorder="1" applyAlignment="1">
      <alignment horizontal="center" vertical="center"/>
    </xf>
    <xf numFmtId="3" fontId="124" fillId="0" borderId="394" xfId="1" applyNumberFormat="1" applyFont="1" applyFill="1" applyBorder="1" applyAlignment="1">
      <alignment horizontal="center" vertical="center"/>
    </xf>
    <xf numFmtId="3" fontId="124" fillId="0" borderId="391" xfId="1" applyNumberFormat="1" applyFont="1" applyFill="1" applyBorder="1" applyAlignment="1">
      <alignment horizontal="center" vertical="center"/>
    </xf>
    <xf numFmtId="3" fontId="145" fillId="0" borderId="392" xfId="1" applyNumberFormat="1" applyFont="1" applyFill="1" applyBorder="1" applyAlignment="1">
      <alignment horizontal="center" vertical="center"/>
    </xf>
    <xf numFmtId="171" fontId="117" fillId="0" borderId="190" xfId="1" applyNumberFormat="1" applyFont="1" applyBorder="1" applyAlignment="1">
      <alignment horizontal="center" vertical="center"/>
    </xf>
    <xf numFmtId="167" fontId="117" fillId="0" borderId="180" xfId="1" applyNumberFormat="1" applyFont="1" applyBorder="1" applyAlignment="1">
      <alignment horizontal="center" vertical="center"/>
    </xf>
    <xf numFmtId="167" fontId="117" fillId="0" borderId="182" xfId="1" applyNumberFormat="1" applyFont="1" applyBorder="1" applyAlignment="1">
      <alignment horizontal="center" vertical="center"/>
    </xf>
    <xf numFmtId="167" fontId="117" fillId="0" borderId="196" xfId="1" applyNumberFormat="1" applyFont="1" applyBorder="1" applyAlignment="1">
      <alignment horizontal="center" vertical="center"/>
    </xf>
    <xf numFmtId="167" fontId="117" fillId="0" borderId="186" xfId="1" applyNumberFormat="1" applyFont="1" applyBorder="1" applyAlignment="1">
      <alignment horizontal="center" vertical="center"/>
    </xf>
    <xf numFmtId="167" fontId="117" fillId="0" borderId="181" xfId="1" applyNumberFormat="1" applyFont="1" applyBorder="1" applyAlignment="1">
      <alignment horizontal="center" vertical="center"/>
    </xf>
    <xf numFmtId="167" fontId="117" fillId="0" borderId="194" xfId="1" applyNumberFormat="1" applyFont="1" applyBorder="1" applyAlignment="1">
      <alignment horizontal="center" vertical="center"/>
    </xf>
    <xf numFmtId="167" fontId="117" fillId="0" borderId="178" xfId="1" applyNumberFormat="1" applyFont="1" applyBorder="1" applyAlignment="1">
      <alignment horizontal="center" vertical="center"/>
    </xf>
    <xf numFmtId="166" fontId="117" fillId="0" borderId="174" xfId="1" applyNumberFormat="1" applyFont="1" applyBorder="1" applyAlignment="1">
      <alignment horizontal="center" vertical="center"/>
    </xf>
    <xf numFmtId="166" fontId="117" fillId="0" borderId="0" xfId="1" applyNumberFormat="1" applyFont="1" applyAlignment="1">
      <alignment horizontal="center" vertical="center"/>
    </xf>
    <xf numFmtId="166" fontId="117" fillId="0" borderId="347" xfId="1" applyNumberFormat="1" applyFont="1" applyBorder="1" applyAlignment="1">
      <alignment horizontal="center" vertical="center"/>
    </xf>
    <xf numFmtId="171" fontId="124" fillId="0" borderId="388" xfId="1" quotePrefix="1" applyNumberFormat="1" applyFont="1" applyBorder="1" applyAlignment="1">
      <alignment horizontal="center" vertical="center"/>
    </xf>
    <xf numFmtId="3" fontId="2" fillId="0" borderId="341" xfId="1" applyNumberFormat="1" applyFont="1" applyBorder="1" applyAlignment="1">
      <alignment horizontal="center" vertical="center"/>
    </xf>
    <xf numFmtId="0" fontId="164" fillId="0" borderId="393" xfId="1" applyFont="1" applyFill="1" applyBorder="1" applyAlignment="1">
      <alignment horizontal="center" vertical="center"/>
    </xf>
    <xf numFmtId="167" fontId="117" fillId="0" borderId="341" xfId="1" applyNumberFormat="1" applyFont="1" applyBorder="1" applyAlignment="1">
      <alignment horizontal="center" vertical="center"/>
    </xf>
    <xf numFmtId="3" fontId="124" fillId="0" borderId="395" xfId="1" applyNumberFormat="1" applyFont="1" applyFill="1" applyBorder="1" applyAlignment="1">
      <alignment horizontal="center" vertical="center"/>
    </xf>
    <xf numFmtId="0" fontId="115" fillId="0" borderId="84" xfId="15" applyFont="1" applyFill="1" applyBorder="1" applyAlignment="1">
      <alignment horizontal="left" vertical="center"/>
    </xf>
    <xf numFmtId="0" fontId="2" fillId="0" borderId="318" xfId="1" applyFont="1" applyFill="1" applyBorder="1" applyAlignment="1">
      <alignment horizontal="left" vertical="center"/>
    </xf>
    <xf numFmtId="0" fontId="23" fillId="12" borderId="130" xfId="15" applyFont="1" applyFill="1" applyBorder="1" applyAlignment="1">
      <alignment horizontal="left" vertical="center"/>
    </xf>
    <xf numFmtId="4" fontId="2" fillId="0" borderId="341" xfId="1" applyNumberFormat="1" applyFont="1" applyBorder="1" applyAlignment="1">
      <alignment horizontal="center" vertical="center"/>
    </xf>
    <xf numFmtId="0" fontId="51" fillId="0" borderId="85" xfId="1" applyFont="1" applyFill="1" applyBorder="1" applyAlignment="1">
      <alignment horizontal="center" vertical="center"/>
    </xf>
    <xf numFmtId="0" fontId="99" fillId="0" borderId="256" xfId="15" applyFont="1" applyFill="1" applyBorder="1" applyAlignment="1">
      <alignment horizontal="left" vertical="center"/>
    </xf>
    <xf numFmtId="3" fontId="51" fillId="5" borderId="66" xfId="1" applyNumberFormat="1" applyFont="1" applyFill="1" applyBorder="1" applyAlignment="1">
      <alignment horizontal="center" vertical="center"/>
    </xf>
    <xf numFmtId="3" fontId="70" fillId="0" borderId="325" xfId="1" applyNumberFormat="1" applyFont="1" applyFill="1" applyBorder="1" applyAlignment="1">
      <alignment horizontal="center" vertical="center"/>
    </xf>
    <xf numFmtId="0" fontId="145" fillId="0" borderId="9" xfId="1" applyFont="1" applyFill="1" applyBorder="1" applyAlignment="1">
      <alignment horizontal="center"/>
    </xf>
    <xf numFmtId="3" fontId="5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left" vertical="center"/>
    </xf>
    <xf numFmtId="3" fontId="159" fillId="0" borderId="397" xfId="1" applyNumberFormat="1" applyFont="1" applyFill="1" applyBorder="1" applyAlignment="1">
      <alignment horizontal="center" vertical="center"/>
    </xf>
    <xf numFmtId="0" fontId="159" fillId="0" borderId="353" xfId="1" applyFont="1" applyFill="1" applyBorder="1" applyAlignment="1">
      <alignment horizontal="right" vertical="center"/>
    </xf>
    <xf numFmtId="3" fontId="159" fillId="0" borderId="192" xfId="1" applyNumberFormat="1" applyFont="1" applyFill="1" applyBorder="1" applyAlignment="1">
      <alignment horizontal="center" vertical="center"/>
    </xf>
    <xf numFmtId="0" fontId="12" fillId="0" borderId="351" xfId="17" applyFont="1" applyFill="1" applyBorder="1" applyAlignment="1">
      <alignment horizontal="center" vertical="center"/>
    </xf>
    <xf numFmtId="0" fontId="12" fillId="0" borderId="396" xfId="17" applyFont="1" applyFill="1" applyBorder="1" applyAlignment="1">
      <alignment horizontal="center" vertical="center"/>
    </xf>
    <xf numFmtId="3" fontId="12" fillId="0" borderId="396" xfId="17" applyNumberFormat="1" applyFont="1" applyFill="1" applyBorder="1" applyAlignment="1">
      <alignment horizontal="center" vertical="center"/>
    </xf>
    <xf numFmtId="0" fontId="99" fillId="2" borderId="130" xfId="15" applyFont="1" applyFill="1" applyBorder="1" applyAlignment="1">
      <alignment horizontal="left" vertical="center"/>
    </xf>
    <xf numFmtId="0" fontId="99" fillId="0" borderId="130" xfId="15" applyFont="1" applyFill="1" applyBorder="1" applyAlignment="1">
      <alignment vertical="center"/>
    </xf>
    <xf numFmtId="0" fontId="99" fillId="0" borderId="155" xfId="15" applyFont="1" applyFill="1" applyBorder="1" applyAlignment="1">
      <alignment horizontal="left" vertical="center"/>
    </xf>
    <xf numFmtId="0" fontId="99" fillId="12" borderId="243" xfId="15" applyFont="1" applyFill="1" applyBorder="1" applyAlignment="1">
      <alignment horizontal="left" vertical="center"/>
    </xf>
    <xf numFmtId="0" fontId="164" fillId="0" borderId="393" xfId="1" applyFont="1" applyFill="1" applyBorder="1" applyAlignment="1">
      <alignment horizontal="center"/>
    </xf>
    <xf numFmtId="0" fontId="23" fillId="12" borderId="130" xfId="15" applyFill="1" applyBorder="1" applyAlignment="1">
      <alignment horizontal="left" vertical="center"/>
    </xf>
    <xf numFmtId="0" fontId="23" fillId="12" borderId="130" xfId="15" applyFill="1" applyBorder="1" applyAlignment="1">
      <alignment vertical="center"/>
    </xf>
    <xf numFmtId="0" fontId="99" fillId="19" borderId="130" xfId="15" applyFont="1" applyFill="1" applyBorder="1" applyAlignment="1">
      <alignment horizontal="left" vertical="center"/>
    </xf>
    <xf numFmtId="0" fontId="102" fillId="0" borderId="243" xfId="0" applyFont="1" applyBorder="1" applyAlignment="1">
      <alignment vertical="center"/>
    </xf>
    <xf numFmtId="3" fontId="2" fillId="0" borderId="261" xfId="1" applyNumberFormat="1" applyFont="1" applyBorder="1" applyAlignment="1">
      <alignment horizontal="center" vertical="center"/>
    </xf>
    <xf numFmtId="0" fontId="99" fillId="0" borderId="0" xfId="15" applyFont="1" applyFill="1" applyBorder="1" applyAlignment="1">
      <alignment horizontal="left"/>
    </xf>
    <xf numFmtId="0" fontId="23" fillId="12" borderId="93" xfId="15" applyFill="1" applyBorder="1" applyAlignment="1">
      <alignment horizontal="left" vertical="center"/>
    </xf>
    <xf numFmtId="0" fontId="97" fillId="0" borderId="360" xfId="1" applyFont="1" applyFill="1" applyBorder="1" applyAlignment="1">
      <alignment horizontal="left" vertical="center"/>
    </xf>
    <xf numFmtId="0" fontId="159" fillId="0" borderId="189" xfId="1" applyFont="1" applyFill="1" applyBorder="1" applyAlignment="1">
      <alignment horizontal="right" vertical="center"/>
    </xf>
    <xf numFmtId="0" fontId="159" fillId="0" borderId="387" xfId="1" applyFont="1" applyFill="1" applyBorder="1" applyAlignment="1">
      <alignment horizontal="right" vertical="center"/>
    </xf>
    <xf numFmtId="0" fontId="99" fillId="0" borderId="66" xfId="15" applyFont="1" applyFill="1" applyBorder="1" applyAlignment="1">
      <alignment horizontal="center" vertical="center"/>
    </xf>
    <xf numFmtId="0" fontId="23" fillId="0" borderId="66" xfId="15" applyFill="1" applyBorder="1" applyAlignment="1">
      <alignment horizontal="center" vertical="center"/>
    </xf>
    <xf numFmtId="0" fontId="51" fillId="0" borderId="243" xfId="1" applyFont="1" applyFill="1" applyBorder="1" applyAlignment="1">
      <alignment horizontal="left" vertical="center"/>
    </xf>
    <xf numFmtId="0" fontId="99" fillId="0" borderId="5" xfId="15" applyFont="1" applyFill="1" applyBorder="1" applyAlignment="1">
      <alignment horizontal="left" vertical="center"/>
    </xf>
    <xf numFmtId="0" fontId="23" fillId="0" borderId="130" xfId="15" applyFill="1" applyBorder="1" applyAlignment="1">
      <alignment horizontal="left" vertical="center"/>
    </xf>
    <xf numFmtId="0" fontId="23" fillId="0" borderId="163" xfId="15" applyFill="1" applyBorder="1" applyAlignment="1">
      <alignment horizontal="left" vertical="center"/>
    </xf>
    <xf numFmtId="0" fontId="51" fillId="0" borderId="365" xfId="1" applyFont="1" applyFill="1" applyBorder="1" applyAlignment="1">
      <alignment horizontal="center" vertical="center"/>
    </xf>
    <xf numFmtId="0" fontId="170" fillId="0" borderId="0" xfId="4" applyFont="1" applyFill="1" applyAlignment="1">
      <alignment horizontal="left"/>
    </xf>
    <xf numFmtId="1" fontId="171" fillId="0" borderId="0" xfId="4" applyNumberFormat="1" applyFont="1" applyFill="1" applyAlignment="1">
      <alignment horizontal="left"/>
    </xf>
    <xf numFmtId="0" fontId="172" fillId="0" borderId="0" xfId="4" applyFont="1" applyFill="1" applyAlignment="1">
      <alignment horizontal="left"/>
    </xf>
    <xf numFmtId="0" fontId="173" fillId="0" borderId="0" xfId="0" applyFont="1" applyAlignment="1">
      <alignment horizontal="left"/>
    </xf>
    <xf numFmtId="0" fontId="174" fillId="0" borderId="0" xfId="0" applyFont="1" applyAlignment="1">
      <alignment horizontal="left"/>
    </xf>
    <xf numFmtId="0" fontId="163" fillId="0" borderId="0" xfId="4" applyFont="1" applyFill="1"/>
    <xf numFmtId="0" fontId="132" fillId="0" borderId="0" xfId="0" applyFont="1"/>
    <xf numFmtId="0" fontId="175" fillId="0" borderId="0" xfId="0" applyFont="1" applyAlignment="1">
      <alignment horizontal="center" vertical="center"/>
    </xf>
    <xf numFmtId="0" fontId="117" fillId="0" borderId="0" xfId="15" applyFont="1" applyAlignment="1" applyProtection="1">
      <alignment horizontal="center" vertical="center"/>
    </xf>
    <xf numFmtId="0" fontId="176" fillId="3" borderId="0" xfId="15" applyFont="1" applyFill="1" applyAlignment="1" applyProtection="1">
      <alignment horizontal="center"/>
    </xf>
    <xf numFmtId="0" fontId="176" fillId="0" borderId="0" xfId="15" applyFont="1" applyAlignment="1" applyProtection="1">
      <alignment horizontal="center" vertical="center"/>
    </xf>
    <xf numFmtId="0" fontId="23" fillId="0" borderId="0" xfId="15" applyFill="1" applyAlignment="1" applyProtection="1">
      <alignment vertical="center"/>
    </xf>
    <xf numFmtId="0" fontId="17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applyAlignment="1">
      <alignment horizontal="center"/>
    </xf>
    <xf numFmtId="3" fontId="173" fillId="0" borderId="0" xfId="0" applyNumberFormat="1" applyFont="1" applyAlignment="1">
      <alignment horizontal="center" vertical="center"/>
    </xf>
    <xf numFmtId="3" fontId="124" fillId="0" borderId="0" xfId="0" applyNumberFormat="1" applyFont="1" applyAlignment="1">
      <alignment horizontal="center" vertical="center"/>
    </xf>
    <xf numFmtId="3" fontId="177" fillId="0" borderId="0" xfId="0" applyNumberFormat="1" applyFont="1" applyAlignment="1">
      <alignment horizontal="right"/>
    </xf>
    <xf numFmtId="3" fontId="177" fillId="0" borderId="0" xfId="0" applyNumberFormat="1" applyFont="1" applyAlignment="1">
      <alignment horizontal="center" vertical="center"/>
    </xf>
    <xf numFmtId="3" fontId="177" fillId="3" borderId="0" xfId="0" applyNumberFormat="1" applyFont="1" applyFill="1" applyAlignment="1">
      <alignment horizontal="center" vertical="center"/>
    </xf>
    <xf numFmtId="3" fontId="177" fillId="0" borderId="0" xfId="0" applyNumberFormat="1" applyFont="1" applyAlignment="1">
      <alignment horizontal="left"/>
    </xf>
    <xf numFmtId="3" fontId="117" fillId="0" borderId="0" xfId="0" applyNumberFormat="1" applyFont="1" applyAlignment="1">
      <alignment horizontal="center" vertical="center"/>
    </xf>
    <xf numFmtId="0" fontId="173" fillId="0" borderId="0" xfId="0" applyFont="1"/>
    <xf numFmtId="0" fontId="168" fillId="0" borderId="0" xfId="0" quotePrefix="1" applyFont="1" applyAlignment="1">
      <alignment horizontal="center"/>
    </xf>
    <xf numFmtId="3" fontId="178" fillId="0" borderId="0" xfId="0" applyNumberFormat="1" applyFont="1" applyAlignment="1">
      <alignment horizontal="center" vertical="center"/>
    </xf>
    <xf numFmtId="3" fontId="124" fillId="0" borderId="0" xfId="0" applyNumberFormat="1" applyFont="1" applyFill="1" applyAlignment="1">
      <alignment horizontal="center" vertical="center"/>
    </xf>
    <xf numFmtId="3" fontId="173" fillId="0" borderId="0" xfId="0" applyNumberFormat="1" applyFont="1" applyFill="1" applyAlignment="1">
      <alignment horizontal="center" vertical="center"/>
    </xf>
    <xf numFmtId="3" fontId="178" fillId="0" borderId="0" xfId="0" applyNumberFormat="1" applyFont="1" applyFill="1" applyAlignment="1">
      <alignment horizontal="center" vertical="center"/>
    </xf>
    <xf numFmtId="1" fontId="179" fillId="0" borderId="0" xfId="4" applyNumberFormat="1" applyFont="1" applyFill="1" applyAlignment="1">
      <alignment horizontal="left" vertical="center"/>
    </xf>
    <xf numFmtId="3" fontId="180" fillId="0" borderId="0" xfId="0" applyNumberFormat="1" applyFont="1" applyFill="1" applyAlignment="1">
      <alignment horizontal="center" vertical="center"/>
    </xf>
    <xf numFmtId="3" fontId="180" fillId="0" borderId="0" xfId="0" applyNumberFormat="1" applyFont="1" applyAlignment="1">
      <alignment horizontal="center" vertical="center"/>
    </xf>
    <xf numFmtId="0" fontId="23" fillId="0" borderId="0" xfId="15" applyFont="1" applyAlignment="1" applyProtection="1">
      <alignment horizontal="center" vertical="center"/>
    </xf>
    <xf numFmtId="3" fontId="126" fillId="0" borderId="0" xfId="0" applyNumberFormat="1" applyFont="1" applyAlignment="1">
      <alignment horizontal="center" vertical="center"/>
    </xf>
    <xf numFmtId="0" fontId="111" fillId="0" borderId="393" xfId="1" applyFont="1" applyFill="1" applyBorder="1" applyAlignment="1">
      <alignment horizontal="center" vertical="center"/>
    </xf>
    <xf numFmtId="3" fontId="52" fillId="0" borderId="391" xfId="1" applyNumberFormat="1" applyFont="1" applyFill="1" applyBorder="1" applyAlignment="1">
      <alignment horizontal="center" vertical="center"/>
    </xf>
    <xf numFmtId="0" fontId="125" fillId="2" borderId="215" xfId="15" applyFont="1" applyFill="1" applyBorder="1" applyAlignment="1">
      <alignment horizontal="left" vertical="center"/>
    </xf>
    <xf numFmtId="0" fontId="125" fillId="2" borderId="139" xfId="15" applyFont="1" applyFill="1" applyBorder="1" applyAlignment="1">
      <alignment horizontal="left" vertical="center"/>
    </xf>
    <xf numFmtId="0" fontId="125" fillId="27" borderId="215" xfId="15" applyFont="1" applyFill="1" applyBorder="1" applyAlignment="1">
      <alignment horizontal="left" vertical="center"/>
    </xf>
    <xf numFmtId="0" fontId="63" fillId="2" borderId="5" xfId="1" applyFont="1" applyFill="1" applyBorder="1" applyAlignment="1">
      <alignment horizontal="left" vertical="center"/>
    </xf>
    <xf numFmtId="0" fontId="125" fillId="2" borderId="84" xfId="15" applyFont="1" applyFill="1" applyBorder="1" applyAlignment="1">
      <alignment horizontal="left" vertical="center"/>
    </xf>
    <xf numFmtId="0" fontId="125" fillId="27" borderId="130" xfId="15" applyFont="1" applyFill="1" applyBorder="1" applyAlignment="1">
      <alignment horizontal="left" vertical="center"/>
    </xf>
    <xf numFmtId="0" fontId="125" fillId="2" borderId="177" xfId="15" applyFont="1" applyFill="1" applyBorder="1" applyAlignment="1">
      <alignment horizontal="left" vertical="center"/>
    </xf>
    <xf numFmtId="0" fontId="125" fillId="2" borderId="130" xfId="15" applyFont="1" applyFill="1" applyBorder="1" applyAlignment="1">
      <alignment horizontal="left" vertical="center"/>
    </xf>
    <xf numFmtId="0" fontId="125" fillId="2" borderId="213" xfId="15" applyFont="1" applyFill="1" applyBorder="1" applyAlignment="1">
      <alignment horizontal="left" vertical="center"/>
    </xf>
    <xf numFmtId="0" fontId="125" fillId="0" borderId="254" xfId="15" applyFont="1" applyFill="1" applyBorder="1" applyAlignment="1">
      <alignment vertical="center"/>
    </xf>
    <xf numFmtId="0" fontId="125" fillId="16" borderId="216" xfId="15" applyFont="1" applyFill="1" applyBorder="1" applyAlignment="1">
      <alignment vertical="center"/>
    </xf>
    <xf numFmtId="0" fontId="0" fillId="0" borderId="0" xfId="0" quotePrefix="1" applyFont="1" applyAlignment="1">
      <alignment horizontal="center"/>
    </xf>
    <xf numFmtId="3" fontId="17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73" fillId="0" borderId="0" xfId="0" applyNumberFormat="1" applyFont="1" applyAlignment="1">
      <alignment horizontal="center"/>
    </xf>
    <xf numFmtId="10" fontId="181" fillId="0" borderId="0" xfId="0" applyNumberFormat="1" applyFont="1" applyFill="1" applyAlignment="1">
      <alignment horizontal="center" vertical="center"/>
    </xf>
    <xf numFmtId="0" fontId="23" fillId="0" borderId="0" xfId="15" applyAlignment="1">
      <alignment horizontal="left" vertical="center"/>
    </xf>
    <xf numFmtId="0" fontId="182" fillId="0" borderId="347" xfId="0" applyFont="1" applyBorder="1"/>
    <xf numFmtId="0" fontId="166" fillId="0" borderId="393" xfId="1" applyFont="1" applyFill="1" applyBorder="1" applyAlignment="1">
      <alignment horizontal="center" vertical="center"/>
    </xf>
    <xf numFmtId="3" fontId="2" fillId="0" borderId="398" xfId="1" applyNumberFormat="1" applyFont="1" applyBorder="1" applyAlignment="1">
      <alignment horizontal="center" vertical="center"/>
    </xf>
    <xf numFmtId="0" fontId="142" fillId="5" borderId="17" xfId="1" applyFont="1" applyFill="1" applyBorder="1" applyAlignment="1">
      <alignment horizontal="center" vertical="center"/>
    </xf>
    <xf numFmtId="0" fontId="99" fillId="5" borderId="0" xfId="15" applyFont="1" applyFill="1" applyBorder="1" applyAlignment="1">
      <alignment horizontal="left" vertical="center"/>
    </xf>
    <xf numFmtId="0" fontId="105" fillId="5" borderId="31" xfId="1" applyFont="1" applyFill="1" applyBorder="1" applyAlignment="1">
      <alignment horizontal="center"/>
    </xf>
    <xf numFmtId="3" fontId="48" fillId="5" borderId="261" xfId="1" applyNumberFormat="1" applyFont="1" applyFill="1" applyBorder="1" applyAlignment="1">
      <alignment horizontal="center" vertical="center"/>
    </xf>
    <xf numFmtId="3" fontId="127" fillId="0" borderId="391" xfId="1" applyNumberFormat="1" applyFont="1" applyFill="1" applyBorder="1" applyAlignment="1">
      <alignment horizontal="center" vertical="center"/>
    </xf>
    <xf numFmtId="170" fontId="53" fillId="0" borderId="251" xfId="1" applyNumberFormat="1" applyFont="1" applyFill="1" applyBorder="1" applyAlignment="1">
      <alignment horizontal="center" vertical="center"/>
    </xf>
    <xf numFmtId="3" fontId="63" fillId="0" borderId="391" xfId="1" applyNumberFormat="1" applyFont="1" applyFill="1" applyBorder="1" applyAlignment="1">
      <alignment horizontal="center" vertical="center"/>
    </xf>
    <xf numFmtId="0" fontId="131" fillId="0" borderId="0" xfId="1" applyFont="1" applyFill="1" applyBorder="1" applyAlignment="1">
      <alignment horizontal="left" vertical="center"/>
    </xf>
    <xf numFmtId="0" fontId="125" fillId="19" borderId="230" xfId="15" applyFont="1" applyFill="1" applyBorder="1" applyAlignment="1">
      <alignment horizontal="left" vertical="center"/>
    </xf>
    <xf numFmtId="3" fontId="53" fillId="3" borderId="87" xfId="1" applyNumberFormat="1" applyFont="1" applyFill="1" applyBorder="1" applyAlignment="1">
      <alignment horizontal="center" vertical="center"/>
    </xf>
    <xf numFmtId="0" fontId="125" fillId="19" borderId="49" xfId="15" applyFont="1" applyFill="1" applyBorder="1" applyAlignment="1">
      <alignment horizontal="left" vertical="center"/>
    </xf>
    <xf numFmtId="0" fontId="111" fillId="12" borderId="50" xfId="1" applyFont="1" applyFill="1" applyBorder="1" applyAlignment="1">
      <alignment horizontal="center" vertical="center"/>
    </xf>
    <xf numFmtId="169" fontId="52" fillId="0" borderId="399" xfId="1" applyNumberFormat="1" applyFont="1" applyFill="1" applyBorder="1" applyAlignment="1">
      <alignment horizontal="right" vertical="center"/>
    </xf>
    <xf numFmtId="170" fontId="3" fillId="0" borderId="251" xfId="1" applyNumberFormat="1" applyFont="1" applyFill="1" applyBorder="1" applyAlignment="1">
      <alignment horizontal="center" vertical="center"/>
    </xf>
    <xf numFmtId="169" fontId="52" fillId="21" borderId="391" xfId="1" applyNumberFormat="1" applyFont="1" applyFill="1" applyBorder="1" applyAlignment="1">
      <alignment horizontal="right" vertical="center"/>
    </xf>
    <xf numFmtId="3" fontId="52" fillId="21" borderId="391" xfId="1" applyNumberFormat="1" applyFont="1" applyFill="1" applyBorder="1" applyAlignment="1">
      <alignment horizontal="center" vertical="center"/>
    </xf>
    <xf numFmtId="0" fontId="125" fillId="12" borderId="218" xfId="15" applyFont="1" applyFill="1" applyBorder="1" applyAlignment="1">
      <alignment horizontal="left" vertical="center"/>
    </xf>
    <xf numFmtId="0" fontId="52" fillId="0" borderId="254" xfId="0" applyFont="1" applyBorder="1"/>
    <xf numFmtId="0" fontId="52" fillId="0" borderId="213" xfId="0" applyFont="1" applyBorder="1"/>
    <xf numFmtId="0" fontId="125" fillId="12" borderId="209" xfId="15" applyFont="1" applyFill="1" applyBorder="1" applyAlignment="1">
      <alignment horizontal="left" vertical="center"/>
    </xf>
    <xf numFmtId="3" fontId="126" fillId="0" borderId="39" xfId="1" applyNumberFormat="1" applyFont="1" applyFill="1" applyBorder="1" applyAlignment="1">
      <alignment horizontal="left" vertical="center"/>
    </xf>
    <xf numFmtId="0" fontId="125" fillId="12" borderId="213" xfId="15" applyFont="1" applyFill="1" applyBorder="1" applyAlignment="1">
      <alignment horizontal="left" vertical="center"/>
    </xf>
    <xf numFmtId="0" fontId="52" fillId="0" borderId="218" xfId="0" applyFont="1" applyBorder="1"/>
    <xf numFmtId="0" fontId="125" fillId="12" borderId="40" xfId="15" applyFont="1" applyFill="1" applyBorder="1" applyAlignment="1">
      <alignment horizontal="left" vertical="center"/>
    </xf>
    <xf numFmtId="0" fontId="52" fillId="0" borderId="216" xfId="0" applyFont="1" applyBorder="1"/>
    <xf numFmtId="3" fontId="3" fillId="3" borderId="233" xfId="1" applyNumberFormat="1" applyFont="1" applyFill="1" applyBorder="1" applyAlignment="1">
      <alignment horizontal="center" vertical="center"/>
    </xf>
    <xf numFmtId="3" fontId="53" fillId="3" borderId="86" xfId="1" applyNumberFormat="1" applyFont="1" applyFill="1" applyBorder="1" applyAlignment="1">
      <alignment horizontal="center" vertical="center"/>
    </xf>
    <xf numFmtId="0" fontId="126" fillId="2" borderId="148" xfId="1" applyFont="1" applyFill="1" applyBorder="1" applyAlignment="1">
      <alignment horizontal="left" vertical="center"/>
    </xf>
    <xf numFmtId="169" fontId="52" fillId="0" borderId="184" xfId="1" applyNumberFormat="1" applyFont="1" applyFill="1" applyBorder="1" applyAlignment="1">
      <alignment horizontal="right" vertical="center"/>
    </xf>
    <xf numFmtId="0" fontId="52" fillId="0" borderId="213" xfId="1" applyFont="1" applyFill="1" applyBorder="1" applyAlignment="1">
      <alignment horizontal="left" vertical="center"/>
    </xf>
    <xf numFmtId="0" fontId="52" fillId="0" borderId="5" xfId="0" applyFont="1" applyBorder="1"/>
    <xf numFmtId="0" fontId="127" fillId="0" borderId="234" xfId="1" applyFont="1" applyFill="1" applyBorder="1" applyAlignment="1">
      <alignment horizontal="left" vertical="center"/>
    </xf>
    <xf numFmtId="0" fontId="125" fillId="0" borderId="213" xfId="15" applyFont="1" applyFill="1" applyBorder="1" applyAlignment="1">
      <alignment horizontal="left" vertical="center"/>
    </xf>
    <xf numFmtId="169" fontId="52" fillId="0" borderId="319" xfId="1" applyNumberFormat="1" applyFont="1" applyFill="1" applyBorder="1" applyAlignment="1">
      <alignment vertical="center"/>
    </xf>
    <xf numFmtId="169" fontId="52" fillId="3" borderId="101" xfId="1" applyNumberFormat="1" applyFont="1" applyFill="1" applyBorder="1" applyAlignment="1">
      <alignment horizontal="right" vertical="center"/>
    </xf>
    <xf numFmtId="3" fontId="3" fillId="3" borderId="211" xfId="1" applyNumberFormat="1" applyFont="1" applyFill="1" applyBorder="1" applyAlignment="1">
      <alignment horizontal="center" vertical="center"/>
    </xf>
    <xf numFmtId="0" fontId="127" fillId="0" borderId="234" xfId="1" applyFont="1" applyFill="1" applyBorder="1" applyAlignment="1">
      <alignment vertical="center"/>
    </xf>
    <xf numFmtId="0" fontId="52" fillId="0" borderId="400" xfId="1" applyFont="1" applyFill="1" applyBorder="1" applyAlignment="1">
      <alignment vertical="center"/>
    </xf>
    <xf numFmtId="0" fontId="105" fillId="12" borderId="352" xfId="1" applyFont="1" applyFill="1" applyBorder="1" applyAlignment="1">
      <alignment horizontal="center"/>
    </xf>
    <xf numFmtId="166" fontId="41" fillId="12" borderId="345" xfId="1" applyNumberFormat="1" applyFont="1" applyFill="1" applyBorder="1" applyAlignment="1">
      <alignment horizontal="center" vertical="center"/>
    </xf>
    <xf numFmtId="3" fontId="48" fillId="11" borderId="351" xfId="1" applyNumberFormat="1" applyFont="1" applyFill="1" applyBorder="1" applyAlignment="1">
      <alignment horizontal="center" vertical="center"/>
    </xf>
    <xf numFmtId="3" fontId="113" fillId="11" borderId="351" xfId="1" applyNumberFormat="1" applyFont="1" applyFill="1" applyBorder="1" applyAlignment="1">
      <alignment horizontal="center" vertical="center"/>
    </xf>
    <xf numFmtId="3" fontId="48" fillId="12" borderId="352" xfId="1" applyNumberFormat="1" applyFont="1" applyFill="1" applyBorder="1" applyAlignment="1">
      <alignment horizontal="center" vertical="center"/>
    </xf>
    <xf numFmtId="3" fontId="70" fillId="12" borderId="351" xfId="1" applyNumberFormat="1" applyFont="1" applyFill="1" applyBorder="1" applyAlignment="1">
      <alignment horizontal="center" vertical="center"/>
    </xf>
    <xf numFmtId="3" fontId="48" fillId="12" borderId="351" xfId="1" applyNumberFormat="1" applyFont="1" applyFill="1" applyBorder="1" applyAlignment="1">
      <alignment horizontal="center" vertical="center"/>
    </xf>
    <xf numFmtId="3" fontId="51" fillId="12" borderId="351" xfId="1" applyNumberFormat="1" applyFont="1" applyFill="1" applyBorder="1" applyAlignment="1">
      <alignment horizontal="left" vertical="center"/>
    </xf>
    <xf numFmtId="3" fontId="51" fillId="12" borderId="351" xfId="1" applyNumberFormat="1" applyFont="1" applyFill="1" applyBorder="1" applyAlignment="1">
      <alignment horizontal="center" vertical="center"/>
    </xf>
    <xf numFmtId="0" fontId="2" fillId="12" borderId="351" xfId="1" applyFont="1" applyFill="1" applyBorder="1" applyAlignment="1">
      <alignment horizontal="center" vertical="center"/>
    </xf>
    <xf numFmtId="172" fontId="51" fillId="12" borderId="351" xfId="1" applyNumberFormat="1" applyFont="1" applyFill="1" applyBorder="1" applyAlignment="1">
      <alignment horizontal="center" vertical="center"/>
    </xf>
    <xf numFmtId="14" fontId="51" fillId="12" borderId="351" xfId="1" applyNumberFormat="1" applyFont="1" applyFill="1" applyBorder="1" applyAlignment="1">
      <alignment horizontal="center" vertical="center"/>
    </xf>
    <xf numFmtId="0" fontId="105" fillId="12" borderId="377" xfId="1" applyFont="1" applyFill="1" applyBorder="1" applyAlignment="1">
      <alignment horizontal="center"/>
    </xf>
    <xf numFmtId="3" fontId="51" fillId="12" borderId="378" xfId="1" applyNumberFormat="1" applyFont="1" applyFill="1" applyBorder="1" applyAlignment="1">
      <alignment horizontal="left" vertical="center"/>
    </xf>
    <xf numFmtId="172" fontId="51" fillId="12" borderId="378" xfId="1" applyNumberFormat="1" applyFont="1" applyFill="1" applyBorder="1" applyAlignment="1">
      <alignment horizontal="center" vertical="center"/>
    </xf>
    <xf numFmtId="14" fontId="51" fillId="12" borderId="378" xfId="1" applyNumberFormat="1" applyFont="1" applyFill="1" applyBorder="1" applyAlignment="1">
      <alignment horizontal="center" vertical="center"/>
    </xf>
    <xf numFmtId="2" fontId="51" fillId="12" borderId="401" xfId="1" applyNumberFormat="1" applyFont="1" applyFill="1" applyBorder="1" applyAlignment="1">
      <alignment horizontal="center" vertical="center"/>
    </xf>
    <xf numFmtId="3" fontId="70" fillId="12" borderId="396" xfId="1" applyNumberFormat="1" applyFont="1" applyFill="1" applyBorder="1" applyAlignment="1">
      <alignment horizontal="center" vertical="center"/>
    </xf>
    <xf numFmtId="3" fontId="48" fillId="12" borderId="396" xfId="1" applyNumberFormat="1" applyFont="1" applyFill="1" applyBorder="1" applyAlignment="1">
      <alignment horizontal="center" vertical="center"/>
    </xf>
    <xf numFmtId="3" fontId="51" fillId="12" borderId="396" xfId="1" applyNumberFormat="1" applyFont="1" applyFill="1" applyBorder="1" applyAlignment="1">
      <alignment horizontal="left" vertical="center"/>
    </xf>
    <xf numFmtId="3" fontId="51" fillId="12" borderId="396" xfId="1" applyNumberFormat="1" applyFont="1" applyFill="1" applyBorder="1" applyAlignment="1">
      <alignment horizontal="center" vertical="center"/>
    </xf>
    <xf numFmtId="0" fontId="2" fillId="12" borderId="396" xfId="1" applyFont="1" applyFill="1" applyBorder="1" applyAlignment="1">
      <alignment horizontal="center" vertical="center"/>
    </xf>
    <xf numFmtId="172" fontId="51" fillId="12" borderId="396" xfId="1" applyNumberFormat="1" applyFont="1" applyFill="1" applyBorder="1" applyAlignment="1">
      <alignment horizontal="center" vertical="center"/>
    </xf>
    <xf numFmtId="14" fontId="51" fillId="12" borderId="396" xfId="1" applyNumberFormat="1" applyFont="1" applyFill="1" applyBorder="1" applyAlignment="1">
      <alignment horizontal="center" vertical="center"/>
    </xf>
    <xf numFmtId="2" fontId="51" fillId="12" borderId="331" xfId="1" applyNumberFormat="1" applyFont="1" applyFill="1" applyBorder="1" applyAlignment="1">
      <alignment horizontal="center" vertical="center"/>
    </xf>
    <xf numFmtId="0" fontId="142" fillId="15" borderId="22" xfId="1" applyFont="1" applyFill="1" applyBorder="1" applyAlignment="1">
      <alignment horizontal="center" vertical="center"/>
    </xf>
    <xf numFmtId="0" fontId="101" fillId="13" borderId="22" xfId="1" applyFont="1" applyFill="1" applyBorder="1" applyAlignment="1">
      <alignment horizontal="center" vertical="center"/>
    </xf>
    <xf numFmtId="0" fontId="142" fillId="12" borderId="29" xfId="1" applyFont="1" applyFill="1" applyBorder="1" applyAlignment="1">
      <alignment horizontal="center" vertical="center"/>
    </xf>
    <xf numFmtId="0" fontId="101" fillId="13" borderId="29" xfId="1" applyFont="1" applyFill="1" applyBorder="1" applyAlignment="1">
      <alignment horizontal="center" vertical="center"/>
    </xf>
    <xf numFmtId="0" fontId="51" fillId="13" borderId="8" xfId="1" applyFont="1" applyFill="1" applyBorder="1" applyAlignment="1">
      <alignment horizontal="left" vertical="center"/>
    </xf>
    <xf numFmtId="0" fontId="51" fillId="12" borderId="274" xfId="1" applyFont="1" applyFill="1" applyBorder="1" applyAlignment="1">
      <alignment horizontal="left" vertical="center"/>
    </xf>
    <xf numFmtId="0" fontId="97" fillId="13" borderId="274" xfId="1" applyFont="1" applyFill="1" applyBorder="1" applyAlignment="1">
      <alignment horizontal="left" vertical="center"/>
    </xf>
    <xf numFmtId="0" fontId="106" fillId="12" borderId="387" xfId="1" applyFont="1" applyFill="1" applyBorder="1" applyAlignment="1">
      <alignment horizontal="center"/>
    </xf>
    <xf numFmtId="0" fontId="105" fillId="12" borderId="352" xfId="1" applyFont="1" applyFill="1" applyBorder="1" applyAlignment="1">
      <alignment horizontal="center" vertical="center"/>
    </xf>
    <xf numFmtId="0" fontId="2" fillId="12" borderId="387" xfId="1" applyFont="1" applyFill="1" applyBorder="1" applyAlignment="1">
      <alignment horizontal="center" vertical="center"/>
    </xf>
    <xf numFmtId="0" fontId="105" fillId="13" borderId="377" xfId="1" applyFont="1" applyFill="1" applyBorder="1" applyAlignment="1">
      <alignment horizontal="center"/>
    </xf>
    <xf numFmtId="3" fontId="2" fillId="12" borderId="351" xfId="1" applyNumberFormat="1" applyFont="1" applyFill="1" applyBorder="1" applyAlignment="1">
      <alignment horizontal="right" vertical="center"/>
    </xf>
    <xf numFmtId="3" fontId="149" fillId="12" borderId="396" xfId="1" applyNumberFormat="1" applyFont="1" applyFill="1" applyBorder="1" applyAlignment="1">
      <alignment horizontal="center" vertical="center"/>
    </xf>
    <xf numFmtId="3" fontId="2" fillId="13" borderId="396" xfId="1" applyNumberFormat="1" applyFont="1" applyFill="1" applyBorder="1" applyAlignment="1">
      <alignment horizontal="center" vertical="center"/>
    </xf>
    <xf numFmtId="3" fontId="2" fillId="12" borderId="378" xfId="1" applyNumberFormat="1" applyFont="1" applyFill="1" applyBorder="1" applyAlignment="1">
      <alignment horizontal="right" vertical="center"/>
    </xf>
    <xf numFmtId="3" fontId="2" fillId="13" borderId="378" xfId="1" applyNumberFormat="1" applyFont="1" applyFill="1" applyBorder="1" applyAlignment="1">
      <alignment horizontal="right" vertical="center"/>
    </xf>
    <xf numFmtId="3" fontId="96" fillId="12" borderId="351" xfId="1" applyNumberFormat="1" applyFont="1" applyFill="1" applyBorder="1" applyAlignment="1">
      <alignment horizontal="right" vertical="center"/>
    </xf>
    <xf numFmtId="3" fontId="97" fillId="12" borderId="378" xfId="1" applyNumberFormat="1" applyFont="1" applyFill="1" applyBorder="1" applyAlignment="1">
      <alignment horizontal="right" vertical="center"/>
    </xf>
    <xf numFmtId="3" fontId="96" fillId="12" borderId="351" xfId="1" applyNumberFormat="1" applyFont="1" applyFill="1" applyBorder="1" applyAlignment="1">
      <alignment horizontal="center" vertical="center"/>
    </xf>
    <xf numFmtId="3" fontId="2" fillId="12" borderId="352" xfId="1" applyNumberFormat="1" applyFont="1" applyFill="1" applyBorder="1" applyAlignment="1">
      <alignment horizontal="center" vertical="center"/>
    </xf>
    <xf numFmtId="3" fontId="70" fillId="12" borderId="387" xfId="1" applyNumberFormat="1" applyFont="1" applyFill="1" applyBorder="1" applyAlignment="1">
      <alignment horizontal="center" vertical="center"/>
    </xf>
    <xf numFmtId="3" fontId="2" fillId="13" borderId="387" xfId="1" applyNumberFormat="1" applyFont="1" applyFill="1" applyBorder="1" applyAlignment="1">
      <alignment horizontal="center" vertical="center"/>
    </xf>
    <xf numFmtId="3" fontId="2" fillId="12" borderId="377" xfId="1" applyNumberFormat="1" applyFont="1" applyFill="1" applyBorder="1" applyAlignment="1">
      <alignment horizontal="center" vertical="center"/>
    </xf>
    <xf numFmtId="3" fontId="51" fillId="12" borderId="270" xfId="1" applyNumberFormat="1" applyFont="1" applyFill="1" applyBorder="1" applyAlignment="1">
      <alignment horizontal="center" vertical="center"/>
    </xf>
    <xf numFmtId="3" fontId="2" fillId="13" borderId="377" xfId="1" applyNumberFormat="1" applyFont="1" applyFill="1" applyBorder="1" applyAlignment="1">
      <alignment horizontal="center" vertical="center"/>
    </xf>
    <xf numFmtId="3" fontId="51" fillId="12" borderId="352" xfId="1" applyNumberFormat="1" applyFont="1" applyFill="1" applyBorder="1" applyAlignment="1">
      <alignment horizontal="center" vertical="center"/>
    </xf>
    <xf numFmtId="3" fontId="2" fillId="12" borderId="351" xfId="1" applyNumberFormat="1" applyFont="1" applyFill="1" applyBorder="1" applyAlignment="1">
      <alignment horizontal="center" vertical="center"/>
    </xf>
    <xf numFmtId="3" fontId="2" fillId="12" borderId="378" xfId="1" applyNumberFormat="1" applyFont="1" applyFill="1" applyBorder="1" applyAlignment="1">
      <alignment horizontal="center" vertical="center"/>
    </xf>
    <xf numFmtId="3" fontId="2" fillId="13" borderId="378" xfId="1" applyNumberFormat="1" applyFont="1" applyFill="1" applyBorder="1" applyAlignment="1">
      <alignment horizontal="center" vertical="center"/>
    </xf>
    <xf numFmtId="3" fontId="116" fillId="12" borderId="396" xfId="1" applyNumberFormat="1" applyFont="1" applyFill="1" applyBorder="1" applyAlignment="1">
      <alignment horizontal="center" vertical="center"/>
    </xf>
    <xf numFmtId="3" fontId="51" fillId="12" borderId="351" xfId="1" applyNumberFormat="1" applyFont="1" applyFill="1" applyBorder="1" applyAlignment="1">
      <alignment horizontal="center" vertical="center" shrinkToFit="1"/>
    </xf>
    <xf numFmtId="3" fontId="2" fillId="12" borderId="351" xfId="1" applyNumberFormat="1" applyFont="1" applyFill="1" applyBorder="1" applyAlignment="1">
      <alignment horizontal="left" vertical="center"/>
    </xf>
    <xf numFmtId="3" fontId="2" fillId="13" borderId="396" xfId="1" applyNumberFormat="1" applyFont="1" applyFill="1" applyBorder="1" applyAlignment="1">
      <alignment horizontal="left" vertical="center"/>
    </xf>
    <xf numFmtId="3" fontId="2" fillId="13" borderId="378" xfId="1" applyNumberFormat="1" applyFont="1" applyFill="1" applyBorder="1" applyAlignment="1">
      <alignment horizontal="left" vertical="center"/>
    </xf>
    <xf numFmtId="0" fontId="2" fillId="13" borderId="396" xfId="1" applyFont="1" applyFill="1" applyBorder="1" applyAlignment="1">
      <alignment horizontal="center" vertical="center"/>
    </xf>
    <xf numFmtId="0" fontId="103" fillId="12" borderId="378" xfId="1" applyFont="1" applyFill="1" applyBorder="1" applyAlignment="1">
      <alignment horizontal="center" vertical="center"/>
    </xf>
    <xf numFmtId="0" fontId="2" fillId="13" borderId="378" xfId="1" applyFont="1" applyFill="1" applyBorder="1" applyAlignment="1">
      <alignment horizontal="center" vertical="center"/>
    </xf>
    <xf numFmtId="172" fontId="2" fillId="12" borderId="351" xfId="1" applyNumberFormat="1" applyFont="1" applyFill="1" applyBorder="1" applyAlignment="1">
      <alignment horizontal="center" vertical="center"/>
    </xf>
    <xf numFmtId="172" fontId="2" fillId="13" borderId="396" xfId="1" applyNumberFormat="1" applyFont="1" applyFill="1" applyBorder="1" applyAlignment="1">
      <alignment horizontal="center" vertical="center"/>
    </xf>
    <xf numFmtId="172" fontId="2" fillId="13" borderId="378" xfId="1" applyNumberFormat="1" applyFont="1" applyFill="1" applyBorder="1" applyAlignment="1">
      <alignment horizontal="center" vertical="center"/>
    </xf>
    <xf numFmtId="14" fontId="2" fillId="12" borderId="351" xfId="1" applyNumberFormat="1" applyFont="1" applyFill="1" applyBorder="1" applyAlignment="1">
      <alignment horizontal="center" vertical="center"/>
    </xf>
    <xf numFmtId="14" fontId="2" fillId="13" borderId="396" xfId="1" applyNumberFormat="1" applyFont="1" applyFill="1" applyBorder="1" applyAlignment="1">
      <alignment horizontal="center" vertical="center"/>
    </xf>
    <xf numFmtId="14" fontId="2" fillId="13" borderId="378" xfId="1" applyNumberFormat="1" applyFont="1" applyFill="1" applyBorder="1" applyAlignment="1">
      <alignment horizontal="center" vertical="center"/>
    </xf>
    <xf numFmtId="14" fontId="51" fillId="12" borderId="396" xfId="1" quotePrefix="1" applyNumberFormat="1" applyFont="1" applyFill="1" applyBorder="1" applyAlignment="1">
      <alignment horizontal="center" vertical="center"/>
    </xf>
    <xf numFmtId="3" fontId="70" fillId="0" borderId="66" xfId="1" applyNumberFormat="1" applyFont="1" applyFill="1" applyBorder="1" applyAlignment="1">
      <alignment horizontal="center" vertical="center" shrinkToFit="1"/>
    </xf>
    <xf numFmtId="2" fontId="51" fillId="3" borderId="343" xfId="1" applyNumberFormat="1" applyFont="1" applyFill="1" applyBorder="1" applyAlignment="1">
      <alignment horizontal="center" vertical="center"/>
    </xf>
    <xf numFmtId="0" fontId="103" fillId="5" borderId="308" xfId="1" applyFont="1" applyFill="1" applyBorder="1" applyAlignment="1">
      <alignment horizontal="center" vertical="center"/>
    </xf>
    <xf numFmtId="0" fontId="105" fillId="5" borderId="310" xfId="1" applyFont="1" applyFill="1" applyBorder="1" applyAlignment="1">
      <alignment horizontal="center" vertical="center"/>
    </xf>
    <xf numFmtId="0" fontId="23" fillId="5" borderId="4" xfId="15" applyFont="1" applyFill="1" applyBorder="1" applyAlignment="1">
      <alignment horizontal="left" vertical="center"/>
    </xf>
    <xf numFmtId="0" fontId="23" fillId="5" borderId="309" xfId="15" applyFont="1" applyFill="1" applyBorder="1" applyAlignment="1">
      <alignment horizontal="left" vertical="center"/>
    </xf>
    <xf numFmtId="0" fontId="23" fillId="5" borderId="4" xfId="15" applyFill="1" applyBorder="1" applyAlignment="1">
      <alignment horizontal="left" vertical="center"/>
    </xf>
    <xf numFmtId="0" fontId="105" fillId="5" borderId="31" xfId="1" applyFont="1" applyFill="1" applyBorder="1" applyAlignment="1">
      <alignment horizontal="center" vertical="center"/>
    </xf>
    <xf numFmtId="0" fontId="23" fillId="5" borderId="0" xfId="15" applyFill="1" applyBorder="1" applyAlignment="1">
      <alignment horizontal="left" vertical="center"/>
    </xf>
    <xf numFmtId="0" fontId="103" fillId="5" borderId="33" xfId="1" applyFont="1" applyFill="1" applyBorder="1" applyAlignment="1">
      <alignment horizontal="center" vertical="center"/>
    </xf>
    <xf numFmtId="0" fontId="105" fillId="5" borderId="344" xfId="1" applyFont="1" applyFill="1" applyBorder="1" applyAlignment="1">
      <alignment horizontal="center" vertical="center"/>
    </xf>
    <xf numFmtId="0" fontId="105" fillId="5" borderId="282" xfId="1" applyFont="1" applyFill="1" applyBorder="1" applyAlignment="1">
      <alignment horizontal="center"/>
    </xf>
    <xf numFmtId="0" fontId="103" fillId="5" borderId="284" xfId="1" applyFont="1" applyFill="1" applyBorder="1" applyAlignment="1">
      <alignment horizontal="center" vertical="center"/>
    </xf>
    <xf numFmtId="0" fontId="105" fillId="5" borderId="286" xfId="1" applyFont="1" applyFill="1" applyBorder="1" applyAlignment="1">
      <alignment horizontal="center" vertical="center"/>
    </xf>
    <xf numFmtId="0" fontId="23" fillId="5" borderId="382" xfId="15" applyFont="1" applyFill="1" applyBorder="1" applyAlignment="1">
      <alignment horizontal="left" vertical="center"/>
    </xf>
    <xf numFmtId="0" fontId="105" fillId="5" borderId="290" xfId="1" applyFont="1" applyFill="1" applyBorder="1" applyAlignment="1">
      <alignment horizontal="center" vertical="center"/>
    </xf>
    <xf numFmtId="0" fontId="103" fillId="30" borderId="17" xfId="1" applyFont="1" applyFill="1" applyBorder="1" applyAlignment="1">
      <alignment horizontal="center" vertical="center"/>
    </xf>
    <xf numFmtId="0" fontId="105" fillId="30" borderId="103" xfId="1" applyFont="1" applyFill="1" applyBorder="1" applyAlignment="1">
      <alignment horizontal="center" vertical="center"/>
    </xf>
    <xf numFmtId="0" fontId="103" fillId="30" borderId="265" xfId="1" applyFont="1" applyFill="1" applyBorder="1" applyAlignment="1">
      <alignment horizontal="center" vertical="center"/>
    </xf>
    <xf numFmtId="0" fontId="103" fillId="30" borderId="26" xfId="1" applyFont="1" applyFill="1" applyBorder="1" applyAlignment="1">
      <alignment horizontal="center" vertical="center"/>
    </xf>
    <xf numFmtId="0" fontId="105" fillId="30" borderId="19" xfId="1" applyFont="1" applyFill="1" applyBorder="1" applyAlignment="1">
      <alignment horizontal="center" vertical="center"/>
    </xf>
    <xf numFmtId="3" fontId="149" fillId="30" borderId="103" xfId="1" applyNumberFormat="1" applyFont="1" applyFill="1" applyBorder="1" applyAlignment="1">
      <alignment horizontal="center" vertical="center"/>
    </xf>
    <xf numFmtId="3" fontId="149" fillId="30" borderId="66" xfId="1" applyNumberFormat="1" applyFont="1" applyFill="1" applyBorder="1" applyAlignment="1">
      <alignment horizontal="center" vertical="center"/>
    </xf>
    <xf numFmtId="3" fontId="149" fillId="31" borderId="103" xfId="1" applyNumberFormat="1" applyFont="1" applyFill="1" applyBorder="1" applyAlignment="1">
      <alignment horizontal="center" vertical="center"/>
    </xf>
    <xf numFmtId="3" fontId="149" fillId="31" borderId="66" xfId="1" applyNumberFormat="1" applyFont="1" applyFill="1" applyBorder="1" applyAlignment="1">
      <alignment horizontal="center" vertical="center"/>
    </xf>
    <xf numFmtId="3" fontId="149" fillId="31" borderId="19" xfId="1" applyNumberFormat="1" applyFont="1" applyFill="1" applyBorder="1" applyAlignment="1">
      <alignment horizontal="center" vertical="center"/>
    </xf>
    <xf numFmtId="0" fontId="103" fillId="31" borderId="17" xfId="1" applyFont="1" applyFill="1" applyBorder="1" applyAlignment="1">
      <alignment horizontal="center" vertical="center"/>
    </xf>
    <xf numFmtId="0" fontId="142" fillId="31" borderId="17" xfId="1" applyFont="1" applyFill="1" applyBorder="1" applyAlignment="1">
      <alignment horizontal="center" vertical="center"/>
    </xf>
    <xf numFmtId="0" fontId="23" fillId="31" borderId="0" xfId="15" applyFont="1" applyFill="1" applyBorder="1" applyAlignment="1">
      <alignment horizontal="left" vertical="center"/>
    </xf>
    <xf numFmtId="0" fontId="142" fillId="31" borderId="26" xfId="1" applyFont="1" applyFill="1" applyBorder="1" applyAlignment="1">
      <alignment horizontal="center" vertical="center"/>
    </xf>
    <xf numFmtId="0" fontId="23" fillId="31" borderId="4" xfId="15" applyFont="1" applyFill="1" applyBorder="1" applyAlignment="1">
      <alignment horizontal="left" vertical="center"/>
    </xf>
    <xf numFmtId="0" fontId="105" fillId="30" borderId="103" xfId="1" applyFont="1" applyFill="1" applyBorder="1" applyAlignment="1">
      <alignment horizontal="center"/>
    </xf>
    <xf numFmtId="0" fontId="103" fillId="31" borderId="26" xfId="1" applyFont="1" applyFill="1" applyBorder="1" applyAlignment="1">
      <alignment horizontal="center" vertical="center"/>
    </xf>
    <xf numFmtId="0" fontId="23" fillId="30" borderId="0" xfId="15" applyFont="1" applyFill="1" applyBorder="1" applyAlignment="1">
      <alignment horizontal="left" vertical="center"/>
    </xf>
    <xf numFmtId="0" fontId="115" fillId="31" borderId="4" xfId="15" applyFont="1" applyFill="1" applyBorder="1" applyAlignment="1">
      <alignment horizontal="left" vertical="center"/>
    </xf>
    <xf numFmtId="0" fontId="105" fillId="31" borderId="19" xfId="1" applyFont="1" applyFill="1" applyBorder="1" applyAlignment="1">
      <alignment horizontal="center"/>
    </xf>
    <xf numFmtId="3" fontId="48" fillId="30" borderId="103" xfId="1" applyNumberFormat="1" applyFont="1" applyFill="1" applyBorder="1" applyAlignment="1">
      <alignment horizontal="center" vertical="center"/>
    </xf>
    <xf numFmtId="3" fontId="48" fillId="30" borderId="66" xfId="1" applyNumberFormat="1" applyFont="1" applyFill="1" applyBorder="1" applyAlignment="1">
      <alignment horizontal="center" vertical="center"/>
    </xf>
    <xf numFmtId="0" fontId="106" fillId="31" borderId="19" xfId="1" applyFont="1" applyFill="1" applyBorder="1" applyAlignment="1">
      <alignment horizontal="center"/>
    </xf>
    <xf numFmtId="0" fontId="23" fillId="30" borderId="4" xfId="15" applyFont="1" applyFill="1" applyBorder="1" applyAlignment="1">
      <alignment horizontal="left" vertical="center"/>
    </xf>
    <xf numFmtId="0" fontId="105" fillId="30" borderId="352" xfId="1" applyFont="1" applyFill="1" applyBorder="1" applyAlignment="1">
      <alignment horizontal="center" vertical="center"/>
    </xf>
    <xf numFmtId="0" fontId="103" fillId="30" borderId="22" xfId="1" applyFont="1" applyFill="1" applyBorder="1" applyAlignment="1">
      <alignment horizontal="center" vertical="center"/>
    </xf>
    <xf numFmtId="0" fontId="142" fillId="31" borderId="22" xfId="1" applyFont="1" applyFill="1" applyBorder="1" applyAlignment="1">
      <alignment horizontal="center" vertical="center"/>
    </xf>
    <xf numFmtId="0" fontId="23" fillId="31" borderId="8" xfId="15" applyFont="1" applyFill="1" applyBorder="1" applyAlignment="1">
      <alignment horizontal="left" vertical="center"/>
    </xf>
    <xf numFmtId="0" fontId="142" fillId="30" borderId="17" xfId="1" applyFont="1" applyFill="1" applyBorder="1" applyAlignment="1">
      <alignment horizontal="center" vertical="center"/>
    </xf>
    <xf numFmtId="0" fontId="51" fillId="31" borderId="0" xfId="1" applyFont="1" applyFill="1" applyBorder="1" applyAlignment="1">
      <alignment horizontal="left" vertical="center"/>
    </xf>
    <xf numFmtId="3" fontId="149" fillId="31" borderId="352" xfId="1" applyNumberFormat="1" applyFont="1" applyFill="1" applyBorder="1" applyAlignment="1">
      <alignment horizontal="center" vertical="center"/>
    </xf>
    <xf numFmtId="3" fontId="149" fillId="31" borderId="351" xfId="1" applyNumberFormat="1" applyFont="1" applyFill="1" applyBorder="1" applyAlignment="1">
      <alignment horizontal="center" vertical="center"/>
    </xf>
    <xf numFmtId="3" fontId="48" fillId="31" borderId="103" xfId="1" applyNumberFormat="1" applyFont="1" applyFill="1" applyBorder="1" applyAlignment="1">
      <alignment horizontal="center" vertical="center"/>
    </xf>
    <xf numFmtId="3" fontId="48" fillId="30" borderId="352" xfId="1" applyNumberFormat="1" applyFont="1" applyFill="1" applyBorder="1" applyAlignment="1">
      <alignment horizontal="center" vertical="center"/>
    </xf>
    <xf numFmtId="3" fontId="149" fillId="30" borderId="351" xfId="1" applyNumberFormat="1" applyFont="1" applyFill="1" applyBorder="1" applyAlignment="1">
      <alignment horizontal="center" vertical="center"/>
    </xf>
    <xf numFmtId="3" fontId="149" fillId="30" borderId="352" xfId="1" applyNumberFormat="1" applyFont="1" applyFill="1" applyBorder="1" applyAlignment="1">
      <alignment horizontal="center" vertical="center"/>
    </xf>
    <xf numFmtId="0" fontId="142" fillId="34" borderId="17" xfId="1" applyFont="1" applyFill="1" applyBorder="1" applyAlignment="1">
      <alignment horizontal="center" vertical="center"/>
    </xf>
    <xf numFmtId="0" fontId="115" fillId="34" borderId="0" xfId="15" applyFont="1" applyFill="1" applyBorder="1" applyAlignment="1">
      <alignment horizontal="left" vertical="center"/>
    </xf>
    <xf numFmtId="0" fontId="103" fillId="34" borderId="17" xfId="1" applyFont="1" applyFill="1" applyBorder="1" applyAlignment="1">
      <alignment horizontal="center" vertical="center"/>
    </xf>
    <xf numFmtId="0" fontId="23" fillId="35" borderId="0" xfId="15" applyFont="1" applyFill="1" applyBorder="1" applyAlignment="1">
      <alignment horizontal="left" vertical="center"/>
    </xf>
    <xf numFmtId="0" fontId="103" fillId="34" borderId="265" xfId="1" applyFont="1" applyFill="1" applyBorder="1" applyAlignment="1">
      <alignment horizontal="center" vertical="center"/>
    </xf>
    <xf numFmtId="0" fontId="105" fillId="35" borderId="19" xfId="1" applyFont="1" applyFill="1" applyBorder="1" applyAlignment="1">
      <alignment horizontal="center" vertical="center"/>
    </xf>
    <xf numFmtId="0" fontId="103" fillId="35" borderId="17" xfId="1" applyFont="1" applyFill="1" applyBorder="1" applyAlignment="1">
      <alignment horizontal="center" vertical="center"/>
    </xf>
    <xf numFmtId="0" fontId="105" fillId="35" borderId="103" xfId="1" applyFont="1" applyFill="1" applyBorder="1" applyAlignment="1">
      <alignment horizontal="center" vertical="center"/>
    </xf>
    <xf numFmtId="0" fontId="23" fillId="34" borderId="0" xfId="15" applyFont="1" applyFill="1" applyBorder="1" applyAlignment="1">
      <alignment horizontal="left" vertical="center"/>
    </xf>
    <xf numFmtId="0" fontId="103" fillId="35" borderId="26" xfId="1" applyFont="1" applyFill="1" applyBorder="1" applyAlignment="1">
      <alignment horizontal="center" vertical="center"/>
    </xf>
    <xf numFmtId="0" fontId="115" fillId="35" borderId="0" xfId="15" applyFont="1" applyFill="1" applyBorder="1" applyAlignment="1">
      <alignment horizontal="left" vertical="center"/>
    </xf>
    <xf numFmtId="0" fontId="103" fillId="35" borderId="265" xfId="1" applyFont="1" applyFill="1" applyBorder="1" applyAlignment="1">
      <alignment horizontal="center" vertical="center"/>
    </xf>
    <xf numFmtId="0" fontId="105" fillId="35" borderId="103" xfId="1" applyFont="1" applyFill="1" applyBorder="1" applyAlignment="1">
      <alignment horizontal="center"/>
    </xf>
    <xf numFmtId="0" fontId="105" fillId="35" borderId="268" xfId="1" applyFont="1" applyFill="1" applyBorder="1" applyAlignment="1">
      <alignment horizontal="center" vertical="center"/>
    </xf>
    <xf numFmtId="0" fontId="105" fillId="34" borderId="103" xfId="1" applyFont="1" applyFill="1" applyBorder="1" applyAlignment="1">
      <alignment horizontal="center"/>
    </xf>
    <xf numFmtId="0" fontId="23" fillId="35" borderId="4" xfId="15" applyFont="1" applyFill="1" applyBorder="1" applyAlignment="1">
      <alignment horizontal="left" vertical="center"/>
    </xf>
    <xf numFmtId="0" fontId="105" fillId="35" borderId="352" xfId="1" applyFont="1" applyFill="1" applyBorder="1" applyAlignment="1">
      <alignment horizontal="center" vertical="center"/>
    </xf>
    <xf numFmtId="0" fontId="103" fillId="35" borderId="22" xfId="1" applyFont="1" applyFill="1" applyBorder="1" applyAlignment="1">
      <alignment horizontal="center" vertical="center"/>
    </xf>
    <xf numFmtId="0" fontId="105" fillId="35" borderId="379" xfId="1" applyFont="1" applyFill="1" applyBorder="1" applyAlignment="1">
      <alignment horizontal="center" vertical="center"/>
    </xf>
    <xf numFmtId="0" fontId="142" fillId="35" borderId="17" xfId="1" applyFont="1" applyFill="1" applyBorder="1" applyAlignment="1">
      <alignment horizontal="center" vertical="center"/>
    </xf>
    <xf numFmtId="3" fontId="149" fillId="34" borderId="352" xfId="1" applyNumberFormat="1" applyFont="1" applyFill="1" applyBorder="1" applyAlignment="1">
      <alignment horizontal="center" vertical="center"/>
    </xf>
    <xf numFmtId="3" fontId="149" fillId="34" borderId="351" xfId="1" applyNumberFormat="1" applyFont="1" applyFill="1" applyBorder="1" applyAlignment="1">
      <alignment horizontal="center" vertical="center"/>
    </xf>
    <xf numFmtId="3" fontId="48" fillId="35" borderId="103" xfId="1" applyNumberFormat="1" applyFont="1" applyFill="1" applyBorder="1" applyAlignment="1">
      <alignment horizontal="center" vertical="center"/>
    </xf>
    <xf numFmtId="3" fontId="48" fillId="35" borderId="66" xfId="1" applyNumberFormat="1" applyFont="1" applyFill="1" applyBorder="1" applyAlignment="1">
      <alignment horizontal="center" vertical="center"/>
    </xf>
    <xf numFmtId="3" fontId="149" fillId="34" borderId="275" xfId="1" applyNumberFormat="1" applyFont="1" applyFill="1" applyBorder="1" applyAlignment="1">
      <alignment horizontal="center" vertical="center"/>
    </xf>
    <xf numFmtId="3" fontId="149" fillId="34" borderId="264" xfId="1" applyNumberFormat="1" applyFont="1" applyFill="1" applyBorder="1" applyAlignment="1">
      <alignment horizontal="center" vertical="center"/>
    </xf>
    <xf numFmtId="3" fontId="149" fillId="34" borderId="183" xfId="1" applyNumberFormat="1" applyFont="1" applyFill="1" applyBorder="1" applyAlignment="1">
      <alignment horizontal="center" vertical="center"/>
    </xf>
    <xf numFmtId="3" fontId="149" fillId="34" borderId="66" xfId="1" applyNumberFormat="1" applyFont="1" applyFill="1" applyBorder="1" applyAlignment="1">
      <alignment horizontal="center" vertical="center"/>
    </xf>
    <xf numFmtId="3" fontId="149" fillId="35" borderId="103" xfId="1" applyNumberFormat="1" applyFont="1" applyFill="1" applyBorder="1" applyAlignment="1">
      <alignment horizontal="center" vertical="center"/>
    </xf>
    <xf numFmtId="3" fontId="149" fillId="35" borderId="66" xfId="1" applyNumberFormat="1" applyFont="1" applyFill="1" applyBorder="1" applyAlignment="1">
      <alignment horizontal="center" vertical="center"/>
    </xf>
    <xf numFmtId="3" fontId="149" fillId="35" borderId="264" xfId="1" applyNumberFormat="1" applyFont="1" applyFill="1" applyBorder="1" applyAlignment="1">
      <alignment horizontal="center" vertical="center"/>
    </xf>
    <xf numFmtId="3" fontId="149" fillId="34" borderId="19" xfId="1" applyNumberFormat="1" applyFont="1" applyFill="1" applyBorder="1" applyAlignment="1">
      <alignment horizontal="center" vertical="center"/>
    </xf>
    <xf numFmtId="3" fontId="149" fillId="34" borderId="103" xfId="1" applyNumberFormat="1" applyFont="1" applyFill="1" applyBorder="1" applyAlignment="1">
      <alignment horizontal="center" vertical="center"/>
    </xf>
    <xf numFmtId="3" fontId="149" fillId="35" borderId="183" xfId="1" applyNumberFormat="1" applyFont="1" applyFill="1" applyBorder="1" applyAlignment="1">
      <alignment horizontal="center" vertical="center"/>
    </xf>
    <xf numFmtId="0" fontId="103" fillId="40" borderId="17" xfId="1" applyFont="1" applyFill="1" applyBorder="1" applyAlignment="1">
      <alignment horizontal="center" vertical="center"/>
    </xf>
    <xf numFmtId="0" fontId="23" fillId="40" borderId="0" xfId="15" applyFont="1" applyFill="1" applyBorder="1" applyAlignment="1">
      <alignment horizontal="left" vertical="center"/>
    </xf>
    <xf numFmtId="0" fontId="106" fillId="40" borderId="2" xfId="1" applyFont="1" applyFill="1" applyBorder="1" applyAlignment="1">
      <alignment horizontal="center"/>
    </xf>
    <xf numFmtId="0" fontId="103" fillId="40" borderId="22" xfId="1" applyFont="1" applyFill="1" applyBorder="1" applyAlignment="1">
      <alignment horizontal="center" vertical="center"/>
    </xf>
    <xf numFmtId="0" fontId="23" fillId="40" borderId="8" xfId="15" applyFont="1" applyFill="1" applyBorder="1" applyAlignment="1">
      <alignment horizontal="left" vertical="center"/>
    </xf>
    <xf numFmtId="0" fontId="105" fillId="40" borderId="23" xfId="1" applyFont="1" applyFill="1" applyBorder="1" applyAlignment="1">
      <alignment horizontal="center"/>
    </xf>
    <xf numFmtId="0" fontId="142" fillId="40" borderId="17" xfId="1" applyFont="1" applyFill="1" applyBorder="1" applyAlignment="1">
      <alignment horizontal="center" vertical="center"/>
    </xf>
    <xf numFmtId="0" fontId="115" fillId="40" borderId="0" xfId="15" applyFont="1" applyFill="1" applyBorder="1" applyAlignment="1">
      <alignment horizontal="left" vertical="center"/>
    </xf>
    <xf numFmtId="0" fontId="105" fillId="40" borderId="2" xfId="1" applyFont="1" applyFill="1" applyBorder="1" applyAlignment="1">
      <alignment horizontal="center"/>
    </xf>
    <xf numFmtId="0" fontId="103" fillId="41" borderId="29" xfId="1" applyFont="1" applyFill="1" applyBorder="1" applyAlignment="1">
      <alignment horizontal="center" vertical="center"/>
    </xf>
    <xf numFmtId="0" fontId="115" fillId="40" borderId="8" xfId="15" applyFont="1" applyFill="1" applyBorder="1" applyAlignment="1">
      <alignment horizontal="left" vertical="center"/>
    </xf>
    <xf numFmtId="0" fontId="105" fillId="41" borderId="2" xfId="1" applyFont="1" applyFill="1" applyBorder="1" applyAlignment="1">
      <alignment horizontal="center" vertical="center"/>
    </xf>
    <xf numFmtId="0" fontId="105" fillId="41" borderId="80" xfId="1" applyFont="1" applyFill="1" applyBorder="1" applyAlignment="1">
      <alignment horizontal="center" vertical="center"/>
    </xf>
    <xf numFmtId="0" fontId="23" fillId="41" borderId="0" xfId="15" applyFont="1" applyFill="1" applyBorder="1" applyAlignment="1">
      <alignment horizontal="left" vertical="center"/>
    </xf>
    <xf numFmtId="0" fontId="103" fillId="40" borderId="26" xfId="1" applyFont="1" applyFill="1" applyBorder="1" applyAlignment="1">
      <alignment horizontal="center" vertical="center"/>
    </xf>
    <xf numFmtId="0" fontId="115" fillId="41" borderId="4" xfId="15" applyFont="1" applyFill="1" applyBorder="1" applyAlignment="1">
      <alignment horizontal="left" vertical="center"/>
    </xf>
    <xf numFmtId="0" fontId="105" fillId="41" borderId="19" xfId="1" applyFont="1" applyFill="1" applyBorder="1" applyAlignment="1">
      <alignment horizontal="center" vertical="center"/>
    </xf>
    <xf numFmtId="0" fontId="103" fillId="41" borderId="17" xfId="1" applyFont="1" applyFill="1" applyBorder="1" applyAlignment="1">
      <alignment horizontal="center" vertical="center"/>
    </xf>
    <xf numFmtId="0" fontId="103" fillId="41" borderId="26" xfId="1" applyFont="1" applyFill="1" applyBorder="1" applyAlignment="1">
      <alignment horizontal="center" vertical="center"/>
    </xf>
    <xf numFmtId="0" fontId="105" fillId="41" borderId="19" xfId="1" applyFont="1" applyFill="1" applyBorder="1" applyAlignment="1">
      <alignment horizontal="center"/>
    </xf>
    <xf numFmtId="0" fontId="115" fillId="41" borderId="0" xfId="15" applyFont="1" applyFill="1" applyBorder="1" applyAlignment="1">
      <alignment horizontal="left" vertical="center"/>
    </xf>
    <xf numFmtId="3" fontId="149" fillId="40" borderId="103" xfId="1" applyNumberFormat="1" applyFont="1" applyFill="1" applyBorder="1" applyAlignment="1">
      <alignment horizontal="center" vertical="center"/>
    </xf>
    <xf numFmtId="3" fontId="149" fillId="40" borderId="66" xfId="1" applyNumberFormat="1" applyFont="1" applyFill="1" applyBorder="1" applyAlignment="1">
      <alignment horizontal="center" vertical="center"/>
    </xf>
    <xf numFmtId="3" fontId="149" fillId="40" borderId="106" xfId="1" applyNumberFormat="1" applyFont="1" applyFill="1" applyBorder="1" applyAlignment="1">
      <alignment horizontal="center" vertical="center"/>
    </xf>
    <xf numFmtId="3" fontId="149" fillId="40" borderId="74" xfId="1" applyNumberFormat="1" applyFont="1" applyFill="1" applyBorder="1" applyAlignment="1">
      <alignment horizontal="center" vertical="center"/>
    </xf>
    <xf numFmtId="3" fontId="48" fillId="41" borderId="278" xfId="1" applyNumberFormat="1" applyFont="1" applyFill="1" applyBorder="1" applyAlignment="1">
      <alignment horizontal="center" vertical="center"/>
    </xf>
    <xf numFmtId="3" fontId="48" fillId="41" borderId="103" xfId="1" applyNumberFormat="1" applyFont="1" applyFill="1" applyBorder="1" applyAlignment="1">
      <alignment horizontal="center" vertical="center"/>
    </xf>
    <xf numFmtId="3" fontId="149" fillId="41" borderId="66" xfId="1" applyNumberFormat="1" applyFont="1" applyFill="1" applyBorder="1" applyAlignment="1">
      <alignment horizontal="center" vertical="center"/>
    </xf>
    <xf numFmtId="3" fontId="149" fillId="41" borderId="103" xfId="1" applyNumberFormat="1" applyFont="1" applyFill="1" applyBorder="1" applyAlignment="1">
      <alignment horizontal="center" vertical="center"/>
    </xf>
    <xf numFmtId="3" fontId="149" fillId="40" borderId="278" xfId="1" applyNumberFormat="1" applyFont="1" applyFill="1" applyBorder="1" applyAlignment="1">
      <alignment horizontal="center" vertical="center"/>
    </xf>
    <xf numFmtId="3" fontId="149" fillId="40" borderId="25" xfId="1" applyNumberFormat="1" applyFont="1" applyFill="1" applyBorder="1" applyAlignment="1">
      <alignment horizontal="center" vertical="center"/>
    </xf>
    <xf numFmtId="3" fontId="149" fillId="41" borderId="106" xfId="1" applyNumberFormat="1" applyFont="1" applyFill="1" applyBorder="1" applyAlignment="1">
      <alignment horizontal="center" vertical="center"/>
    </xf>
    <xf numFmtId="3" fontId="149" fillId="41" borderId="74" xfId="1" applyNumberFormat="1" applyFont="1" applyFill="1" applyBorder="1" applyAlignment="1">
      <alignment horizontal="center" vertical="center"/>
    </xf>
    <xf numFmtId="3" fontId="48" fillId="41" borderId="66" xfId="1" applyNumberFormat="1" applyFont="1" applyFill="1" applyBorder="1" applyAlignment="1">
      <alignment horizontal="center" vertical="center"/>
    </xf>
    <xf numFmtId="3" fontId="48" fillId="40" borderId="106" xfId="1" applyNumberFormat="1" applyFont="1" applyFill="1" applyBorder="1" applyAlignment="1">
      <alignment horizontal="center" vertical="center"/>
    </xf>
    <xf numFmtId="3" fontId="48" fillId="41" borderId="106" xfId="1" applyNumberFormat="1" applyFont="1" applyFill="1" applyBorder="1" applyAlignment="1">
      <alignment horizontal="center" vertical="center"/>
    </xf>
    <xf numFmtId="3" fontId="149" fillId="41" borderId="25" xfId="1" applyNumberFormat="1" applyFont="1" applyFill="1" applyBorder="1" applyAlignment="1">
      <alignment horizontal="center" vertical="center"/>
    </xf>
    <xf numFmtId="0" fontId="103" fillId="40" borderId="29" xfId="1" applyFont="1" applyFill="1" applyBorder="1" applyAlignment="1">
      <alignment horizontal="center" vertical="center"/>
    </xf>
    <xf numFmtId="0" fontId="115" fillId="40" borderId="79" xfId="15" applyFont="1" applyFill="1" applyBorder="1" applyAlignment="1">
      <alignment horizontal="left" vertical="center"/>
    </xf>
    <xf numFmtId="0" fontId="105" fillId="40" borderId="80" xfId="1" applyFont="1" applyFill="1" applyBorder="1" applyAlignment="1">
      <alignment horizontal="center"/>
    </xf>
    <xf numFmtId="0" fontId="103" fillId="41" borderId="22" xfId="1" applyFont="1" applyFill="1" applyBorder="1" applyAlignment="1">
      <alignment horizontal="center" vertical="center"/>
    </xf>
    <xf numFmtId="0" fontId="105" fillId="41" borderId="23" xfId="1" applyFont="1" applyFill="1" applyBorder="1" applyAlignment="1">
      <alignment horizontal="center" vertical="center"/>
    </xf>
    <xf numFmtId="0" fontId="115" fillId="41" borderId="8" xfId="15" applyFont="1" applyFill="1" applyBorder="1" applyAlignment="1">
      <alignment horizontal="left" vertical="center"/>
    </xf>
    <xf numFmtId="0" fontId="105" fillId="41" borderId="2" xfId="1" applyFont="1" applyFill="1" applyBorder="1" applyAlignment="1">
      <alignment horizontal="center"/>
    </xf>
    <xf numFmtId="0" fontId="105" fillId="41" borderId="23" xfId="1" applyFont="1" applyFill="1" applyBorder="1" applyAlignment="1">
      <alignment horizontal="center"/>
    </xf>
    <xf numFmtId="0" fontId="142" fillId="40" borderId="29" xfId="1" applyFont="1" applyFill="1" applyBorder="1" applyAlignment="1">
      <alignment horizontal="center" vertical="center"/>
    </xf>
    <xf numFmtId="0" fontId="23" fillId="40" borderId="79" xfId="15" applyFont="1" applyFill="1" applyBorder="1" applyAlignment="1">
      <alignment horizontal="left" vertical="center"/>
    </xf>
    <xf numFmtId="3" fontId="113" fillId="41" borderId="66" xfId="1" applyNumberFormat="1" applyFont="1" applyFill="1" applyBorder="1" applyAlignment="1">
      <alignment horizontal="center" vertical="center"/>
    </xf>
    <xf numFmtId="0" fontId="51" fillId="40" borderId="0" xfId="1" applyFont="1" applyFill="1" applyBorder="1" applyAlignment="1">
      <alignment horizontal="left" vertical="center"/>
    </xf>
    <xf numFmtId="0" fontId="106" fillId="40" borderId="352" xfId="1" applyFont="1" applyFill="1" applyBorder="1" applyAlignment="1">
      <alignment horizontal="center"/>
    </xf>
    <xf numFmtId="0" fontId="105" fillId="40" borderId="352" xfId="1" applyFont="1" applyFill="1" applyBorder="1" applyAlignment="1">
      <alignment horizontal="center"/>
    </xf>
    <xf numFmtId="0" fontId="142" fillId="40" borderId="367" xfId="1" applyFont="1" applyFill="1" applyBorder="1" applyAlignment="1">
      <alignment horizontal="center" vertical="center"/>
    </xf>
    <xf numFmtId="0" fontId="23" fillId="40" borderId="4" xfId="15" applyFont="1" applyFill="1" applyBorder="1" applyAlignment="1">
      <alignment horizontal="left" vertical="center"/>
    </xf>
    <xf numFmtId="0" fontId="105" fillId="41" borderId="352" xfId="1" applyFont="1" applyFill="1" applyBorder="1" applyAlignment="1">
      <alignment horizontal="center" vertical="center"/>
    </xf>
    <xf numFmtId="0" fontId="103" fillId="41" borderId="367" xfId="1" applyFont="1" applyFill="1" applyBorder="1" applyAlignment="1">
      <alignment horizontal="center" vertical="center"/>
    </xf>
    <xf numFmtId="0" fontId="103" fillId="43" borderId="17" xfId="1" applyFont="1" applyFill="1" applyBorder="1" applyAlignment="1">
      <alignment horizontal="center" vertical="center"/>
    </xf>
    <xf numFmtId="0" fontId="103" fillId="40" borderId="367" xfId="1" applyFont="1" applyFill="1" applyBorder="1" applyAlignment="1">
      <alignment horizontal="center" vertical="center"/>
    </xf>
    <xf numFmtId="0" fontId="23" fillId="40" borderId="365" xfId="15" applyFont="1" applyFill="1" applyBorder="1" applyAlignment="1">
      <alignment horizontal="left" vertical="center"/>
    </xf>
    <xf numFmtId="0" fontId="142" fillId="40" borderId="26" xfId="1" applyFont="1" applyFill="1" applyBorder="1" applyAlignment="1">
      <alignment horizontal="center" vertical="center"/>
    </xf>
    <xf numFmtId="0" fontId="105" fillId="41" borderId="359" xfId="1" applyFont="1" applyFill="1" applyBorder="1" applyAlignment="1">
      <alignment horizontal="center" vertical="center"/>
    </xf>
    <xf numFmtId="0" fontId="142" fillId="40" borderId="22" xfId="1" applyFont="1" applyFill="1" applyBorder="1" applyAlignment="1">
      <alignment horizontal="center" vertical="center"/>
    </xf>
    <xf numFmtId="0" fontId="106" fillId="40" borderId="23" xfId="1" applyFont="1" applyFill="1" applyBorder="1" applyAlignment="1">
      <alignment horizontal="center"/>
    </xf>
    <xf numFmtId="3" fontId="149" fillId="40" borderId="352" xfId="1" applyNumberFormat="1" applyFont="1" applyFill="1" applyBorder="1" applyAlignment="1">
      <alignment horizontal="center" vertical="center"/>
    </xf>
    <xf numFmtId="3" fontId="149" fillId="40" borderId="351" xfId="1" applyNumberFormat="1" applyFont="1" applyFill="1" applyBorder="1" applyAlignment="1">
      <alignment horizontal="center" vertical="center"/>
    </xf>
    <xf numFmtId="3" fontId="149" fillId="40" borderId="357" xfId="1" applyNumberFormat="1" applyFont="1" applyFill="1" applyBorder="1" applyAlignment="1">
      <alignment horizontal="center" vertical="center"/>
    </xf>
    <xf numFmtId="3" fontId="48" fillId="40" borderId="352" xfId="1" applyNumberFormat="1" applyFont="1" applyFill="1" applyBorder="1" applyAlignment="1">
      <alignment horizontal="center" vertical="center"/>
    </xf>
    <xf numFmtId="3" fontId="149" fillId="41" borderId="358" xfId="1" applyNumberFormat="1" applyFont="1" applyFill="1" applyBorder="1" applyAlignment="1">
      <alignment horizontal="center" vertical="center"/>
    </xf>
    <xf numFmtId="3" fontId="149" fillId="41" borderId="357" xfId="1" applyNumberFormat="1" applyFont="1" applyFill="1" applyBorder="1" applyAlignment="1">
      <alignment horizontal="center" vertical="center"/>
    </xf>
    <xf numFmtId="3" fontId="149" fillId="41" borderId="352" xfId="1" applyNumberFormat="1" applyFont="1" applyFill="1" applyBorder="1" applyAlignment="1">
      <alignment horizontal="center" vertical="center"/>
    </xf>
    <xf numFmtId="3" fontId="149" fillId="41" borderId="351" xfId="1" applyNumberFormat="1" applyFont="1" applyFill="1" applyBorder="1" applyAlignment="1">
      <alignment horizontal="center" vertical="center"/>
    </xf>
    <xf numFmtId="3" fontId="149" fillId="40" borderId="358" xfId="1" applyNumberFormat="1" applyFont="1" applyFill="1" applyBorder="1" applyAlignment="1">
      <alignment horizontal="center" vertical="center"/>
    </xf>
    <xf numFmtId="3" fontId="48" fillId="41" borderId="352" xfId="1" applyNumberFormat="1" applyFont="1" applyFill="1" applyBorder="1" applyAlignment="1">
      <alignment horizontal="center" vertical="center"/>
    </xf>
    <xf numFmtId="3" fontId="48" fillId="41" borderId="351" xfId="1" applyNumberFormat="1" applyFont="1" applyFill="1" applyBorder="1" applyAlignment="1">
      <alignment horizontal="center" vertical="center"/>
    </xf>
    <xf numFmtId="3" fontId="2" fillId="41" borderId="358" xfId="1" applyNumberFormat="1" applyFont="1" applyFill="1" applyBorder="1" applyAlignment="1">
      <alignment horizontal="center" vertical="center"/>
    </xf>
    <xf numFmtId="3" fontId="149" fillId="43" borderId="66" xfId="1" applyNumberFormat="1" applyFont="1" applyFill="1" applyBorder="1" applyAlignment="1">
      <alignment horizontal="center" vertical="center"/>
    </xf>
    <xf numFmtId="3" fontId="48" fillId="40" borderId="103" xfId="1" applyNumberFormat="1" applyFont="1" applyFill="1" applyBorder="1" applyAlignment="1">
      <alignment horizontal="center" vertical="center"/>
    </xf>
    <xf numFmtId="3" fontId="48" fillId="40" borderId="278" xfId="1" applyNumberFormat="1" applyFont="1" applyFill="1" applyBorder="1" applyAlignment="1">
      <alignment horizontal="center" vertical="center"/>
    </xf>
    <xf numFmtId="0" fontId="103" fillId="31" borderId="367" xfId="1" applyFont="1" applyFill="1" applyBorder="1" applyAlignment="1">
      <alignment horizontal="center" vertical="center"/>
    </xf>
    <xf numFmtId="0" fontId="23" fillId="31" borderId="365" xfId="15" applyFont="1" applyFill="1" applyBorder="1" applyAlignment="1">
      <alignment horizontal="left" vertical="center"/>
    </xf>
    <xf numFmtId="0" fontId="105" fillId="30" borderId="359" xfId="1" applyFont="1" applyFill="1" applyBorder="1" applyAlignment="1">
      <alignment horizontal="center" vertical="center"/>
    </xf>
    <xf numFmtId="0" fontId="105" fillId="31" borderId="352" xfId="1" applyFont="1" applyFill="1" applyBorder="1" applyAlignment="1">
      <alignment horizontal="center"/>
    </xf>
    <xf numFmtId="0" fontId="103" fillId="30" borderId="367" xfId="1" applyFont="1" applyFill="1" applyBorder="1" applyAlignment="1">
      <alignment horizontal="center" vertical="center"/>
    </xf>
    <xf numFmtId="0" fontId="105" fillId="30" borderId="359" xfId="1" applyFont="1" applyFill="1" applyBorder="1" applyAlignment="1">
      <alignment horizontal="center"/>
    </xf>
    <xf numFmtId="0" fontId="105" fillId="30" borderId="19" xfId="1" applyFont="1" applyFill="1" applyBorder="1" applyAlignment="1">
      <alignment horizontal="center"/>
    </xf>
    <xf numFmtId="0" fontId="105" fillId="30" borderId="352" xfId="1" applyFont="1" applyFill="1" applyBorder="1" applyAlignment="1">
      <alignment horizontal="center"/>
    </xf>
    <xf numFmtId="0" fontId="142" fillId="31" borderId="367" xfId="1" applyFont="1" applyFill="1" applyBorder="1" applyAlignment="1">
      <alignment horizontal="center" vertical="center"/>
    </xf>
    <xf numFmtId="0" fontId="106" fillId="31" borderId="359" xfId="1" applyFont="1" applyFill="1" applyBorder="1" applyAlignment="1">
      <alignment horizontal="center"/>
    </xf>
    <xf numFmtId="0" fontId="106" fillId="31" borderId="352" xfId="1" applyFont="1" applyFill="1" applyBorder="1" applyAlignment="1">
      <alignment horizontal="center"/>
    </xf>
    <xf numFmtId="0" fontId="103" fillId="32" borderId="17" xfId="1" applyFont="1" applyFill="1" applyBorder="1" applyAlignment="1">
      <alignment horizontal="center" vertical="center"/>
    </xf>
    <xf numFmtId="0" fontId="51" fillId="32" borderId="0" xfId="1" applyFont="1" applyFill="1" applyBorder="1" applyAlignment="1">
      <alignment horizontal="left" vertical="center"/>
    </xf>
    <xf numFmtId="0" fontId="23" fillId="33" borderId="0" xfId="15" applyFont="1" applyFill="1" applyBorder="1" applyAlignment="1">
      <alignment horizontal="left" vertical="center"/>
    </xf>
    <xf numFmtId="0" fontId="103" fillId="33" borderId="367" xfId="1" applyFont="1" applyFill="1" applyBorder="1" applyAlignment="1">
      <alignment horizontal="center" vertical="center"/>
    </xf>
    <xf numFmtId="0" fontId="103" fillId="33" borderId="26" xfId="1" applyFont="1" applyFill="1" applyBorder="1" applyAlignment="1">
      <alignment horizontal="center" vertical="center"/>
    </xf>
    <xf numFmtId="0" fontId="51" fillId="31" borderId="365" xfId="1" applyFont="1" applyFill="1" applyBorder="1" applyAlignment="1">
      <alignment horizontal="left" vertical="center"/>
    </xf>
    <xf numFmtId="0" fontId="103" fillId="33" borderId="17" xfId="1" applyFont="1" applyFill="1" applyBorder="1" applyAlignment="1">
      <alignment horizontal="center" vertical="center"/>
    </xf>
    <xf numFmtId="0" fontId="23" fillId="32" borderId="0" xfId="15" applyFont="1" applyFill="1" applyBorder="1" applyAlignment="1">
      <alignment horizontal="left" vertical="center"/>
    </xf>
    <xf numFmtId="0" fontId="23" fillId="33" borderId="365" xfId="15" applyFont="1" applyFill="1" applyBorder="1" applyAlignment="1">
      <alignment horizontal="left" vertical="center"/>
    </xf>
    <xf numFmtId="0" fontId="105" fillId="33" borderId="359" xfId="1" applyFont="1" applyFill="1" applyBorder="1" applyAlignment="1">
      <alignment horizontal="center"/>
    </xf>
    <xf numFmtId="0" fontId="23" fillId="30" borderId="365" xfId="15" applyFont="1" applyFill="1" applyBorder="1" applyAlignment="1">
      <alignment horizontal="left" vertical="center"/>
    </xf>
    <xf numFmtId="0" fontId="142" fillId="30" borderId="26" xfId="1" applyFont="1" applyFill="1" applyBorder="1" applyAlignment="1">
      <alignment horizontal="center" vertical="center"/>
    </xf>
    <xf numFmtId="0" fontId="105" fillId="30" borderId="80" xfId="1" applyFont="1" applyFill="1" applyBorder="1" applyAlignment="1">
      <alignment horizontal="center" vertical="center"/>
    </xf>
    <xf numFmtId="0" fontId="23" fillId="30" borderId="8" xfId="15" applyFont="1" applyFill="1" applyBorder="1" applyAlignment="1">
      <alignment horizontal="left" vertical="center"/>
    </xf>
    <xf numFmtId="0" fontId="105" fillId="30" borderId="2" xfId="1" applyFont="1" applyFill="1" applyBorder="1" applyAlignment="1">
      <alignment horizontal="center" vertical="center"/>
    </xf>
    <xf numFmtId="0" fontId="103" fillId="32" borderId="22" xfId="1" applyFont="1" applyFill="1" applyBorder="1" applyAlignment="1">
      <alignment horizontal="center" vertical="center"/>
    </xf>
    <xf numFmtId="0" fontId="51" fillId="32" borderId="8" xfId="1" applyFont="1" applyFill="1" applyBorder="1" applyAlignment="1">
      <alignment horizontal="left" vertical="center"/>
    </xf>
    <xf numFmtId="0" fontId="105" fillId="30" borderId="23" xfId="1" applyFont="1" applyFill="1" applyBorder="1" applyAlignment="1">
      <alignment horizontal="center" vertical="center"/>
    </xf>
    <xf numFmtId="0" fontId="105" fillId="30" borderId="23" xfId="1" applyFont="1" applyFill="1" applyBorder="1" applyAlignment="1">
      <alignment horizontal="center"/>
    </xf>
    <xf numFmtId="0" fontId="103" fillId="30" borderId="29" xfId="1" applyFont="1" applyFill="1" applyBorder="1" applyAlignment="1">
      <alignment horizontal="center" vertical="center"/>
    </xf>
    <xf numFmtId="0" fontId="23" fillId="30" borderId="79" xfId="15" applyFont="1" applyFill="1" applyBorder="1" applyAlignment="1">
      <alignment horizontal="left" vertical="center"/>
    </xf>
    <xf numFmtId="0" fontId="142" fillId="33" borderId="17" xfId="1" applyFont="1" applyFill="1" applyBorder="1" applyAlignment="1">
      <alignment horizontal="center" vertical="center"/>
    </xf>
    <xf numFmtId="0" fontId="51" fillId="33" borderId="0" xfId="1" applyFont="1" applyFill="1" applyBorder="1" applyAlignment="1">
      <alignment horizontal="left" vertical="center"/>
    </xf>
    <xf numFmtId="0" fontId="51" fillId="47" borderId="0" xfId="1" applyFont="1" applyFill="1" applyBorder="1" applyAlignment="1">
      <alignment horizontal="left" vertical="center"/>
    </xf>
    <xf numFmtId="0" fontId="51" fillId="47" borderId="4" xfId="1" applyFont="1" applyFill="1" applyBorder="1" applyAlignment="1">
      <alignment horizontal="left" vertical="center"/>
    </xf>
    <xf numFmtId="0" fontId="105" fillId="33" borderId="352" xfId="1" applyFont="1" applyFill="1" applyBorder="1" applyAlignment="1">
      <alignment horizontal="center"/>
    </xf>
    <xf numFmtId="0" fontId="23" fillId="33" borderId="4" xfId="15" applyFont="1" applyFill="1" applyBorder="1" applyAlignment="1">
      <alignment horizontal="left" vertical="center"/>
    </xf>
    <xf numFmtId="0" fontId="51" fillId="30" borderId="0" xfId="1" applyFont="1" applyFill="1" applyBorder="1" applyAlignment="1">
      <alignment horizontal="left" vertical="center"/>
    </xf>
    <xf numFmtId="0" fontId="103" fillId="31" borderId="29" xfId="1" applyFont="1" applyFill="1" applyBorder="1" applyAlignment="1">
      <alignment horizontal="center" vertical="center"/>
    </xf>
    <xf numFmtId="0" fontId="103" fillId="47" borderId="22" xfId="1" applyFont="1" applyFill="1" applyBorder="1" applyAlignment="1">
      <alignment horizontal="center" vertical="center"/>
    </xf>
    <xf numFmtId="0" fontId="142" fillId="33" borderId="22" xfId="1" applyFont="1" applyFill="1" applyBorder="1" applyAlignment="1">
      <alignment horizontal="center" vertical="center"/>
    </xf>
    <xf numFmtId="0" fontId="51" fillId="33" borderId="8" xfId="1" applyFont="1" applyFill="1" applyBorder="1" applyAlignment="1">
      <alignment horizontal="left" vertical="center"/>
    </xf>
    <xf numFmtId="0" fontId="51" fillId="47" borderId="8" xfId="1" applyFont="1" applyFill="1" applyBorder="1" applyAlignment="1">
      <alignment horizontal="left" vertical="center"/>
    </xf>
    <xf numFmtId="0" fontId="105" fillId="30" borderId="106" xfId="1" applyFont="1" applyFill="1" applyBorder="1" applyAlignment="1">
      <alignment horizontal="center" vertical="center"/>
    </xf>
    <xf numFmtId="0" fontId="106" fillId="31" borderId="2" xfId="1" applyFont="1" applyFill="1" applyBorder="1" applyAlignment="1">
      <alignment horizontal="center"/>
    </xf>
    <xf numFmtId="0" fontId="105" fillId="30" borderId="2" xfId="1" applyFont="1" applyFill="1" applyBorder="1" applyAlignment="1">
      <alignment horizontal="center"/>
    </xf>
    <xf numFmtId="0" fontId="142" fillId="32" borderId="17" xfId="1" applyFont="1" applyFill="1" applyBorder="1" applyAlignment="1">
      <alignment horizontal="center" vertical="center"/>
    </xf>
    <xf numFmtId="0" fontId="105" fillId="33" borderId="19" xfId="1" applyFont="1" applyFill="1" applyBorder="1" applyAlignment="1">
      <alignment horizontal="center"/>
    </xf>
    <xf numFmtId="0" fontId="142" fillId="47" borderId="26" xfId="1" applyFont="1" applyFill="1" applyBorder="1" applyAlignment="1">
      <alignment horizontal="center" vertical="center"/>
    </xf>
    <xf numFmtId="0" fontId="105" fillId="32" borderId="2" xfId="1" applyFont="1" applyFill="1" applyBorder="1" applyAlignment="1">
      <alignment horizontal="center"/>
    </xf>
    <xf numFmtId="0" fontId="105" fillId="30" borderId="0" xfId="1" applyFont="1" applyFill="1" applyBorder="1" applyAlignment="1">
      <alignment horizontal="center" vertical="center"/>
    </xf>
    <xf numFmtId="0" fontId="105" fillId="30" borderId="306" xfId="1" applyFont="1" applyFill="1" applyBorder="1" applyAlignment="1">
      <alignment horizontal="center" vertical="center"/>
    </xf>
    <xf numFmtId="0" fontId="105" fillId="30" borderId="0" xfId="1" applyFont="1" applyFill="1" applyBorder="1" applyAlignment="1">
      <alignment horizontal="center"/>
    </xf>
    <xf numFmtId="0" fontId="142" fillId="47" borderId="367" xfId="1" applyFont="1" applyFill="1" applyBorder="1" applyAlignment="1">
      <alignment horizontal="center" vertical="center"/>
    </xf>
    <xf numFmtId="0" fontId="99" fillId="30" borderId="0" xfId="15" applyFont="1" applyFill="1" applyBorder="1" applyAlignment="1">
      <alignment horizontal="left" vertical="center"/>
    </xf>
    <xf numFmtId="3" fontId="48" fillId="30" borderId="260" xfId="1" applyNumberFormat="1" applyFont="1" applyFill="1" applyBorder="1" applyAlignment="1">
      <alignment horizontal="center" vertical="center"/>
    </xf>
    <xf numFmtId="3" fontId="48" fillId="30" borderId="28" xfId="1" applyNumberFormat="1" applyFont="1" applyFill="1" applyBorder="1" applyAlignment="1">
      <alignment horizontal="center" vertical="center"/>
    </xf>
    <xf numFmtId="3" fontId="48" fillId="30" borderId="31" xfId="1" applyNumberFormat="1" applyFont="1" applyFill="1" applyBorder="1" applyAlignment="1">
      <alignment horizontal="center" vertical="center"/>
    </xf>
    <xf numFmtId="3" fontId="149" fillId="30" borderId="263" xfId="1" applyNumberFormat="1" applyFont="1" applyFill="1" applyBorder="1" applyAlignment="1">
      <alignment horizontal="center" vertical="center"/>
    </xf>
    <xf numFmtId="3" fontId="149" fillId="30" borderId="28" xfId="1" applyNumberFormat="1" applyFont="1" applyFill="1" applyBorder="1" applyAlignment="1">
      <alignment horizontal="center" vertical="center"/>
    </xf>
    <xf numFmtId="3" fontId="48" fillId="30" borderId="370" xfId="1" applyNumberFormat="1" applyFont="1" applyFill="1" applyBorder="1" applyAlignment="1">
      <alignment horizontal="center" vertical="center"/>
    </xf>
    <xf numFmtId="3" fontId="48" fillId="30" borderId="276" xfId="1" applyNumberFormat="1" applyFont="1" applyFill="1" applyBorder="1" applyAlignment="1">
      <alignment horizontal="center" vertical="center"/>
    </xf>
    <xf numFmtId="3" fontId="48" fillId="30" borderId="271" xfId="1" applyNumberFormat="1" applyFont="1" applyFill="1" applyBorder="1" applyAlignment="1">
      <alignment horizontal="center" vertical="center"/>
    </xf>
    <xf numFmtId="3" fontId="149" fillId="30" borderId="271" xfId="1" applyNumberFormat="1" applyFont="1" applyFill="1" applyBorder="1" applyAlignment="1">
      <alignment horizontal="center" vertical="center"/>
    </xf>
    <xf numFmtId="3" fontId="48" fillId="47" borderId="260" xfId="1" applyNumberFormat="1" applyFont="1" applyFill="1" applyBorder="1" applyAlignment="1">
      <alignment horizontal="center" vertical="center"/>
    </xf>
    <xf numFmtId="3" fontId="48" fillId="30" borderId="301" xfId="1" applyNumberFormat="1" applyFont="1" applyFill="1" applyBorder="1" applyAlignment="1">
      <alignment horizontal="center" vertical="center"/>
    </xf>
    <xf numFmtId="3" fontId="149" fillId="47" borderId="28" xfId="1" applyNumberFormat="1" applyFont="1" applyFill="1" applyBorder="1" applyAlignment="1">
      <alignment horizontal="center" vertical="center"/>
    </xf>
    <xf numFmtId="3" fontId="48" fillId="30" borderId="300" xfId="1" applyNumberFormat="1" applyFont="1" applyFill="1" applyBorder="1" applyAlignment="1">
      <alignment horizontal="center" vertical="center"/>
    </xf>
    <xf numFmtId="3" fontId="48" fillId="30" borderId="305" xfId="1" applyNumberFormat="1" applyFont="1" applyFill="1" applyBorder="1" applyAlignment="1">
      <alignment horizontal="center" vertical="center"/>
    </xf>
    <xf numFmtId="3" fontId="48" fillId="30" borderId="358" xfId="1" applyNumberFormat="1" applyFont="1" applyFill="1" applyBorder="1" applyAlignment="1">
      <alignment horizontal="center" vertical="center"/>
    </xf>
    <xf numFmtId="3" fontId="149" fillId="31" borderId="357" xfId="1" applyNumberFormat="1" applyFont="1" applyFill="1" applyBorder="1" applyAlignment="1">
      <alignment horizontal="center" vertical="center"/>
    </xf>
    <xf numFmtId="3" fontId="149" fillId="47" borderId="351" xfId="1" applyNumberFormat="1" applyFont="1" applyFill="1" applyBorder="1" applyAlignment="1">
      <alignment horizontal="center" vertical="center"/>
    </xf>
    <xf numFmtId="3" fontId="149" fillId="33" borderId="358" xfId="1" applyNumberFormat="1" applyFont="1" applyFill="1" applyBorder="1" applyAlignment="1">
      <alignment horizontal="center" vertical="center"/>
    </xf>
    <xf numFmtId="3" fontId="149" fillId="30" borderId="358" xfId="1" applyNumberFormat="1" applyFont="1" applyFill="1" applyBorder="1" applyAlignment="1">
      <alignment horizontal="center" vertical="center"/>
    </xf>
    <xf numFmtId="3" fontId="149" fillId="30" borderId="357" xfId="1" applyNumberFormat="1" applyFont="1" applyFill="1" applyBorder="1" applyAlignment="1">
      <alignment horizontal="center" vertical="center"/>
    </xf>
    <xf numFmtId="3" fontId="149" fillId="47" borderId="66" xfId="1" applyNumberFormat="1" applyFont="1" applyFill="1" applyBorder="1" applyAlignment="1">
      <alignment horizontal="center" vertical="center"/>
    </xf>
    <xf numFmtId="3" fontId="149" fillId="32" borderId="106" xfId="1" applyNumberFormat="1" applyFont="1" applyFill="1" applyBorder="1" applyAlignment="1">
      <alignment horizontal="center" vertical="center"/>
    </xf>
    <xf numFmtId="3" fontId="149" fillId="32" borderId="74" xfId="1" applyNumberFormat="1" applyFont="1" applyFill="1" applyBorder="1" applyAlignment="1">
      <alignment horizontal="center" vertical="center"/>
    </xf>
    <xf numFmtId="3" fontId="48" fillId="30" borderId="106" xfId="1" applyNumberFormat="1" applyFont="1" applyFill="1" applyBorder="1" applyAlignment="1">
      <alignment horizontal="center" vertical="center"/>
    </xf>
    <xf numFmtId="3" fontId="48" fillId="30" borderId="74" xfId="1" applyNumberFormat="1" applyFont="1" applyFill="1" applyBorder="1" applyAlignment="1">
      <alignment horizontal="center" vertical="center"/>
    </xf>
    <xf numFmtId="3" fontId="2" fillId="30" borderId="66" xfId="1" applyNumberFormat="1" applyFont="1" applyFill="1" applyBorder="1" applyAlignment="1">
      <alignment horizontal="center" vertical="center"/>
    </xf>
    <xf numFmtId="3" fontId="48" fillId="30" borderId="278" xfId="1" applyNumberFormat="1" applyFont="1" applyFill="1" applyBorder="1" applyAlignment="1">
      <alignment horizontal="center" vertical="center"/>
    </xf>
    <xf numFmtId="3" fontId="48" fillId="30" borderId="25" xfId="1" applyNumberFormat="1" applyFont="1" applyFill="1" applyBorder="1" applyAlignment="1">
      <alignment horizontal="center" vertical="center"/>
    </xf>
    <xf numFmtId="3" fontId="149" fillId="32" borderId="103" xfId="1" applyNumberFormat="1" applyFont="1" applyFill="1" applyBorder="1" applyAlignment="1">
      <alignment horizontal="center" vertical="center"/>
    </xf>
    <xf numFmtId="3" fontId="149" fillId="32" borderId="66" xfId="1" applyNumberFormat="1" applyFont="1" applyFill="1" applyBorder="1" applyAlignment="1">
      <alignment horizontal="center" vertical="center"/>
    </xf>
    <xf numFmtId="3" fontId="149" fillId="31" borderId="278" xfId="1" applyNumberFormat="1" applyFont="1" applyFill="1" applyBorder="1" applyAlignment="1">
      <alignment horizontal="center" vertical="center"/>
    </xf>
    <xf numFmtId="3" fontId="149" fillId="31" borderId="25" xfId="1" applyNumberFormat="1" applyFont="1" applyFill="1" applyBorder="1" applyAlignment="1">
      <alignment horizontal="center" vertical="center"/>
    </xf>
    <xf numFmtId="3" fontId="149" fillId="47" borderId="106" xfId="1" applyNumberFormat="1" applyFont="1" applyFill="1" applyBorder="1" applyAlignment="1">
      <alignment horizontal="center" vertical="center"/>
    </xf>
    <xf numFmtId="3" fontId="149" fillId="47" borderId="74" xfId="1" applyNumberFormat="1" applyFont="1" applyFill="1" applyBorder="1" applyAlignment="1">
      <alignment horizontal="center" vertical="center"/>
    </xf>
    <xf numFmtId="3" fontId="48" fillId="33" borderId="103" xfId="1" applyNumberFormat="1" applyFont="1" applyFill="1" applyBorder="1" applyAlignment="1">
      <alignment horizontal="center" vertical="center"/>
    </xf>
    <xf numFmtId="3" fontId="149" fillId="33" borderId="66" xfId="1" applyNumberFormat="1" applyFont="1" applyFill="1" applyBorder="1" applyAlignment="1">
      <alignment horizontal="center" vertical="center"/>
    </xf>
    <xf numFmtId="3" fontId="149" fillId="33" borderId="357" xfId="1" applyNumberFormat="1" applyFont="1" applyFill="1" applyBorder="1" applyAlignment="1">
      <alignment horizontal="center" vertical="center"/>
    </xf>
    <xf numFmtId="3" fontId="149" fillId="33" borderId="352" xfId="1" applyNumberFormat="1" applyFont="1" applyFill="1" applyBorder="1" applyAlignment="1">
      <alignment horizontal="center" vertical="center"/>
    </xf>
    <xf numFmtId="3" fontId="149" fillId="33" borderId="351" xfId="1" applyNumberFormat="1" applyFont="1" applyFill="1" applyBorder="1" applyAlignment="1">
      <alignment horizontal="center" vertical="center"/>
    </xf>
    <xf numFmtId="3" fontId="149" fillId="33" borderId="106" xfId="1" applyNumberFormat="1" applyFont="1" applyFill="1" applyBorder="1" applyAlignment="1">
      <alignment horizontal="center" vertical="center"/>
    </xf>
    <xf numFmtId="3" fontId="149" fillId="33" borderId="74" xfId="1" applyNumberFormat="1" applyFont="1" applyFill="1" applyBorder="1" applyAlignment="1">
      <alignment horizontal="center" vertical="center"/>
    </xf>
    <xf numFmtId="3" fontId="149" fillId="33" borderId="103" xfId="1" applyNumberFormat="1" applyFont="1" applyFill="1" applyBorder="1" applyAlignment="1">
      <alignment horizontal="center" vertical="center"/>
    </xf>
    <xf numFmtId="3" fontId="149" fillId="32" borderId="351" xfId="1" applyNumberFormat="1" applyFont="1" applyFill="1" applyBorder="1" applyAlignment="1">
      <alignment horizontal="center" vertical="center"/>
    </xf>
    <xf numFmtId="3" fontId="48" fillId="30" borderId="351" xfId="1" applyNumberFormat="1" applyFont="1" applyFill="1" applyBorder="1" applyAlignment="1">
      <alignment horizontal="center" vertical="center"/>
    </xf>
    <xf numFmtId="3" fontId="149" fillId="31" borderId="106" xfId="1" applyNumberFormat="1" applyFont="1" applyFill="1" applyBorder="1" applyAlignment="1">
      <alignment horizontal="center" vertical="center"/>
    </xf>
    <xf numFmtId="3" fontId="149" fillId="31" borderId="74" xfId="1" applyNumberFormat="1" applyFont="1" applyFill="1" applyBorder="1" applyAlignment="1">
      <alignment horizontal="center" vertical="center"/>
    </xf>
    <xf numFmtId="3" fontId="149" fillId="31" borderId="359" xfId="1" applyNumberFormat="1" applyFont="1" applyFill="1" applyBorder="1" applyAlignment="1">
      <alignment horizontal="center" vertical="center"/>
    </xf>
    <xf numFmtId="3" fontId="149" fillId="31" borderId="358" xfId="1" applyNumberFormat="1" applyFont="1" applyFill="1" applyBorder="1" applyAlignment="1">
      <alignment horizontal="center" vertical="center"/>
    </xf>
    <xf numFmtId="3" fontId="113" fillId="30" borderId="351" xfId="1" applyNumberFormat="1" applyFont="1" applyFill="1" applyBorder="1" applyAlignment="1">
      <alignment horizontal="center" vertical="center"/>
    </xf>
    <xf numFmtId="3" fontId="48" fillId="33" borderId="352" xfId="1" applyNumberFormat="1" applyFont="1" applyFill="1" applyBorder="1" applyAlignment="1">
      <alignment horizontal="center" vertical="center"/>
    </xf>
    <xf numFmtId="3" fontId="51" fillId="31" borderId="351" xfId="1" applyNumberFormat="1" applyFont="1" applyFill="1" applyBorder="1" applyAlignment="1">
      <alignment horizontal="left" vertical="center"/>
    </xf>
    <xf numFmtId="3" fontId="51" fillId="31" borderId="351" xfId="1" applyNumberFormat="1" applyFont="1" applyFill="1" applyBorder="1" applyAlignment="1">
      <alignment horizontal="center" vertical="center"/>
    </xf>
    <xf numFmtId="0" fontId="2" fillId="31" borderId="351" xfId="1" applyFont="1" applyFill="1" applyBorder="1" applyAlignment="1">
      <alignment horizontal="center" vertical="center"/>
    </xf>
    <xf numFmtId="172" fontId="51" fillId="31" borderId="351" xfId="1" applyNumberFormat="1" applyFont="1" applyFill="1" applyBorder="1" applyAlignment="1">
      <alignment horizontal="center" vertical="center"/>
    </xf>
    <xf numFmtId="14" fontId="51" fillId="31" borderId="351" xfId="1" applyNumberFormat="1" applyFont="1" applyFill="1" applyBorder="1" applyAlignment="1">
      <alignment horizontal="center" vertical="center"/>
    </xf>
    <xf numFmtId="2" fontId="51" fillId="30" borderId="343" xfId="1" applyNumberFormat="1" applyFont="1" applyFill="1" applyBorder="1" applyAlignment="1">
      <alignment horizontal="center" vertical="center"/>
    </xf>
    <xf numFmtId="3" fontId="51" fillId="30" borderId="351" xfId="1" applyNumberFormat="1" applyFont="1" applyFill="1" applyBorder="1" applyAlignment="1">
      <alignment horizontal="left" vertical="center"/>
    </xf>
    <xf numFmtId="3" fontId="51" fillId="30" borderId="351" xfId="1" applyNumberFormat="1" applyFont="1" applyFill="1" applyBorder="1" applyAlignment="1">
      <alignment horizontal="center" vertical="center"/>
    </xf>
    <xf numFmtId="0" fontId="2" fillId="30" borderId="351" xfId="1" applyFont="1" applyFill="1" applyBorder="1" applyAlignment="1">
      <alignment horizontal="center" vertical="center"/>
    </xf>
    <xf numFmtId="172" fontId="51" fillId="30" borderId="351" xfId="1" applyNumberFormat="1" applyFont="1" applyFill="1" applyBorder="1" applyAlignment="1">
      <alignment horizontal="center" vertical="center"/>
    </xf>
    <xf numFmtId="14" fontId="51" fillId="30" borderId="351" xfId="1" applyNumberFormat="1" applyFont="1" applyFill="1" applyBorder="1" applyAlignment="1">
      <alignment horizontal="center" vertical="center"/>
    </xf>
    <xf numFmtId="3" fontId="51" fillId="31" borderId="358" xfId="1" applyNumberFormat="1" applyFont="1" applyFill="1" applyBorder="1" applyAlignment="1">
      <alignment horizontal="left" vertical="center"/>
    </xf>
    <xf numFmtId="3" fontId="51" fillId="31" borderId="358" xfId="1" applyNumberFormat="1" applyFont="1" applyFill="1" applyBorder="1" applyAlignment="1">
      <alignment horizontal="center" vertical="center"/>
    </xf>
    <xf numFmtId="0" fontId="2" fillId="31" borderId="358" xfId="1" applyFont="1" applyFill="1" applyBorder="1" applyAlignment="1">
      <alignment horizontal="center" vertical="center"/>
    </xf>
    <xf numFmtId="14" fontId="51" fillId="31" borderId="358" xfId="1" applyNumberFormat="1" applyFont="1" applyFill="1" applyBorder="1" applyAlignment="1">
      <alignment horizontal="center" vertical="center"/>
    </xf>
    <xf numFmtId="2" fontId="51" fillId="30" borderId="369" xfId="1" applyNumberFormat="1" applyFont="1" applyFill="1" applyBorder="1" applyAlignment="1">
      <alignment horizontal="center" vertical="center"/>
    </xf>
    <xf numFmtId="3" fontId="51" fillId="30" borderId="357" xfId="1" applyNumberFormat="1" applyFont="1" applyFill="1" applyBorder="1" applyAlignment="1">
      <alignment horizontal="left" vertical="center"/>
    </xf>
    <xf numFmtId="0" fontId="2" fillId="30" borderId="357" xfId="1" applyFont="1" applyFill="1" applyBorder="1" applyAlignment="1">
      <alignment horizontal="center" vertical="center"/>
    </xf>
    <xf numFmtId="172" fontId="51" fillId="30" borderId="357" xfId="1" applyNumberFormat="1" applyFont="1" applyFill="1" applyBorder="1" applyAlignment="1">
      <alignment horizontal="center" vertical="center"/>
    </xf>
    <xf numFmtId="14" fontId="51" fillId="30" borderId="357" xfId="1" applyNumberFormat="1" applyFont="1" applyFill="1" applyBorder="1" applyAlignment="1">
      <alignment horizontal="center" vertical="center"/>
    </xf>
    <xf numFmtId="2" fontId="51" fillId="30" borderId="330" xfId="1" applyNumberFormat="1" applyFont="1" applyFill="1" applyBorder="1" applyAlignment="1">
      <alignment horizontal="center" vertical="center"/>
    </xf>
    <xf numFmtId="172" fontId="51" fillId="31" borderId="358" xfId="1" applyNumberFormat="1" applyFont="1" applyFill="1" applyBorder="1" applyAlignment="1">
      <alignment horizontal="center" vertical="center"/>
    </xf>
    <xf numFmtId="3" fontId="51" fillId="31" borderId="357" xfId="1" applyNumberFormat="1" applyFont="1" applyFill="1" applyBorder="1" applyAlignment="1">
      <alignment horizontal="left" vertical="center"/>
    </xf>
    <xf numFmtId="3" fontId="51" fillId="31" borderId="357" xfId="1" applyNumberFormat="1" applyFont="1" applyFill="1" applyBorder="1" applyAlignment="1">
      <alignment horizontal="center" vertical="center"/>
    </xf>
    <xf numFmtId="0" fontId="2" fillId="31" borderId="357" xfId="1" applyFont="1" applyFill="1" applyBorder="1" applyAlignment="1">
      <alignment horizontal="center" vertical="center"/>
    </xf>
    <xf numFmtId="172" fontId="51" fillId="31" borderId="357" xfId="1" applyNumberFormat="1" applyFont="1" applyFill="1" applyBorder="1" applyAlignment="1">
      <alignment horizontal="center" vertical="center"/>
    </xf>
    <xf numFmtId="14" fontId="51" fillId="31" borderId="357" xfId="1" applyNumberFormat="1" applyFont="1" applyFill="1" applyBorder="1" applyAlignment="1">
      <alignment horizontal="center" vertical="center"/>
    </xf>
    <xf numFmtId="3" fontId="51" fillId="32" borderId="351" xfId="1" applyNumberFormat="1" applyFont="1" applyFill="1" applyBorder="1" applyAlignment="1">
      <alignment horizontal="left" vertical="center"/>
    </xf>
    <xf numFmtId="3" fontId="51" fillId="32" borderId="351" xfId="1" applyNumberFormat="1" applyFont="1" applyFill="1" applyBorder="1" applyAlignment="1">
      <alignment horizontal="center" vertical="center"/>
    </xf>
    <xf numFmtId="172" fontId="2" fillId="32" borderId="351" xfId="1" applyNumberFormat="1" applyFont="1" applyFill="1" applyBorder="1" applyAlignment="1">
      <alignment horizontal="center" vertical="center"/>
    </xf>
    <xf numFmtId="14" fontId="51" fillId="32" borderId="351" xfId="1" applyNumberFormat="1" applyFont="1" applyFill="1" applyBorder="1" applyAlignment="1">
      <alignment horizontal="center" vertical="center"/>
    </xf>
    <xf numFmtId="3" fontId="51" fillId="33" borderId="358" xfId="1" applyNumberFormat="1" applyFont="1" applyFill="1" applyBorder="1" applyAlignment="1">
      <alignment horizontal="left" vertical="center"/>
    </xf>
    <xf numFmtId="3" fontId="51" fillId="33" borderId="358" xfId="1" applyNumberFormat="1" applyFont="1" applyFill="1" applyBorder="1" applyAlignment="1">
      <alignment horizontal="center" vertical="center"/>
    </xf>
    <xf numFmtId="0" fontId="2" fillId="33" borderId="358" xfId="1" applyFont="1" applyFill="1" applyBorder="1" applyAlignment="1">
      <alignment horizontal="center" vertical="center"/>
    </xf>
    <xf numFmtId="14" fontId="51" fillId="33" borderId="358" xfId="1" applyNumberFormat="1" applyFont="1" applyFill="1" applyBorder="1" applyAlignment="1">
      <alignment horizontal="center" vertical="center"/>
    </xf>
    <xf numFmtId="3" fontId="51" fillId="33" borderId="357" xfId="1" applyNumberFormat="1" applyFont="1" applyFill="1" applyBorder="1" applyAlignment="1">
      <alignment horizontal="left" vertical="center"/>
    </xf>
    <xf numFmtId="3" fontId="51" fillId="33" borderId="357" xfId="1" applyNumberFormat="1" applyFont="1" applyFill="1" applyBorder="1" applyAlignment="1">
      <alignment horizontal="center" vertical="center"/>
    </xf>
    <xf numFmtId="0" fontId="2" fillId="33" borderId="357" xfId="1" applyFont="1" applyFill="1" applyBorder="1" applyAlignment="1">
      <alignment horizontal="center" vertical="center"/>
    </xf>
    <xf numFmtId="172" fontId="51" fillId="33" borderId="357" xfId="1" applyNumberFormat="1" applyFont="1" applyFill="1" applyBorder="1" applyAlignment="1">
      <alignment horizontal="center" vertical="center"/>
    </xf>
    <xf numFmtId="14" fontId="51" fillId="33" borderId="357" xfId="1" applyNumberFormat="1" applyFont="1" applyFill="1" applyBorder="1" applyAlignment="1">
      <alignment horizontal="center" vertical="center"/>
    </xf>
    <xf numFmtId="3" fontId="51" fillId="30" borderId="357" xfId="1" applyNumberFormat="1" applyFont="1" applyFill="1" applyBorder="1" applyAlignment="1">
      <alignment horizontal="center" vertical="center"/>
    </xf>
    <xf numFmtId="172" fontId="2" fillId="30" borderId="351" xfId="1" applyNumberFormat="1" applyFont="1" applyFill="1" applyBorder="1" applyAlignment="1">
      <alignment horizontal="center" vertical="center"/>
    </xf>
    <xf numFmtId="3" fontId="51" fillId="30" borderId="358" xfId="1" applyNumberFormat="1" applyFont="1" applyFill="1" applyBorder="1" applyAlignment="1">
      <alignment horizontal="left" vertical="center"/>
    </xf>
    <xf numFmtId="3" fontId="51" fillId="30" borderId="358" xfId="1" applyNumberFormat="1" applyFont="1" applyFill="1" applyBorder="1" applyAlignment="1">
      <alignment horizontal="center" vertical="center"/>
    </xf>
    <xf numFmtId="0" fontId="2" fillId="30" borderId="358" xfId="1" applyFont="1" applyFill="1" applyBorder="1" applyAlignment="1">
      <alignment horizontal="center" vertical="center"/>
    </xf>
    <xf numFmtId="172" fontId="51" fillId="30" borderId="358" xfId="1" applyNumberFormat="1" applyFont="1" applyFill="1" applyBorder="1" applyAlignment="1">
      <alignment horizontal="center" vertical="center"/>
    </xf>
    <xf numFmtId="14" fontId="51" fillId="30" borderId="358" xfId="1" applyNumberFormat="1" applyFont="1" applyFill="1" applyBorder="1" applyAlignment="1">
      <alignment horizontal="center" vertical="center"/>
    </xf>
    <xf numFmtId="2" fontId="51" fillId="30" borderId="21" xfId="1" applyNumberFormat="1" applyFont="1" applyFill="1" applyBorder="1" applyAlignment="1">
      <alignment horizontal="center" vertical="center"/>
    </xf>
    <xf numFmtId="3" fontId="51" fillId="30" borderId="66" xfId="1" applyNumberFormat="1" applyFont="1" applyFill="1" applyBorder="1" applyAlignment="1">
      <alignment horizontal="left" vertical="center"/>
    </xf>
    <xf numFmtId="0" fontId="2" fillId="30" borderId="66" xfId="1" applyFont="1" applyFill="1" applyBorder="1" applyAlignment="1">
      <alignment horizontal="center" vertical="center"/>
    </xf>
    <xf numFmtId="172" fontId="51" fillId="30" borderId="66" xfId="1" applyNumberFormat="1" applyFont="1" applyFill="1" applyBorder="1" applyAlignment="1">
      <alignment horizontal="center" vertical="center"/>
    </xf>
    <xf numFmtId="14" fontId="51" fillId="30" borderId="66" xfId="1" applyNumberFormat="1" applyFont="1" applyFill="1" applyBorder="1" applyAlignment="1">
      <alignment horizontal="center" vertical="center"/>
    </xf>
    <xf numFmtId="2" fontId="51" fillId="30" borderId="104" xfId="1" applyNumberFormat="1" applyFont="1" applyFill="1" applyBorder="1" applyAlignment="1">
      <alignment horizontal="center" vertical="center"/>
    </xf>
    <xf numFmtId="3" fontId="51" fillId="47" borderId="66" xfId="1" applyNumberFormat="1" applyFont="1" applyFill="1" applyBorder="1" applyAlignment="1">
      <alignment horizontal="left" vertical="center"/>
    </xf>
    <xf numFmtId="3" fontId="51" fillId="47" borderId="66" xfId="1" applyNumberFormat="1" applyFont="1" applyFill="1" applyBorder="1" applyAlignment="1">
      <alignment horizontal="center" vertical="center"/>
    </xf>
    <xf numFmtId="0" fontId="2" fillId="47" borderId="66" xfId="1" applyFont="1" applyFill="1" applyBorder="1" applyAlignment="1">
      <alignment horizontal="center" vertical="center"/>
    </xf>
    <xf numFmtId="172" fontId="51" fillId="47" borderId="66" xfId="1" applyNumberFormat="1" applyFont="1" applyFill="1" applyBorder="1" applyAlignment="1">
      <alignment horizontal="center" vertical="center"/>
    </xf>
    <xf numFmtId="14" fontId="51" fillId="47" borderId="66" xfId="1" applyNumberFormat="1" applyFont="1" applyFill="1" applyBorder="1" applyAlignment="1">
      <alignment horizontal="center" vertical="center"/>
    </xf>
    <xf numFmtId="3" fontId="51" fillId="32" borderId="74" xfId="1" applyNumberFormat="1" applyFont="1" applyFill="1" applyBorder="1" applyAlignment="1">
      <alignment horizontal="left" vertical="center"/>
    </xf>
    <xf numFmtId="3" fontId="51" fillId="32" borderId="74" xfId="1" applyNumberFormat="1" applyFont="1" applyFill="1" applyBorder="1" applyAlignment="1">
      <alignment horizontal="center" vertical="center"/>
    </xf>
    <xf numFmtId="0" fontId="2" fillId="32" borderId="74" xfId="1" applyFont="1" applyFill="1" applyBorder="1" applyAlignment="1">
      <alignment horizontal="center" vertical="center"/>
    </xf>
    <xf numFmtId="172" fontId="51" fillId="32" borderId="74" xfId="1" applyNumberFormat="1" applyFont="1" applyFill="1" applyBorder="1" applyAlignment="1">
      <alignment horizontal="center" vertical="center"/>
    </xf>
    <xf numFmtId="14" fontId="51" fillId="32" borderId="74" xfId="1" applyNumberFormat="1" applyFont="1" applyFill="1" applyBorder="1" applyAlignment="1">
      <alignment horizontal="center" vertical="center"/>
    </xf>
    <xf numFmtId="2" fontId="51" fillId="30" borderId="197" xfId="1" applyNumberFormat="1" applyFont="1" applyFill="1" applyBorder="1" applyAlignment="1">
      <alignment horizontal="center" vertical="center"/>
    </xf>
    <xf numFmtId="3" fontId="51" fillId="30" borderId="74" xfId="1" applyNumberFormat="1" applyFont="1" applyFill="1" applyBorder="1" applyAlignment="1">
      <alignment horizontal="left" vertical="center"/>
    </xf>
    <xf numFmtId="3" fontId="51" fillId="30" borderId="74" xfId="1" applyNumberFormat="1" applyFont="1" applyFill="1" applyBorder="1" applyAlignment="1">
      <alignment horizontal="center" vertical="center"/>
    </xf>
    <xf numFmtId="0" fontId="98" fillId="30" borderId="74" xfId="1" applyFont="1" applyFill="1" applyBorder="1" applyAlignment="1">
      <alignment horizontal="center" vertical="center"/>
    </xf>
    <xf numFmtId="172" fontId="51" fillId="30" borderId="74" xfId="1" applyNumberFormat="1" applyFont="1" applyFill="1" applyBorder="1" applyAlignment="1">
      <alignment horizontal="center" vertical="center"/>
    </xf>
    <xf numFmtId="14" fontId="51" fillId="30" borderId="74" xfId="1" applyNumberFormat="1" applyFont="1" applyFill="1" applyBorder="1" applyAlignment="1">
      <alignment horizontal="center" vertical="center"/>
    </xf>
    <xf numFmtId="3" fontId="2" fillId="30" borderId="66" xfId="1" applyNumberFormat="1" applyFont="1" applyFill="1" applyBorder="1" applyAlignment="1">
      <alignment horizontal="left" vertical="center"/>
    </xf>
    <xf numFmtId="172" fontId="2" fillId="30" borderId="66" xfId="1" applyNumberFormat="1" applyFont="1" applyFill="1" applyBorder="1" applyAlignment="1">
      <alignment horizontal="center" vertical="center"/>
    </xf>
    <xf numFmtId="3" fontId="51" fillId="30" borderId="25" xfId="1" applyNumberFormat="1" applyFont="1" applyFill="1" applyBorder="1" applyAlignment="1">
      <alignment horizontal="left" vertical="center"/>
    </xf>
    <xf numFmtId="172" fontId="51" fillId="30" borderId="25" xfId="1" applyNumberFormat="1" applyFont="1" applyFill="1" applyBorder="1" applyAlignment="1">
      <alignment horizontal="center" vertical="center"/>
    </xf>
    <xf numFmtId="14" fontId="51" fillId="30" borderId="25" xfId="1" applyNumberFormat="1" applyFont="1" applyFill="1" applyBorder="1" applyAlignment="1">
      <alignment horizontal="center" vertical="center"/>
    </xf>
    <xf numFmtId="0" fontId="2" fillId="32" borderId="66" xfId="1" applyFont="1" applyFill="1" applyBorder="1" applyAlignment="1">
      <alignment horizontal="center" vertical="center"/>
    </xf>
    <xf numFmtId="172" fontId="51" fillId="32" borderId="66" xfId="1" applyNumberFormat="1" applyFont="1" applyFill="1" applyBorder="1" applyAlignment="1">
      <alignment horizontal="center" vertical="center"/>
    </xf>
    <xf numFmtId="14" fontId="51" fillId="32" borderId="66" xfId="1" applyNumberFormat="1" applyFont="1" applyFill="1" applyBorder="1" applyAlignment="1">
      <alignment horizontal="center" vertical="center"/>
    </xf>
    <xf numFmtId="3" fontId="51" fillId="30" borderId="25" xfId="1" applyNumberFormat="1" applyFont="1" applyFill="1" applyBorder="1" applyAlignment="1">
      <alignment horizontal="center" vertical="center"/>
    </xf>
    <xf numFmtId="0" fontId="2" fillId="30" borderId="25" xfId="1" applyFont="1" applyFill="1" applyBorder="1" applyAlignment="1">
      <alignment horizontal="center" vertical="center"/>
    </xf>
    <xf numFmtId="0" fontId="2" fillId="30" borderId="74" xfId="1" applyFont="1" applyFill="1" applyBorder="1" applyAlignment="1">
      <alignment horizontal="center" vertical="center"/>
    </xf>
    <xf numFmtId="3" fontId="51" fillId="32" borderId="66" xfId="1" applyNumberFormat="1" applyFont="1" applyFill="1" applyBorder="1" applyAlignment="1">
      <alignment horizontal="left" vertical="center"/>
    </xf>
    <xf numFmtId="3" fontId="51" fillId="32" borderId="66" xfId="1" applyNumberFormat="1" applyFont="1" applyFill="1" applyBorder="1" applyAlignment="1">
      <alignment horizontal="center" vertical="center"/>
    </xf>
    <xf numFmtId="3" fontId="51" fillId="47" borderId="74" xfId="1" applyNumberFormat="1" applyFont="1" applyFill="1" applyBorder="1" applyAlignment="1">
      <alignment horizontal="left" vertical="center"/>
    </xf>
    <xf numFmtId="3" fontId="51" fillId="47" borderId="74" xfId="1" applyNumberFormat="1" applyFont="1" applyFill="1" applyBorder="1" applyAlignment="1">
      <alignment horizontal="center" vertical="center"/>
    </xf>
    <xf numFmtId="0" fontId="2" fillId="47" borderId="74" xfId="1" applyFont="1" applyFill="1" applyBorder="1" applyAlignment="1">
      <alignment horizontal="center" vertical="center"/>
    </xf>
    <xf numFmtId="14" fontId="51" fillId="47" borderId="74" xfId="1" applyNumberFormat="1" applyFont="1" applyFill="1" applyBorder="1" applyAlignment="1">
      <alignment horizontal="center" vertical="center"/>
    </xf>
    <xf numFmtId="3" fontId="51" fillId="33" borderId="66" xfId="1" applyNumberFormat="1" applyFont="1" applyFill="1" applyBorder="1" applyAlignment="1">
      <alignment horizontal="left" vertical="center"/>
    </xf>
    <xf numFmtId="3" fontId="51" fillId="33" borderId="66" xfId="1" applyNumberFormat="1" applyFont="1" applyFill="1" applyBorder="1" applyAlignment="1">
      <alignment horizontal="center" vertical="center"/>
    </xf>
    <xf numFmtId="0" fontId="2" fillId="33" borderId="66" xfId="1" applyFont="1" applyFill="1" applyBorder="1" applyAlignment="1">
      <alignment horizontal="center" vertical="center"/>
    </xf>
    <xf numFmtId="172" fontId="51" fillId="33" borderId="66" xfId="1" applyNumberFormat="1" applyFont="1" applyFill="1" applyBorder="1" applyAlignment="1">
      <alignment horizontal="center" vertical="center"/>
    </xf>
    <xf numFmtId="14" fontId="51" fillId="33" borderId="66" xfId="1" applyNumberFormat="1" applyFont="1" applyFill="1" applyBorder="1" applyAlignment="1">
      <alignment horizontal="center" vertical="center"/>
    </xf>
    <xf numFmtId="3" fontId="51" fillId="31" borderId="66" xfId="1" applyNumberFormat="1" applyFont="1" applyFill="1" applyBorder="1" applyAlignment="1">
      <alignment horizontal="left" vertical="center"/>
    </xf>
    <xf numFmtId="3" fontId="51" fillId="31" borderId="66" xfId="1" applyNumberFormat="1" applyFont="1" applyFill="1" applyBorder="1" applyAlignment="1">
      <alignment horizontal="center" vertical="center"/>
    </xf>
    <xf numFmtId="0" fontId="2" fillId="31" borderId="66" xfId="1" applyFont="1" applyFill="1" applyBorder="1" applyAlignment="1">
      <alignment horizontal="center" vertical="center"/>
    </xf>
    <xf numFmtId="172" fontId="51" fillId="31" borderId="66" xfId="1" applyNumberFormat="1" applyFont="1" applyFill="1" applyBorder="1" applyAlignment="1">
      <alignment horizontal="center" vertical="center"/>
    </xf>
    <xf numFmtId="14" fontId="51" fillId="31" borderId="66" xfId="1" applyNumberFormat="1" applyFont="1" applyFill="1" applyBorder="1" applyAlignment="1">
      <alignment horizontal="center" vertical="center"/>
    </xf>
    <xf numFmtId="3" fontId="51" fillId="31" borderId="25" xfId="1" applyNumberFormat="1" applyFont="1" applyFill="1" applyBorder="1" applyAlignment="1">
      <alignment horizontal="left" vertical="center"/>
    </xf>
    <xf numFmtId="3" fontId="51" fillId="31" borderId="25" xfId="1" applyNumberFormat="1" applyFont="1" applyFill="1" applyBorder="1" applyAlignment="1">
      <alignment horizontal="center" vertical="center"/>
    </xf>
    <xf numFmtId="0" fontId="2" fillId="31" borderId="25" xfId="1" applyFont="1" applyFill="1" applyBorder="1" applyAlignment="1">
      <alignment horizontal="center" vertical="center"/>
    </xf>
    <xf numFmtId="14" fontId="51" fillId="31" borderId="25" xfId="1" applyNumberFormat="1" applyFont="1" applyFill="1" applyBorder="1" applyAlignment="1">
      <alignment horizontal="center" vertical="center"/>
    </xf>
    <xf numFmtId="0" fontId="2" fillId="33" borderId="351" xfId="1" applyFont="1" applyFill="1" applyBorder="1" applyAlignment="1">
      <alignment horizontal="center" vertical="center"/>
    </xf>
    <xf numFmtId="14" fontId="51" fillId="33" borderId="351" xfId="1" applyNumberFormat="1" applyFont="1" applyFill="1" applyBorder="1" applyAlignment="1">
      <alignment horizontal="center" vertical="center"/>
    </xf>
    <xf numFmtId="3" fontId="51" fillId="33" borderId="351" xfId="1" applyNumberFormat="1" applyFont="1" applyFill="1" applyBorder="1" applyAlignment="1">
      <alignment horizontal="left" vertical="center"/>
    </xf>
    <xf numFmtId="3" fontId="51" fillId="33" borderId="351" xfId="1" applyNumberFormat="1" applyFont="1" applyFill="1" applyBorder="1" applyAlignment="1">
      <alignment horizontal="center" vertical="center"/>
    </xf>
    <xf numFmtId="3" fontId="51" fillId="30" borderId="66" xfId="1" applyNumberFormat="1" applyFont="1" applyFill="1" applyBorder="1" applyAlignment="1">
      <alignment horizontal="center" vertical="center"/>
    </xf>
    <xf numFmtId="0" fontId="98" fillId="30" borderId="66" xfId="1" applyFont="1" applyFill="1" applyBorder="1" applyAlignment="1">
      <alignment horizontal="center" vertical="center"/>
    </xf>
    <xf numFmtId="3" fontId="51" fillId="33" borderId="74" xfId="1" applyNumberFormat="1" applyFont="1" applyFill="1" applyBorder="1" applyAlignment="1">
      <alignment horizontal="left" vertical="center"/>
    </xf>
    <xf numFmtId="3" fontId="51" fillId="33" borderId="74" xfId="1" applyNumberFormat="1" applyFont="1" applyFill="1" applyBorder="1" applyAlignment="1">
      <alignment horizontal="center" vertical="center"/>
    </xf>
    <xf numFmtId="0" fontId="2" fillId="33" borderId="74" xfId="1" applyFont="1" applyFill="1" applyBorder="1" applyAlignment="1">
      <alignment horizontal="center" vertical="center"/>
    </xf>
    <xf numFmtId="172" fontId="51" fillId="33" borderId="74" xfId="1" applyNumberFormat="1" applyFont="1" applyFill="1" applyBorder="1" applyAlignment="1">
      <alignment horizontal="center" vertical="center"/>
    </xf>
    <xf numFmtId="14" fontId="51" fillId="33" borderId="74" xfId="1" applyNumberFormat="1" applyFont="1" applyFill="1" applyBorder="1" applyAlignment="1">
      <alignment horizontal="center" vertical="center"/>
    </xf>
    <xf numFmtId="172" fontId="51" fillId="47" borderId="74" xfId="1" applyNumberFormat="1" applyFont="1" applyFill="1" applyBorder="1" applyAlignment="1">
      <alignment horizontal="center" vertical="center"/>
    </xf>
    <xf numFmtId="172" fontId="51" fillId="31" borderId="25" xfId="1" applyNumberFormat="1" applyFont="1" applyFill="1" applyBorder="1" applyAlignment="1">
      <alignment horizontal="center" vertical="center"/>
    </xf>
    <xf numFmtId="172" fontId="2" fillId="30" borderId="25" xfId="1" applyNumberFormat="1" applyFont="1" applyFill="1" applyBorder="1" applyAlignment="1">
      <alignment horizontal="center" vertical="center"/>
    </xf>
    <xf numFmtId="0" fontId="2" fillId="47" borderId="351" xfId="1" applyFont="1" applyFill="1" applyBorder="1" applyAlignment="1">
      <alignment horizontal="center" vertical="center"/>
    </xf>
    <xf numFmtId="172" fontId="51" fillId="47" borderId="351" xfId="1" applyNumberFormat="1" applyFont="1" applyFill="1" applyBorder="1" applyAlignment="1">
      <alignment horizontal="center" vertical="center"/>
    </xf>
    <xf numFmtId="14" fontId="51" fillId="47" borderId="351" xfId="1" applyNumberFormat="1" applyFont="1" applyFill="1" applyBorder="1" applyAlignment="1">
      <alignment horizontal="center" vertical="center"/>
    </xf>
    <xf numFmtId="172" fontId="51" fillId="33" borderId="351" xfId="1" applyNumberFormat="1" applyFont="1" applyFill="1" applyBorder="1" applyAlignment="1">
      <alignment horizontal="center" vertical="center"/>
    </xf>
    <xf numFmtId="2" fontId="51" fillId="30" borderId="331" xfId="1" applyNumberFormat="1" applyFont="1" applyFill="1" applyBorder="1" applyAlignment="1">
      <alignment horizontal="center" vertical="center"/>
    </xf>
    <xf numFmtId="3" fontId="51" fillId="31" borderId="74" xfId="1" applyNumberFormat="1" applyFont="1" applyFill="1" applyBorder="1" applyAlignment="1">
      <alignment horizontal="left" vertical="center"/>
    </xf>
    <xf numFmtId="3" fontId="51" fillId="31" borderId="74" xfId="1" applyNumberFormat="1" applyFont="1" applyFill="1" applyBorder="1" applyAlignment="1">
      <alignment horizontal="center" vertical="center"/>
    </xf>
    <xf numFmtId="0" fontId="2" fillId="31" borderId="74" xfId="1" applyFont="1" applyFill="1" applyBorder="1" applyAlignment="1">
      <alignment horizontal="center" vertical="center"/>
    </xf>
    <xf numFmtId="14" fontId="51" fillId="31" borderId="74" xfId="1" applyNumberFormat="1" applyFont="1" applyFill="1" applyBorder="1" applyAlignment="1">
      <alignment horizontal="center" vertical="center"/>
    </xf>
    <xf numFmtId="0" fontId="98" fillId="30" borderId="351" xfId="1" applyFont="1" applyFill="1" applyBorder="1" applyAlignment="1">
      <alignment horizontal="center" vertical="center"/>
    </xf>
    <xf numFmtId="3" fontId="2" fillId="30" borderId="351" xfId="1" applyNumberFormat="1" applyFont="1" applyFill="1" applyBorder="1" applyAlignment="1">
      <alignment horizontal="center" vertical="center"/>
    </xf>
    <xf numFmtId="3" fontId="51" fillId="31" borderId="264" xfId="1" applyNumberFormat="1" applyFont="1" applyFill="1" applyBorder="1" applyAlignment="1">
      <alignment horizontal="left" vertical="center"/>
    </xf>
    <xf numFmtId="3" fontId="51" fillId="31" borderId="264" xfId="1" applyNumberFormat="1" applyFont="1" applyFill="1" applyBorder="1" applyAlignment="1">
      <alignment horizontal="center" vertical="center"/>
    </xf>
    <xf numFmtId="0" fontId="2" fillId="31" borderId="264" xfId="1" applyFont="1" applyFill="1" applyBorder="1" applyAlignment="1">
      <alignment horizontal="center" vertical="center"/>
    </xf>
    <xf numFmtId="172" fontId="51" fillId="31" borderId="264" xfId="1" applyNumberFormat="1" applyFont="1" applyFill="1" applyBorder="1" applyAlignment="1">
      <alignment horizontal="center" vertical="center"/>
    </xf>
    <xf numFmtId="14" fontId="51" fillId="31" borderId="264" xfId="1" applyNumberFormat="1" applyFont="1" applyFill="1" applyBorder="1" applyAlignment="1">
      <alignment horizontal="center" vertical="center"/>
    </xf>
    <xf numFmtId="2" fontId="51" fillId="30" borderId="269" xfId="1" applyNumberFormat="1" applyFont="1" applyFill="1" applyBorder="1" applyAlignment="1">
      <alignment horizontal="center" vertical="center"/>
    </xf>
    <xf numFmtId="3" fontId="51" fillId="31" borderId="183" xfId="1" applyNumberFormat="1" applyFont="1" applyFill="1" applyBorder="1" applyAlignment="1">
      <alignment horizontal="left" vertical="center"/>
    </xf>
    <xf numFmtId="3" fontId="51" fillId="31" borderId="183" xfId="1" applyNumberFormat="1" applyFont="1" applyFill="1" applyBorder="1" applyAlignment="1">
      <alignment horizontal="center" vertical="center"/>
    </xf>
    <xf numFmtId="0" fontId="2" fillId="31" borderId="183" xfId="1" applyFont="1" applyFill="1" applyBorder="1" applyAlignment="1">
      <alignment horizontal="center" vertical="center"/>
    </xf>
    <xf numFmtId="172" fontId="51" fillId="31" borderId="183" xfId="1" applyNumberFormat="1" applyFont="1" applyFill="1" applyBorder="1" applyAlignment="1">
      <alignment horizontal="center" vertical="center"/>
    </xf>
    <xf numFmtId="14" fontId="51" fillId="31" borderId="183" xfId="1" applyNumberFormat="1" applyFont="1" applyFill="1" applyBorder="1" applyAlignment="1">
      <alignment horizontal="center" vertical="center"/>
    </xf>
    <xf numFmtId="3" fontId="51" fillId="30" borderId="183" xfId="1" applyNumberFormat="1" applyFont="1" applyFill="1" applyBorder="1" applyAlignment="1">
      <alignment horizontal="left" vertical="center"/>
    </xf>
    <xf numFmtId="3" fontId="51" fillId="30" borderId="183" xfId="1" applyNumberFormat="1" applyFont="1" applyFill="1" applyBorder="1" applyAlignment="1">
      <alignment horizontal="center" vertical="center"/>
    </xf>
    <xf numFmtId="0" fontId="2" fillId="30" borderId="183" xfId="1" applyFont="1" applyFill="1" applyBorder="1" applyAlignment="1">
      <alignment horizontal="center" vertical="center"/>
    </xf>
    <xf numFmtId="172" fontId="51" fillId="30" borderId="183" xfId="1" applyNumberFormat="1" applyFont="1" applyFill="1" applyBorder="1" applyAlignment="1">
      <alignment horizontal="center" vertical="center"/>
    </xf>
    <xf numFmtId="14" fontId="51" fillId="30" borderId="183" xfId="1" applyNumberFormat="1" applyFont="1" applyFill="1" applyBorder="1" applyAlignment="1">
      <alignment horizontal="center" vertical="center"/>
    </xf>
    <xf numFmtId="3" fontId="51" fillId="32" borderId="358" xfId="1" applyNumberFormat="1" applyFont="1" applyFill="1" applyBorder="1" applyAlignment="1">
      <alignment horizontal="left" vertical="center"/>
    </xf>
    <xf numFmtId="3" fontId="51" fillId="32" borderId="358" xfId="1" applyNumberFormat="1" applyFont="1" applyFill="1" applyBorder="1" applyAlignment="1">
      <alignment horizontal="center" vertical="center"/>
    </xf>
    <xf numFmtId="14" fontId="51" fillId="32" borderId="358" xfId="1" applyNumberFormat="1" applyFont="1" applyFill="1" applyBorder="1" applyAlignment="1">
      <alignment horizontal="center" vertical="center"/>
    </xf>
    <xf numFmtId="3" fontId="98" fillId="30" borderId="66" xfId="1" applyNumberFormat="1" applyFont="1" applyFill="1" applyBorder="1" applyAlignment="1">
      <alignment horizontal="center" vertical="center"/>
    </xf>
    <xf numFmtId="0" fontId="2" fillId="30" borderId="264" xfId="1" applyFont="1" applyFill="1" applyBorder="1" applyAlignment="1">
      <alignment horizontal="center" vertical="center"/>
    </xf>
    <xf numFmtId="3" fontId="51" fillId="30" borderId="264" xfId="1" applyNumberFormat="1" applyFont="1" applyFill="1" applyBorder="1" applyAlignment="1">
      <alignment horizontal="left" vertical="center"/>
    </xf>
    <xf numFmtId="172" fontId="51" fillId="30" borderId="264" xfId="1" applyNumberFormat="1" applyFont="1" applyFill="1" applyBorder="1" applyAlignment="1">
      <alignment horizontal="center" vertical="center"/>
    </xf>
    <xf numFmtId="14" fontId="51" fillId="30" borderId="264" xfId="1" applyNumberFormat="1" applyFont="1" applyFill="1" applyBorder="1" applyAlignment="1">
      <alignment horizontal="center" vertical="center"/>
    </xf>
    <xf numFmtId="3" fontId="51" fillId="30" borderId="264" xfId="1" applyNumberFormat="1" applyFont="1" applyFill="1" applyBorder="1" applyAlignment="1">
      <alignment horizontal="center" vertical="center"/>
    </xf>
    <xf numFmtId="2" fontId="51" fillId="30" borderId="372" xfId="1" applyNumberFormat="1" applyFont="1" applyFill="1" applyBorder="1" applyAlignment="1">
      <alignment horizontal="center" vertical="center"/>
    </xf>
    <xf numFmtId="2" fontId="51" fillId="30" borderId="283" xfId="1" applyNumberFormat="1" applyFont="1" applyFill="1" applyBorder="1" applyAlignment="1">
      <alignment horizontal="center" vertical="center"/>
    </xf>
    <xf numFmtId="2" fontId="51" fillId="30" borderId="314" xfId="1" applyNumberFormat="1" applyFont="1" applyFill="1" applyBorder="1" applyAlignment="1">
      <alignment horizontal="center" vertical="center"/>
    </xf>
    <xf numFmtId="3" fontId="51" fillId="30" borderId="279" xfId="1" applyNumberFormat="1" applyFont="1" applyFill="1" applyBorder="1" applyAlignment="1">
      <alignment horizontal="left" vertical="center"/>
    </xf>
    <xf numFmtId="3" fontId="51" fillId="30" borderId="279" xfId="1" applyNumberFormat="1" applyFont="1" applyFill="1" applyBorder="1" applyAlignment="1">
      <alignment horizontal="center" vertical="center"/>
    </xf>
    <xf numFmtId="0" fontId="2" fillId="30" borderId="279" xfId="1" applyFont="1" applyFill="1" applyBorder="1" applyAlignment="1">
      <alignment horizontal="center" vertical="center"/>
    </xf>
    <xf numFmtId="172" fontId="51" fillId="30" borderId="279" xfId="1" applyNumberFormat="1" applyFont="1" applyFill="1" applyBorder="1" applyAlignment="1">
      <alignment horizontal="center" vertical="center"/>
    </xf>
    <xf numFmtId="14" fontId="51" fillId="30" borderId="279" xfId="1" applyNumberFormat="1" applyFont="1" applyFill="1" applyBorder="1" applyAlignment="1">
      <alignment horizontal="center" vertical="center"/>
    </xf>
    <xf numFmtId="2" fontId="51" fillId="30" borderId="291" xfId="1" applyNumberFormat="1" applyFont="1" applyFill="1" applyBorder="1" applyAlignment="1">
      <alignment horizontal="center" vertical="center"/>
    </xf>
    <xf numFmtId="3" fontId="51" fillId="30" borderId="305" xfId="1" applyNumberFormat="1" applyFont="1" applyFill="1" applyBorder="1" applyAlignment="1">
      <alignment horizontal="left" vertical="center"/>
    </xf>
    <xf numFmtId="172" fontId="51" fillId="30" borderId="305" xfId="1" applyNumberFormat="1" applyFont="1" applyFill="1" applyBorder="1" applyAlignment="1">
      <alignment horizontal="center" vertical="center"/>
    </xf>
    <xf numFmtId="14" fontId="51" fillId="30" borderId="305" xfId="1" applyNumberFormat="1" applyFont="1" applyFill="1" applyBorder="1" applyAlignment="1">
      <alignment horizontal="center" vertical="center"/>
    </xf>
    <xf numFmtId="3" fontId="51" fillId="5" borderId="342" xfId="1" applyNumberFormat="1" applyFont="1" applyFill="1" applyBorder="1" applyAlignment="1">
      <alignment horizontal="left" vertical="center"/>
    </xf>
    <xf numFmtId="3" fontId="51" fillId="5" borderId="342" xfId="1" applyNumberFormat="1" applyFont="1" applyFill="1" applyBorder="1" applyAlignment="1">
      <alignment horizontal="center" vertical="center"/>
    </xf>
    <xf numFmtId="0" fontId="2" fillId="5" borderId="342" xfId="1" applyFont="1" applyFill="1" applyBorder="1" applyAlignment="1">
      <alignment horizontal="center" vertical="center"/>
    </xf>
    <xf numFmtId="172" fontId="51" fillId="5" borderId="342" xfId="1" applyNumberFormat="1" applyFont="1" applyFill="1" applyBorder="1" applyAlignment="1">
      <alignment horizontal="center" vertical="center"/>
    </xf>
    <xf numFmtId="14" fontId="51" fillId="5" borderId="342" xfId="1" applyNumberFormat="1" applyFont="1" applyFill="1" applyBorder="1" applyAlignment="1">
      <alignment horizontal="center" vertical="center"/>
    </xf>
    <xf numFmtId="2" fontId="51" fillId="5" borderId="343" xfId="1" applyNumberFormat="1" applyFont="1" applyFill="1" applyBorder="1" applyAlignment="1">
      <alignment horizontal="center" vertical="center"/>
    </xf>
    <xf numFmtId="0" fontId="98" fillId="5" borderId="342" xfId="1" applyFont="1" applyFill="1" applyBorder="1" applyAlignment="1">
      <alignment horizontal="center" vertical="center"/>
    </xf>
    <xf numFmtId="3" fontId="2" fillId="5" borderId="325" xfId="1" applyNumberFormat="1" applyFont="1" applyFill="1" applyBorder="1" applyAlignment="1">
      <alignment horizontal="left" vertical="center"/>
    </xf>
    <xf numFmtId="3" fontId="98" fillId="5" borderId="325" xfId="1" applyNumberFormat="1" applyFont="1" applyFill="1" applyBorder="1" applyAlignment="1">
      <alignment horizontal="center" vertical="center"/>
    </xf>
    <xf numFmtId="3" fontId="51" fillId="5" borderId="336" xfId="1" applyNumberFormat="1" applyFont="1" applyFill="1" applyBorder="1" applyAlignment="1">
      <alignment horizontal="left" vertical="center"/>
    </xf>
    <xf numFmtId="3" fontId="51" fillId="5" borderId="336" xfId="1" applyNumberFormat="1" applyFont="1" applyFill="1" applyBorder="1" applyAlignment="1">
      <alignment horizontal="center" vertical="center"/>
    </xf>
    <xf numFmtId="0" fontId="2" fillId="5" borderId="336" xfId="1" applyFont="1" applyFill="1" applyBorder="1" applyAlignment="1">
      <alignment horizontal="center" vertical="center"/>
    </xf>
    <xf numFmtId="172" fontId="51" fillId="5" borderId="336" xfId="1" applyNumberFormat="1" applyFont="1" applyFill="1" applyBorder="1" applyAlignment="1">
      <alignment horizontal="center" vertical="center"/>
    </xf>
    <xf numFmtId="14" fontId="51" fillId="5" borderId="336" xfId="1" applyNumberFormat="1" applyFont="1" applyFill="1" applyBorder="1" applyAlignment="1">
      <alignment horizontal="center" vertical="center"/>
    </xf>
    <xf numFmtId="3" fontId="98" fillId="5" borderId="342" xfId="1" applyNumberFormat="1" applyFont="1" applyFill="1" applyBorder="1" applyAlignment="1">
      <alignment horizontal="center" vertical="center"/>
    </xf>
    <xf numFmtId="3" fontId="2" fillId="5" borderId="325" xfId="1" applyNumberFormat="1" applyFont="1" applyFill="1" applyBorder="1" applyAlignment="1">
      <alignment horizontal="center" vertical="center"/>
    </xf>
    <xf numFmtId="3" fontId="51" fillId="5" borderId="351" xfId="1" applyNumberFormat="1" applyFont="1" applyFill="1" applyBorder="1" applyAlignment="1">
      <alignment horizontal="left" vertical="center"/>
    </xf>
    <xf numFmtId="172" fontId="51" fillId="5" borderId="351" xfId="1" applyNumberFormat="1" applyFont="1" applyFill="1" applyBorder="1" applyAlignment="1">
      <alignment horizontal="center" vertical="center"/>
    </xf>
    <xf numFmtId="14" fontId="51" fillId="5" borderId="351" xfId="1" applyNumberFormat="1" applyFont="1" applyFill="1" applyBorder="1" applyAlignment="1">
      <alignment horizontal="center" vertical="center"/>
    </xf>
    <xf numFmtId="3" fontId="51" fillId="5" borderId="313" xfId="1" applyNumberFormat="1" applyFont="1" applyFill="1" applyBorder="1" applyAlignment="1">
      <alignment horizontal="left" vertical="center"/>
    </xf>
    <xf numFmtId="172" fontId="51" fillId="5" borderId="313" xfId="1" applyNumberFormat="1" applyFont="1" applyFill="1" applyBorder="1" applyAlignment="1">
      <alignment horizontal="center" vertical="center"/>
    </xf>
    <xf numFmtId="14" fontId="51" fillId="5" borderId="313" xfId="1" applyNumberFormat="1" applyFont="1" applyFill="1" applyBorder="1" applyAlignment="1">
      <alignment horizontal="center" vertical="center"/>
    </xf>
    <xf numFmtId="2" fontId="51" fillId="5" borderId="355" xfId="1" applyNumberFormat="1" applyFont="1" applyFill="1" applyBorder="1" applyAlignment="1">
      <alignment horizontal="center" vertical="center"/>
    </xf>
    <xf numFmtId="3" fontId="51" fillId="5" borderId="351" xfId="1" applyNumberFormat="1" applyFont="1" applyFill="1" applyBorder="1" applyAlignment="1">
      <alignment horizontal="center" vertical="center"/>
    </xf>
    <xf numFmtId="0" fontId="2" fillId="5" borderId="351" xfId="1" applyFont="1" applyFill="1" applyBorder="1" applyAlignment="1">
      <alignment horizontal="center" vertical="center"/>
    </xf>
    <xf numFmtId="3" fontId="2" fillId="5" borderId="351" xfId="1" applyNumberFormat="1" applyFont="1" applyFill="1" applyBorder="1" applyAlignment="1">
      <alignment horizontal="center" vertical="center"/>
    </xf>
    <xf numFmtId="3" fontId="51" fillId="5" borderId="279" xfId="1" applyNumberFormat="1" applyFont="1" applyFill="1" applyBorder="1" applyAlignment="1">
      <alignment horizontal="left" vertical="center"/>
    </xf>
    <xf numFmtId="3" fontId="98" fillId="5" borderId="279" xfId="1" applyNumberFormat="1" applyFont="1" applyFill="1" applyBorder="1" applyAlignment="1">
      <alignment horizontal="center" vertical="center"/>
    </xf>
    <xf numFmtId="0" fontId="98" fillId="5" borderId="279" xfId="1" applyFont="1" applyFill="1" applyBorder="1" applyAlignment="1">
      <alignment horizontal="center" vertical="center"/>
    </xf>
    <xf numFmtId="172" fontId="51" fillId="5" borderId="279" xfId="1" applyNumberFormat="1" applyFont="1" applyFill="1" applyBorder="1" applyAlignment="1">
      <alignment horizontal="center" vertical="center"/>
    </xf>
    <xf numFmtId="14" fontId="51" fillId="5" borderId="279" xfId="1" applyNumberFormat="1" applyFont="1" applyFill="1" applyBorder="1" applyAlignment="1">
      <alignment horizontal="center" vertical="center"/>
    </xf>
    <xf numFmtId="3" fontId="51" fillId="5" borderId="281" xfId="1" applyNumberFormat="1" applyFont="1" applyFill="1" applyBorder="1" applyAlignment="1">
      <alignment horizontal="left" vertical="center"/>
    </xf>
    <xf numFmtId="3" fontId="51" fillId="5" borderId="281" xfId="1" applyNumberFormat="1" applyFont="1" applyFill="1" applyBorder="1" applyAlignment="1">
      <alignment horizontal="center" vertical="center"/>
    </xf>
    <xf numFmtId="0" fontId="2" fillId="5" borderId="281" xfId="1" applyFont="1" applyFill="1" applyBorder="1" applyAlignment="1">
      <alignment horizontal="center" vertical="center"/>
    </xf>
    <xf numFmtId="172" fontId="51" fillId="5" borderId="281" xfId="1" applyNumberFormat="1" applyFont="1" applyFill="1" applyBorder="1" applyAlignment="1">
      <alignment horizontal="center" vertical="center"/>
    </xf>
    <xf numFmtId="14" fontId="51" fillId="5" borderId="281" xfId="1" applyNumberFormat="1" applyFont="1" applyFill="1" applyBorder="1" applyAlignment="1">
      <alignment horizontal="center" vertical="center"/>
    </xf>
    <xf numFmtId="2" fontId="51" fillId="5" borderId="289" xfId="1" applyNumberFormat="1" applyFont="1" applyFill="1" applyBorder="1" applyAlignment="1">
      <alignment horizontal="center" vertical="center"/>
    </xf>
    <xf numFmtId="3" fontId="51" fillId="5" borderId="280" xfId="1" applyNumberFormat="1" applyFont="1" applyFill="1" applyBorder="1" applyAlignment="1">
      <alignment horizontal="left" vertical="center"/>
    </xf>
    <xf numFmtId="0" fontId="2" fillId="5" borderId="280" xfId="1" applyFont="1" applyFill="1" applyBorder="1" applyAlignment="1">
      <alignment horizontal="center" vertical="center"/>
    </xf>
    <xf numFmtId="172" fontId="51" fillId="5" borderId="280" xfId="1" applyNumberFormat="1" applyFont="1" applyFill="1" applyBorder="1" applyAlignment="1">
      <alignment horizontal="center" vertical="center"/>
    </xf>
    <xf numFmtId="14" fontId="51" fillId="5" borderId="280" xfId="1" applyNumberFormat="1" applyFont="1" applyFill="1" applyBorder="1" applyAlignment="1">
      <alignment horizontal="center" vertical="center"/>
    </xf>
    <xf numFmtId="2" fontId="51" fillId="5" borderId="291" xfId="1" applyNumberFormat="1" applyFont="1" applyFill="1" applyBorder="1" applyAlignment="1">
      <alignment horizontal="center" vertical="center"/>
    </xf>
    <xf numFmtId="0" fontId="2" fillId="5" borderId="66" xfId="1" applyFont="1" applyFill="1" applyBorder="1" applyAlignment="1">
      <alignment horizontal="left" vertical="center" wrapText="1"/>
    </xf>
    <xf numFmtId="3" fontId="51" fillId="5" borderId="296" xfId="1" applyNumberFormat="1" applyFont="1" applyFill="1" applyBorder="1" applyAlignment="1">
      <alignment horizontal="left" vertical="center"/>
    </xf>
    <xf numFmtId="3" fontId="51" fillId="5" borderId="296" xfId="1" applyNumberFormat="1" applyFont="1" applyFill="1" applyBorder="1" applyAlignment="1">
      <alignment horizontal="center" vertical="center"/>
    </xf>
    <xf numFmtId="0" fontId="2" fillId="5" borderId="296" xfId="1" applyFont="1" applyFill="1" applyBorder="1" applyAlignment="1">
      <alignment horizontal="center" vertical="center"/>
    </xf>
    <xf numFmtId="172" fontId="51" fillId="5" borderId="296" xfId="1" applyNumberFormat="1" applyFont="1" applyFill="1" applyBorder="1" applyAlignment="1">
      <alignment horizontal="center" vertical="center"/>
    </xf>
    <xf numFmtId="14" fontId="51" fillId="5" borderId="296" xfId="1" applyNumberFormat="1" applyFont="1" applyFill="1" applyBorder="1" applyAlignment="1">
      <alignment horizontal="center" vertical="center"/>
    </xf>
    <xf numFmtId="2" fontId="51" fillId="5" borderId="297" xfId="1" applyNumberFormat="1" applyFont="1" applyFill="1" applyBorder="1" applyAlignment="1">
      <alignment horizontal="center" vertical="center"/>
    </xf>
    <xf numFmtId="0" fontId="98" fillId="5" borderId="325" xfId="1" applyFont="1" applyFill="1" applyBorder="1" applyAlignment="1">
      <alignment horizontal="center" vertical="center"/>
    </xf>
    <xf numFmtId="3" fontId="98" fillId="5" borderId="336" xfId="1" applyNumberFormat="1" applyFont="1" applyFill="1" applyBorder="1" applyAlignment="1">
      <alignment horizontal="center" vertical="center"/>
    </xf>
    <xf numFmtId="0" fontId="98" fillId="5" borderId="336" xfId="1" applyFont="1" applyFill="1" applyBorder="1" applyAlignment="1">
      <alignment horizontal="center" vertical="center"/>
    </xf>
    <xf numFmtId="3" fontId="48" fillId="5" borderId="322" xfId="1" applyNumberFormat="1" applyFont="1" applyFill="1" applyBorder="1" applyAlignment="1">
      <alignment horizontal="center" vertical="center"/>
    </xf>
    <xf numFmtId="3" fontId="48" fillId="5" borderId="286" xfId="1" applyNumberFormat="1" applyFont="1" applyFill="1" applyBorder="1" applyAlignment="1">
      <alignment horizontal="center" vertical="center"/>
    </xf>
    <xf numFmtId="3" fontId="149" fillId="5" borderId="287" xfId="1" applyNumberFormat="1" applyFont="1" applyFill="1" applyBorder="1" applyAlignment="1">
      <alignment horizontal="center" vertical="center"/>
    </xf>
    <xf numFmtId="3" fontId="48" fillId="5" borderId="290" xfId="1" applyNumberFormat="1" applyFont="1" applyFill="1" applyBorder="1" applyAlignment="1">
      <alignment horizontal="center" vertical="center"/>
    </xf>
    <xf numFmtId="3" fontId="70" fillId="5" borderId="260" xfId="1" applyNumberFormat="1" applyFont="1" applyFill="1" applyBorder="1" applyAlignment="1">
      <alignment horizontal="center" vertical="center" wrapText="1"/>
    </xf>
    <xf numFmtId="3" fontId="70" fillId="5" borderId="261" xfId="1" applyNumberFormat="1" applyFont="1" applyFill="1" applyBorder="1" applyAlignment="1">
      <alignment horizontal="center" vertical="center" wrapText="1"/>
    </xf>
    <xf numFmtId="3" fontId="48" fillId="5" borderId="293" xfId="1" applyNumberFormat="1" applyFont="1" applyFill="1" applyBorder="1" applyAlignment="1">
      <alignment horizontal="center" vertical="center"/>
    </xf>
    <xf numFmtId="3" fontId="48" fillId="5" borderId="294" xfId="1" applyNumberFormat="1" applyFont="1" applyFill="1" applyBorder="1" applyAlignment="1">
      <alignment horizontal="center" vertical="center"/>
    </xf>
    <xf numFmtId="3" fontId="48" fillId="5" borderId="340" xfId="1" applyNumberFormat="1" applyFont="1" applyFill="1" applyBorder="1" applyAlignment="1">
      <alignment horizontal="center" vertical="center"/>
    </xf>
    <xf numFmtId="3" fontId="48" fillId="5" borderId="312" xfId="1" applyNumberFormat="1" applyFont="1" applyFill="1" applyBorder="1" applyAlignment="1">
      <alignment horizontal="center" vertical="center"/>
    </xf>
    <xf numFmtId="3" fontId="48" fillId="5" borderId="350" xfId="1" applyNumberFormat="1" applyFont="1" applyFill="1" applyBorder="1" applyAlignment="1">
      <alignment horizontal="center" vertical="center"/>
    </xf>
    <xf numFmtId="3" fontId="48" fillId="5" borderId="263" xfId="1" applyNumberFormat="1" applyFont="1" applyFill="1" applyBorder="1" applyAlignment="1">
      <alignment horizontal="center" vertical="center"/>
    </xf>
    <xf numFmtId="3" fontId="48" fillId="5" borderId="346" xfId="1" applyNumberFormat="1" applyFont="1" applyFill="1" applyBorder="1" applyAlignment="1">
      <alignment horizontal="center" vertical="center"/>
    </xf>
    <xf numFmtId="3" fontId="149" fillId="5" borderId="341" xfId="1" applyNumberFormat="1" applyFont="1" applyFill="1" applyBorder="1" applyAlignment="1">
      <alignment horizontal="center" vertical="center"/>
    </xf>
    <xf numFmtId="3" fontId="48" fillId="5" borderId="344" xfId="1" applyNumberFormat="1" applyFont="1" applyFill="1" applyBorder="1" applyAlignment="1">
      <alignment horizontal="center" vertical="center"/>
    </xf>
    <xf numFmtId="3" fontId="48" fillId="5" borderId="339" xfId="1" applyNumberFormat="1" applyFont="1" applyFill="1" applyBorder="1" applyAlignment="1">
      <alignment horizontal="center" vertical="center"/>
    </xf>
    <xf numFmtId="3" fontId="48" fillId="5" borderId="354" xfId="1" applyNumberFormat="1" applyFont="1" applyFill="1" applyBorder="1" applyAlignment="1">
      <alignment horizontal="center" vertical="center"/>
    </xf>
    <xf numFmtId="3" fontId="48" fillId="5" borderId="356" xfId="1" applyNumberFormat="1" applyFont="1" applyFill="1" applyBorder="1" applyAlignment="1">
      <alignment horizontal="center" vertical="center"/>
    </xf>
    <xf numFmtId="3" fontId="51" fillId="40" borderId="351" xfId="1" applyNumberFormat="1" applyFont="1" applyFill="1" applyBorder="1" applyAlignment="1">
      <alignment horizontal="left" vertical="center"/>
    </xf>
    <xf numFmtId="3" fontId="51" fillId="40" borderId="351" xfId="1" applyNumberFormat="1" applyFont="1" applyFill="1" applyBorder="1" applyAlignment="1">
      <alignment horizontal="center" vertical="center"/>
    </xf>
    <xf numFmtId="0" fontId="2" fillId="40" borderId="351" xfId="1" applyFont="1" applyFill="1" applyBorder="1" applyAlignment="1">
      <alignment horizontal="center" vertical="center"/>
    </xf>
    <xf numFmtId="172" fontId="51" fillId="40" borderId="351" xfId="1" applyNumberFormat="1" applyFont="1" applyFill="1" applyBorder="1" applyAlignment="1">
      <alignment horizontal="center" vertical="center"/>
    </xf>
    <xf numFmtId="14" fontId="51" fillId="40" borderId="351" xfId="1" applyNumberFormat="1" applyFont="1" applyFill="1" applyBorder="1" applyAlignment="1">
      <alignment horizontal="center" vertical="center"/>
    </xf>
    <xf numFmtId="2" fontId="51" fillId="41" borderId="343" xfId="1" applyNumberFormat="1" applyFont="1" applyFill="1" applyBorder="1" applyAlignment="1">
      <alignment horizontal="center" vertical="center"/>
    </xf>
    <xf numFmtId="3" fontId="51" fillId="40" borderId="358" xfId="1" applyNumberFormat="1" applyFont="1" applyFill="1" applyBorder="1" applyAlignment="1">
      <alignment horizontal="left" vertical="center"/>
    </xf>
    <xf numFmtId="3" fontId="51" fillId="40" borderId="358" xfId="1" applyNumberFormat="1" applyFont="1" applyFill="1" applyBorder="1" applyAlignment="1">
      <alignment horizontal="center" vertical="center"/>
    </xf>
    <xf numFmtId="0" fontId="2" fillId="40" borderId="358" xfId="1" applyFont="1" applyFill="1" applyBorder="1" applyAlignment="1">
      <alignment horizontal="center" vertical="center"/>
    </xf>
    <xf numFmtId="172" fontId="51" fillId="40" borderId="358" xfId="1" applyNumberFormat="1" applyFont="1" applyFill="1" applyBorder="1" applyAlignment="1">
      <alignment horizontal="center" vertical="center"/>
    </xf>
    <xf numFmtId="14" fontId="51" fillId="40" borderId="358" xfId="1" applyNumberFormat="1" applyFont="1" applyFill="1" applyBorder="1" applyAlignment="1">
      <alignment horizontal="center" vertical="center"/>
    </xf>
    <xf numFmtId="2" fontId="51" fillId="41" borderId="369" xfId="1" applyNumberFormat="1" applyFont="1" applyFill="1" applyBorder="1" applyAlignment="1">
      <alignment horizontal="center" vertical="center"/>
    </xf>
    <xf numFmtId="3" fontId="51" fillId="40" borderId="357" xfId="1" applyNumberFormat="1" applyFont="1" applyFill="1" applyBorder="1" applyAlignment="1">
      <alignment horizontal="left" vertical="center"/>
    </xf>
    <xf numFmtId="3" fontId="51" fillId="40" borderId="357" xfId="1" applyNumberFormat="1" applyFont="1" applyFill="1" applyBorder="1" applyAlignment="1">
      <alignment horizontal="center" vertical="center"/>
    </xf>
    <xf numFmtId="172" fontId="51" fillId="40" borderId="357" xfId="1" applyNumberFormat="1" applyFont="1" applyFill="1" applyBorder="1" applyAlignment="1">
      <alignment horizontal="center" vertical="center"/>
    </xf>
    <xf numFmtId="14" fontId="51" fillId="40" borderId="357" xfId="1" applyNumberFormat="1" applyFont="1" applyFill="1" applyBorder="1" applyAlignment="1">
      <alignment horizontal="center" vertical="center"/>
    </xf>
    <xf numFmtId="2" fontId="51" fillId="41" borderId="330" xfId="1" applyNumberFormat="1" applyFont="1" applyFill="1" applyBorder="1" applyAlignment="1">
      <alignment horizontal="center" vertical="center"/>
    </xf>
    <xf numFmtId="3" fontId="51" fillId="41" borderId="358" xfId="1" applyNumberFormat="1" applyFont="1" applyFill="1" applyBorder="1" applyAlignment="1">
      <alignment horizontal="left" vertical="center"/>
    </xf>
    <xf numFmtId="0" fontId="2" fillId="41" borderId="358" xfId="1" applyFont="1" applyFill="1" applyBorder="1" applyAlignment="1">
      <alignment horizontal="center" vertical="center"/>
    </xf>
    <xf numFmtId="172" fontId="51" fillId="41" borderId="358" xfId="1" applyNumberFormat="1" applyFont="1" applyFill="1" applyBorder="1" applyAlignment="1">
      <alignment horizontal="center" vertical="center"/>
    </xf>
    <xf numFmtId="14" fontId="51" fillId="41" borderId="358" xfId="1" applyNumberFormat="1" applyFont="1" applyFill="1" applyBorder="1" applyAlignment="1">
      <alignment horizontal="center" vertical="center"/>
    </xf>
    <xf numFmtId="3" fontId="51" fillId="41" borderId="357" xfId="1" applyNumberFormat="1" applyFont="1" applyFill="1" applyBorder="1" applyAlignment="1">
      <alignment horizontal="left" vertical="center"/>
    </xf>
    <xf numFmtId="3" fontId="51" fillId="41" borderId="357" xfId="1" applyNumberFormat="1" applyFont="1" applyFill="1" applyBorder="1" applyAlignment="1">
      <alignment horizontal="center" vertical="center"/>
    </xf>
    <xf numFmtId="0" fontId="2" fillId="41" borderId="357" xfId="1" applyFont="1" applyFill="1" applyBorder="1" applyAlignment="1">
      <alignment horizontal="center" vertical="center"/>
    </xf>
    <xf numFmtId="172" fontId="51" fillId="41" borderId="357" xfId="1" applyNumberFormat="1" applyFont="1" applyFill="1" applyBorder="1" applyAlignment="1">
      <alignment horizontal="center" vertical="center"/>
    </xf>
    <xf numFmtId="14" fontId="51" fillId="41" borderId="357" xfId="1" applyNumberFormat="1" applyFont="1" applyFill="1" applyBorder="1" applyAlignment="1">
      <alignment horizontal="center" vertical="center"/>
    </xf>
    <xf numFmtId="3" fontId="51" fillId="41" borderId="351" xfId="1" applyNumberFormat="1" applyFont="1" applyFill="1" applyBorder="1" applyAlignment="1">
      <alignment horizontal="left" vertical="center"/>
    </xf>
    <xf numFmtId="3" fontId="51" fillId="41" borderId="351" xfId="1" applyNumberFormat="1" applyFont="1" applyFill="1" applyBorder="1" applyAlignment="1">
      <alignment horizontal="center" vertical="center"/>
    </xf>
    <xf numFmtId="0" fontId="2" fillId="41" borderId="351" xfId="1" applyFont="1" applyFill="1" applyBorder="1" applyAlignment="1">
      <alignment horizontal="center" vertical="center"/>
    </xf>
    <xf numFmtId="172" fontId="51" fillId="41" borderId="351" xfId="1" applyNumberFormat="1" applyFont="1" applyFill="1" applyBorder="1" applyAlignment="1">
      <alignment horizontal="center" vertical="center"/>
    </xf>
    <xf numFmtId="14" fontId="51" fillId="41" borderId="351" xfId="1" applyNumberFormat="1" applyFont="1" applyFill="1" applyBorder="1" applyAlignment="1">
      <alignment horizontal="center" vertical="center"/>
    </xf>
    <xf numFmtId="3" fontId="2" fillId="41" borderId="351" xfId="1" applyNumberFormat="1" applyFont="1" applyFill="1" applyBorder="1" applyAlignment="1">
      <alignment horizontal="center" vertical="center"/>
    </xf>
    <xf numFmtId="0" fontId="2" fillId="40" borderId="357" xfId="1" applyFont="1" applyFill="1" applyBorder="1" applyAlignment="1">
      <alignment horizontal="center" vertical="center"/>
    </xf>
    <xf numFmtId="3" fontId="51" fillId="40" borderId="66" xfId="1" applyNumberFormat="1" applyFont="1" applyFill="1" applyBorder="1" applyAlignment="1">
      <alignment horizontal="left" vertical="center"/>
    </xf>
    <xf numFmtId="3" fontId="51" fillId="40" borderId="66" xfId="1" applyNumberFormat="1" applyFont="1" applyFill="1" applyBorder="1" applyAlignment="1">
      <alignment horizontal="center" vertical="center"/>
    </xf>
    <xf numFmtId="0" fontId="2" fillId="40" borderId="66" xfId="1" applyFont="1" applyFill="1" applyBorder="1" applyAlignment="1">
      <alignment horizontal="center" vertical="center"/>
    </xf>
    <xf numFmtId="172" fontId="2" fillId="40" borderId="66" xfId="1" applyNumberFormat="1" applyFont="1" applyFill="1" applyBorder="1" applyAlignment="1">
      <alignment horizontal="center" vertical="center"/>
    </xf>
    <xf numFmtId="14" fontId="51" fillId="40" borderId="66" xfId="1" applyNumberFormat="1" applyFont="1" applyFill="1" applyBorder="1" applyAlignment="1">
      <alignment horizontal="center" vertical="center"/>
    </xf>
    <xf numFmtId="2" fontId="51" fillId="41" borderId="197" xfId="1" applyNumberFormat="1" applyFont="1" applyFill="1" applyBorder="1" applyAlignment="1">
      <alignment horizontal="center" vertical="center"/>
    </xf>
    <xf numFmtId="3" fontId="51" fillId="40" borderId="74" xfId="1" applyNumberFormat="1" applyFont="1" applyFill="1" applyBorder="1" applyAlignment="1">
      <alignment horizontal="left" vertical="center"/>
    </xf>
    <xf numFmtId="3" fontId="51" fillId="40" borderId="74" xfId="1" applyNumberFormat="1" applyFont="1" applyFill="1" applyBorder="1" applyAlignment="1">
      <alignment horizontal="center" vertical="center"/>
    </xf>
    <xf numFmtId="0" fontId="2" fillId="40" borderId="74" xfId="1" applyFont="1" applyFill="1" applyBorder="1" applyAlignment="1">
      <alignment horizontal="center" vertical="center"/>
    </xf>
    <xf numFmtId="172" fontId="51" fillId="40" borderId="74" xfId="1" applyNumberFormat="1" applyFont="1" applyFill="1" applyBorder="1" applyAlignment="1">
      <alignment horizontal="center" vertical="center"/>
    </xf>
    <xf numFmtId="14" fontId="51" fillId="40" borderId="74" xfId="1" applyNumberFormat="1" applyFont="1" applyFill="1" applyBorder="1" applyAlignment="1">
      <alignment horizontal="center" vertical="center"/>
    </xf>
    <xf numFmtId="3" fontId="51" fillId="41" borderId="66" xfId="1" applyNumberFormat="1" applyFont="1" applyFill="1" applyBorder="1" applyAlignment="1">
      <alignment horizontal="left" vertical="center"/>
    </xf>
    <xf numFmtId="3" fontId="51" fillId="41" borderId="66" xfId="1" applyNumberFormat="1" applyFont="1" applyFill="1" applyBorder="1" applyAlignment="1">
      <alignment horizontal="center" vertical="center"/>
    </xf>
    <xf numFmtId="0" fontId="2" fillId="41" borderId="66" xfId="1" applyFont="1" applyFill="1" applyBorder="1" applyAlignment="1">
      <alignment horizontal="center" vertical="center"/>
    </xf>
    <xf numFmtId="172" fontId="51" fillId="41" borderId="66" xfId="1" applyNumberFormat="1" applyFont="1" applyFill="1" applyBorder="1" applyAlignment="1">
      <alignment horizontal="center" vertical="center"/>
    </xf>
    <xf numFmtId="14" fontId="51" fillId="41" borderId="66" xfId="1" applyNumberFormat="1" applyFont="1" applyFill="1" applyBorder="1" applyAlignment="1">
      <alignment horizontal="center" vertical="center"/>
    </xf>
    <xf numFmtId="2" fontId="51" fillId="41" borderId="104" xfId="1" applyNumberFormat="1" applyFont="1" applyFill="1" applyBorder="1" applyAlignment="1">
      <alignment horizontal="center" vertical="center"/>
    </xf>
    <xf numFmtId="3" fontId="51" fillId="41" borderId="25" xfId="1" applyNumberFormat="1" applyFont="1" applyFill="1" applyBorder="1" applyAlignment="1">
      <alignment horizontal="left" vertical="center"/>
    </xf>
    <xf numFmtId="0" fontId="2" fillId="41" borderId="25" xfId="1" applyFont="1" applyFill="1" applyBorder="1" applyAlignment="1">
      <alignment horizontal="center" vertical="center"/>
    </xf>
    <xf numFmtId="14" fontId="51" fillId="41" borderId="25" xfId="1" applyNumberFormat="1" applyFont="1" applyFill="1" applyBorder="1" applyAlignment="1">
      <alignment horizontal="center" vertical="center"/>
    </xf>
    <xf numFmtId="172" fontId="51" fillId="40" borderId="66" xfId="1" applyNumberFormat="1" applyFont="1" applyFill="1" applyBorder="1" applyAlignment="1">
      <alignment horizontal="center" vertical="center"/>
    </xf>
    <xf numFmtId="3" fontId="51" fillId="40" borderId="25" xfId="1" applyNumberFormat="1" applyFont="1" applyFill="1" applyBorder="1" applyAlignment="1">
      <alignment horizontal="left" vertical="center"/>
    </xf>
    <xf numFmtId="3" fontId="51" fillId="40" borderId="25" xfId="1" applyNumberFormat="1" applyFont="1" applyFill="1" applyBorder="1" applyAlignment="1">
      <alignment horizontal="center" vertical="center"/>
    </xf>
    <xf numFmtId="0" fontId="2" fillId="40" borderId="25" xfId="1" applyFont="1" applyFill="1" applyBorder="1" applyAlignment="1">
      <alignment horizontal="center" vertical="center"/>
    </xf>
    <xf numFmtId="172" fontId="51" fillId="40" borderId="25" xfId="1" applyNumberFormat="1" applyFont="1" applyFill="1" applyBorder="1" applyAlignment="1">
      <alignment horizontal="center" vertical="center"/>
    </xf>
    <xf numFmtId="14" fontId="51" fillId="40" borderId="25" xfId="1" applyNumberFormat="1" applyFont="1" applyFill="1" applyBorder="1" applyAlignment="1">
      <alignment horizontal="center" vertical="center"/>
    </xf>
    <xf numFmtId="172" fontId="2" fillId="40" borderId="25" xfId="1" applyNumberFormat="1" applyFont="1" applyFill="1" applyBorder="1" applyAlignment="1">
      <alignment horizontal="center" vertical="center"/>
    </xf>
    <xf numFmtId="3" fontId="51" fillId="41" borderId="74" xfId="1" applyNumberFormat="1" applyFont="1" applyFill="1" applyBorder="1" applyAlignment="1">
      <alignment horizontal="left" vertical="center"/>
    </xf>
    <xf numFmtId="3" fontId="51" fillId="41" borderId="74" xfId="1" applyNumberFormat="1" applyFont="1" applyFill="1" applyBorder="1" applyAlignment="1">
      <alignment horizontal="center" vertical="center"/>
    </xf>
    <xf numFmtId="0" fontId="2" fillId="41" borderId="74" xfId="1" applyFont="1" applyFill="1" applyBorder="1" applyAlignment="1">
      <alignment horizontal="center" vertical="center"/>
    </xf>
    <xf numFmtId="172" fontId="51" fillId="41" borderId="74" xfId="1" applyNumberFormat="1" applyFont="1" applyFill="1" applyBorder="1" applyAlignment="1">
      <alignment horizontal="center" vertical="center"/>
    </xf>
    <xf numFmtId="14" fontId="51" fillId="41" borderId="74" xfId="1" applyNumberFormat="1" applyFont="1" applyFill="1" applyBorder="1" applyAlignment="1">
      <alignment horizontal="center" vertical="center"/>
    </xf>
    <xf numFmtId="3" fontId="51" fillId="41" borderId="25" xfId="1" applyNumberFormat="1" applyFont="1" applyFill="1" applyBorder="1" applyAlignment="1">
      <alignment horizontal="center" vertical="center"/>
    </xf>
    <xf numFmtId="172" fontId="51" fillId="41" borderId="25" xfId="1" applyNumberFormat="1" applyFont="1" applyFill="1" applyBorder="1" applyAlignment="1">
      <alignment horizontal="center" vertical="center"/>
    </xf>
    <xf numFmtId="3" fontId="2" fillId="41" borderId="66" xfId="1" applyNumberFormat="1" applyFont="1" applyFill="1" applyBorder="1" applyAlignment="1">
      <alignment horizontal="center" vertical="center"/>
    </xf>
    <xf numFmtId="2" fontId="51" fillId="41" borderId="110" xfId="1" applyNumberFormat="1" applyFont="1" applyFill="1" applyBorder="1" applyAlignment="1">
      <alignment horizontal="center" vertical="center"/>
    </xf>
    <xf numFmtId="2" fontId="51" fillId="41" borderId="269" xfId="1" applyNumberFormat="1" applyFont="1" applyFill="1" applyBorder="1" applyAlignment="1">
      <alignment horizontal="center" vertical="center"/>
    </xf>
    <xf numFmtId="2" fontId="51" fillId="41" borderId="21" xfId="1" applyNumberFormat="1" applyFont="1" applyFill="1" applyBorder="1" applyAlignment="1">
      <alignment horizontal="center" vertical="center"/>
    </xf>
    <xf numFmtId="3" fontId="51" fillId="35" borderId="66" xfId="1" applyNumberFormat="1" applyFont="1" applyFill="1" applyBorder="1" applyAlignment="1">
      <alignment horizontal="left" vertical="center"/>
    </xf>
    <xf numFmtId="3" fontId="51" fillId="35" borderId="66" xfId="1" applyNumberFormat="1" applyFont="1" applyFill="1" applyBorder="1" applyAlignment="1">
      <alignment horizontal="center" vertical="center"/>
    </xf>
    <xf numFmtId="0" fontId="2" fillId="35" borderId="66" xfId="1" applyFont="1" applyFill="1" applyBorder="1" applyAlignment="1">
      <alignment horizontal="center" vertical="center"/>
    </xf>
    <xf numFmtId="172" fontId="51" fillId="35" borderId="66" xfId="1" applyNumberFormat="1" applyFont="1" applyFill="1" applyBorder="1" applyAlignment="1">
      <alignment horizontal="center" vertical="center"/>
    </xf>
    <xf numFmtId="14" fontId="51" fillId="35" borderId="66" xfId="1" applyNumberFormat="1" applyFont="1" applyFill="1" applyBorder="1" applyAlignment="1">
      <alignment horizontal="center" vertical="center"/>
    </xf>
    <xf numFmtId="2" fontId="51" fillId="35" borderId="104" xfId="1" applyNumberFormat="1" applyFont="1" applyFill="1" applyBorder="1" applyAlignment="1">
      <alignment horizontal="center" vertical="center"/>
    </xf>
    <xf numFmtId="3" fontId="51" fillId="35" borderId="264" xfId="1" applyNumberFormat="1" applyFont="1" applyFill="1" applyBorder="1" applyAlignment="1">
      <alignment horizontal="left" vertical="center"/>
    </xf>
    <xf numFmtId="3" fontId="51" fillId="35" borderId="264" xfId="1" applyNumberFormat="1" applyFont="1" applyFill="1" applyBorder="1" applyAlignment="1">
      <alignment horizontal="center" vertical="center"/>
    </xf>
    <xf numFmtId="0" fontId="2" fillId="35" borderId="264" xfId="1" applyFont="1" applyFill="1" applyBorder="1" applyAlignment="1">
      <alignment horizontal="center" vertical="center"/>
    </xf>
    <xf numFmtId="172" fontId="51" fillId="35" borderId="264" xfId="1" applyNumberFormat="1" applyFont="1" applyFill="1" applyBorder="1" applyAlignment="1">
      <alignment horizontal="center" vertical="center"/>
    </xf>
    <xf numFmtId="14" fontId="51" fillId="35" borderId="264" xfId="1" applyNumberFormat="1" applyFont="1" applyFill="1" applyBorder="1" applyAlignment="1">
      <alignment horizontal="center" vertical="center"/>
    </xf>
    <xf numFmtId="2" fontId="51" fillId="35" borderId="269" xfId="1" applyNumberFormat="1" applyFont="1" applyFill="1" applyBorder="1" applyAlignment="1">
      <alignment horizontal="center" vertical="center"/>
    </xf>
    <xf numFmtId="3" fontId="51" fillId="35" borderId="183" xfId="1" applyNumberFormat="1" applyFont="1" applyFill="1" applyBorder="1" applyAlignment="1">
      <alignment horizontal="left" vertical="center"/>
    </xf>
    <xf numFmtId="3" fontId="51" fillId="35" borderId="183" xfId="1" applyNumberFormat="1" applyFont="1" applyFill="1" applyBorder="1" applyAlignment="1">
      <alignment horizontal="center" vertical="center"/>
    </xf>
    <xf numFmtId="0" fontId="2" fillId="35" borderId="183" xfId="1" applyFont="1" applyFill="1" applyBorder="1" applyAlignment="1">
      <alignment horizontal="center" vertical="center"/>
    </xf>
    <xf numFmtId="14" fontId="51" fillId="35" borderId="183" xfId="1" applyNumberFormat="1" applyFont="1" applyFill="1" applyBorder="1" applyAlignment="1">
      <alignment horizontal="center" vertical="center"/>
    </xf>
    <xf numFmtId="2" fontId="51" fillId="35" borderId="21" xfId="1" applyNumberFormat="1" applyFont="1" applyFill="1" applyBorder="1" applyAlignment="1">
      <alignment horizontal="center" vertical="center"/>
    </xf>
    <xf numFmtId="3" fontId="51" fillId="34" borderId="66" xfId="1" applyNumberFormat="1" applyFont="1" applyFill="1" applyBorder="1" applyAlignment="1">
      <alignment horizontal="left" vertical="center"/>
    </xf>
    <xf numFmtId="3" fontId="51" fillId="34" borderId="66" xfId="1" applyNumberFormat="1" applyFont="1" applyFill="1" applyBorder="1" applyAlignment="1">
      <alignment horizontal="center" vertical="center"/>
    </xf>
    <xf numFmtId="0" fontId="2" fillId="34" borderId="66" xfId="1" applyFont="1" applyFill="1" applyBorder="1" applyAlignment="1">
      <alignment horizontal="center" vertical="center"/>
    </xf>
    <xf numFmtId="172" fontId="51" fillId="34" borderId="66" xfId="1" applyNumberFormat="1" applyFont="1" applyFill="1" applyBorder="1" applyAlignment="1">
      <alignment horizontal="center" vertical="center"/>
    </xf>
    <xf numFmtId="14" fontId="51" fillId="34" borderId="66" xfId="1" applyNumberFormat="1" applyFont="1" applyFill="1" applyBorder="1" applyAlignment="1">
      <alignment horizontal="center" vertical="center"/>
    </xf>
    <xf numFmtId="3" fontId="51" fillId="34" borderId="264" xfId="1" applyNumberFormat="1" applyFont="1" applyFill="1" applyBorder="1" applyAlignment="1">
      <alignment horizontal="left" vertical="center"/>
    </xf>
    <xf numFmtId="3" fontId="51" fillId="34" borderId="264" xfId="1" applyNumberFormat="1" applyFont="1" applyFill="1" applyBorder="1" applyAlignment="1">
      <alignment horizontal="center" vertical="center"/>
    </xf>
    <xf numFmtId="0" fontId="2" fillId="34" borderId="264" xfId="1" applyFont="1" applyFill="1" applyBorder="1" applyAlignment="1">
      <alignment horizontal="center" vertical="center"/>
    </xf>
    <xf numFmtId="172" fontId="51" fillId="34" borderId="264" xfId="1" applyNumberFormat="1" applyFont="1" applyFill="1" applyBorder="1" applyAlignment="1">
      <alignment horizontal="center" vertical="center"/>
    </xf>
    <xf numFmtId="14" fontId="51" fillId="34" borderId="264" xfId="1" applyNumberFormat="1" applyFont="1" applyFill="1" applyBorder="1" applyAlignment="1">
      <alignment horizontal="center" vertical="center"/>
    </xf>
    <xf numFmtId="3" fontId="51" fillId="34" borderId="183" xfId="1" applyNumberFormat="1" applyFont="1" applyFill="1" applyBorder="1" applyAlignment="1">
      <alignment horizontal="left" vertical="center"/>
    </xf>
    <xf numFmtId="3" fontId="51" fillId="34" borderId="183" xfId="1" applyNumberFormat="1" applyFont="1" applyFill="1" applyBorder="1" applyAlignment="1">
      <alignment horizontal="center" vertical="center"/>
    </xf>
    <xf numFmtId="0" fontId="2" fillId="34" borderId="183" xfId="1" applyFont="1" applyFill="1" applyBorder="1" applyAlignment="1">
      <alignment horizontal="center" vertical="center"/>
    </xf>
    <xf numFmtId="172" fontId="51" fillId="34" borderId="183" xfId="1" applyNumberFormat="1" applyFont="1" applyFill="1" applyBorder="1" applyAlignment="1">
      <alignment horizontal="center" vertical="center"/>
    </xf>
    <xf numFmtId="14" fontId="51" fillId="34" borderId="183" xfId="1" applyNumberFormat="1" applyFont="1" applyFill="1" applyBorder="1" applyAlignment="1">
      <alignment horizontal="center" vertical="center"/>
    </xf>
    <xf numFmtId="14" fontId="51" fillId="35" borderId="66" xfId="1" quotePrefix="1" applyNumberFormat="1" applyFont="1" applyFill="1" applyBorder="1" applyAlignment="1">
      <alignment horizontal="center" vertical="center"/>
    </xf>
    <xf numFmtId="2" fontId="51" fillId="35" borderId="331" xfId="1" applyNumberFormat="1" applyFont="1" applyFill="1" applyBorder="1" applyAlignment="1">
      <alignment horizontal="center" vertical="center"/>
    </xf>
    <xf numFmtId="3" fontId="51" fillId="34" borderId="351" xfId="1" applyNumberFormat="1" applyFont="1" applyFill="1" applyBorder="1" applyAlignment="1">
      <alignment horizontal="left" vertical="center"/>
    </xf>
    <xf numFmtId="3" fontId="51" fillId="34" borderId="351" xfId="1" applyNumberFormat="1" applyFont="1" applyFill="1" applyBorder="1" applyAlignment="1">
      <alignment horizontal="center" vertical="center"/>
    </xf>
    <xf numFmtId="0" fontId="2" fillId="34" borderId="351" xfId="1" applyFont="1" applyFill="1" applyBorder="1" applyAlignment="1">
      <alignment horizontal="center" vertical="center"/>
    </xf>
    <xf numFmtId="172" fontId="51" fillId="34" borderId="351" xfId="1" applyNumberFormat="1" applyFont="1" applyFill="1" applyBorder="1" applyAlignment="1">
      <alignment horizontal="center" vertical="center"/>
    </xf>
    <xf numFmtId="14" fontId="51" fillId="34" borderId="351" xfId="1" applyNumberFormat="1" applyFont="1" applyFill="1" applyBorder="1" applyAlignment="1">
      <alignment horizontal="center" vertical="center"/>
    </xf>
    <xf numFmtId="2" fontId="51" fillId="35" borderId="343" xfId="1" applyNumberFormat="1" applyFont="1" applyFill="1" applyBorder="1" applyAlignment="1">
      <alignment horizontal="center" vertical="center"/>
    </xf>
    <xf numFmtId="3" fontId="51" fillId="35" borderId="351" xfId="1" applyNumberFormat="1" applyFont="1" applyFill="1" applyBorder="1" applyAlignment="1">
      <alignment horizontal="left" vertical="center"/>
    </xf>
    <xf numFmtId="3" fontId="51" fillId="35" borderId="351" xfId="1" applyNumberFormat="1" applyFont="1" applyFill="1" applyBorder="1" applyAlignment="1">
      <alignment horizontal="center" vertical="center"/>
    </xf>
    <xf numFmtId="0" fontId="2" fillId="35" borderId="351" xfId="1" applyFont="1" applyFill="1" applyBorder="1" applyAlignment="1">
      <alignment horizontal="center" vertical="center"/>
    </xf>
    <xf numFmtId="172" fontId="51" fillId="35" borderId="351" xfId="1" applyNumberFormat="1" applyFont="1" applyFill="1" applyBorder="1" applyAlignment="1">
      <alignment horizontal="center" vertical="center"/>
    </xf>
    <xf numFmtId="14" fontId="51" fillId="35" borderId="351" xfId="1" applyNumberFormat="1" applyFont="1" applyFill="1" applyBorder="1" applyAlignment="1">
      <alignment horizontal="center" vertical="center"/>
    </xf>
    <xf numFmtId="166" fontId="41" fillId="51" borderId="345" xfId="1" applyNumberFormat="1" applyFont="1" applyFill="1" applyBorder="1" applyAlignment="1">
      <alignment horizontal="center" vertical="center"/>
    </xf>
    <xf numFmtId="0" fontId="18" fillId="5" borderId="47" xfId="1" applyFont="1" applyFill="1" applyBorder="1" applyAlignment="1">
      <alignment horizontal="center" vertical="center"/>
    </xf>
    <xf numFmtId="0" fontId="179" fillId="35" borderId="47" xfId="1" applyFont="1" applyFill="1" applyBorder="1" applyAlignment="1">
      <alignment horizontal="center" vertical="center"/>
    </xf>
    <xf numFmtId="0" fontId="179" fillId="30" borderId="47" xfId="1" applyFont="1" applyFill="1" applyBorder="1" applyAlignment="1">
      <alignment horizontal="center" vertical="center"/>
    </xf>
    <xf numFmtId="0" fontId="179" fillId="49" borderId="47" xfId="1" applyFont="1" applyFill="1" applyBorder="1" applyAlignment="1">
      <alignment horizontal="center" vertical="center"/>
    </xf>
    <xf numFmtId="0" fontId="179" fillId="0" borderId="0" xfId="1" applyFont="1" applyFill="1" applyBorder="1" applyAlignment="1">
      <alignment horizontal="center" vertical="center"/>
    </xf>
    <xf numFmtId="0" fontId="18" fillId="54" borderId="47" xfId="1" applyFont="1" applyFill="1" applyBorder="1" applyAlignment="1">
      <alignment horizontal="center" vertical="center"/>
    </xf>
    <xf numFmtId="0" fontId="18" fillId="29" borderId="47" xfId="1" applyFont="1" applyFill="1" applyBorder="1" applyAlignment="1">
      <alignment horizontal="center" vertical="center"/>
    </xf>
    <xf numFmtId="0" fontId="18" fillId="55" borderId="47" xfId="1" applyFont="1" applyFill="1" applyBorder="1" applyAlignment="1">
      <alignment horizontal="center" vertical="center"/>
    </xf>
    <xf numFmtId="0" fontId="97" fillId="36" borderId="0" xfId="1" applyFont="1" applyFill="1" applyBorder="1" applyAlignment="1">
      <alignment horizontal="left" vertical="center"/>
    </xf>
    <xf numFmtId="0" fontId="115" fillId="40" borderId="4" xfId="15" applyFont="1" applyFill="1" applyBorder="1" applyAlignment="1">
      <alignment horizontal="left" vertical="center"/>
    </xf>
    <xf numFmtId="0" fontId="105" fillId="41" borderId="268" xfId="1" applyFont="1" applyFill="1" applyBorder="1" applyAlignment="1">
      <alignment horizontal="center" vertical="center"/>
    </xf>
    <xf numFmtId="0" fontId="2" fillId="2" borderId="402" xfId="15" applyFont="1" applyFill="1" applyBorder="1" applyAlignment="1">
      <alignment horizontal="left" vertical="center"/>
    </xf>
    <xf numFmtId="0" fontId="103" fillId="5" borderId="348" xfId="1" applyFont="1" applyFill="1" applyBorder="1" applyAlignment="1">
      <alignment horizontal="center" vertical="center"/>
    </xf>
    <xf numFmtId="0" fontId="142" fillId="30" borderId="367" xfId="1" applyFont="1" applyFill="1" applyBorder="1" applyAlignment="1">
      <alignment horizontal="center" vertical="center"/>
    </xf>
    <xf numFmtId="0" fontId="103" fillId="33" borderId="308" xfId="1" applyFont="1" applyFill="1" applyBorder="1" applyAlignment="1">
      <alignment horizontal="center" vertical="center"/>
    </xf>
    <xf numFmtId="0" fontId="105" fillId="5" borderId="310" xfId="1" applyFont="1" applyFill="1" applyBorder="1" applyAlignment="1">
      <alignment horizontal="center"/>
    </xf>
    <xf numFmtId="0" fontId="106" fillId="33" borderId="2" xfId="1" applyFont="1" applyFill="1" applyBorder="1" applyAlignment="1">
      <alignment horizontal="center"/>
    </xf>
    <xf numFmtId="3" fontId="149" fillId="31" borderId="28" xfId="1" applyNumberFormat="1" applyFont="1" applyFill="1" applyBorder="1" applyAlignment="1">
      <alignment horizontal="center" vertical="center"/>
    </xf>
    <xf numFmtId="3" fontId="2" fillId="30" borderId="74" xfId="1" applyNumberFormat="1" applyFont="1" applyFill="1" applyBorder="1" applyAlignment="1">
      <alignment horizontal="center" vertical="center"/>
    </xf>
    <xf numFmtId="3" fontId="48" fillId="0" borderId="72" xfId="1" applyNumberFormat="1" applyFont="1" applyFill="1" applyBorder="1" applyAlignment="1">
      <alignment horizontal="center" vertical="center"/>
    </xf>
    <xf numFmtId="3" fontId="70" fillId="0" borderId="313" xfId="1" applyNumberFormat="1" applyFont="1" applyFill="1" applyBorder="1" applyAlignment="1">
      <alignment horizontal="center" vertical="center"/>
    </xf>
    <xf numFmtId="3" fontId="150" fillId="0" borderId="66" xfId="1" applyNumberFormat="1" applyFont="1" applyFill="1" applyBorder="1" applyAlignment="1">
      <alignment horizontal="center" vertical="center"/>
    </xf>
    <xf numFmtId="3" fontId="2" fillId="5" borderId="342" xfId="1" applyNumberFormat="1" applyFont="1" applyFill="1" applyBorder="1" applyAlignment="1">
      <alignment horizontal="left" vertical="center"/>
    </xf>
    <xf numFmtId="3" fontId="51" fillId="48" borderId="279" xfId="1" applyNumberFormat="1" applyFont="1" applyFill="1" applyBorder="1" applyAlignment="1">
      <alignment horizontal="left" vertical="center"/>
    </xf>
    <xf numFmtId="3" fontId="98" fillId="30" borderId="279" xfId="1" applyNumberFormat="1" applyFont="1" applyFill="1" applyBorder="1" applyAlignment="1">
      <alignment horizontal="center" vertical="center"/>
    </xf>
    <xf numFmtId="0" fontId="2" fillId="5" borderId="313" xfId="1" applyFont="1" applyFill="1" applyBorder="1" applyAlignment="1">
      <alignment horizontal="center" vertical="center"/>
    </xf>
    <xf numFmtId="0" fontId="98" fillId="30" borderId="279" xfId="1" applyFont="1" applyFill="1" applyBorder="1" applyAlignment="1">
      <alignment horizontal="center" vertical="center"/>
    </xf>
    <xf numFmtId="172" fontId="51" fillId="48" borderId="279" xfId="1" applyNumberFormat="1" applyFont="1" applyFill="1" applyBorder="1" applyAlignment="1">
      <alignment horizontal="center" vertical="center"/>
    </xf>
    <xf numFmtId="172" fontId="2" fillId="31" borderId="66" xfId="1" applyNumberFormat="1" applyFont="1" applyFill="1" applyBorder="1" applyAlignment="1">
      <alignment horizontal="center" vertical="center"/>
    </xf>
    <xf numFmtId="14" fontId="51" fillId="48" borderId="279" xfId="1" applyNumberFormat="1" applyFont="1" applyFill="1" applyBorder="1" applyAlignment="1">
      <alignment horizontal="center" vertical="center"/>
    </xf>
    <xf numFmtId="0" fontId="23" fillId="33" borderId="266" xfId="15" applyFont="1" applyFill="1" applyBorder="1" applyAlignment="1">
      <alignment horizontal="left" vertical="center"/>
    </xf>
    <xf numFmtId="0" fontId="105" fillId="30" borderId="309" xfId="1" applyFont="1" applyFill="1" applyBorder="1" applyAlignment="1">
      <alignment horizontal="center" vertical="center"/>
    </xf>
    <xf numFmtId="3" fontId="48" fillId="5" borderId="341" xfId="1" applyNumberFormat="1" applyFont="1" applyFill="1" applyBorder="1" applyAlignment="1">
      <alignment horizontal="center" vertical="center"/>
    </xf>
    <xf numFmtId="3" fontId="51" fillId="31" borderId="305" xfId="1" applyNumberFormat="1" applyFont="1" applyFill="1" applyBorder="1" applyAlignment="1">
      <alignment horizontal="left" vertical="center"/>
    </xf>
    <xf numFmtId="3" fontId="51" fillId="32" borderId="357" xfId="1" applyNumberFormat="1" applyFont="1" applyFill="1" applyBorder="1" applyAlignment="1">
      <alignment horizontal="left" vertical="center"/>
    </xf>
    <xf numFmtId="3" fontId="51" fillId="32" borderId="357" xfId="1" applyNumberFormat="1" applyFont="1" applyFill="1" applyBorder="1" applyAlignment="1">
      <alignment horizontal="center" vertical="center"/>
    </xf>
    <xf numFmtId="0" fontId="103" fillId="5" borderId="342" xfId="1" applyFont="1" applyFill="1" applyBorder="1" applyAlignment="1">
      <alignment horizontal="center" vertical="center"/>
    </xf>
    <xf numFmtId="172" fontId="51" fillId="31" borderId="305" xfId="1" applyNumberFormat="1" applyFont="1" applyFill="1" applyBorder="1" applyAlignment="1">
      <alignment horizontal="center" vertical="center"/>
    </xf>
    <xf numFmtId="14" fontId="51" fillId="31" borderId="305" xfId="1" applyNumberFormat="1" applyFont="1" applyFill="1" applyBorder="1" applyAlignment="1">
      <alignment horizontal="center" vertical="center"/>
    </xf>
    <xf numFmtId="14" fontId="51" fillId="32" borderId="357" xfId="1" applyNumberFormat="1" applyFont="1" applyFill="1" applyBorder="1" applyAlignment="1">
      <alignment horizontal="center" vertical="center"/>
    </xf>
    <xf numFmtId="0" fontId="105" fillId="5" borderId="338" xfId="1" applyFont="1" applyFill="1" applyBorder="1" applyAlignment="1">
      <alignment horizontal="center" vertical="center"/>
    </xf>
    <xf numFmtId="0" fontId="105" fillId="30" borderId="266" xfId="1" applyFont="1" applyFill="1" applyBorder="1" applyAlignment="1">
      <alignment horizontal="center" vertical="center"/>
    </xf>
    <xf numFmtId="3" fontId="48" fillId="30" borderId="357" xfId="1" applyNumberFormat="1" applyFont="1" applyFill="1" applyBorder="1" applyAlignment="1">
      <alignment horizontal="center" vertical="center"/>
    </xf>
    <xf numFmtId="3" fontId="48" fillId="5" borderId="303" xfId="1" applyNumberFormat="1" applyFont="1" applyFill="1" applyBorder="1" applyAlignment="1">
      <alignment horizontal="center" vertical="center"/>
    </xf>
    <xf numFmtId="3" fontId="48" fillId="30" borderId="261" xfId="1" applyNumberFormat="1" applyFont="1" applyFill="1" applyBorder="1" applyAlignment="1">
      <alignment horizontal="center" vertical="center"/>
    </xf>
    <xf numFmtId="3" fontId="2" fillId="30" borderId="264" xfId="1" applyNumberFormat="1" applyFont="1" applyFill="1" applyBorder="1" applyAlignment="1">
      <alignment horizontal="left" vertical="center"/>
    </xf>
    <xf numFmtId="3" fontId="98" fillId="30" borderId="264" xfId="1" applyNumberFormat="1" applyFont="1" applyFill="1" applyBorder="1" applyAlignment="1">
      <alignment horizontal="center" vertical="center"/>
    </xf>
    <xf numFmtId="3" fontId="98" fillId="30" borderId="357" xfId="1" applyNumberFormat="1" applyFont="1" applyFill="1" applyBorder="1" applyAlignment="1">
      <alignment horizontal="center" vertical="center"/>
    </xf>
    <xf numFmtId="14" fontId="156" fillId="5" borderId="342" xfId="1" applyNumberFormat="1" applyFont="1" applyFill="1" applyBorder="1" applyAlignment="1">
      <alignment horizontal="center" vertical="center"/>
    </xf>
    <xf numFmtId="0" fontId="23" fillId="2" borderId="0" xfId="15" applyFill="1" applyBorder="1" applyAlignment="1">
      <alignment horizontal="left" vertical="center"/>
    </xf>
    <xf numFmtId="0" fontId="99" fillId="31" borderId="0" xfId="15" applyFont="1" applyFill="1" applyBorder="1" applyAlignment="1">
      <alignment horizontal="left" vertical="center"/>
    </xf>
    <xf numFmtId="3" fontId="48" fillId="31" borderId="66" xfId="1" applyNumberFormat="1" applyFont="1" applyFill="1" applyBorder="1" applyAlignment="1">
      <alignment horizontal="center" vertical="center"/>
    </xf>
    <xf numFmtId="0" fontId="23" fillId="2" borderId="285" xfId="15" applyFont="1" applyFill="1" applyBorder="1" applyAlignment="1">
      <alignment horizontal="left" vertical="center"/>
    </xf>
    <xf numFmtId="0" fontId="103" fillId="44" borderId="17" xfId="1" applyFont="1" applyFill="1" applyBorder="1" applyAlignment="1">
      <alignment horizontal="center" vertical="center"/>
    </xf>
    <xf numFmtId="0" fontId="105" fillId="34" borderId="268" xfId="1" applyFont="1" applyFill="1" applyBorder="1" applyAlignment="1">
      <alignment horizontal="center"/>
    </xf>
    <xf numFmtId="0" fontId="105" fillId="45" borderId="2" xfId="1" applyFont="1" applyFill="1" applyBorder="1" applyAlignment="1">
      <alignment horizontal="center"/>
    </xf>
    <xf numFmtId="0" fontId="105" fillId="41" borderId="80" xfId="1" applyFont="1" applyFill="1" applyBorder="1" applyAlignment="1">
      <alignment horizontal="center"/>
    </xf>
    <xf numFmtId="3" fontId="149" fillId="41" borderId="278" xfId="1" applyNumberFormat="1" applyFont="1" applyFill="1" applyBorder="1" applyAlignment="1">
      <alignment horizontal="center" vertical="center"/>
    </xf>
    <xf numFmtId="3" fontId="48" fillId="9" borderId="248" xfId="1" applyNumberFormat="1" applyFont="1" applyFill="1" applyBorder="1" applyAlignment="1">
      <alignment horizontal="center" vertical="center"/>
    </xf>
    <xf numFmtId="3" fontId="51" fillId="45" borderId="66" xfId="1" applyNumberFormat="1" applyFont="1" applyFill="1" applyBorder="1" applyAlignment="1">
      <alignment horizontal="left" vertical="center"/>
    </xf>
    <xf numFmtId="3" fontId="98" fillId="41" borderId="66" xfId="1" applyNumberFormat="1" applyFont="1" applyFill="1" applyBorder="1" applyAlignment="1">
      <alignment horizontal="center" vertical="center"/>
    </xf>
    <xf numFmtId="172" fontId="51" fillId="45" borderId="66" xfId="1" applyNumberFormat="1" applyFont="1" applyFill="1" applyBorder="1" applyAlignment="1">
      <alignment horizontal="center" vertical="center"/>
    </xf>
    <xf numFmtId="14" fontId="51" fillId="41" borderId="66" xfId="1" quotePrefix="1" applyNumberFormat="1" applyFont="1" applyFill="1" applyBorder="1" applyAlignment="1">
      <alignment horizontal="center" vertical="center"/>
    </xf>
    <xf numFmtId="14" fontId="51" fillId="45" borderId="66" xfId="1" applyNumberFormat="1" applyFont="1" applyFill="1" applyBorder="1" applyAlignment="1">
      <alignment horizontal="center" vertical="center"/>
    </xf>
    <xf numFmtId="0" fontId="103" fillId="3" borderId="17" xfId="1" applyFont="1" applyFill="1" applyBorder="1" applyAlignment="1">
      <alignment horizontal="center" vertical="center"/>
    </xf>
    <xf numFmtId="0" fontId="115" fillId="35" borderId="8" xfId="15" applyFont="1" applyFill="1" applyBorder="1" applyAlignment="1">
      <alignment horizontal="left" vertical="center"/>
    </xf>
    <xf numFmtId="0" fontId="97" fillId="40" borderId="4" xfId="1" applyFont="1" applyFill="1" applyBorder="1" applyAlignment="1">
      <alignment horizontal="left" vertical="center"/>
    </xf>
    <xf numFmtId="0" fontId="23" fillId="2" borderId="8" xfId="15" applyFont="1" applyFill="1" applyBorder="1" applyAlignment="1">
      <alignment horizontal="left" vertical="center"/>
    </xf>
    <xf numFmtId="0" fontId="23" fillId="41" borderId="365" xfId="15" applyFont="1" applyFill="1" applyBorder="1" applyAlignment="1">
      <alignment horizontal="left" vertical="center"/>
    </xf>
    <xf numFmtId="0" fontId="23" fillId="12" borderId="4" xfId="15" applyFill="1" applyBorder="1" applyAlignment="1">
      <alignment horizontal="left" vertical="center"/>
    </xf>
    <xf numFmtId="0" fontId="23" fillId="31" borderId="79" xfId="15" applyFont="1" applyFill="1" applyBorder="1" applyAlignment="1">
      <alignment horizontal="left" vertical="center"/>
    </xf>
    <xf numFmtId="0" fontId="105" fillId="41" borderId="272" xfId="1" applyFont="1" applyFill="1" applyBorder="1" applyAlignment="1">
      <alignment horizontal="center"/>
    </xf>
    <xf numFmtId="0" fontId="105" fillId="41" borderId="103" xfId="1" applyFont="1" applyFill="1" applyBorder="1" applyAlignment="1">
      <alignment horizontal="center" vertical="center"/>
    </xf>
    <xf numFmtId="0" fontId="105" fillId="40" borderId="19" xfId="1" applyFont="1" applyFill="1" applyBorder="1" applyAlignment="1">
      <alignment horizontal="center"/>
    </xf>
    <xf numFmtId="0" fontId="105" fillId="41" borderId="352" xfId="1" applyFont="1" applyFill="1" applyBorder="1" applyAlignment="1">
      <alignment horizontal="center"/>
    </xf>
    <xf numFmtId="0" fontId="106" fillId="41" borderId="352" xfId="1" applyFont="1" applyFill="1" applyBorder="1" applyAlignment="1">
      <alignment horizontal="center"/>
    </xf>
    <xf numFmtId="0" fontId="106" fillId="30" borderId="352" xfId="1" applyFont="1" applyFill="1" applyBorder="1" applyAlignment="1">
      <alignment horizontal="center"/>
    </xf>
    <xf numFmtId="0" fontId="105" fillId="33" borderId="2" xfId="1" applyFont="1" applyFill="1" applyBorder="1" applyAlignment="1">
      <alignment horizontal="center"/>
    </xf>
    <xf numFmtId="0" fontId="106" fillId="31" borderId="80" xfId="1" applyFont="1" applyFill="1" applyBorder="1" applyAlignment="1">
      <alignment horizontal="center"/>
    </xf>
    <xf numFmtId="3" fontId="48" fillId="41" borderId="358" xfId="1" applyNumberFormat="1" applyFont="1" applyFill="1" applyBorder="1" applyAlignment="1">
      <alignment horizontal="center" vertical="center"/>
    </xf>
    <xf numFmtId="3" fontId="48" fillId="30" borderId="19" xfId="1" applyNumberFormat="1" applyFont="1" applyFill="1" applyBorder="1" applyAlignment="1">
      <alignment horizontal="center" vertical="center"/>
    </xf>
    <xf numFmtId="3" fontId="48" fillId="33" borderId="19" xfId="1" applyNumberFormat="1" applyFont="1" applyFill="1" applyBorder="1" applyAlignment="1">
      <alignment horizontal="center" vertical="center"/>
    </xf>
    <xf numFmtId="3" fontId="149" fillId="47" borderId="352" xfId="1" applyNumberFormat="1" applyFont="1" applyFill="1" applyBorder="1" applyAlignment="1">
      <alignment horizontal="center" vertical="center"/>
    </xf>
    <xf numFmtId="3" fontId="149" fillId="30" borderId="106" xfId="1" applyNumberFormat="1" applyFont="1" applyFill="1" applyBorder="1" applyAlignment="1">
      <alignment horizontal="center" vertical="center"/>
    </xf>
    <xf numFmtId="3" fontId="48" fillId="31" borderId="278" xfId="1" applyNumberFormat="1" applyFont="1" applyFill="1" applyBorder="1" applyAlignment="1">
      <alignment horizontal="center" vertical="center"/>
    </xf>
    <xf numFmtId="3" fontId="149" fillId="31" borderId="183" xfId="1" applyNumberFormat="1" applyFont="1" applyFill="1" applyBorder="1" applyAlignment="1">
      <alignment horizontal="center" vertical="center"/>
    </xf>
    <xf numFmtId="3" fontId="149" fillId="30" borderId="74" xfId="1" applyNumberFormat="1" applyFont="1" applyFill="1" applyBorder="1" applyAlignment="1">
      <alignment horizontal="center" vertical="center"/>
    </xf>
    <xf numFmtId="3" fontId="48" fillId="30" borderId="183" xfId="1" applyNumberFormat="1" applyFont="1" applyFill="1" applyBorder="1" applyAlignment="1">
      <alignment horizontal="center" vertical="center"/>
    </xf>
    <xf numFmtId="3" fontId="51" fillId="47" borderId="351" xfId="1" applyNumberFormat="1" applyFont="1" applyFill="1" applyBorder="1" applyAlignment="1">
      <alignment horizontal="left" vertical="center"/>
    </xf>
    <xf numFmtId="3" fontId="2" fillId="30" borderId="358" xfId="1" applyNumberFormat="1" applyFont="1" applyFill="1" applyBorder="1" applyAlignment="1">
      <alignment horizontal="center" vertical="center"/>
    </xf>
    <xf numFmtId="3" fontId="51" fillId="47" borderId="351" xfId="1" applyNumberFormat="1" applyFont="1" applyFill="1" applyBorder="1" applyAlignment="1">
      <alignment horizontal="center" vertical="center"/>
    </xf>
    <xf numFmtId="3" fontId="2" fillId="30" borderId="25" xfId="1" applyNumberFormat="1" applyFont="1" applyFill="1" applyBorder="1" applyAlignment="1">
      <alignment horizontal="center" vertical="center"/>
    </xf>
    <xf numFmtId="0" fontId="98" fillId="30" borderId="25" xfId="1" applyFont="1" applyFill="1" applyBorder="1" applyAlignment="1">
      <alignment horizontal="center" vertical="center"/>
    </xf>
    <xf numFmtId="166" fontId="98" fillId="12" borderId="396" xfId="1" applyNumberFormat="1" applyFont="1" applyFill="1" applyBorder="1" applyAlignment="1">
      <alignment horizontal="center" vertical="center"/>
    </xf>
    <xf numFmtId="166" fontId="103" fillId="13" borderId="396" xfId="1" applyNumberFormat="1" applyFont="1" applyFill="1" applyBorder="1" applyAlignment="1">
      <alignment horizontal="center" vertical="center"/>
    </xf>
    <xf numFmtId="166" fontId="95" fillId="12" borderId="396" xfId="1" applyNumberFormat="1" applyFont="1" applyFill="1" applyBorder="1" applyAlignment="1">
      <alignment horizontal="center" vertical="center"/>
    </xf>
    <xf numFmtId="166" fontId="41" fillId="12" borderId="396" xfId="1" applyNumberFormat="1" applyFont="1" applyFill="1" applyBorder="1" applyAlignment="1">
      <alignment horizontal="center" vertical="center"/>
    </xf>
    <xf numFmtId="3" fontId="113" fillId="30" borderId="357" xfId="1" applyNumberFormat="1" applyFont="1" applyFill="1" applyBorder="1" applyAlignment="1">
      <alignment horizontal="center" vertical="center"/>
    </xf>
    <xf numFmtId="3" fontId="2" fillId="30" borderId="357" xfId="1" applyNumberFormat="1" applyFont="1" applyFill="1" applyBorder="1" applyAlignment="1">
      <alignment horizontal="center" vertical="center"/>
    </xf>
    <xf numFmtId="3" fontId="98" fillId="30" borderId="358" xfId="1" applyNumberFormat="1" applyFont="1" applyFill="1" applyBorder="1" applyAlignment="1">
      <alignment horizontal="center" vertical="center"/>
    </xf>
    <xf numFmtId="3" fontId="98" fillId="30" borderId="25" xfId="1" applyNumberFormat="1" applyFont="1" applyFill="1" applyBorder="1" applyAlignment="1">
      <alignment horizontal="center" vertical="center"/>
    </xf>
    <xf numFmtId="0" fontId="2" fillId="32" borderId="358" xfId="1" applyFont="1" applyFill="1" applyBorder="1" applyAlignment="1">
      <alignment horizontal="center" vertical="center"/>
    </xf>
    <xf numFmtId="172" fontId="51" fillId="32" borderId="358" xfId="1" applyNumberFormat="1" applyFont="1" applyFill="1" applyBorder="1" applyAlignment="1">
      <alignment horizontal="center" vertical="center"/>
    </xf>
    <xf numFmtId="172" fontId="51" fillId="33" borderId="358" xfId="1" applyNumberFormat="1" applyFont="1" applyFill="1" applyBorder="1" applyAlignment="1">
      <alignment horizontal="center" vertical="center"/>
    </xf>
    <xf numFmtId="0" fontId="103" fillId="32" borderId="26" xfId="1" applyFont="1" applyFill="1" applyBorder="1" applyAlignment="1">
      <alignment horizontal="center" vertical="center"/>
    </xf>
    <xf numFmtId="0" fontId="142" fillId="3" borderId="308" xfId="1" applyFont="1" applyFill="1" applyBorder="1" applyAlignment="1">
      <alignment horizontal="center" vertical="center"/>
    </xf>
    <xf numFmtId="0" fontId="142" fillId="3" borderId="22" xfId="1" applyFont="1" applyFill="1" applyBorder="1" applyAlignment="1">
      <alignment horizontal="center" vertical="center"/>
    </xf>
    <xf numFmtId="0" fontId="103" fillId="31" borderId="308" xfId="1" applyFont="1" applyFill="1" applyBorder="1" applyAlignment="1">
      <alignment horizontal="center" vertical="center"/>
    </xf>
    <xf numFmtId="0" fontId="142" fillId="30" borderId="22" xfId="1" applyFont="1" applyFill="1" applyBorder="1" applyAlignment="1">
      <alignment horizontal="center" vertical="center"/>
    </xf>
    <xf numFmtId="0" fontId="103" fillId="33" borderId="29" xfId="1" applyFont="1" applyFill="1" applyBorder="1" applyAlignment="1">
      <alignment horizontal="center" vertical="center"/>
    </xf>
    <xf numFmtId="0" fontId="142" fillId="33" borderId="29" xfId="1" applyFont="1" applyFill="1" applyBorder="1" applyAlignment="1">
      <alignment horizontal="center" vertical="center"/>
    </xf>
    <xf numFmtId="0" fontId="152" fillId="3" borderId="393" xfId="15" applyFont="1" applyFill="1" applyBorder="1" applyAlignment="1">
      <alignment horizontal="left" vertical="center"/>
    </xf>
    <xf numFmtId="0" fontId="51" fillId="5" borderId="0" xfId="1" applyFont="1" applyFill="1" applyBorder="1" applyAlignment="1">
      <alignment horizontal="left" vertical="center"/>
    </xf>
    <xf numFmtId="0" fontId="23" fillId="5" borderId="274" xfId="15" applyFont="1" applyFill="1" applyBorder="1" applyAlignment="1">
      <alignment horizontal="left" vertical="center"/>
    </xf>
    <xf numFmtId="0" fontId="95" fillId="3" borderId="8" xfId="1" applyFont="1" applyFill="1" applyBorder="1" applyAlignment="1">
      <alignment horizontal="left" vertical="center"/>
    </xf>
    <xf numFmtId="166" fontId="23" fillId="2" borderId="0" xfId="15" applyNumberFormat="1" applyFill="1" applyBorder="1" applyAlignment="1">
      <alignment horizontal="left" vertical="center"/>
    </xf>
    <xf numFmtId="0" fontId="99" fillId="30" borderId="266" xfId="15" applyFont="1" applyFill="1" applyBorder="1" applyAlignment="1">
      <alignment horizontal="left" vertical="center"/>
    </xf>
    <xf numFmtId="0" fontId="23" fillId="2" borderId="4" xfId="15" applyFont="1" applyFill="1" applyBorder="1" applyAlignment="1">
      <alignment horizontal="left" vertical="center"/>
    </xf>
    <xf numFmtId="0" fontId="23" fillId="33" borderId="309" xfId="15" applyFont="1" applyFill="1" applyBorder="1" applyAlignment="1">
      <alignment horizontal="left" vertical="center"/>
    </xf>
    <xf numFmtId="0" fontId="51" fillId="30" borderId="79" xfId="1" applyFont="1" applyFill="1" applyBorder="1" applyAlignment="1">
      <alignment horizontal="left" vertical="center"/>
    </xf>
    <xf numFmtId="0" fontId="51" fillId="33" borderId="365" xfId="1" applyFont="1" applyFill="1" applyBorder="1" applyAlignment="1">
      <alignment horizontal="left" vertical="center"/>
    </xf>
    <xf numFmtId="0" fontId="51" fillId="33" borderId="79" xfId="1" applyFont="1" applyFill="1" applyBorder="1" applyAlignment="1">
      <alignment horizontal="left" vertical="center"/>
    </xf>
    <xf numFmtId="0" fontId="23" fillId="33" borderId="79" xfId="15" applyFont="1" applyFill="1" applyBorder="1" applyAlignment="1">
      <alignment horizontal="left" vertical="center"/>
    </xf>
    <xf numFmtId="0" fontId="95" fillId="5" borderId="302" xfId="1" applyFont="1" applyFill="1" applyBorder="1" applyAlignment="1">
      <alignment horizontal="center" vertical="center"/>
    </xf>
    <xf numFmtId="0" fontId="105" fillId="5" borderId="262" xfId="1" applyFont="1" applyFill="1" applyBorder="1" applyAlignment="1">
      <alignment horizontal="center" vertical="center"/>
    </xf>
    <xf numFmtId="0" fontId="106" fillId="3" borderId="310" xfId="1" applyFont="1" applyFill="1" applyBorder="1" applyAlignment="1">
      <alignment horizontal="center"/>
    </xf>
    <xf numFmtId="0" fontId="105" fillId="5" borderId="0" xfId="1" applyFont="1" applyFill="1" applyBorder="1" applyAlignment="1">
      <alignment horizontal="center"/>
    </xf>
    <xf numFmtId="0" fontId="105" fillId="5" borderId="349" xfId="1" applyFont="1" applyFill="1" applyBorder="1" applyAlignment="1">
      <alignment horizontal="center" vertical="center"/>
    </xf>
    <xf numFmtId="0" fontId="105" fillId="5" borderId="338" xfId="1" applyFont="1" applyFill="1" applyBorder="1" applyAlignment="1">
      <alignment horizontal="center"/>
    </xf>
    <xf numFmtId="0" fontId="106" fillId="30" borderId="363" xfId="1" applyFont="1" applyFill="1" applyBorder="1" applyAlignment="1">
      <alignment horizontal="center"/>
    </xf>
    <xf numFmtId="0" fontId="105" fillId="30" borderId="338" xfId="1" applyFont="1" applyFill="1" applyBorder="1" applyAlignment="1">
      <alignment horizontal="center" vertical="center"/>
    </xf>
    <xf numFmtId="0" fontId="105" fillId="30" borderId="31" xfId="1" applyFont="1" applyFill="1" applyBorder="1" applyAlignment="1">
      <alignment horizontal="center"/>
    </xf>
    <xf numFmtId="0" fontId="105" fillId="33" borderId="0" xfId="1" applyFont="1" applyFill="1" applyBorder="1" applyAlignment="1">
      <alignment horizontal="center"/>
    </xf>
    <xf numFmtId="0" fontId="105" fillId="33" borderId="4" xfId="1" applyFont="1" applyFill="1" applyBorder="1" applyAlignment="1">
      <alignment horizontal="center"/>
    </xf>
    <xf numFmtId="0" fontId="105" fillId="30" borderId="260" xfId="1" applyFont="1" applyFill="1" applyBorder="1" applyAlignment="1">
      <alignment horizontal="center" vertical="center"/>
    </xf>
    <xf numFmtId="0" fontId="105" fillId="30" borderId="306" xfId="1" applyFont="1" applyFill="1" applyBorder="1" applyAlignment="1">
      <alignment horizontal="center"/>
    </xf>
    <xf numFmtId="0" fontId="106" fillId="30" borderId="23" xfId="1" applyFont="1" applyFill="1" applyBorder="1" applyAlignment="1">
      <alignment horizontal="center"/>
    </xf>
    <xf numFmtId="0" fontId="105" fillId="31" borderId="2" xfId="1" applyFont="1" applyFill="1" applyBorder="1" applyAlignment="1">
      <alignment horizontal="center"/>
    </xf>
    <xf numFmtId="0" fontId="105" fillId="48" borderId="19" xfId="1" applyFont="1" applyFill="1" applyBorder="1" applyAlignment="1">
      <alignment horizontal="center"/>
    </xf>
    <xf numFmtId="0" fontId="106" fillId="33" borderId="80" xfId="1" applyFont="1" applyFill="1" applyBorder="1" applyAlignment="1">
      <alignment horizontal="center"/>
    </xf>
    <xf numFmtId="0" fontId="105" fillId="30" borderId="80" xfId="1" applyFont="1" applyFill="1" applyBorder="1" applyAlignment="1">
      <alignment horizontal="center"/>
    </xf>
    <xf numFmtId="0" fontId="106" fillId="47" borderId="2" xfId="1" applyFont="1" applyFill="1" applyBorder="1" applyAlignment="1">
      <alignment horizontal="center"/>
    </xf>
    <xf numFmtId="3" fontId="48" fillId="3" borderId="312" xfId="1" applyNumberFormat="1" applyFont="1" applyFill="1" applyBorder="1" applyAlignment="1">
      <alignment horizontal="center" vertical="center"/>
    </xf>
    <xf numFmtId="3" fontId="2" fillId="5" borderId="312" xfId="1" applyNumberFormat="1" applyFont="1" applyFill="1" applyBorder="1" applyAlignment="1">
      <alignment horizontal="center" vertical="center"/>
    </xf>
    <xf numFmtId="3" fontId="48" fillId="5" borderId="334" xfId="1" applyNumberFormat="1" applyFont="1" applyFill="1" applyBorder="1" applyAlignment="1">
      <alignment horizontal="center" vertical="center"/>
    </xf>
    <xf numFmtId="3" fontId="70" fillId="5" borderId="327" xfId="1" applyNumberFormat="1" applyFont="1" applyFill="1" applyBorder="1" applyAlignment="1">
      <alignment horizontal="center" vertical="center" wrapText="1"/>
    </xf>
    <xf numFmtId="3" fontId="48" fillId="3" borderId="105" xfId="1" applyNumberFormat="1" applyFont="1" applyFill="1" applyBorder="1" applyAlignment="1">
      <alignment horizontal="center" vertical="center"/>
    </xf>
    <xf numFmtId="3" fontId="149" fillId="47" borderId="353" xfId="1" applyNumberFormat="1" applyFont="1" applyFill="1" applyBorder="1" applyAlignment="1">
      <alignment horizontal="center" vertical="center"/>
    </xf>
    <xf numFmtId="3" fontId="149" fillId="33" borderId="307" xfId="1" applyNumberFormat="1" applyFont="1" applyFill="1" applyBorder="1" applyAlignment="1">
      <alignment horizontal="center" vertical="center"/>
    </xf>
    <xf numFmtId="3" fontId="48" fillId="47" borderId="31" xfId="1" applyNumberFormat="1" applyFont="1" applyFill="1" applyBorder="1" applyAlignment="1">
      <alignment horizontal="center" vertical="center"/>
    </xf>
    <xf numFmtId="3" fontId="149" fillId="33" borderId="278" xfId="1" applyNumberFormat="1" applyFont="1" applyFill="1" applyBorder="1" applyAlignment="1">
      <alignment horizontal="center" vertical="center"/>
    </xf>
    <xf numFmtId="3" fontId="149" fillId="47" borderId="357" xfId="1" applyNumberFormat="1" applyFont="1" applyFill="1" applyBorder="1" applyAlignment="1">
      <alignment horizontal="center" vertical="center"/>
    </xf>
    <xf numFmtId="3" fontId="48" fillId="47" borderId="103" xfId="1" applyNumberFormat="1" applyFont="1" applyFill="1" applyBorder="1" applyAlignment="1">
      <alignment horizontal="center" vertical="center"/>
    </xf>
    <xf numFmtId="3" fontId="149" fillId="5" borderId="299" xfId="1" applyNumberFormat="1" applyFont="1" applyFill="1" applyBorder="1" applyAlignment="1">
      <alignment horizontal="center" vertical="center"/>
    </xf>
    <xf numFmtId="3" fontId="48" fillId="3" borderId="299" xfId="1" applyNumberFormat="1" applyFont="1" applyFill="1" applyBorder="1" applyAlignment="1">
      <alignment horizontal="center" vertical="center"/>
    </xf>
    <xf numFmtId="3" fontId="2" fillId="5" borderId="313" xfId="1" applyNumberFormat="1" applyFont="1" applyFill="1" applyBorder="1" applyAlignment="1">
      <alignment horizontal="center" vertical="center"/>
    </xf>
    <xf numFmtId="3" fontId="149" fillId="5" borderId="303" xfId="1" applyNumberFormat="1" applyFont="1" applyFill="1" applyBorder="1" applyAlignment="1">
      <alignment horizontal="center" vertical="center"/>
    </xf>
    <xf numFmtId="3" fontId="48" fillId="3" borderId="73" xfId="1" applyNumberFormat="1" applyFont="1" applyFill="1" applyBorder="1" applyAlignment="1">
      <alignment horizontal="center" vertical="center"/>
    </xf>
    <xf numFmtId="3" fontId="149" fillId="30" borderId="267" xfId="1" applyNumberFormat="1" applyFont="1" applyFill="1" applyBorder="1" applyAlignment="1">
      <alignment horizontal="center" vertical="center"/>
    </xf>
    <xf numFmtId="3" fontId="149" fillId="30" borderId="303" xfId="1" applyNumberFormat="1" applyFont="1" applyFill="1" applyBorder="1" applyAlignment="1">
      <alignment horizontal="center" vertical="center"/>
    </xf>
    <xf numFmtId="3" fontId="149" fillId="47" borderId="341" xfId="1" applyNumberFormat="1" applyFont="1" applyFill="1" applyBorder="1" applyAlignment="1">
      <alignment horizontal="center" vertical="center"/>
    </xf>
    <xf numFmtId="3" fontId="149" fillId="33" borderId="317" xfId="1" applyNumberFormat="1" applyFont="1" applyFill="1" applyBorder="1" applyAlignment="1">
      <alignment horizontal="center" vertical="center"/>
    </xf>
    <xf numFmtId="3" fontId="149" fillId="33" borderId="25" xfId="1" applyNumberFormat="1" applyFont="1" applyFill="1" applyBorder="1" applyAlignment="1">
      <alignment horizontal="center" vertical="center"/>
    </xf>
    <xf numFmtId="3" fontId="113" fillId="30" borderId="66" xfId="1" applyNumberFormat="1" applyFont="1" applyFill="1" applyBorder="1" applyAlignment="1">
      <alignment horizontal="center" vertical="center"/>
    </xf>
    <xf numFmtId="3" fontId="48" fillId="47" borderId="66" xfId="1" applyNumberFormat="1" applyFont="1" applyFill="1" applyBorder="1" applyAlignment="1">
      <alignment horizontal="center" vertical="center"/>
    </xf>
    <xf numFmtId="3" fontId="113" fillId="5" borderId="261" xfId="1" applyNumberFormat="1" applyFont="1" applyFill="1" applyBorder="1" applyAlignment="1">
      <alignment horizontal="center" vertical="center"/>
    </xf>
    <xf numFmtId="3" fontId="70" fillId="0" borderId="310" xfId="1" applyNumberFormat="1" applyFont="1" applyFill="1" applyBorder="1" applyAlignment="1">
      <alignment horizontal="center" vertical="center"/>
    </xf>
    <xf numFmtId="3" fontId="48" fillId="0" borderId="4" xfId="1" applyNumberFormat="1" applyFont="1" applyFill="1" applyBorder="1" applyAlignment="1">
      <alignment horizontal="center" vertical="center"/>
    </xf>
    <xf numFmtId="3" fontId="70" fillId="5" borderId="23" xfId="1" applyNumberFormat="1" applyFont="1" applyFill="1" applyBorder="1" applyAlignment="1">
      <alignment horizontal="center" vertical="center"/>
    </xf>
    <xf numFmtId="3" fontId="48" fillId="5" borderId="74" xfId="1" applyNumberFormat="1" applyFont="1" applyFill="1" applyBorder="1" applyAlignment="1">
      <alignment horizontal="center" vertical="center"/>
    </xf>
    <xf numFmtId="3" fontId="48" fillId="0" borderId="67" xfId="1" applyNumberFormat="1" applyFont="1" applyFill="1" applyBorder="1" applyAlignment="1">
      <alignment horizontal="center" vertical="center"/>
    </xf>
    <xf numFmtId="3" fontId="48" fillId="9" borderId="296" xfId="1" applyNumberFormat="1" applyFont="1" applyFill="1" applyBorder="1" applyAlignment="1">
      <alignment horizontal="center" vertical="center"/>
    </xf>
    <xf numFmtId="3" fontId="48" fillId="9" borderId="342" xfId="1" applyNumberFormat="1" applyFont="1" applyFill="1" applyBorder="1" applyAlignment="1">
      <alignment horizontal="center" vertical="center"/>
    </xf>
    <xf numFmtId="3" fontId="48" fillId="0" borderId="127" xfId="1" applyNumberFormat="1" applyFont="1" applyFill="1" applyBorder="1" applyAlignment="1">
      <alignment horizontal="center" vertical="center"/>
    </xf>
    <xf numFmtId="3" fontId="2" fillId="3" borderId="325" xfId="1" applyNumberFormat="1" applyFont="1" applyFill="1" applyBorder="1" applyAlignment="1">
      <alignment horizontal="left" vertical="center"/>
    </xf>
    <xf numFmtId="3" fontId="51" fillId="3" borderId="74" xfId="1" applyNumberFormat="1" applyFont="1" applyFill="1" applyBorder="1" applyAlignment="1">
      <alignment horizontal="left" vertical="center"/>
    </xf>
    <xf numFmtId="3" fontId="2" fillId="30" borderId="25" xfId="1" applyNumberFormat="1" applyFont="1" applyFill="1" applyBorder="1" applyAlignment="1">
      <alignment horizontal="left" vertical="center"/>
    </xf>
    <xf numFmtId="3" fontId="2" fillId="30" borderId="358" xfId="1" applyNumberFormat="1" applyFont="1" applyFill="1" applyBorder="1" applyAlignment="1">
      <alignment horizontal="left" vertical="center"/>
    </xf>
    <xf numFmtId="3" fontId="51" fillId="47" borderId="341" xfId="1" applyNumberFormat="1" applyFont="1" applyFill="1" applyBorder="1" applyAlignment="1">
      <alignment horizontal="left" vertical="center"/>
    </xf>
    <xf numFmtId="3" fontId="51" fillId="33" borderId="305" xfId="1" applyNumberFormat="1" applyFont="1" applyFill="1" applyBorder="1" applyAlignment="1">
      <alignment horizontal="left" vertical="center"/>
    </xf>
    <xf numFmtId="3" fontId="51" fillId="31" borderId="279" xfId="1" applyNumberFormat="1" applyFont="1" applyFill="1" applyBorder="1" applyAlignment="1">
      <alignment horizontal="left" vertical="center"/>
    </xf>
    <xf numFmtId="3" fontId="51" fillId="30" borderId="280" xfId="1" applyNumberFormat="1" applyFont="1" applyFill="1" applyBorder="1" applyAlignment="1">
      <alignment horizontal="left" vertical="center"/>
    </xf>
    <xf numFmtId="3" fontId="51" fillId="33" borderId="183" xfId="1" applyNumberFormat="1" applyFont="1" applyFill="1" applyBorder="1" applyAlignment="1">
      <alignment horizontal="left" vertical="center"/>
    </xf>
    <xf numFmtId="3" fontId="51" fillId="48" borderId="305" xfId="1" applyNumberFormat="1" applyFont="1" applyFill="1" applyBorder="1" applyAlignment="1">
      <alignment horizontal="left" vertical="center"/>
    </xf>
    <xf numFmtId="3" fontId="51" fillId="47" borderId="357" xfId="1" applyNumberFormat="1" applyFont="1" applyFill="1" applyBorder="1" applyAlignment="1">
      <alignment horizontal="left" vertical="center"/>
    </xf>
    <xf numFmtId="3" fontId="2" fillId="32" borderId="66" xfId="1" applyNumberFormat="1" applyFont="1" applyFill="1" applyBorder="1" applyAlignment="1">
      <alignment horizontal="left" vertical="center"/>
    </xf>
    <xf numFmtId="3" fontId="51" fillId="33" borderId="25" xfId="1" applyNumberFormat="1" applyFont="1" applyFill="1" applyBorder="1" applyAlignment="1">
      <alignment horizontal="left" vertical="center"/>
    </xf>
    <xf numFmtId="3" fontId="2" fillId="5" borderId="280" xfId="1" applyNumberFormat="1" applyFont="1" applyFill="1" applyBorder="1" applyAlignment="1">
      <alignment horizontal="center" vertical="center"/>
    </xf>
    <xf numFmtId="3" fontId="98" fillId="5" borderId="324" xfId="1" applyNumberFormat="1" applyFont="1" applyFill="1" applyBorder="1" applyAlignment="1">
      <alignment horizontal="center" vertical="center"/>
    </xf>
    <xf numFmtId="3" fontId="98" fillId="3" borderId="325" xfId="1" applyNumberFormat="1" applyFont="1" applyFill="1" applyBorder="1" applyAlignment="1">
      <alignment horizontal="center" vertical="center"/>
    </xf>
    <xf numFmtId="3" fontId="51" fillId="3" borderId="74" xfId="1" applyNumberFormat="1" applyFont="1" applyFill="1" applyBorder="1" applyAlignment="1">
      <alignment horizontal="center" vertical="center"/>
    </xf>
    <xf numFmtId="3" fontId="51" fillId="47" borderId="341" xfId="1" applyNumberFormat="1" applyFont="1" applyFill="1" applyBorder="1" applyAlignment="1">
      <alignment horizontal="center" vertical="center"/>
    </xf>
    <xf numFmtId="3" fontId="51" fillId="33" borderId="305" xfId="1" applyNumberFormat="1" applyFont="1" applyFill="1" applyBorder="1" applyAlignment="1">
      <alignment horizontal="center" vertical="center"/>
    </xf>
    <xf numFmtId="3" fontId="51" fillId="31" borderId="279" xfId="1" applyNumberFormat="1" applyFont="1" applyFill="1" applyBorder="1" applyAlignment="1">
      <alignment horizontal="center" vertical="center"/>
    </xf>
    <xf numFmtId="3" fontId="51" fillId="30" borderId="280" xfId="1" applyNumberFormat="1" applyFont="1" applyFill="1" applyBorder="1" applyAlignment="1">
      <alignment horizontal="center" vertical="center"/>
    </xf>
    <xf numFmtId="3" fontId="51" fillId="33" borderId="183" xfId="1" applyNumberFormat="1" applyFont="1" applyFill="1" applyBorder="1" applyAlignment="1">
      <alignment horizontal="center" vertical="center"/>
    </xf>
    <xf numFmtId="3" fontId="98" fillId="30" borderId="305" xfId="1" applyNumberFormat="1" applyFont="1" applyFill="1" applyBorder="1" applyAlignment="1">
      <alignment horizontal="center" vertical="center"/>
    </xf>
    <xf numFmtId="3" fontId="2" fillId="32" borderId="66" xfId="1" applyNumberFormat="1" applyFont="1" applyFill="1" applyBorder="1" applyAlignment="1">
      <alignment horizontal="center" vertical="center"/>
    </xf>
    <xf numFmtId="3" fontId="51" fillId="33" borderId="25" xfId="1" applyNumberFormat="1" applyFont="1" applyFill="1" applyBorder="1" applyAlignment="1">
      <alignment horizontal="center" vertical="center"/>
    </xf>
    <xf numFmtId="3" fontId="98" fillId="30" borderId="74" xfId="1" applyNumberFormat="1" applyFont="1" applyFill="1" applyBorder="1" applyAlignment="1">
      <alignment horizontal="center" vertical="center"/>
    </xf>
    <xf numFmtId="3" fontId="51" fillId="47" borderId="357" xfId="1" applyNumberFormat="1" applyFont="1" applyFill="1" applyBorder="1" applyAlignment="1">
      <alignment horizontal="center" vertical="center"/>
    </xf>
    <xf numFmtId="0" fontId="98" fillId="5" borderId="324" xfId="1" applyFont="1" applyFill="1" applyBorder="1" applyAlignment="1">
      <alignment horizontal="center" vertical="center"/>
    </xf>
    <xf numFmtId="0" fontId="103" fillId="3" borderId="325" xfId="1" applyFont="1" applyFill="1" applyBorder="1" applyAlignment="1">
      <alignment horizontal="center" vertical="center"/>
    </xf>
    <xf numFmtId="0" fontId="2" fillId="3" borderId="74" xfId="1" applyFont="1" applyFill="1" applyBorder="1" applyAlignment="1">
      <alignment horizontal="center" vertical="center"/>
    </xf>
    <xf numFmtId="0" fontId="2" fillId="47" borderId="341" xfId="1" applyFont="1" applyFill="1" applyBorder="1" applyAlignment="1">
      <alignment horizontal="center" vertical="center"/>
    </xf>
    <xf numFmtId="0" fontId="2" fillId="33" borderId="305" xfId="1" applyFont="1" applyFill="1" applyBorder="1" applyAlignment="1">
      <alignment horizontal="center" vertical="center"/>
    </xf>
    <xf numFmtId="0" fontId="2" fillId="31" borderId="279" xfId="1" applyFont="1" applyFill="1" applyBorder="1" applyAlignment="1">
      <alignment horizontal="center" vertical="center"/>
    </xf>
    <xf numFmtId="0" fontId="2" fillId="30" borderId="280" xfId="1" applyFont="1" applyFill="1" applyBorder="1" applyAlignment="1">
      <alignment horizontal="center" vertical="center"/>
    </xf>
    <xf numFmtId="0" fontId="2" fillId="33" borderId="183" xfId="1" applyFont="1" applyFill="1" applyBorder="1" applyAlignment="1">
      <alignment horizontal="center" vertical="center"/>
    </xf>
    <xf numFmtId="0" fontId="98" fillId="30" borderId="305" xfId="1" applyFont="1" applyFill="1" applyBorder="1" applyAlignment="1">
      <alignment horizontal="center" vertical="center"/>
    </xf>
    <xf numFmtId="0" fontId="103" fillId="30" borderId="66" xfId="1" applyFont="1" applyFill="1" applyBorder="1" applyAlignment="1">
      <alignment horizontal="center" vertical="center"/>
    </xf>
    <xf numFmtId="0" fontId="2" fillId="33" borderId="25" xfId="1" applyFont="1" applyFill="1" applyBorder="1" applyAlignment="1">
      <alignment horizontal="center" vertical="center"/>
    </xf>
    <xf numFmtId="0" fontId="2" fillId="47" borderId="357" xfId="1" applyFont="1" applyFill="1" applyBorder="1" applyAlignment="1">
      <alignment horizontal="center" vertical="center"/>
    </xf>
    <xf numFmtId="172" fontId="95" fillId="3" borderId="325" xfId="1" applyNumberFormat="1" applyFont="1" applyFill="1" applyBorder="1" applyAlignment="1">
      <alignment horizontal="center" vertical="center"/>
    </xf>
    <xf numFmtId="172" fontId="2" fillId="5" borderId="325" xfId="1" applyNumberFormat="1" applyFont="1" applyFill="1" applyBorder="1" applyAlignment="1">
      <alignment horizontal="center" vertical="center"/>
    </xf>
    <xf numFmtId="172" fontId="95" fillId="3" borderId="74" xfId="1" applyNumberFormat="1" applyFont="1" applyFill="1" applyBorder="1" applyAlignment="1">
      <alignment horizontal="center" vertical="center"/>
    </xf>
    <xf numFmtId="172" fontId="2" fillId="30" borderId="358" xfId="1" applyNumberFormat="1" applyFont="1" applyFill="1" applyBorder="1" applyAlignment="1">
      <alignment horizontal="center" vertical="center"/>
    </xf>
    <xf numFmtId="172" fontId="51" fillId="33" borderId="305" xfId="1" applyNumberFormat="1" applyFont="1" applyFill="1" applyBorder="1" applyAlignment="1">
      <alignment horizontal="center" vertical="center"/>
    </xf>
    <xf numFmtId="172" fontId="51" fillId="31" borderId="279" xfId="1" applyNumberFormat="1" applyFont="1" applyFill="1" applyBorder="1" applyAlignment="1">
      <alignment horizontal="center" vertical="center"/>
    </xf>
    <xf numFmtId="172" fontId="51" fillId="30" borderId="280" xfId="1" applyNumberFormat="1" applyFont="1" applyFill="1" applyBorder="1" applyAlignment="1">
      <alignment horizontal="center" vertical="center"/>
    </xf>
    <xf numFmtId="172" fontId="51" fillId="33" borderId="183" xfId="1" applyNumberFormat="1" applyFont="1" applyFill="1" applyBorder="1" applyAlignment="1">
      <alignment horizontal="center" vertical="center"/>
    </xf>
    <xf numFmtId="172" fontId="51" fillId="48" borderId="305" xfId="1" applyNumberFormat="1" applyFont="1" applyFill="1" applyBorder="1" applyAlignment="1">
      <alignment horizontal="center" vertical="center"/>
    </xf>
    <xf numFmtId="172" fontId="51" fillId="47" borderId="357" xfId="1" applyNumberFormat="1" applyFont="1" applyFill="1" applyBorder="1" applyAlignment="1">
      <alignment horizontal="center" vertical="center"/>
    </xf>
    <xf numFmtId="172" fontId="2" fillId="33" borderId="358" xfId="1" applyNumberFormat="1" applyFont="1" applyFill="1" applyBorder="1" applyAlignment="1">
      <alignment horizontal="center" vertical="center"/>
    </xf>
    <xf numFmtId="172" fontId="51" fillId="33" borderId="25" xfId="1" applyNumberFormat="1" applyFont="1" applyFill="1" applyBorder="1" applyAlignment="1">
      <alignment horizontal="center" vertical="center"/>
    </xf>
    <xf numFmtId="172" fontId="2" fillId="31" borderId="351" xfId="1" applyNumberFormat="1" applyFont="1" applyFill="1" applyBorder="1" applyAlignment="1">
      <alignment horizontal="center" vertical="center"/>
    </xf>
    <xf numFmtId="14" fontId="51" fillId="3" borderId="325" xfId="1" applyNumberFormat="1" applyFont="1" applyFill="1" applyBorder="1" applyAlignment="1">
      <alignment horizontal="center" vertical="center"/>
    </xf>
    <xf numFmtId="14" fontId="2" fillId="5" borderId="325" xfId="1" applyNumberFormat="1" applyFont="1" applyFill="1" applyBorder="1" applyAlignment="1">
      <alignment horizontal="center" vertical="center"/>
    </xf>
    <xf numFmtId="14" fontId="51" fillId="3" borderId="74" xfId="1" applyNumberFormat="1" applyFont="1" applyFill="1" applyBorder="1" applyAlignment="1">
      <alignment horizontal="center" vertical="center"/>
    </xf>
    <xf numFmtId="14" fontId="2" fillId="30" borderId="66" xfId="1" applyNumberFormat="1" applyFont="1" applyFill="1" applyBorder="1" applyAlignment="1">
      <alignment horizontal="center" vertical="center"/>
    </xf>
    <xf numFmtId="14" fontId="2" fillId="30" borderId="358" xfId="1" applyNumberFormat="1" applyFont="1" applyFill="1" applyBorder="1" applyAlignment="1">
      <alignment horizontal="center" vertical="center"/>
    </xf>
    <xf numFmtId="14" fontId="51" fillId="33" borderId="305" xfId="1" applyNumberFormat="1" applyFont="1" applyFill="1" applyBorder="1" applyAlignment="1">
      <alignment horizontal="center" vertical="center"/>
    </xf>
    <xf numFmtId="14" fontId="51" fillId="31" borderId="279" xfId="1" applyNumberFormat="1" applyFont="1" applyFill="1" applyBorder="1" applyAlignment="1">
      <alignment horizontal="center" vertical="center"/>
    </xf>
    <xf numFmtId="14" fontId="51" fillId="30" borderId="280" xfId="1" applyNumberFormat="1" applyFont="1" applyFill="1" applyBorder="1" applyAlignment="1">
      <alignment horizontal="center" vertical="center"/>
    </xf>
    <xf numFmtId="14" fontId="51" fillId="33" borderId="183" xfId="1" applyNumberFormat="1" applyFont="1" applyFill="1" applyBorder="1" applyAlignment="1">
      <alignment horizontal="center" vertical="center"/>
    </xf>
    <xf numFmtId="14" fontId="51" fillId="48" borderId="305" xfId="1" applyNumberFormat="1" applyFont="1" applyFill="1" applyBorder="1" applyAlignment="1">
      <alignment horizontal="center" vertical="center"/>
    </xf>
    <xf numFmtId="14" fontId="51" fillId="47" borderId="357" xfId="1" applyNumberFormat="1" applyFont="1" applyFill="1" applyBorder="1" applyAlignment="1">
      <alignment horizontal="center" vertical="center"/>
    </xf>
    <xf numFmtId="14" fontId="51" fillId="33" borderId="25" xfId="1" applyNumberFormat="1" applyFont="1" applyFill="1" applyBorder="1" applyAlignment="1">
      <alignment horizontal="center" vertical="center"/>
    </xf>
    <xf numFmtId="2" fontId="51" fillId="3" borderId="314" xfId="1" applyNumberFormat="1" applyFont="1" applyFill="1" applyBorder="1" applyAlignment="1">
      <alignment horizontal="center" vertical="center"/>
    </xf>
    <xf numFmtId="2" fontId="51" fillId="53" borderId="197" xfId="1" applyNumberFormat="1" applyFont="1" applyFill="1" applyBorder="1" applyAlignment="1">
      <alignment horizontal="center" vertical="center"/>
    </xf>
    <xf numFmtId="0" fontId="142" fillId="34" borderId="265" xfId="1" applyFont="1" applyFill="1" applyBorder="1" applyAlignment="1">
      <alignment horizontal="center" vertical="center"/>
    </xf>
    <xf numFmtId="0" fontId="51" fillId="41" borderId="0" xfId="1" applyFont="1" applyFill="1" applyBorder="1" applyAlignment="1">
      <alignment horizontal="left" vertical="center"/>
    </xf>
    <xf numFmtId="0" fontId="23" fillId="41" borderId="4" xfId="15" applyFont="1" applyFill="1" applyBorder="1" applyAlignment="1">
      <alignment horizontal="left" vertical="center"/>
    </xf>
    <xf numFmtId="0" fontId="97" fillId="40" borderId="0" xfId="1" applyFont="1" applyFill="1" applyBorder="1" applyAlignment="1">
      <alignment horizontal="left" vertical="center"/>
    </xf>
    <xf numFmtId="0" fontId="105" fillId="41" borderId="103" xfId="1" applyFont="1" applyFill="1" applyBorder="1" applyAlignment="1">
      <alignment horizontal="center"/>
    </xf>
    <xf numFmtId="3" fontId="149" fillId="35" borderId="328" xfId="1" applyNumberFormat="1" applyFont="1" applyFill="1" applyBorder="1" applyAlignment="1">
      <alignment horizontal="center" vertical="center"/>
    </xf>
    <xf numFmtId="3" fontId="149" fillId="36" borderId="352" xfId="1" applyNumberFormat="1" applyFont="1" applyFill="1" applyBorder="1" applyAlignment="1">
      <alignment horizontal="center" vertical="center"/>
    </xf>
    <xf numFmtId="3" fontId="149" fillId="36" borderId="351" xfId="1" applyNumberFormat="1" applyFont="1" applyFill="1" applyBorder="1" applyAlignment="1">
      <alignment horizontal="center" vertical="center"/>
    </xf>
    <xf numFmtId="3" fontId="51" fillId="35" borderId="328" xfId="1" applyNumberFormat="1" applyFont="1" applyFill="1" applyBorder="1" applyAlignment="1">
      <alignment horizontal="left" vertical="center"/>
    </xf>
    <xf numFmtId="3" fontId="51" fillId="36" borderId="351" xfId="1" applyNumberFormat="1" applyFont="1" applyFill="1" applyBorder="1" applyAlignment="1">
      <alignment horizontal="left" vertical="center"/>
    </xf>
    <xf numFmtId="3" fontId="51" fillId="35" borderId="328" xfId="1" applyNumberFormat="1" applyFont="1" applyFill="1" applyBorder="1" applyAlignment="1">
      <alignment horizontal="center" vertical="center"/>
    </xf>
    <xf numFmtId="3" fontId="51" fillId="36" borderId="351" xfId="1" applyNumberFormat="1" applyFont="1" applyFill="1" applyBorder="1" applyAlignment="1">
      <alignment horizontal="center" vertical="center"/>
    </xf>
    <xf numFmtId="0" fontId="2" fillId="35" borderId="328" xfId="1" applyFont="1" applyFill="1" applyBorder="1" applyAlignment="1">
      <alignment horizontal="center" vertical="center"/>
    </xf>
    <xf numFmtId="0" fontId="2" fillId="36" borderId="351" xfId="1" applyFont="1" applyFill="1" applyBorder="1" applyAlignment="1">
      <alignment horizontal="center" vertical="center"/>
    </xf>
    <xf numFmtId="172" fontId="51" fillId="35" borderId="328" xfId="1" applyNumberFormat="1" applyFont="1" applyFill="1" applyBorder="1" applyAlignment="1">
      <alignment horizontal="center" vertical="center"/>
    </xf>
    <xf numFmtId="172" fontId="51" fillId="36" borderId="351" xfId="1" applyNumberFormat="1" applyFont="1" applyFill="1" applyBorder="1" applyAlignment="1">
      <alignment horizontal="center" vertical="center"/>
    </xf>
    <xf numFmtId="14" fontId="51" fillId="35" borderId="328" xfId="1" applyNumberFormat="1" applyFont="1" applyFill="1" applyBorder="1" applyAlignment="1">
      <alignment horizontal="center" vertical="center"/>
    </xf>
    <xf numFmtId="14" fontId="51" fillId="36" borderId="351" xfId="1" applyNumberFormat="1" applyFont="1" applyFill="1" applyBorder="1" applyAlignment="1">
      <alignment horizontal="center" vertical="center"/>
    </xf>
    <xf numFmtId="0" fontId="23" fillId="34" borderId="8" xfId="15" applyFont="1" applyFill="1" applyBorder="1" applyAlignment="1">
      <alignment horizontal="left" vertical="center"/>
    </xf>
    <xf numFmtId="0" fontId="115" fillId="41" borderId="79" xfId="15" applyFont="1" applyFill="1" applyBorder="1" applyAlignment="1">
      <alignment horizontal="left" vertical="center"/>
    </xf>
    <xf numFmtId="0" fontId="99" fillId="40" borderId="4" xfId="15" applyFont="1" applyFill="1" applyBorder="1" applyAlignment="1">
      <alignment horizontal="left" vertical="center"/>
    </xf>
    <xf numFmtId="0" fontId="51" fillId="31" borderId="4" xfId="1" applyFont="1" applyFill="1" applyBorder="1" applyAlignment="1">
      <alignment horizontal="left" vertical="center"/>
    </xf>
    <xf numFmtId="0" fontId="105" fillId="31" borderId="359" xfId="1" applyFont="1" applyFill="1" applyBorder="1" applyAlignment="1">
      <alignment horizontal="center"/>
    </xf>
    <xf numFmtId="3" fontId="149" fillId="34" borderId="328" xfId="1" applyNumberFormat="1" applyFont="1" applyFill="1" applyBorder="1" applyAlignment="1">
      <alignment horizontal="center" vertical="center"/>
    </xf>
    <xf numFmtId="3" fontId="149" fillId="41" borderId="183" xfId="1" applyNumberFormat="1" applyFont="1" applyFill="1" applyBorder="1" applyAlignment="1">
      <alignment horizontal="center" vertical="center"/>
    </xf>
    <xf numFmtId="3" fontId="70" fillId="0" borderId="379" xfId="1" applyNumberFormat="1" applyFont="1" applyFill="1" applyBorder="1" applyAlignment="1">
      <alignment horizontal="center" vertical="center"/>
    </xf>
    <xf numFmtId="3" fontId="70" fillId="0" borderId="108" xfId="1" applyNumberFormat="1" applyFont="1" applyFill="1" applyBorder="1" applyAlignment="1">
      <alignment horizontal="center" vertical="center"/>
    </xf>
    <xf numFmtId="3" fontId="51" fillId="34" borderId="328" xfId="1" applyNumberFormat="1" applyFont="1" applyFill="1" applyBorder="1" applyAlignment="1">
      <alignment horizontal="left" vertical="center"/>
    </xf>
    <xf numFmtId="3" fontId="51" fillId="41" borderId="264" xfId="1" applyNumberFormat="1" applyFont="1" applyFill="1" applyBorder="1" applyAlignment="1">
      <alignment horizontal="left" vertical="center"/>
    </xf>
    <xf numFmtId="3" fontId="51" fillId="34" borderId="328" xfId="1" applyNumberFormat="1" applyFont="1" applyFill="1" applyBorder="1" applyAlignment="1">
      <alignment horizontal="center" vertical="center"/>
    </xf>
    <xf numFmtId="3" fontId="51" fillId="41" borderId="264" xfId="1" applyNumberFormat="1" applyFont="1" applyFill="1" applyBorder="1" applyAlignment="1">
      <alignment horizontal="center" vertical="center"/>
    </xf>
    <xf numFmtId="0" fontId="2" fillId="34" borderId="328" xfId="1" applyFont="1" applyFill="1" applyBorder="1" applyAlignment="1">
      <alignment horizontal="center" vertical="center"/>
    </xf>
    <xf numFmtId="0" fontId="2" fillId="41" borderId="264" xfId="1" applyFont="1" applyFill="1" applyBorder="1" applyAlignment="1">
      <alignment horizontal="center" vertical="center"/>
    </xf>
    <xf numFmtId="172" fontId="51" fillId="34" borderId="328" xfId="1" applyNumberFormat="1" applyFont="1" applyFill="1" applyBorder="1" applyAlignment="1">
      <alignment horizontal="center" vertical="center"/>
    </xf>
    <xf numFmtId="172" fontId="51" fillId="41" borderId="264" xfId="1" applyNumberFormat="1" applyFont="1" applyFill="1" applyBorder="1" applyAlignment="1">
      <alignment horizontal="center" vertical="center"/>
    </xf>
    <xf numFmtId="172" fontId="2" fillId="31" borderId="357" xfId="1" applyNumberFormat="1" applyFont="1" applyFill="1" applyBorder="1" applyAlignment="1">
      <alignment horizontal="center" vertical="center"/>
    </xf>
    <xf numFmtId="14" fontId="51" fillId="34" borderId="328" xfId="1" applyNumberFormat="1" applyFont="1" applyFill="1" applyBorder="1" applyAlignment="1">
      <alignment horizontal="center" vertical="center"/>
    </xf>
    <xf numFmtId="14" fontId="51" fillId="41" borderId="264" xfId="1" applyNumberFormat="1" applyFont="1" applyFill="1" applyBorder="1" applyAlignment="1">
      <alignment horizontal="center" vertical="center"/>
    </xf>
    <xf numFmtId="0" fontId="122" fillId="0" borderId="0" xfId="1" applyFont="1" applyFill="1" applyBorder="1" applyAlignment="1">
      <alignment horizontal="left" vertical="center"/>
    </xf>
    <xf numFmtId="0" fontId="105" fillId="0" borderId="352" xfId="1" applyFont="1" applyFill="1" applyBorder="1" applyAlignment="1">
      <alignment horizontal="center" vertical="center"/>
    </xf>
    <xf numFmtId="3" fontId="149" fillId="0" borderId="351" xfId="1" applyNumberFormat="1" applyFont="1" applyFill="1" applyBorder="1" applyAlignment="1">
      <alignment horizontal="center" vertical="center"/>
    </xf>
    <xf numFmtId="172" fontId="95" fillId="0" borderId="351" xfId="1" applyNumberFormat="1" applyFont="1" applyFill="1" applyBorder="1" applyAlignment="1">
      <alignment horizontal="center" vertical="center"/>
    </xf>
    <xf numFmtId="0" fontId="122" fillId="0" borderId="274" xfId="1" applyFont="1" applyFill="1" applyBorder="1" applyAlignment="1">
      <alignment horizontal="left" vertical="center"/>
    </xf>
    <xf numFmtId="0" fontId="105" fillId="0" borderId="277" xfId="1" applyFont="1" applyFill="1" applyBorder="1" applyAlignment="1">
      <alignment horizontal="center" vertical="center"/>
    </xf>
    <xf numFmtId="0" fontId="122" fillId="0" borderId="8" xfId="1" applyFont="1" applyFill="1" applyBorder="1" applyAlignment="1">
      <alignment horizontal="left" vertical="center"/>
    </xf>
    <xf numFmtId="0" fontId="105" fillId="0" borderId="403" xfId="1" applyFont="1" applyFill="1" applyBorder="1" applyAlignment="1">
      <alignment horizontal="center" vertical="center"/>
    </xf>
    <xf numFmtId="3" fontId="149" fillId="0" borderId="378" xfId="1" applyNumberFormat="1" applyFont="1" applyFill="1" applyBorder="1" applyAlignment="1">
      <alignment horizontal="center" vertical="center"/>
    </xf>
    <xf numFmtId="3" fontId="70" fillId="0" borderId="377" xfId="1" applyNumberFormat="1" applyFont="1" applyFill="1" applyBorder="1" applyAlignment="1">
      <alignment horizontal="center" vertical="center"/>
    </xf>
    <xf numFmtId="3" fontId="70" fillId="0" borderId="378" xfId="1" applyNumberFormat="1" applyFont="1" applyFill="1" applyBorder="1" applyAlignment="1">
      <alignment horizontal="center" vertical="center"/>
    </xf>
    <xf numFmtId="3" fontId="48" fillId="0" borderId="378" xfId="1" applyNumberFormat="1" applyFont="1" applyFill="1" applyBorder="1" applyAlignment="1">
      <alignment horizontal="center" vertical="center"/>
    </xf>
    <xf numFmtId="3" fontId="51" fillId="0" borderId="378" xfId="1" applyNumberFormat="1" applyFont="1" applyFill="1" applyBorder="1" applyAlignment="1">
      <alignment horizontal="left" vertical="center"/>
    </xf>
    <xf numFmtId="3" fontId="51" fillId="0" borderId="378" xfId="1" applyNumberFormat="1" applyFont="1" applyFill="1" applyBorder="1" applyAlignment="1">
      <alignment horizontal="center" vertical="center"/>
    </xf>
    <xf numFmtId="0" fontId="2" fillId="0" borderId="378" xfId="1" applyFont="1" applyFill="1" applyBorder="1" applyAlignment="1">
      <alignment horizontal="center" vertical="center"/>
    </xf>
    <xf numFmtId="172" fontId="95" fillId="0" borderId="378" xfId="1" applyNumberFormat="1" applyFont="1" applyFill="1" applyBorder="1" applyAlignment="1">
      <alignment horizontal="center" vertical="center"/>
    </xf>
    <xf numFmtId="14" fontId="51" fillId="0" borderId="378" xfId="1" applyNumberFormat="1" applyFont="1" applyFill="1" applyBorder="1" applyAlignment="1">
      <alignment horizontal="center" vertical="center"/>
    </xf>
    <xf numFmtId="3" fontId="149" fillId="0" borderId="396" xfId="1" applyNumberFormat="1" applyFont="1" applyFill="1" applyBorder="1" applyAlignment="1">
      <alignment horizontal="center" vertical="center"/>
    </xf>
    <xf numFmtId="3" fontId="70" fillId="0" borderId="387" xfId="1" applyNumberFormat="1" applyFont="1" applyFill="1" applyBorder="1" applyAlignment="1">
      <alignment horizontal="center" vertical="center"/>
    </xf>
    <xf numFmtId="3" fontId="70" fillId="0" borderId="396" xfId="1" applyNumberFormat="1" applyFont="1" applyFill="1" applyBorder="1" applyAlignment="1">
      <alignment horizontal="center" vertical="center"/>
    </xf>
    <xf numFmtId="3" fontId="48" fillId="0" borderId="396" xfId="1" applyNumberFormat="1" applyFont="1" applyFill="1" applyBorder="1" applyAlignment="1">
      <alignment horizontal="center" vertical="center"/>
    </xf>
    <xf numFmtId="3" fontId="51" fillId="0" borderId="396" xfId="1" applyNumberFormat="1" applyFont="1" applyFill="1" applyBorder="1" applyAlignment="1">
      <alignment horizontal="left" vertical="center"/>
    </xf>
    <xf numFmtId="3" fontId="51" fillId="0" borderId="396" xfId="1" applyNumberFormat="1" applyFont="1" applyFill="1" applyBorder="1" applyAlignment="1">
      <alignment horizontal="center" vertical="center"/>
    </xf>
    <xf numFmtId="0" fontId="2" fillId="0" borderId="396" xfId="1" applyFont="1" applyFill="1" applyBorder="1" applyAlignment="1">
      <alignment horizontal="center" vertical="center"/>
    </xf>
    <xf numFmtId="172" fontId="95" fillId="0" borderId="396" xfId="1" applyNumberFormat="1" applyFont="1" applyFill="1" applyBorder="1" applyAlignment="1">
      <alignment horizontal="center" vertical="center"/>
    </xf>
    <xf numFmtId="14" fontId="51" fillId="0" borderId="396" xfId="1" applyNumberFormat="1" applyFont="1" applyFill="1" applyBorder="1" applyAlignment="1">
      <alignment horizontal="center" vertical="center"/>
    </xf>
    <xf numFmtId="3" fontId="124" fillId="0" borderId="405" xfId="1" applyNumberFormat="1" applyFont="1" applyFill="1" applyBorder="1" applyAlignment="1">
      <alignment horizontal="center" vertical="center"/>
    </xf>
    <xf numFmtId="0" fontId="23" fillId="2" borderId="177" xfId="15" applyFont="1" applyFill="1" applyBorder="1" applyAlignment="1">
      <alignment horizontal="left" vertical="center"/>
    </xf>
    <xf numFmtId="3" fontId="124" fillId="0" borderId="406" xfId="1" applyNumberFormat="1" applyFont="1" applyFill="1" applyBorder="1" applyAlignment="1">
      <alignment horizontal="center" vertical="center"/>
    </xf>
    <xf numFmtId="3" fontId="124" fillId="0" borderId="404" xfId="1" applyNumberFormat="1" applyFont="1" applyFill="1" applyBorder="1" applyAlignment="1">
      <alignment horizontal="center" vertical="center"/>
    </xf>
    <xf numFmtId="3" fontId="124" fillId="0" borderId="407" xfId="1" applyNumberFormat="1" applyFont="1" applyFill="1" applyBorder="1" applyAlignment="1">
      <alignment horizontal="center" vertical="center"/>
    </xf>
    <xf numFmtId="3" fontId="101" fillId="0" borderId="261" xfId="1" applyNumberFormat="1" applyFont="1" applyBorder="1" applyAlignment="1">
      <alignment horizontal="center" vertical="center"/>
    </xf>
    <xf numFmtId="3" fontId="101" fillId="0" borderId="249" xfId="1" applyNumberFormat="1" applyFont="1" applyBorder="1" applyAlignment="1">
      <alignment horizontal="center" vertical="center"/>
    </xf>
    <xf numFmtId="3" fontId="101" fillId="0" borderId="398" xfId="1" applyNumberFormat="1" applyFont="1" applyBorder="1" applyAlignment="1">
      <alignment horizontal="center" vertical="center"/>
    </xf>
    <xf numFmtId="3" fontId="101" fillId="0" borderId="385" xfId="1" applyNumberFormat="1" applyFont="1" applyBorder="1" applyAlignment="1">
      <alignment horizontal="center" vertical="center"/>
    </xf>
    <xf numFmtId="0" fontId="142" fillId="48" borderId="22" xfId="1" applyFont="1" applyFill="1" applyBorder="1" applyAlignment="1">
      <alignment horizontal="center" vertical="center"/>
    </xf>
    <xf numFmtId="0" fontId="103" fillId="3" borderId="26" xfId="1" applyFont="1" applyFill="1" applyBorder="1" applyAlignment="1">
      <alignment horizontal="center" vertical="center"/>
    </xf>
    <xf numFmtId="0" fontId="23" fillId="12" borderId="365" xfId="15" applyFill="1" applyBorder="1" applyAlignment="1">
      <alignment horizontal="left" vertical="center"/>
    </xf>
    <xf numFmtId="0" fontId="23" fillId="48" borderId="8" xfId="15" applyFont="1" applyFill="1" applyBorder="1" applyAlignment="1">
      <alignment horizontal="left" vertical="center"/>
    </xf>
    <xf numFmtId="0" fontId="99" fillId="2" borderId="0" xfId="15" applyFont="1" applyFill="1" applyBorder="1" applyAlignment="1">
      <alignment horizontal="left" vertical="center"/>
    </xf>
    <xf numFmtId="0" fontId="99" fillId="32" borderId="0" xfId="15" applyFont="1" applyFill="1" applyBorder="1" applyAlignment="1">
      <alignment horizontal="left" vertical="center"/>
    </xf>
    <xf numFmtId="0" fontId="122" fillId="3" borderId="4" xfId="1" applyFont="1" applyFill="1" applyBorder="1" applyAlignment="1">
      <alignment horizontal="left" vertical="center"/>
    </xf>
    <xf numFmtId="0" fontId="23" fillId="2" borderId="4" xfId="15" applyFill="1" applyBorder="1" applyAlignment="1">
      <alignment horizontal="left" vertical="center"/>
    </xf>
    <xf numFmtId="0" fontId="105" fillId="47" borderId="23" xfId="1" applyFont="1" applyFill="1" applyBorder="1" applyAlignment="1">
      <alignment horizontal="center"/>
    </xf>
    <xf numFmtId="0" fontId="106" fillId="48" borderId="23" xfId="1" applyFont="1" applyFill="1" applyBorder="1" applyAlignment="1">
      <alignment horizontal="center"/>
    </xf>
    <xf numFmtId="0" fontId="105" fillId="3" borderId="19" xfId="1" applyFont="1" applyFill="1" applyBorder="1" applyAlignment="1">
      <alignment horizontal="center"/>
    </xf>
    <xf numFmtId="3" fontId="48" fillId="48" borderId="106" xfId="1" applyNumberFormat="1" applyFont="1" applyFill="1" applyBorder="1" applyAlignment="1">
      <alignment horizontal="center" vertical="center"/>
    </xf>
    <xf numFmtId="3" fontId="48" fillId="47" borderId="358" xfId="1" applyNumberFormat="1" applyFont="1" applyFill="1" applyBorder="1" applyAlignment="1">
      <alignment horizontal="center" vertical="center"/>
    </xf>
    <xf numFmtId="3" fontId="149" fillId="48" borderId="74" xfId="1" applyNumberFormat="1" applyFont="1" applyFill="1" applyBorder="1" applyAlignment="1">
      <alignment horizontal="center" vertical="center"/>
    </xf>
    <xf numFmtId="3" fontId="51" fillId="48" borderId="74" xfId="1" applyNumberFormat="1" applyFont="1" applyFill="1" applyBorder="1" applyAlignment="1">
      <alignment horizontal="left" vertical="center"/>
    </xf>
    <xf numFmtId="0" fontId="2" fillId="30" borderId="66" xfId="1" applyFont="1" applyFill="1" applyBorder="1" applyAlignment="1">
      <alignment horizontal="left" vertical="center" wrapText="1"/>
    </xf>
    <xf numFmtId="3" fontId="51" fillId="47" borderId="358" xfId="1" applyNumberFormat="1" applyFont="1" applyFill="1" applyBorder="1" applyAlignment="1">
      <alignment horizontal="left" vertical="center"/>
    </xf>
    <xf numFmtId="3" fontId="51" fillId="48" borderId="74" xfId="1" applyNumberFormat="1" applyFont="1" applyFill="1" applyBorder="1" applyAlignment="1">
      <alignment horizontal="center" vertical="center"/>
    </xf>
    <xf numFmtId="3" fontId="2" fillId="30" borderId="183" xfId="1" applyNumberFormat="1" applyFont="1" applyFill="1" applyBorder="1" applyAlignment="1">
      <alignment horizontal="center" vertical="center"/>
    </xf>
    <xf numFmtId="0" fontId="2" fillId="48" borderId="74" xfId="1" applyFont="1" applyFill="1" applyBorder="1" applyAlignment="1">
      <alignment horizontal="center" vertical="center"/>
    </xf>
    <xf numFmtId="172" fontId="51" fillId="48" borderId="74" xfId="1" applyNumberFormat="1" applyFont="1" applyFill="1" applyBorder="1" applyAlignment="1">
      <alignment horizontal="center" vertical="center"/>
    </xf>
    <xf numFmtId="172" fontId="51" fillId="47" borderId="358" xfId="1" applyNumberFormat="1" applyFont="1" applyFill="1" applyBorder="1" applyAlignment="1">
      <alignment horizontal="center" vertical="center"/>
    </xf>
    <xf numFmtId="14" fontId="51" fillId="30" borderId="66" xfId="1" quotePrefix="1" applyNumberFormat="1" applyFont="1" applyFill="1" applyBorder="1" applyAlignment="1">
      <alignment horizontal="center" vertical="center"/>
    </xf>
    <xf numFmtId="14" fontId="51" fillId="48" borderId="74" xfId="1" applyNumberFormat="1" applyFont="1" applyFill="1" applyBorder="1" applyAlignment="1">
      <alignment horizontal="center" vertical="center"/>
    </xf>
    <xf numFmtId="14" fontId="51" fillId="47" borderId="358" xfId="1" applyNumberFormat="1" applyFont="1" applyFill="1" applyBorder="1" applyAlignment="1">
      <alignment horizontal="center" vertical="center"/>
    </xf>
    <xf numFmtId="2" fontId="51" fillId="48" borderId="197" xfId="1" applyNumberFormat="1" applyFont="1" applyFill="1" applyBorder="1" applyAlignment="1">
      <alignment horizontal="center" vertical="center"/>
    </xf>
    <xf numFmtId="0" fontId="99" fillId="12" borderId="5" xfId="15" applyFont="1" applyFill="1" applyBorder="1" applyAlignment="1">
      <alignment horizontal="left" vertical="center"/>
    </xf>
    <xf numFmtId="0" fontId="52" fillId="0" borderId="219" xfId="1" applyFont="1" applyFill="1" applyBorder="1" applyAlignment="1">
      <alignment horizontal="left" vertical="center"/>
    </xf>
    <xf numFmtId="0" fontId="131" fillId="0" borderId="218" xfId="1" applyFont="1" applyFill="1" applyBorder="1" applyAlignment="1">
      <alignment horizontal="left" vertical="center"/>
    </xf>
    <xf numFmtId="0" fontId="126" fillId="2" borderId="230" xfId="1" applyFont="1" applyFill="1" applyBorder="1" applyAlignment="1">
      <alignment horizontal="left" vertical="center"/>
    </xf>
    <xf numFmtId="0" fontId="126" fillId="3" borderId="88" xfId="1" applyFont="1" applyFill="1" applyBorder="1" applyAlignment="1">
      <alignment vertical="center"/>
    </xf>
    <xf numFmtId="0" fontId="131" fillId="0" borderId="8" xfId="1" applyFont="1" applyFill="1" applyBorder="1" applyAlignment="1">
      <alignment horizontal="left" vertical="center"/>
    </xf>
    <xf numFmtId="3" fontId="3" fillId="3" borderId="92" xfId="1" applyNumberFormat="1" applyFont="1" applyFill="1" applyBorder="1" applyAlignment="1">
      <alignment horizontal="center" vertical="center"/>
    </xf>
    <xf numFmtId="3" fontId="124" fillId="0" borderId="336" xfId="1" applyNumberFormat="1" applyFont="1" applyFill="1" applyBorder="1" applyAlignment="1">
      <alignment horizontal="center" vertical="center"/>
    </xf>
    <xf numFmtId="0" fontId="2" fillId="12" borderId="318" xfId="1" applyFont="1" applyFill="1" applyBorder="1" applyAlignment="1">
      <alignment horizontal="left" vertical="center"/>
    </xf>
    <xf numFmtId="0" fontId="103" fillId="40" borderId="265" xfId="1" applyFont="1" applyFill="1" applyBorder="1" applyAlignment="1">
      <alignment horizontal="center" vertical="center"/>
    </xf>
    <xf numFmtId="0" fontId="115" fillId="34" borderId="8" xfId="15" applyFont="1" applyFill="1" applyBorder="1" applyAlignment="1">
      <alignment horizontal="left" vertical="center"/>
    </xf>
    <xf numFmtId="0" fontId="99" fillId="40" borderId="0" xfId="15" applyFont="1" applyFill="1" applyBorder="1" applyAlignment="1">
      <alignment horizontal="left" vertical="center"/>
    </xf>
    <xf numFmtId="0" fontId="106" fillId="40" borderId="19" xfId="1" applyFont="1" applyFill="1" applyBorder="1" applyAlignment="1">
      <alignment horizontal="center"/>
    </xf>
    <xf numFmtId="0" fontId="105" fillId="40" borderId="103" xfId="1" applyFont="1" applyFill="1" applyBorder="1" applyAlignment="1">
      <alignment horizontal="center"/>
    </xf>
    <xf numFmtId="0" fontId="105" fillId="41" borderId="272" xfId="1" applyFont="1" applyFill="1" applyBorder="1" applyAlignment="1">
      <alignment horizontal="center" vertical="center"/>
    </xf>
    <xf numFmtId="0" fontId="105" fillId="40" borderId="268" xfId="1" applyFont="1" applyFill="1" applyBorder="1" applyAlignment="1">
      <alignment horizontal="center"/>
    </xf>
    <xf numFmtId="3" fontId="48" fillId="34" borderId="19" xfId="1" applyNumberFormat="1" applyFont="1" applyFill="1" applyBorder="1" applyAlignment="1">
      <alignment horizontal="center" vertical="center"/>
    </xf>
    <xf numFmtId="3" fontId="149" fillId="40" borderId="275" xfId="1" applyNumberFormat="1" applyFont="1" applyFill="1" applyBorder="1" applyAlignment="1">
      <alignment horizontal="center" vertical="center"/>
    </xf>
    <xf numFmtId="3" fontId="149" fillId="40" borderId="264" xfId="1" applyNumberFormat="1" applyFont="1" applyFill="1" applyBorder="1" applyAlignment="1">
      <alignment horizontal="center" vertical="center"/>
    </xf>
    <xf numFmtId="3" fontId="48" fillId="0" borderId="108" xfId="1" applyNumberFormat="1" applyFont="1" applyFill="1" applyBorder="1" applyAlignment="1">
      <alignment horizontal="center" vertical="center"/>
    </xf>
    <xf numFmtId="3" fontId="51" fillId="41" borderId="183" xfId="1" applyNumberFormat="1" applyFont="1" applyFill="1" applyBorder="1" applyAlignment="1">
      <alignment horizontal="left" vertical="center"/>
    </xf>
    <xf numFmtId="3" fontId="51" fillId="40" borderId="264" xfId="1" applyNumberFormat="1" applyFont="1" applyFill="1" applyBorder="1" applyAlignment="1">
      <alignment horizontal="left" vertical="center"/>
    </xf>
    <xf numFmtId="3" fontId="51" fillId="41" borderId="183" xfId="1" applyNumberFormat="1" applyFont="1" applyFill="1" applyBorder="1" applyAlignment="1">
      <alignment horizontal="center" vertical="center"/>
    </xf>
    <xf numFmtId="3" fontId="51" fillId="40" borderId="264" xfId="1" applyNumberFormat="1" applyFont="1" applyFill="1" applyBorder="1" applyAlignment="1">
      <alignment horizontal="center" vertical="center"/>
    </xf>
    <xf numFmtId="0" fontId="2" fillId="41" borderId="183" xfId="1" applyFont="1" applyFill="1" applyBorder="1" applyAlignment="1">
      <alignment horizontal="center" vertical="center"/>
    </xf>
    <xf numFmtId="0" fontId="2" fillId="40" borderId="264" xfId="1" applyFont="1" applyFill="1" applyBorder="1" applyAlignment="1">
      <alignment horizontal="center" vertical="center"/>
    </xf>
    <xf numFmtId="172" fontId="51" fillId="41" borderId="183" xfId="1" applyNumberFormat="1" applyFont="1" applyFill="1" applyBorder="1" applyAlignment="1">
      <alignment horizontal="center" vertical="center"/>
    </xf>
    <xf numFmtId="172" fontId="2" fillId="40" borderId="264" xfId="1" applyNumberFormat="1" applyFont="1" applyFill="1" applyBorder="1" applyAlignment="1">
      <alignment horizontal="center" vertical="center"/>
    </xf>
    <xf numFmtId="14" fontId="51" fillId="41" borderId="183" xfId="1" applyNumberFormat="1" applyFont="1" applyFill="1" applyBorder="1" applyAlignment="1">
      <alignment horizontal="center" vertical="center"/>
    </xf>
    <xf numFmtId="14" fontId="51" fillId="40" borderId="66" xfId="1" quotePrefix="1" applyNumberFormat="1" applyFont="1" applyFill="1" applyBorder="1" applyAlignment="1">
      <alignment horizontal="center" vertical="center"/>
    </xf>
    <xf numFmtId="14" fontId="51" fillId="40" borderId="264" xfId="1" applyNumberFormat="1" applyFont="1" applyFill="1" applyBorder="1" applyAlignment="1">
      <alignment horizontal="center" vertical="center"/>
    </xf>
    <xf numFmtId="3" fontId="48" fillId="40" borderId="357" xfId="1" applyNumberFormat="1" applyFont="1" applyFill="1" applyBorder="1" applyAlignment="1">
      <alignment horizontal="center" vertical="center"/>
    </xf>
    <xf numFmtId="172" fontId="2" fillId="40" borderId="357" xfId="1" applyNumberFormat="1" applyFont="1" applyFill="1" applyBorder="1" applyAlignment="1">
      <alignment horizontal="center" vertical="center"/>
    </xf>
    <xf numFmtId="0" fontId="99" fillId="21" borderId="5" xfId="15" applyFont="1" applyFill="1" applyBorder="1" applyAlignment="1">
      <alignment horizontal="left" vertical="center"/>
    </xf>
    <xf numFmtId="0" fontId="164" fillId="0" borderId="382" xfId="1" applyFont="1" applyFill="1" applyBorder="1" applyAlignment="1">
      <alignment horizontal="center" vertical="center"/>
    </xf>
    <xf numFmtId="0" fontId="2" fillId="12" borderId="5" xfId="1" applyFont="1" applyFill="1" applyBorder="1" applyAlignment="1">
      <alignment horizontal="left" vertical="center"/>
    </xf>
    <xf numFmtId="0" fontId="145" fillId="0" borderId="250" xfId="1" applyFont="1" applyFill="1" applyBorder="1" applyAlignment="1">
      <alignment horizontal="center"/>
    </xf>
    <xf numFmtId="3" fontId="2" fillId="0" borderId="249" xfId="1" applyNumberFormat="1" applyFont="1" applyBorder="1" applyAlignment="1">
      <alignment horizontal="center" vertical="center"/>
    </xf>
    <xf numFmtId="0" fontId="103" fillId="34" borderId="22" xfId="1" applyFont="1" applyFill="1" applyBorder="1" applyAlignment="1">
      <alignment horizontal="center" vertical="center"/>
    </xf>
    <xf numFmtId="0" fontId="103" fillId="38" borderId="17" xfId="1" applyFont="1" applyFill="1" applyBorder="1" applyAlignment="1">
      <alignment horizontal="center" vertical="center"/>
    </xf>
    <xf numFmtId="0" fontId="103" fillId="36" borderId="17" xfId="1" applyFont="1" applyFill="1" applyBorder="1" applyAlignment="1">
      <alignment horizontal="center" vertical="center"/>
    </xf>
    <xf numFmtId="0" fontId="142" fillId="34" borderId="22" xfId="1" applyFont="1" applyFill="1" applyBorder="1" applyAlignment="1">
      <alignment horizontal="center" vertical="center"/>
    </xf>
    <xf numFmtId="0" fontId="103" fillId="25" borderId="265" xfId="1" applyFont="1" applyFill="1" applyBorder="1" applyAlignment="1">
      <alignment horizontal="center" vertical="center"/>
    </xf>
    <xf numFmtId="0" fontId="142" fillId="35" borderId="26" xfId="1" applyFont="1" applyFill="1" applyBorder="1" applyAlignment="1">
      <alignment horizontal="center" vertical="center"/>
    </xf>
    <xf numFmtId="0" fontId="51" fillId="34" borderId="8" xfId="1" applyFont="1" applyFill="1" applyBorder="1" applyAlignment="1">
      <alignment horizontal="left" vertical="center"/>
    </xf>
    <xf numFmtId="0" fontId="23" fillId="39" borderId="0" xfId="15" applyFont="1" applyFill="1" applyBorder="1" applyAlignment="1">
      <alignment horizontal="left" vertical="center"/>
    </xf>
    <xf numFmtId="0" fontId="51" fillId="2" borderId="0" xfId="1" applyFont="1" applyFill="1" applyBorder="1" applyAlignment="1">
      <alignment horizontal="left" vertical="center"/>
    </xf>
    <xf numFmtId="0" fontId="115" fillId="35" borderId="266" xfId="15" applyFont="1" applyFill="1" applyBorder="1" applyAlignment="1">
      <alignment horizontal="left" vertical="center"/>
    </xf>
    <xf numFmtId="0" fontId="51" fillId="41" borderId="4" xfId="1" applyFont="1" applyFill="1" applyBorder="1" applyAlignment="1">
      <alignment horizontal="left" vertical="center"/>
    </xf>
    <xf numFmtId="0" fontId="23" fillId="41" borderId="266" xfId="15" applyFont="1" applyFill="1" applyBorder="1" applyAlignment="1">
      <alignment horizontal="left" vertical="center"/>
    </xf>
    <xf numFmtId="0" fontId="106" fillId="35" borderId="379" xfId="1" applyFont="1" applyFill="1" applyBorder="1" applyAlignment="1">
      <alignment horizontal="center"/>
    </xf>
    <xf numFmtId="3" fontId="48" fillId="35" borderId="352" xfId="1" applyNumberFormat="1" applyFont="1" applyFill="1" applyBorder="1" applyAlignment="1">
      <alignment horizontal="center" vertical="center"/>
    </xf>
    <xf numFmtId="3" fontId="48" fillId="38" borderId="352" xfId="1" applyNumberFormat="1" applyFont="1" applyFill="1" applyBorder="1" applyAlignment="1">
      <alignment horizontal="center" vertical="center"/>
    </xf>
    <xf numFmtId="3" fontId="48" fillId="34" borderId="328" xfId="1" applyNumberFormat="1" applyFont="1" applyFill="1" applyBorder="1" applyAlignment="1">
      <alignment horizontal="center" vertical="center"/>
    </xf>
    <xf numFmtId="3" fontId="48" fillId="34" borderId="103" xfId="1" applyNumberFormat="1" applyFont="1" applyFill="1" applyBorder="1" applyAlignment="1">
      <alignment horizontal="center" vertical="center"/>
    </xf>
    <xf numFmtId="3" fontId="48" fillId="35" borderId="19" xfId="1" applyNumberFormat="1" applyFont="1" applyFill="1" applyBorder="1" applyAlignment="1">
      <alignment horizontal="center" vertical="center"/>
    </xf>
    <xf numFmtId="3" fontId="149" fillId="35" borderId="275" xfId="1" applyNumberFormat="1" applyFont="1" applyFill="1" applyBorder="1" applyAlignment="1">
      <alignment horizontal="center" vertical="center"/>
    </xf>
    <xf numFmtId="3" fontId="149" fillId="40" borderId="19" xfId="1" applyNumberFormat="1" applyFont="1" applyFill="1" applyBorder="1" applyAlignment="1">
      <alignment horizontal="center" vertical="center"/>
    </xf>
    <xf numFmtId="3" fontId="149" fillId="38" borderId="351" xfId="1" applyNumberFormat="1" applyFont="1" applyFill="1" applyBorder="1" applyAlignment="1">
      <alignment horizontal="center" vertical="center"/>
    </xf>
    <xf numFmtId="3" fontId="48" fillId="35" borderId="351" xfId="1" applyNumberFormat="1" applyFont="1" applyFill="1" applyBorder="1" applyAlignment="1">
      <alignment horizontal="center" vertical="center"/>
    </xf>
    <xf numFmtId="3" fontId="48" fillId="35" borderId="183" xfId="1" applyNumberFormat="1" applyFont="1" applyFill="1" applyBorder="1" applyAlignment="1">
      <alignment horizontal="center" vertical="center"/>
    </xf>
    <xf numFmtId="3" fontId="149" fillId="40" borderId="183" xfId="1" applyNumberFormat="1" applyFont="1" applyFill="1" applyBorder="1" applyAlignment="1">
      <alignment horizontal="center" vertical="center"/>
    </xf>
    <xf numFmtId="3" fontId="48" fillId="9" borderId="270" xfId="1" applyNumberFormat="1" applyFont="1" applyFill="1" applyBorder="1" applyAlignment="1">
      <alignment horizontal="center" vertical="center"/>
    </xf>
    <xf numFmtId="3" fontId="51" fillId="38" borderId="351" xfId="1" applyNumberFormat="1" applyFont="1" applyFill="1" applyBorder="1" applyAlignment="1">
      <alignment horizontal="left" vertical="center"/>
    </xf>
    <xf numFmtId="3" fontId="51" fillId="38" borderId="351" xfId="1" applyNumberFormat="1" applyFont="1" applyFill="1" applyBorder="1" applyAlignment="1">
      <alignment horizontal="center" vertical="center"/>
    </xf>
    <xf numFmtId="3" fontId="2" fillId="35" borderId="351" xfId="1" applyNumberFormat="1" applyFont="1" applyFill="1" applyBorder="1" applyAlignment="1">
      <alignment horizontal="center" vertical="center"/>
    </xf>
    <xf numFmtId="3" fontId="98" fillId="35" borderId="351" xfId="1" applyNumberFormat="1" applyFont="1" applyFill="1" applyBorder="1" applyAlignment="1">
      <alignment horizontal="center" vertical="center"/>
    </xf>
    <xf numFmtId="0" fontId="2" fillId="38" borderId="351" xfId="1" applyFont="1" applyFill="1" applyBorder="1" applyAlignment="1">
      <alignment horizontal="center" vertical="center"/>
    </xf>
    <xf numFmtId="172" fontId="2" fillId="34" borderId="328" xfId="1" applyNumberFormat="1" applyFont="1" applyFill="1" applyBorder="1" applyAlignment="1">
      <alignment horizontal="center" vertical="center"/>
    </xf>
    <xf numFmtId="172" fontId="51" fillId="38" borderId="351" xfId="1" applyNumberFormat="1" applyFont="1" applyFill="1" applyBorder="1" applyAlignment="1">
      <alignment horizontal="center" vertical="center"/>
    </xf>
    <xf numFmtId="172" fontId="51" fillId="35" borderId="183" xfId="1" applyNumberFormat="1" applyFont="1" applyFill="1" applyBorder="1" applyAlignment="1">
      <alignment horizontal="center" vertical="center"/>
    </xf>
    <xf numFmtId="14" fontId="51" fillId="38" borderId="351" xfId="1" applyNumberFormat="1" applyFont="1" applyFill="1" applyBorder="1" applyAlignment="1">
      <alignment horizontal="center" vertical="center"/>
    </xf>
    <xf numFmtId="14" fontId="51" fillId="35" borderId="183" xfId="1" quotePrefix="1" applyNumberFormat="1" applyFont="1" applyFill="1" applyBorder="1" applyAlignment="1">
      <alignment horizontal="center" vertical="center"/>
    </xf>
    <xf numFmtId="2" fontId="51" fillId="3" borderId="269" xfId="1" applyNumberFormat="1" applyFont="1" applyFill="1" applyBorder="1" applyAlignment="1">
      <alignment horizontal="center" vertical="center"/>
    </xf>
    <xf numFmtId="0" fontId="51" fillId="41" borderId="8" xfId="1" applyFont="1" applyFill="1" applyBorder="1" applyAlignment="1">
      <alignment horizontal="left" vertical="center"/>
    </xf>
    <xf numFmtId="0" fontId="23" fillId="43" borderId="0" xfId="15" applyFont="1" applyFill="1" applyBorder="1" applyAlignment="1">
      <alignment horizontal="left" vertical="center"/>
    </xf>
    <xf numFmtId="0" fontId="105" fillId="41" borderId="260" xfId="1" applyFont="1" applyFill="1" applyBorder="1" applyAlignment="1">
      <alignment horizontal="center" vertical="center"/>
    </xf>
    <xf numFmtId="3" fontId="51" fillId="40" borderId="183" xfId="1" applyNumberFormat="1" applyFont="1" applyFill="1" applyBorder="1" applyAlignment="1">
      <alignment horizontal="left" vertical="center"/>
    </xf>
    <xf numFmtId="3" fontId="51" fillId="41" borderId="57" xfId="1" applyNumberFormat="1" applyFont="1" applyFill="1" applyBorder="1" applyAlignment="1">
      <alignment horizontal="left" vertical="center"/>
    </xf>
    <xf numFmtId="3" fontId="51" fillId="40" borderId="183" xfId="1" applyNumberFormat="1" applyFont="1" applyFill="1" applyBorder="1" applyAlignment="1">
      <alignment horizontal="center" vertical="center"/>
    </xf>
    <xf numFmtId="3" fontId="51" fillId="41" borderId="57" xfId="1" applyNumberFormat="1" applyFont="1" applyFill="1" applyBorder="1" applyAlignment="1">
      <alignment horizontal="center" vertical="center"/>
    </xf>
    <xf numFmtId="0" fontId="2" fillId="40" borderId="183" xfId="1" applyFont="1" applyFill="1" applyBorder="1" applyAlignment="1">
      <alignment horizontal="center" vertical="center"/>
    </xf>
    <xf numFmtId="172" fontId="51" fillId="40" borderId="183" xfId="1" applyNumberFormat="1" applyFont="1" applyFill="1" applyBorder="1" applyAlignment="1">
      <alignment horizontal="center" vertical="center"/>
    </xf>
    <xf numFmtId="172" fontId="2" fillId="41" borderId="66" xfId="1" applyNumberFormat="1" applyFont="1" applyFill="1" applyBorder="1" applyAlignment="1">
      <alignment horizontal="center" vertical="center"/>
    </xf>
    <xf numFmtId="172" fontId="2" fillId="40" borderId="74" xfId="1" applyNumberFormat="1" applyFont="1" applyFill="1" applyBorder="1" applyAlignment="1">
      <alignment horizontal="center" vertical="center"/>
    </xf>
    <xf numFmtId="172" fontId="51" fillId="41" borderId="57" xfId="1" applyNumberFormat="1" applyFont="1" applyFill="1" applyBorder="1" applyAlignment="1">
      <alignment horizontal="center" vertical="center"/>
    </xf>
    <xf numFmtId="14" fontId="51" fillId="40" borderId="183" xfId="1" applyNumberFormat="1" applyFont="1" applyFill="1" applyBorder="1" applyAlignment="1">
      <alignment horizontal="center" vertical="center"/>
    </xf>
    <xf numFmtId="14" fontId="51" fillId="41" borderId="57" xfId="1" applyNumberFormat="1" applyFont="1" applyFill="1" applyBorder="1" applyAlignment="1">
      <alignment horizontal="center" vertical="center"/>
    </xf>
    <xf numFmtId="14" fontId="51" fillId="41" borderId="25" xfId="1" quotePrefix="1" applyNumberFormat="1" applyFont="1" applyFill="1" applyBorder="1" applyAlignment="1">
      <alignment horizontal="center" vertical="center"/>
    </xf>
    <xf numFmtId="0" fontId="23" fillId="2" borderId="365" xfId="15" applyFill="1" applyBorder="1" applyAlignment="1">
      <alignment horizontal="left" vertical="center"/>
    </xf>
    <xf numFmtId="0" fontId="103" fillId="43" borderId="22" xfId="1" applyFont="1" applyFill="1" applyBorder="1" applyAlignment="1">
      <alignment horizontal="center" vertical="center"/>
    </xf>
    <xf numFmtId="0" fontId="23" fillId="2" borderId="8" xfId="15" applyFill="1" applyBorder="1" applyAlignment="1">
      <alignment horizontal="left" vertical="center"/>
    </xf>
    <xf numFmtId="0" fontId="23" fillId="20" borderId="8" xfId="15" applyFont="1" applyFill="1" applyBorder="1" applyAlignment="1">
      <alignment horizontal="left" vertical="center"/>
    </xf>
    <xf numFmtId="0" fontId="51" fillId="40" borderId="8" xfId="1" applyFont="1" applyFill="1" applyBorder="1" applyAlignment="1">
      <alignment horizontal="left" vertical="center"/>
    </xf>
    <xf numFmtId="0" fontId="23" fillId="41" borderId="79" xfId="15" applyFont="1" applyFill="1" applyBorder="1" applyAlignment="1">
      <alignment horizontal="left" vertical="center"/>
    </xf>
    <xf numFmtId="0" fontId="105" fillId="41" borderId="394" xfId="1" applyFont="1" applyFill="1" applyBorder="1" applyAlignment="1">
      <alignment horizontal="center" vertical="center"/>
    </xf>
    <xf numFmtId="0" fontId="105" fillId="3" borderId="2" xfId="1" applyFont="1" applyFill="1" applyBorder="1" applyAlignment="1">
      <alignment horizontal="center" vertical="center"/>
    </xf>
    <xf numFmtId="0" fontId="105" fillId="41" borderId="387" xfId="1" applyFont="1" applyFill="1" applyBorder="1" applyAlignment="1">
      <alignment horizontal="center" vertical="center"/>
    </xf>
    <xf numFmtId="3" fontId="48" fillId="41" borderId="74" xfId="1" applyNumberFormat="1" applyFont="1" applyFill="1" applyBorder="1" applyAlignment="1">
      <alignment horizontal="center" vertical="center"/>
    </xf>
    <xf numFmtId="3" fontId="149" fillId="43" borderId="74" xfId="1" applyNumberFormat="1" applyFont="1" applyFill="1" applyBorder="1" applyAlignment="1">
      <alignment horizontal="center" vertical="center"/>
    </xf>
    <xf numFmtId="3" fontId="113" fillId="41" borderId="25" xfId="1" applyNumberFormat="1" applyFont="1" applyFill="1" applyBorder="1" applyAlignment="1">
      <alignment horizontal="center" vertical="center"/>
    </xf>
    <xf numFmtId="3" fontId="70" fillId="9" borderId="74" xfId="1" applyNumberFormat="1" applyFont="1" applyFill="1" applyBorder="1" applyAlignment="1">
      <alignment horizontal="center" vertical="center"/>
    </xf>
    <xf numFmtId="3" fontId="51" fillId="40" borderId="57" xfId="1" applyNumberFormat="1" applyFont="1" applyFill="1" applyBorder="1" applyAlignment="1">
      <alignment horizontal="left" vertical="center"/>
    </xf>
    <xf numFmtId="3" fontId="98" fillId="41" borderId="74" xfId="1" applyNumberFormat="1" applyFont="1" applyFill="1" applyBorder="1" applyAlignment="1">
      <alignment horizontal="center" vertical="center"/>
    </xf>
    <xf numFmtId="3" fontId="51" fillId="41" borderId="358" xfId="1" applyNumberFormat="1" applyFont="1" applyFill="1" applyBorder="1" applyAlignment="1">
      <alignment horizontal="center" vertical="center"/>
    </xf>
    <xf numFmtId="3" fontId="2" fillId="41" borderId="25" xfId="1" applyNumberFormat="1" applyFont="1" applyFill="1" applyBorder="1" applyAlignment="1">
      <alignment horizontal="center" vertical="center"/>
    </xf>
    <xf numFmtId="3" fontId="51" fillId="40" borderId="57" xfId="1" applyNumberFormat="1" applyFont="1" applyFill="1" applyBorder="1" applyAlignment="1">
      <alignment horizontal="center" vertical="center"/>
    </xf>
    <xf numFmtId="0" fontId="98" fillId="41" borderId="66" xfId="1" applyFont="1" applyFill="1" applyBorder="1" applyAlignment="1">
      <alignment horizontal="center" vertical="center"/>
    </xf>
    <xf numFmtId="0" fontId="2" fillId="40" borderId="57" xfId="1" applyFont="1" applyFill="1" applyBorder="1" applyAlignment="1">
      <alignment horizontal="center" vertical="center"/>
    </xf>
    <xf numFmtId="172" fontId="2" fillId="40" borderId="351" xfId="1" applyNumberFormat="1" applyFont="1" applyFill="1" applyBorder="1" applyAlignment="1">
      <alignment horizontal="center" vertical="center"/>
    </xf>
    <xf numFmtId="172" fontId="51" fillId="41" borderId="107" xfId="1" applyNumberFormat="1" applyFont="1" applyFill="1" applyBorder="1" applyAlignment="1">
      <alignment horizontal="center" vertical="center"/>
    </xf>
    <xf numFmtId="14" fontId="51" fillId="40" borderId="57" xfId="1" applyNumberFormat="1" applyFont="1" applyFill="1" applyBorder="1" applyAlignment="1">
      <alignment horizontal="center" vertical="center"/>
    </xf>
    <xf numFmtId="14" fontId="51" fillId="41" borderId="107" xfId="1" applyNumberFormat="1" applyFont="1" applyFill="1" applyBorder="1" applyAlignment="1">
      <alignment horizontal="center" vertical="center"/>
    </xf>
    <xf numFmtId="3" fontId="2" fillId="13" borderId="352" xfId="1" applyNumberFormat="1" applyFont="1" applyFill="1" applyBorder="1" applyAlignment="1">
      <alignment horizontal="center" vertical="center"/>
    </xf>
    <xf numFmtId="3" fontId="2" fillId="13" borderId="351" xfId="1" applyNumberFormat="1" applyFont="1" applyFill="1" applyBorder="1" applyAlignment="1">
      <alignment horizontal="left" vertical="center"/>
    </xf>
    <xf numFmtId="0" fontId="2" fillId="13" borderId="351" xfId="1" applyFont="1" applyFill="1" applyBorder="1" applyAlignment="1">
      <alignment horizontal="center" vertical="center"/>
    </xf>
    <xf numFmtId="172" fontId="2" fillId="13" borderId="351" xfId="1" applyNumberFormat="1" applyFont="1" applyFill="1" applyBorder="1" applyAlignment="1">
      <alignment horizontal="center" vertical="center"/>
    </xf>
    <xf numFmtId="14" fontId="2" fillId="13" borderId="351" xfId="1" applyNumberFormat="1" applyFont="1" applyFill="1" applyBorder="1" applyAlignment="1">
      <alignment horizontal="center" vertical="center"/>
    </xf>
    <xf numFmtId="0" fontId="142" fillId="13" borderId="265" xfId="1" applyFont="1" applyFill="1" applyBorder="1" applyAlignment="1">
      <alignment horizontal="center" vertical="center"/>
    </xf>
    <xf numFmtId="0" fontId="97" fillId="12" borderId="4" xfId="15" applyFont="1" applyFill="1" applyBorder="1" applyAlignment="1">
      <alignment horizontal="left" vertical="center"/>
    </xf>
    <xf numFmtId="0" fontId="106" fillId="13" borderId="352" xfId="1" applyFont="1" applyFill="1" applyBorder="1" applyAlignment="1">
      <alignment horizontal="center"/>
    </xf>
    <xf numFmtId="0" fontId="106" fillId="12" borderId="19" xfId="1" applyFont="1" applyFill="1" applyBorder="1" applyAlignment="1">
      <alignment horizontal="center"/>
    </xf>
    <xf numFmtId="0" fontId="105" fillId="12" borderId="19" xfId="1" applyFont="1" applyFill="1" applyBorder="1" applyAlignment="1">
      <alignment horizontal="center" vertical="center"/>
    </xf>
    <xf numFmtId="166" fontId="95" fillId="12" borderId="311" xfId="1" applyNumberFormat="1" applyFont="1" applyFill="1" applyBorder="1" applyAlignment="1">
      <alignment horizontal="center" vertical="center"/>
    </xf>
    <xf numFmtId="166" fontId="41" fillId="12" borderId="311" xfId="1" applyNumberFormat="1" applyFont="1" applyFill="1" applyBorder="1" applyAlignment="1">
      <alignment horizontal="center" vertical="center"/>
    </xf>
    <xf numFmtId="3" fontId="2" fillId="12" borderId="183" xfId="1" applyNumberFormat="1" applyFont="1" applyFill="1" applyBorder="1" applyAlignment="1">
      <alignment horizontal="right" vertical="center"/>
    </xf>
    <xf numFmtId="3" fontId="149" fillId="12" borderId="183" xfId="1" applyNumberFormat="1" applyFont="1" applyFill="1" applyBorder="1" applyAlignment="1">
      <alignment horizontal="center" vertical="center"/>
    </xf>
    <xf numFmtId="3" fontId="51" fillId="12" borderId="19" xfId="1" applyNumberFormat="1" applyFont="1" applyFill="1" applyBorder="1" applyAlignment="1">
      <alignment horizontal="center" vertical="center"/>
    </xf>
    <xf numFmtId="3" fontId="70" fillId="12" borderId="19" xfId="1" applyNumberFormat="1" applyFont="1" applyFill="1" applyBorder="1" applyAlignment="1">
      <alignment horizontal="center" vertical="center"/>
    </xf>
    <xf numFmtId="3" fontId="70" fillId="12" borderId="183" xfId="1" applyNumberFormat="1" applyFont="1" applyFill="1" applyBorder="1" applyAlignment="1">
      <alignment horizontal="center" vertical="center"/>
    </xf>
    <xf numFmtId="3" fontId="48" fillId="12" borderId="183" xfId="1" applyNumberFormat="1" applyFont="1" applyFill="1" applyBorder="1" applyAlignment="1">
      <alignment horizontal="center" vertical="center"/>
    </xf>
    <xf numFmtId="3" fontId="101" fillId="12" borderId="183" xfId="1" applyNumberFormat="1" applyFont="1" applyFill="1" applyBorder="1" applyAlignment="1">
      <alignment horizontal="center" vertical="center"/>
    </xf>
    <xf numFmtId="0" fontId="103" fillId="33" borderId="265" xfId="1" applyFont="1" applyFill="1" applyBorder="1" applyAlignment="1">
      <alignment horizontal="center" vertical="center"/>
    </xf>
    <xf numFmtId="0" fontId="99" fillId="31" borderId="365" xfId="15" applyFont="1" applyFill="1" applyBorder="1" applyAlignment="1">
      <alignment horizontal="left" vertical="center"/>
    </xf>
    <xf numFmtId="0" fontId="106" fillId="31" borderId="103" xfId="1" applyFont="1" applyFill="1" applyBorder="1" applyAlignment="1">
      <alignment horizontal="center"/>
    </xf>
    <xf numFmtId="3" fontId="149" fillId="32" borderId="358" xfId="1" applyNumberFormat="1" applyFont="1" applyFill="1" applyBorder="1" applyAlignment="1">
      <alignment horizontal="center" vertical="center"/>
    </xf>
    <xf numFmtId="3" fontId="48" fillId="33" borderId="275" xfId="1" applyNumberFormat="1" applyFont="1" applyFill="1" applyBorder="1" applyAlignment="1">
      <alignment horizontal="center" vertical="center"/>
    </xf>
    <xf numFmtId="0" fontId="98" fillId="30" borderId="357" xfId="1" applyFont="1" applyFill="1" applyBorder="1" applyAlignment="1">
      <alignment horizontal="center" vertical="center"/>
    </xf>
    <xf numFmtId="0" fontId="98" fillId="32" borderId="358" xfId="1" applyFont="1" applyFill="1" applyBorder="1" applyAlignment="1">
      <alignment horizontal="center" vertical="center"/>
    </xf>
    <xf numFmtId="172" fontId="2" fillId="32" borderId="358" xfId="1" applyNumberFormat="1" applyFont="1" applyFill="1" applyBorder="1" applyAlignment="1">
      <alignment horizontal="center" vertical="center"/>
    </xf>
    <xf numFmtId="3" fontId="16" fillId="0" borderId="0" xfId="1" applyNumberFormat="1" applyFont="1" applyFill="1" applyBorder="1" applyAlignment="1">
      <alignment horizontal="center"/>
    </xf>
    <xf numFmtId="3" fontId="48" fillId="0" borderId="0" xfId="1" applyNumberFormat="1" applyFont="1" applyFill="1" applyBorder="1" applyAlignment="1">
      <alignment horizontal="center" vertical="center" wrapText="1"/>
    </xf>
    <xf numFmtId="0" fontId="84" fillId="0" borderId="0" xfId="0" applyFont="1" applyAlignment="1">
      <alignment horizontal="center" wrapText="1"/>
    </xf>
    <xf numFmtId="0" fontId="80" fillId="0" borderId="0" xfId="1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44" fillId="0" borderId="15" xfId="1" applyFont="1" applyFill="1" applyBorder="1" applyAlignment="1">
      <alignment horizontal="center" vertical="center" wrapText="1"/>
    </xf>
    <xf numFmtId="0" fontId="44" fillId="0" borderId="279" xfId="1" applyFont="1" applyFill="1" applyBorder="1" applyAlignment="1">
      <alignment horizontal="center" vertical="center" wrapText="1"/>
    </xf>
    <xf numFmtId="0" fontId="44" fillId="0" borderId="322" xfId="1" applyFont="1" applyFill="1" applyBorder="1" applyAlignment="1">
      <alignment horizontal="center" vertical="center" wrapText="1"/>
    </xf>
    <xf numFmtId="0" fontId="83" fillId="0" borderId="15" xfId="1" applyFont="1" applyFill="1" applyBorder="1" applyAlignment="1">
      <alignment horizontal="center" vertical="center" wrapText="1"/>
    </xf>
    <xf numFmtId="0" fontId="48" fillId="0" borderId="66" xfId="1" applyFont="1" applyBorder="1" applyAlignment="1">
      <alignment horizontal="center" vertical="center" wrapText="1"/>
    </xf>
    <xf numFmtId="0" fontId="48" fillId="0" borderId="57" xfId="1" applyFont="1" applyBorder="1" applyAlignment="1">
      <alignment horizontal="center" vertical="center" wrapText="1"/>
    </xf>
    <xf numFmtId="0" fontId="44" fillId="0" borderId="14" xfId="1" applyFont="1" applyFill="1" applyBorder="1" applyAlignment="1">
      <alignment horizontal="center" vertical="center"/>
    </xf>
    <xf numFmtId="0" fontId="44" fillId="0" borderId="13" xfId="1" applyFont="1" applyFill="1" applyBorder="1" applyAlignment="1">
      <alignment horizontal="center" vertical="center"/>
    </xf>
    <xf numFmtId="166" fontId="44" fillId="0" borderId="16" xfId="1" applyNumberFormat="1" applyFont="1" applyFill="1" applyBorder="1" applyAlignment="1">
      <alignment horizontal="center" vertical="center" wrapText="1"/>
    </xf>
    <xf numFmtId="0" fontId="121" fillId="0" borderId="104" xfId="0" applyFont="1" applyBorder="1" applyAlignment="1">
      <alignment horizontal="center" vertical="center" wrapText="1"/>
    </xf>
    <xf numFmtId="0" fontId="121" fillId="0" borderId="21" xfId="0" applyFont="1" applyBorder="1" applyAlignment="1">
      <alignment horizontal="center" vertical="center" wrapText="1"/>
    </xf>
    <xf numFmtId="166" fontId="44" fillId="0" borderId="15" xfId="1" applyNumberFormat="1" applyFont="1" applyFill="1" applyBorder="1" applyAlignment="1">
      <alignment horizontal="center" vertical="center" wrapText="1"/>
    </xf>
    <xf numFmtId="166" fontId="41" fillId="0" borderId="15" xfId="1" applyNumberFormat="1" applyFont="1" applyFill="1" applyBorder="1" applyAlignment="1">
      <alignment horizontal="center" vertical="center" wrapText="1"/>
    </xf>
    <xf numFmtId="0" fontId="48" fillId="0" borderId="65" xfId="1" applyFont="1" applyBorder="1" applyAlignment="1">
      <alignment horizontal="center" vertical="center" wrapText="1"/>
    </xf>
    <xf numFmtId="0" fontId="31" fillId="0" borderId="0" xfId="1" applyFont="1" applyFill="1" applyBorder="1" applyAlignment="1">
      <alignment horizontal="center" vertical="center" shrinkToFit="1"/>
    </xf>
    <xf numFmtId="3" fontId="16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44" fillId="0" borderId="324" xfId="1" applyFont="1" applyFill="1" applyBorder="1" applyAlignment="1">
      <alignment horizontal="center" vertical="center" wrapText="1"/>
    </xf>
    <xf numFmtId="0" fontId="48" fillId="0" borderId="324" xfId="1" applyFont="1" applyBorder="1" applyAlignment="1">
      <alignment horizontal="center" vertical="center" wrapText="1"/>
    </xf>
    <xf numFmtId="0" fontId="48" fillId="0" borderId="322" xfId="1" applyFont="1" applyBorder="1" applyAlignment="1">
      <alignment horizontal="center" vertical="center" wrapText="1"/>
    </xf>
    <xf numFmtId="0" fontId="48" fillId="0" borderId="328" xfId="1" applyFont="1" applyBorder="1" applyAlignment="1">
      <alignment horizontal="center" vertical="center" wrapText="1"/>
    </xf>
    <xf numFmtId="0" fontId="121" fillId="0" borderId="283" xfId="0" applyFont="1" applyBorder="1" applyAlignment="1">
      <alignment horizontal="center" vertical="center" wrapText="1"/>
    </xf>
    <xf numFmtId="0" fontId="121" fillId="0" borderId="330" xfId="0" applyFont="1" applyBorder="1" applyAlignment="1">
      <alignment horizontal="center" vertical="center" wrapText="1"/>
    </xf>
    <xf numFmtId="0" fontId="160" fillId="0" borderId="67" xfId="1" applyFont="1" applyFill="1" applyBorder="1" applyAlignment="1">
      <alignment horizontal="left" vertical="center"/>
    </xf>
    <xf numFmtId="0" fontId="161" fillId="0" borderId="67" xfId="0" applyFont="1" applyBorder="1" applyAlignment="1">
      <alignment horizontal="left" vertical="center"/>
    </xf>
    <xf numFmtId="0" fontId="154" fillId="0" borderId="389" xfId="1" applyFont="1" applyFill="1" applyBorder="1" applyAlignment="1">
      <alignment horizontal="center" vertical="center" wrapText="1"/>
    </xf>
    <xf numFmtId="0" fontId="102" fillId="0" borderId="351" xfId="0" applyFont="1" applyBorder="1" applyAlignment="1">
      <alignment vertical="center" wrapText="1"/>
    </xf>
    <xf numFmtId="0" fontId="102" fillId="0" borderId="328" xfId="0" applyFont="1" applyBorder="1" applyAlignment="1">
      <alignment vertical="center" wrapText="1"/>
    </xf>
    <xf numFmtId="0" fontId="158" fillId="0" borderId="383" xfId="1" applyFont="1" applyFill="1" applyBorder="1" applyAlignment="1">
      <alignment horizontal="center" vertical="center" wrapText="1"/>
    </xf>
    <xf numFmtId="0" fontId="132" fillId="0" borderId="347" xfId="0" applyFont="1" applyBorder="1" applyAlignment="1">
      <alignment horizontal="center" vertical="center" wrapText="1"/>
    </xf>
    <xf numFmtId="0" fontId="132" fillId="0" borderId="384" xfId="0" applyFont="1" applyBorder="1" applyAlignment="1">
      <alignment horizontal="center" vertical="center" wrapText="1"/>
    </xf>
    <xf numFmtId="0" fontId="102" fillId="0" borderId="390" xfId="0" applyFont="1" applyBorder="1" applyAlignment="1">
      <alignment vertical="center" wrapText="1"/>
    </xf>
    <xf numFmtId="0" fontId="101" fillId="0" borderId="67" xfId="1" applyFont="1" applyFill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3" fontId="16" fillId="0" borderId="0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58" fillId="0" borderId="395" xfId="1" applyFont="1" applyFill="1" applyBorder="1" applyAlignment="1">
      <alignment horizontal="center" vertical="center" wrapText="1"/>
    </xf>
    <xf numFmtId="0" fontId="132" fillId="0" borderId="345" xfId="0" applyFont="1" applyBorder="1" applyAlignment="1">
      <alignment horizontal="center" vertical="center" wrapText="1"/>
    </xf>
    <xf numFmtId="0" fontId="0" fillId="0" borderId="381" xfId="0" applyBorder="1" applyAlignment="1">
      <alignment vertical="center" wrapText="1"/>
    </xf>
    <xf numFmtId="0" fontId="168" fillId="0" borderId="328" xfId="0" applyFont="1" applyBorder="1" applyAlignment="1">
      <alignment vertical="center" wrapText="1"/>
    </xf>
    <xf numFmtId="3" fontId="53" fillId="0" borderId="86" xfId="1" applyNumberFormat="1" applyFont="1" applyFill="1" applyBorder="1" applyAlignment="1">
      <alignment horizontal="center" vertical="center"/>
    </xf>
    <xf numFmtId="3" fontId="53" fillId="0" borderId="87" xfId="1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3" fontId="53" fillId="0" borderId="1" xfId="1" applyNumberFormat="1" applyFont="1" applyFill="1" applyBorder="1" applyAlignment="1">
      <alignment horizontal="center" vertical="center"/>
    </xf>
    <xf numFmtId="0" fontId="3" fillId="0" borderId="44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7" fontId="3" fillId="0" borderId="88" xfId="1" applyNumberFormat="1" applyFont="1" applyFill="1" applyBorder="1" applyAlignment="1">
      <alignment horizontal="center" vertical="center"/>
    </xf>
    <xf numFmtId="0" fontId="132" fillId="0" borderId="86" xfId="0" applyFont="1" applyBorder="1" applyAlignment="1">
      <alignment horizontal="center" vertical="center"/>
    </xf>
    <xf numFmtId="0" fontId="3" fillId="0" borderId="172" xfId="1" applyFont="1" applyFill="1" applyBorder="1" applyAlignment="1">
      <alignment horizontal="center" vertical="center"/>
    </xf>
    <xf numFmtId="3" fontId="53" fillId="0" borderId="0" xfId="1" applyNumberFormat="1" applyFont="1" applyFill="1" applyBorder="1" applyAlignment="1">
      <alignment horizontal="center" vertical="center"/>
    </xf>
    <xf numFmtId="3" fontId="3" fillId="0" borderId="49" xfId="1" applyNumberFormat="1" applyFont="1" applyFill="1" applyBorder="1" applyAlignment="1">
      <alignment horizontal="left" vertical="center"/>
    </xf>
    <xf numFmtId="0" fontId="52" fillId="0" borderId="50" xfId="1" applyFont="1" applyBorder="1" applyAlignment="1">
      <alignment vertical="center"/>
    </xf>
    <xf numFmtId="0" fontId="52" fillId="0" borderId="48" xfId="1" applyFont="1" applyBorder="1" applyAlignment="1">
      <alignment vertical="center"/>
    </xf>
    <xf numFmtId="3" fontId="3" fillId="0" borderId="0" xfId="1" applyNumberFormat="1" applyFont="1" applyFill="1" applyBorder="1" applyAlignment="1">
      <alignment horizontal="left" vertical="center"/>
    </xf>
    <xf numFmtId="0" fontId="52" fillId="0" borderId="0" xfId="1" applyFont="1" applyFill="1" applyBorder="1" applyAlignment="1">
      <alignment vertical="center"/>
    </xf>
    <xf numFmtId="0" fontId="3" fillId="0" borderId="48" xfId="1" applyFont="1" applyFill="1" applyBorder="1" applyAlignment="1">
      <alignment horizontal="center" vertical="center"/>
    </xf>
    <xf numFmtId="3" fontId="3" fillId="0" borderId="148" xfId="1" applyNumberFormat="1" applyFont="1" applyFill="1" applyBorder="1" applyAlignment="1">
      <alignment horizontal="left" vertical="center"/>
    </xf>
    <xf numFmtId="0" fontId="48" fillId="0" borderId="40" xfId="1" applyFont="1" applyFill="1" applyBorder="1" applyAlignment="1">
      <alignment horizontal="center" vertical="center"/>
    </xf>
    <xf numFmtId="0" fontId="2" fillId="0" borderId="52" xfId="1" applyBorder="1" applyAlignment="1">
      <alignment horizontal="center" vertical="center"/>
    </xf>
    <xf numFmtId="0" fontId="2" fillId="0" borderId="126" xfId="1" applyBorder="1" applyAlignment="1">
      <alignment horizontal="center" vertical="center"/>
    </xf>
    <xf numFmtId="0" fontId="2" fillId="0" borderId="96" xfId="1" applyBorder="1" applyAlignment="1">
      <alignment horizontal="center" vertical="center"/>
    </xf>
    <xf numFmtId="0" fontId="86" fillId="0" borderId="0" xfId="1" applyFont="1" applyFill="1" applyBorder="1" applyAlignment="1">
      <alignment horizontal="center" vertical="center"/>
    </xf>
    <xf numFmtId="0" fontId="48" fillId="22" borderId="124" xfId="1" applyFont="1" applyFill="1" applyBorder="1" applyAlignment="1">
      <alignment horizontal="center" vertical="center"/>
    </xf>
    <xf numFmtId="0" fontId="2" fillId="0" borderId="72" xfId="1" applyBorder="1" applyAlignment="1">
      <alignment horizontal="center" vertical="center"/>
    </xf>
    <xf numFmtId="0" fontId="48" fillId="0" borderId="124" xfId="1" applyFont="1" applyFill="1" applyBorder="1" applyAlignment="1">
      <alignment horizontal="center" vertical="center"/>
    </xf>
    <xf numFmtId="0" fontId="2" fillId="0" borderId="79" xfId="1" applyBorder="1" applyAlignment="1">
      <alignment horizontal="center" vertical="center"/>
    </xf>
    <xf numFmtId="0" fontId="2" fillId="0" borderId="121" xfId="1" applyBorder="1" applyAlignment="1">
      <alignment horizontal="center" vertical="center"/>
    </xf>
    <xf numFmtId="0" fontId="92" fillId="0" borderId="67" xfId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93" fillId="0" borderId="67" xfId="15" applyFont="1" applyFill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48" fillId="22" borderId="40" xfId="1" applyFont="1" applyFill="1" applyBorder="1" applyAlignment="1">
      <alignment horizontal="center" vertical="center"/>
    </xf>
    <xf numFmtId="0" fontId="88" fillId="0" borderId="67" xfId="1" applyFont="1" applyFill="1" applyBorder="1" applyAlignment="1">
      <alignment horizontal="center" vertical="center" wrapText="1"/>
    </xf>
    <xf numFmtId="0" fontId="89" fillId="0" borderId="0" xfId="1" applyFont="1" applyAlignment="1">
      <alignment horizontal="center" vertical="center" wrapText="1"/>
    </xf>
    <xf numFmtId="0" fontId="89" fillId="0" borderId="67" xfId="1" applyFont="1" applyBorder="1" applyAlignment="1">
      <alignment horizontal="center" vertical="center" wrapText="1"/>
    </xf>
    <xf numFmtId="0" fontId="142" fillId="53" borderId="26" xfId="1" applyFont="1" applyFill="1" applyBorder="1" applyAlignment="1">
      <alignment horizontal="center" vertical="center"/>
    </xf>
    <xf numFmtId="0" fontId="142" fillId="47" borderId="17" xfId="1" applyFont="1" applyFill="1" applyBorder="1" applyAlignment="1">
      <alignment horizontal="center" vertical="center"/>
    </xf>
    <xf numFmtId="0" fontId="143" fillId="47" borderId="32" xfId="1" applyFont="1" applyFill="1" applyBorder="1" applyAlignment="1">
      <alignment horizontal="center" vertical="center"/>
    </xf>
    <xf numFmtId="0" fontId="103" fillId="28" borderId="26" xfId="1" applyFont="1" applyFill="1" applyBorder="1" applyAlignment="1">
      <alignment horizontal="center" vertical="center"/>
    </xf>
    <xf numFmtId="0" fontId="142" fillId="32" borderId="22" xfId="1" applyFont="1" applyFill="1" applyBorder="1" applyAlignment="1">
      <alignment horizontal="center" vertical="center"/>
    </xf>
    <xf numFmtId="0" fontId="103" fillId="47" borderId="26" xfId="1" applyFont="1" applyFill="1" applyBorder="1" applyAlignment="1">
      <alignment horizontal="center" vertical="center"/>
    </xf>
    <xf numFmtId="0" fontId="103" fillId="48" borderId="17" xfId="1" applyFont="1" applyFill="1" applyBorder="1" applyAlignment="1">
      <alignment horizontal="center" vertical="center"/>
    </xf>
    <xf numFmtId="0" fontId="143" fillId="47" borderId="17" xfId="1" applyFont="1" applyFill="1" applyBorder="1" applyAlignment="1">
      <alignment horizontal="center" vertical="center"/>
    </xf>
    <xf numFmtId="0" fontId="103" fillId="44" borderId="22" xfId="1" applyFont="1" applyFill="1" applyBorder="1" applyAlignment="1">
      <alignment horizontal="center" vertical="center"/>
    </xf>
    <xf numFmtId="0" fontId="103" fillId="51" borderId="17" xfId="1" applyFont="1" applyFill="1" applyBorder="1" applyAlignment="1">
      <alignment horizontal="center" vertical="center"/>
    </xf>
    <xf numFmtId="0" fontId="103" fillId="34" borderId="26" xfId="1" applyFont="1" applyFill="1" applyBorder="1" applyAlignment="1">
      <alignment horizontal="center" vertical="center"/>
    </xf>
    <xf numFmtId="0" fontId="142" fillId="30" borderId="265" xfId="1" applyFont="1" applyFill="1" applyBorder="1" applyAlignment="1">
      <alignment horizontal="center" vertical="center"/>
    </xf>
    <xf numFmtId="0" fontId="103" fillId="31" borderId="265" xfId="1" applyFont="1" applyFill="1" applyBorder="1" applyAlignment="1">
      <alignment horizontal="center" vertical="center"/>
    </xf>
    <xf numFmtId="0" fontId="142" fillId="48" borderId="367" xfId="1" applyFont="1" applyFill="1" applyBorder="1" applyAlignment="1">
      <alignment horizontal="center" vertical="center"/>
    </xf>
    <xf numFmtId="0" fontId="142" fillId="47" borderId="265" xfId="1" applyFont="1" applyFill="1" applyBorder="1" applyAlignment="1">
      <alignment horizontal="center" vertical="center"/>
    </xf>
    <xf numFmtId="0" fontId="142" fillId="32" borderId="367" xfId="1" applyFont="1" applyFill="1" applyBorder="1" applyAlignment="1">
      <alignment horizontal="center" vertical="center"/>
    </xf>
    <xf numFmtId="0" fontId="142" fillId="48" borderId="17" xfId="1" applyFont="1" applyFill="1" applyBorder="1" applyAlignment="1">
      <alignment horizontal="center" vertical="center"/>
    </xf>
    <xf numFmtId="0" fontId="103" fillId="47" borderId="308" xfId="1" applyFont="1" applyFill="1" applyBorder="1" applyAlignment="1">
      <alignment horizontal="center" vertical="center"/>
    </xf>
    <xf numFmtId="0" fontId="103" fillId="30" borderId="308" xfId="1" applyFont="1" applyFill="1" applyBorder="1" applyAlignment="1">
      <alignment horizontal="center" vertical="center"/>
    </xf>
    <xf numFmtId="0" fontId="103" fillId="47" borderId="81" xfId="1" applyFont="1" applyFill="1" applyBorder="1" applyAlignment="1">
      <alignment horizontal="center" vertical="center"/>
    </xf>
    <xf numFmtId="0" fontId="142" fillId="32" borderId="29" xfId="1" applyFont="1" applyFill="1" applyBorder="1" applyAlignment="1">
      <alignment horizontal="center" vertical="center"/>
    </xf>
    <xf numFmtId="0" fontId="103" fillId="47" borderId="29" xfId="1" applyFont="1" applyFill="1" applyBorder="1" applyAlignment="1">
      <alignment horizontal="center" vertical="center"/>
    </xf>
    <xf numFmtId="0" fontId="142" fillId="52" borderId="367" xfId="1" applyFont="1" applyFill="1" applyBorder="1" applyAlignment="1">
      <alignment horizontal="center" vertical="center"/>
    </xf>
    <xf numFmtId="0" fontId="142" fillId="45" borderId="367" xfId="1" applyFont="1" applyFill="1" applyBorder="1" applyAlignment="1">
      <alignment horizontal="center" vertical="center"/>
    </xf>
    <xf numFmtId="0" fontId="103" fillId="3" borderId="29" xfId="1" applyFont="1" applyFill="1" applyBorder="1" applyAlignment="1">
      <alignment horizontal="center" vertical="center"/>
    </xf>
    <xf numFmtId="0" fontId="142" fillId="44" borderId="17" xfId="1" applyFont="1" applyFill="1" applyBorder="1" applyAlignment="1">
      <alignment horizontal="center" vertical="center"/>
    </xf>
    <xf numFmtId="0" fontId="142" fillId="41" borderId="29" xfId="1" applyFont="1" applyFill="1" applyBorder="1" applyAlignment="1">
      <alignment horizontal="center" vertical="center"/>
    </xf>
    <xf numFmtId="0" fontId="142" fillId="40" borderId="265" xfId="1" applyFont="1" applyFill="1" applyBorder="1" applyAlignment="1">
      <alignment horizontal="center" vertical="center"/>
    </xf>
    <xf numFmtId="0" fontId="103" fillId="43" borderId="265" xfId="1" applyFont="1" applyFill="1" applyBorder="1" applyAlignment="1">
      <alignment horizontal="center" vertical="center"/>
    </xf>
    <xf numFmtId="0" fontId="23" fillId="5" borderId="8" xfId="15" applyFill="1" applyBorder="1" applyAlignment="1">
      <alignment horizontal="left" vertical="center"/>
    </xf>
    <xf numFmtId="0" fontId="102" fillId="5" borderId="0" xfId="1" applyFont="1" applyFill="1" applyBorder="1" applyAlignment="1">
      <alignment horizontal="left" vertical="center"/>
    </xf>
    <xf numFmtId="0" fontId="23" fillId="53" borderId="0" xfId="15" applyFont="1" applyFill="1" applyBorder="1" applyAlignment="1">
      <alignment horizontal="left" vertical="center"/>
    </xf>
    <xf numFmtId="166" fontId="23" fillId="30" borderId="0" xfId="15" applyNumberFormat="1" applyFill="1" applyBorder="1" applyAlignment="1">
      <alignment horizontal="left" vertical="center"/>
    </xf>
    <xf numFmtId="0" fontId="51" fillId="30" borderId="4" xfId="1" applyFont="1" applyFill="1" applyBorder="1" applyAlignment="1">
      <alignment horizontal="left" vertical="center"/>
    </xf>
    <xf numFmtId="0" fontId="23" fillId="47" borderId="0" xfId="15" applyFont="1" applyFill="1" applyBorder="1" applyAlignment="1">
      <alignment horizontal="left" vertical="center"/>
    </xf>
    <xf numFmtId="0" fontId="23" fillId="33" borderId="8" xfId="15" applyFont="1" applyFill="1" applyBorder="1" applyAlignment="1">
      <alignment horizontal="left" vertical="center"/>
    </xf>
    <xf numFmtId="0" fontId="2" fillId="33" borderId="0" xfId="1" applyFont="1" applyFill="1" applyBorder="1" applyAlignment="1">
      <alignment horizontal="left" vertical="center"/>
    </xf>
    <xf numFmtId="0" fontId="23" fillId="28" borderId="4" xfId="15" applyFont="1" applyFill="1" applyBorder="1" applyAlignment="1">
      <alignment horizontal="left" vertical="center"/>
    </xf>
    <xf numFmtId="0" fontId="99" fillId="2" borderId="8" xfId="15" applyFont="1" applyFill="1" applyBorder="1" applyAlignment="1">
      <alignment horizontal="left" vertical="center"/>
    </xf>
    <xf numFmtId="0" fontId="51" fillId="33" borderId="4" xfId="1" applyFont="1" applyFill="1" applyBorder="1" applyAlignment="1">
      <alignment horizontal="left" vertical="center"/>
    </xf>
    <xf numFmtId="0" fontId="23" fillId="48" borderId="0" xfId="15" applyFont="1" applyFill="1" applyBorder="1" applyAlignment="1">
      <alignment horizontal="left" vertical="center"/>
    </xf>
    <xf numFmtId="0" fontId="23" fillId="11" borderId="0" xfId="15" applyFill="1" applyBorder="1" applyAlignment="1">
      <alignment horizontal="left" vertical="center"/>
    </xf>
    <xf numFmtId="0" fontId="99" fillId="33" borderId="4" xfId="15" applyFont="1" applyFill="1" applyBorder="1" applyAlignment="1">
      <alignment horizontal="left" vertical="center"/>
    </xf>
    <xf numFmtId="0" fontId="23" fillId="40" borderId="4" xfId="15" applyFont="1" applyFill="1" applyBorder="1" applyAlignment="1" applyProtection="1">
      <alignment horizontal="left" vertical="center"/>
      <protection locked="0"/>
    </xf>
    <xf numFmtId="0" fontId="23" fillId="20" borderId="4" xfId="15" applyFont="1" applyFill="1" applyBorder="1" applyAlignment="1">
      <alignment horizontal="left" vertical="center"/>
    </xf>
    <xf numFmtId="0" fontId="23" fillId="41" borderId="8" xfId="15" applyFont="1" applyFill="1" applyBorder="1" applyAlignment="1">
      <alignment horizontal="left" vertical="center"/>
    </xf>
    <xf numFmtId="0" fontId="99" fillId="46" borderId="8" xfId="15" applyFont="1" applyFill="1" applyBorder="1" applyAlignment="1">
      <alignment horizontal="left" vertical="center"/>
    </xf>
    <xf numFmtId="0" fontId="97" fillId="41" borderId="4" xfId="1" applyFont="1" applyFill="1" applyBorder="1" applyAlignment="1">
      <alignment horizontal="left" vertical="center"/>
    </xf>
    <xf numFmtId="0" fontId="23" fillId="43" borderId="8" xfId="15" applyFont="1" applyFill="1" applyBorder="1" applyAlignment="1">
      <alignment horizontal="left" vertical="center"/>
    </xf>
    <xf numFmtId="0" fontId="97" fillId="51" borderId="0" xfId="1" applyFont="1" applyFill="1" applyBorder="1" applyAlignment="1">
      <alignment horizontal="left" vertical="center"/>
    </xf>
    <xf numFmtId="0" fontId="99" fillId="35" borderId="4" xfId="15" applyFont="1" applyFill="1" applyBorder="1" applyAlignment="1">
      <alignment horizontal="left" vertical="center"/>
    </xf>
    <xf numFmtId="0" fontId="115" fillId="34" borderId="4" xfId="15" applyFont="1" applyFill="1" applyBorder="1" applyAlignment="1">
      <alignment horizontal="left" vertical="center"/>
    </xf>
    <xf numFmtId="0" fontId="115" fillId="36" borderId="0" xfId="15" applyFont="1" applyFill="1" applyBorder="1" applyAlignment="1">
      <alignment horizontal="left" vertical="center"/>
    </xf>
    <xf numFmtId="0" fontId="23" fillId="34" borderId="4" xfId="15" applyFont="1" applyFill="1" applyBorder="1" applyAlignment="1">
      <alignment horizontal="left" vertical="center"/>
    </xf>
    <xf numFmtId="0" fontId="23" fillId="35" borderId="8" xfId="15" applyFont="1" applyFill="1" applyBorder="1" applyAlignment="1">
      <alignment horizontal="left" vertical="center"/>
    </xf>
    <xf numFmtId="0" fontId="97" fillId="36" borderId="4" xfId="1" applyFont="1" applyFill="1" applyBorder="1" applyAlignment="1">
      <alignment horizontal="left" vertical="center"/>
    </xf>
    <xf numFmtId="0" fontId="2" fillId="35" borderId="8" xfId="15" applyFont="1" applyFill="1" applyBorder="1" applyAlignment="1">
      <alignment horizontal="left" vertical="center"/>
    </xf>
    <xf numFmtId="0" fontId="122" fillId="25" borderId="0" xfId="1" applyFont="1" applyFill="1" applyBorder="1" applyAlignment="1">
      <alignment horizontal="left" vertical="center"/>
    </xf>
    <xf numFmtId="166" fontId="23" fillId="5" borderId="0" xfId="15" applyNumberFormat="1" applyFill="1" applyBorder="1" applyAlignment="1">
      <alignment horizontal="left" vertical="center"/>
    </xf>
    <xf numFmtId="0" fontId="94" fillId="3" borderId="393" xfId="15" applyFont="1" applyFill="1" applyBorder="1" applyAlignment="1">
      <alignment horizontal="left" vertical="center"/>
    </xf>
    <xf numFmtId="0" fontId="2" fillId="30" borderId="70" xfId="15" applyFont="1" applyFill="1" applyBorder="1" applyAlignment="1">
      <alignment horizontal="left" vertical="center"/>
    </xf>
    <xf numFmtId="0" fontId="23" fillId="2" borderId="266" xfId="15" applyFill="1" applyBorder="1" applyAlignment="1">
      <alignment horizontal="left" vertical="center"/>
    </xf>
    <xf numFmtId="0" fontId="23" fillId="2" borderId="393" xfId="15" applyFont="1" applyFill="1" applyBorder="1" applyAlignment="1">
      <alignment horizontal="left" vertical="center"/>
    </xf>
    <xf numFmtId="0" fontId="23" fillId="31" borderId="266" xfId="15" applyFont="1" applyFill="1" applyBorder="1" applyAlignment="1">
      <alignment horizontal="left" vertical="center"/>
    </xf>
    <xf numFmtId="0" fontId="99" fillId="32" borderId="365" xfId="15" applyFont="1" applyFill="1" applyBorder="1" applyAlignment="1">
      <alignment horizontal="left" vertical="center"/>
    </xf>
    <xf numFmtId="0" fontId="2" fillId="47" borderId="0" xfId="15" applyFont="1" applyFill="1" applyBorder="1" applyAlignment="1">
      <alignment horizontal="left" vertical="center"/>
    </xf>
    <xf numFmtId="0" fontId="23" fillId="30" borderId="309" xfId="15" applyFont="1" applyFill="1" applyBorder="1" applyAlignment="1">
      <alignment horizontal="left" vertical="center"/>
    </xf>
    <xf numFmtId="0" fontId="51" fillId="30" borderId="266" xfId="1" applyFont="1" applyFill="1" applyBorder="1" applyAlignment="1">
      <alignment horizontal="left" vertical="center"/>
    </xf>
    <xf numFmtId="0" fontId="115" fillId="30" borderId="309" xfId="15" applyFont="1" applyFill="1" applyBorder="1" applyAlignment="1">
      <alignment horizontal="left" vertical="center"/>
    </xf>
    <xf numFmtId="0" fontId="23" fillId="15" borderId="365" xfId="15" applyFill="1" applyBorder="1" applyAlignment="1">
      <alignment horizontal="left" vertical="center"/>
    </xf>
    <xf numFmtId="0" fontId="23" fillId="32" borderId="79" xfId="15" applyFont="1" applyFill="1" applyBorder="1" applyAlignment="1">
      <alignment horizontal="left" vertical="center"/>
    </xf>
    <xf numFmtId="0" fontId="51" fillId="47" borderId="82" xfId="1" applyFont="1" applyFill="1" applyBorder="1" applyAlignment="1">
      <alignment horizontal="left" vertical="center"/>
    </xf>
    <xf numFmtId="0" fontId="2" fillId="31" borderId="79" xfId="1" applyFont="1" applyFill="1" applyBorder="1" applyAlignment="1">
      <alignment horizontal="left" vertical="center"/>
    </xf>
    <xf numFmtId="0" fontId="23" fillId="20" borderId="79" xfId="15" applyFont="1" applyFill="1" applyBorder="1" applyAlignment="1">
      <alignment horizontal="left" vertical="center"/>
    </xf>
    <xf numFmtId="0" fontId="51" fillId="32" borderId="79" xfId="1" applyFont="1" applyFill="1" applyBorder="1" applyAlignment="1">
      <alignment horizontal="left" vertical="center"/>
    </xf>
    <xf numFmtId="0" fontId="102" fillId="30" borderId="0" xfId="0" applyFont="1" applyFill="1" applyBorder="1"/>
    <xf numFmtId="0" fontId="123" fillId="3" borderId="0" xfId="15" applyFont="1" applyFill="1" applyBorder="1" applyAlignment="1">
      <alignment horizontal="left" vertical="center"/>
    </xf>
    <xf numFmtId="0" fontId="115" fillId="30" borderId="0" xfId="15" applyFont="1" applyFill="1" applyBorder="1" applyAlignment="1">
      <alignment horizontal="left" vertical="center"/>
    </xf>
    <xf numFmtId="0" fontId="115" fillId="31" borderId="365" xfId="15" applyFont="1" applyFill="1" applyBorder="1" applyAlignment="1">
      <alignment horizontal="left" vertical="center"/>
    </xf>
    <xf numFmtId="0" fontId="51" fillId="52" borderId="365" xfId="1" applyFont="1" applyFill="1" applyBorder="1" applyAlignment="1">
      <alignment horizontal="left" vertical="center"/>
    </xf>
    <xf numFmtId="0" fontId="115" fillId="40" borderId="365" xfId="15" applyFont="1" applyFill="1" applyBorder="1" applyAlignment="1">
      <alignment horizontal="left" vertical="center"/>
    </xf>
    <xf numFmtId="0" fontId="51" fillId="40" borderId="365" xfId="1" applyFont="1" applyFill="1" applyBorder="1" applyAlignment="1">
      <alignment horizontal="left" vertical="center"/>
    </xf>
    <xf numFmtId="0" fontId="23" fillId="45" borderId="365" xfId="15" applyFont="1" applyFill="1" applyBorder="1" applyAlignment="1">
      <alignment horizontal="left" vertical="center"/>
    </xf>
    <xf numFmtId="0" fontId="97" fillId="40" borderId="79" xfId="1" applyFont="1" applyFill="1" applyBorder="1" applyAlignment="1">
      <alignment horizontal="left" vertical="center"/>
    </xf>
    <xf numFmtId="0" fontId="23" fillId="41" borderId="0" xfId="15" applyFill="1" applyBorder="1" applyAlignment="1">
      <alignment horizontal="left" vertical="center"/>
    </xf>
    <xf numFmtId="0" fontId="51" fillId="41" borderId="79" xfId="1" applyFont="1" applyFill="1" applyBorder="1" applyAlignment="1">
      <alignment horizontal="left" vertical="center"/>
    </xf>
    <xf numFmtId="0" fontId="123" fillId="25" borderId="0" xfId="15" applyFont="1" applyFill="1" applyBorder="1" applyAlignment="1">
      <alignment horizontal="left" vertical="center"/>
    </xf>
    <xf numFmtId="0" fontId="122" fillId="26" borderId="79" xfId="1" applyFont="1" applyFill="1" applyBorder="1" applyAlignment="1">
      <alignment horizontal="left" vertical="center"/>
    </xf>
    <xf numFmtId="0" fontId="97" fillId="42" borderId="0" xfId="1" applyFont="1" applyFill="1" applyBorder="1" applyAlignment="1">
      <alignment horizontal="left" vertical="center"/>
    </xf>
    <xf numFmtId="0" fontId="51" fillId="43" borderId="0" xfId="1" applyFont="1" applyFill="1" applyBorder="1" applyAlignment="1">
      <alignment horizontal="left" vertical="center"/>
    </xf>
    <xf numFmtId="0" fontId="99" fillId="41" borderId="0" xfId="15" applyFont="1" applyFill="1" applyBorder="1" applyAlignment="1">
      <alignment horizontal="left" vertical="center"/>
    </xf>
    <xf numFmtId="0" fontId="115" fillId="40" borderId="266" xfId="15" applyFont="1" applyFill="1" applyBorder="1" applyAlignment="1">
      <alignment horizontal="left" vertical="center"/>
    </xf>
    <xf numFmtId="0" fontId="115" fillId="42" borderId="0" xfId="15" applyFont="1" applyFill="1" applyBorder="1" applyAlignment="1">
      <alignment horizontal="left" vertical="center"/>
    </xf>
    <xf numFmtId="0" fontId="23" fillId="35" borderId="266" xfId="15" applyFont="1" applyFill="1" applyBorder="1" applyAlignment="1">
      <alignment horizontal="left" vertical="center"/>
    </xf>
    <xf numFmtId="0" fontId="51" fillId="35" borderId="266" xfId="1" applyFont="1" applyFill="1" applyBorder="1" applyAlignment="1">
      <alignment horizontal="left" vertical="center"/>
    </xf>
    <xf numFmtId="0" fontId="97" fillId="35" borderId="266" xfId="1" applyFont="1" applyFill="1" applyBorder="1" applyAlignment="1">
      <alignment horizontal="left" vertical="center"/>
    </xf>
    <xf numFmtId="0" fontId="115" fillId="34" borderId="266" xfId="15" applyFont="1" applyFill="1" applyBorder="1" applyAlignment="1">
      <alignment horizontal="left" vertical="center"/>
    </xf>
    <xf numFmtId="0" fontId="51" fillId="34" borderId="266" xfId="1" applyFont="1" applyFill="1" applyBorder="1" applyAlignment="1">
      <alignment horizontal="left" vertical="center"/>
    </xf>
    <xf numFmtId="0" fontId="97" fillId="35" borderId="0" xfId="15" applyFont="1" applyFill="1" applyBorder="1" applyAlignment="1">
      <alignment horizontal="left" vertical="center"/>
    </xf>
    <xf numFmtId="0" fontId="105" fillId="5" borderId="353" xfId="1" applyFont="1" applyFill="1" applyBorder="1" applyAlignment="1">
      <alignment horizontal="center"/>
    </xf>
    <xf numFmtId="0" fontId="105" fillId="53" borderId="31" xfId="1" applyFont="1" applyFill="1" applyBorder="1" applyAlignment="1">
      <alignment horizontal="center" vertical="center"/>
    </xf>
    <xf numFmtId="0" fontId="106" fillId="3" borderId="8" xfId="1" applyFont="1" applyFill="1" applyBorder="1" applyAlignment="1">
      <alignment horizontal="center"/>
    </xf>
    <xf numFmtId="0" fontId="105" fillId="30" borderId="105" xfId="1" applyFont="1" applyFill="1" applyBorder="1" applyAlignment="1">
      <alignment horizontal="center"/>
    </xf>
    <xf numFmtId="0" fontId="105" fillId="30" borderId="262" xfId="1" applyFont="1" applyFill="1" applyBorder="1" applyAlignment="1">
      <alignment horizontal="center" vertical="center"/>
    </xf>
    <xf numFmtId="0" fontId="106" fillId="30" borderId="31" xfId="1" applyFont="1" applyFill="1" applyBorder="1" applyAlignment="1">
      <alignment horizontal="center"/>
    </xf>
    <xf numFmtId="0" fontId="106" fillId="47" borderId="8" xfId="1" applyFont="1" applyFill="1" applyBorder="1" applyAlignment="1">
      <alignment horizontal="center"/>
    </xf>
    <xf numFmtId="0" fontId="105" fillId="30" borderId="4" xfId="1" applyFont="1" applyFill="1" applyBorder="1" applyAlignment="1">
      <alignment horizontal="center"/>
    </xf>
    <xf numFmtId="0" fontId="51" fillId="30" borderId="4" xfId="1" applyFont="1" applyFill="1" applyBorder="1" applyAlignment="1">
      <alignment horizontal="center"/>
    </xf>
    <xf numFmtId="0" fontId="105" fillId="30" borderId="353" xfId="1" applyFont="1" applyFill="1" applyBorder="1" applyAlignment="1">
      <alignment horizontal="center" vertical="center"/>
    </xf>
    <xf numFmtId="0" fontId="105" fillId="30" borderId="338" xfId="1" applyFont="1" applyFill="1" applyBorder="1" applyAlignment="1">
      <alignment horizontal="center"/>
    </xf>
    <xf numFmtId="0" fontId="105" fillId="28" borderId="8" xfId="1" applyFont="1" applyFill="1" applyBorder="1" applyAlignment="1">
      <alignment horizontal="center"/>
    </xf>
    <xf numFmtId="0" fontId="105" fillId="47" borderId="352" xfId="1" applyFont="1" applyFill="1" applyBorder="1" applyAlignment="1">
      <alignment horizontal="center"/>
    </xf>
    <xf numFmtId="0" fontId="105" fillId="30" borderId="8" xfId="1" applyFont="1" applyFill="1" applyBorder="1" applyAlignment="1">
      <alignment horizontal="center"/>
    </xf>
    <xf numFmtId="0" fontId="105" fillId="32" borderId="23" xfId="1" applyFont="1" applyFill="1" applyBorder="1" applyAlignment="1">
      <alignment horizontal="center"/>
    </xf>
    <xf numFmtId="0" fontId="106" fillId="30" borderId="387" xfId="1" applyFont="1" applyFill="1" applyBorder="1" applyAlignment="1">
      <alignment horizontal="center"/>
    </xf>
    <xf numFmtId="0" fontId="106" fillId="32" borderId="2" xfId="1" applyFont="1" applyFill="1" applyBorder="1" applyAlignment="1">
      <alignment horizontal="center"/>
    </xf>
    <xf numFmtId="0" fontId="105" fillId="33" borderId="23" xfId="1" applyFont="1" applyFill="1" applyBorder="1" applyAlignment="1">
      <alignment horizontal="center"/>
    </xf>
    <xf numFmtId="0" fontId="105" fillId="48" borderId="352" xfId="1" applyFont="1" applyFill="1" applyBorder="1" applyAlignment="1">
      <alignment horizontal="center"/>
    </xf>
    <xf numFmtId="0" fontId="106" fillId="30" borderId="2" xfId="1" applyFont="1" applyFill="1" applyBorder="1" applyAlignment="1">
      <alignment horizontal="center"/>
    </xf>
    <xf numFmtId="0" fontId="106" fillId="33" borderId="23" xfId="1" applyFont="1" applyFill="1" applyBorder="1" applyAlignment="1">
      <alignment horizontal="center"/>
    </xf>
    <xf numFmtId="0" fontId="106" fillId="30" borderId="19" xfId="1" applyFont="1" applyFill="1" applyBorder="1" applyAlignment="1">
      <alignment horizontal="center"/>
    </xf>
    <xf numFmtId="0" fontId="95" fillId="30" borderId="352" xfId="1" applyFont="1" applyFill="1" applyBorder="1" applyAlignment="1">
      <alignment horizontal="center" vertical="center"/>
    </xf>
    <xf numFmtId="0" fontId="106" fillId="31" borderId="23" xfId="1" applyFont="1" applyFill="1" applyBorder="1" applyAlignment="1">
      <alignment horizontal="center"/>
    </xf>
    <xf numFmtId="0" fontId="105" fillId="30" borderId="106" xfId="1" applyFont="1" applyFill="1" applyBorder="1" applyAlignment="1">
      <alignment horizontal="center"/>
    </xf>
    <xf numFmtId="0" fontId="105" fillId="32" borderId="352" xfId="1" applyFont="1" applyFill="1" applyBorder="1" applyAlignment="1">
      <alignment horizontal="center"/>
    </xf>
    <xf numFmtId="0" fontId="105" fillId="46" borderId="387" xfId="1" applyFont="1" applyFill="1" applyBorder="1" applyAlignment="1">
      <alignment horizontal="center"/>
    </xf>
    <xf numFmtId="0" fontId="105" fillId="41" borderId="106" xfId="1" applyFont="1" applyFill="1" applyBorder="1" applyAlignment="1">
      <alignment horizontal="center" vertical="center"/>
    </xf>
    <xf numFmtId="0" fontId="105" fillId="45" borderId="23" xfId="1" applyFont="1" applyFill="1" applyBorder="1" applyAlignment="1">
      <alignment horizontal="center"/>
    </xf>
    <xf numFmtId="0" fontId="106" fillId="41" borderId="2" xfId="1" applyFont="1" applyFill="1" applyBorder="1" applyAlignment="1">
      <alignment horizontal="center"/>
    </xf>
    <xf numFmtId="0" fontId="106" fillId="41" borderId="103" xfId="1" applyFont="1" applyFill="1" applyBorder="1" applyAlignment="1">
      <alignment horizontal="center"/>
    </xf>
    <xf numFmtId="0" fontId="105" fillId="51" borderId="103" xfId="1" applyFont="1" applyFill="1" applyBorder="1" applyAlignment="1">
      <alignment horizontal="center" vertical="center"/>
    </xf>
    <xf numFmtId="0" fontId="106" fillId="35" borderId="103" xfId="1" applyFont="1" applyFill="1" applyBorder="1" applyAlignment="1">
      <alignment horizontal="center"/>
    </xf>
    <xf numFmtId="0" fontId="105" fillId="34" borderId="19" xfId="1" applyFont="1" applyFill="1" applyBorder="1" applyAlignment="1">
      <alignment horizontal="center"/>
    </xf>
    <xf numFmtId="0" fontId="106" fillId="34" borderId="19" xfId="1" applyFont="1" applyFill="1" applyBorder="1" applyAlignment="1">
      <alignment horizontal="center"/>
    </xf>
    <xf numFmtId="0" fontId="104" fillId="35" borderId="379" xfId="1" applyFont="1" applyFill="1" applyBorder="1" applyAlignment="1">
      <alignment horizontal="center"/>
    </xf>
    <xf numFmtId="0" fontId="105" fillId="25" borderId="103" xfId="1" applyFont="1" applyFill="1" applyBorder="1" applyAlignment="1">
      <alignment horizontal="center"/>
    </xf>
    <xf numFmtId="0" fontId="106" fillId="30" borderId="268" xfId="1" applyFont="1" applyFill="1" applyBorder="1" applyAlignment="1">
      <alignment horizontal="center"/>
    </xf>
    <xf numFmtId="0" fontId="105" fillId="30" borderId="266" xfId="1" applyFont="1" applyFill="1" applyBorder="1" applyAlignment="1">
      <alignment horizontal="center"/>
    </xf>
    <xf numFmtId="0" fontId="106" fillId="48" borderId="260" xfId="1" applyFont="1" applyFill="1" applyBorder="1" applyAlignment="1">
      <alignment horizontal="center"/>
    </xf>
    <xf numFmtId="0" fontId="105" fillId="30" borderId="260" xfId="1" applyFont="1" applyFill="1" applyBorder="1" applyAlignment="1">
      <alignment horizontal="center"/>
    </xf>
    <xf numFmtId="0" fontId="106" fillId="33" borderId="0" xfId="1" applyFont="1" applyFill="1" applyBorder="1" applyAlignment="1">
      <alignment horizontal="center"/>
    </xf>
    <xf numFmtId="0" fontId="106" fillId="30" borderId="266" xfId="1" applyFont="1" applyFill="1" applyBorder="1" applyAlignment="1">
      <alignment horizontal="center"/>
    </xf>
    <xf numFmtId="0" fontId="106" fillId="32" borderId="363" xfId="1" applyFont="1" applyFill="1" applyBorder="1" applyAlignment="1">
      <alignment horizontal="center"/>
    </xf>
    <xf numFmtId="0" fontId="105" fillId="31" borderId="306" xfId="1" applyFont="1" applyFill="1" applyBorder="1" applyAlignment="1">
      <alignment horizontal="center"/>
    </xf>
    <xf numFmtId="0" fontId="105" fillId="32" borderId="103" xfId="1" applyFont="1" applyFill="1" applyBorder="1" applyAlignment="1">
      <alignment horizontal="center"/>
    </xf>
    <xf numFmtId="0" fontId="106" fillId="47" borderId="83" xfId="1" applyFont="1" applyFill="1" applyBorder="1" applyAlignment="1">
      <alignment horizontal="center"/>
    </xf>
    <xf numFmtId="0" fontId="106" fillId="33" borderId="359" xfId="1" applyFont="1" applyFill="1" applyBorder="1" applyAlignment="1">
      <alignment horizontal="center"/>
    </xf>
    <xf numFmtId="0" fontId="105" fillId="31" borderId="80" xfId="1" applyFont="1" applyFill="1" applyBorder="1" applyAlignment="1">
      <alignment horizontal="center"/>
    </xf>
    <xf numFmtId="0" fontId="105" fillId="31" borderId="268" xfId="1" applyFont="1" applyFill="1" applyBorder="1" applyAlignment="1">
      <alignment horizontal="center"/>
    </xf>
    <xf numFmtId="0" fontId="105" fillId="3" borderId="352" xfId="1" applyFont="1" applyFill="1" applyBorder="1" applyAlignment="1">
      <alignment horizontal="center" vertical="center"/>
    </xf>
    <xf numFmtId="0" fontId="106" fillId="52" borderId="359" xfId="1" applyFont="1" applyFill="1" applyBorder="1" applyAlignment="1">
      <alignment horizontal="center"/>
    </xf>
    <xf numFmtId="0" fontId="106" fillId="41" borderId="359" xfId="1" applyFont="1" applyFill="1" applyBorder="1" applyAlignment="1">
      <alignment horizontal="center"/>
    </xf>
    <xf numFmtId="0" fontId="105" fillId="43" borderId="352" xfId="1" applyFont="1" applyFill="1" applyBorder="1" applyAlignment="1">
      <alignment horizontal="center"/>
    </xf>
    <xf numFmtId="0" fontId="105" fillId="45" borderId="359" xfId="1" applyFont="1" applyFill="1" applyBorder="1" applyAlignment="1">
      <alignment horizontal="center" vertical="center"/>
    </xf>
    <xf numFmtId="0" fontId="106" fillId="40" borderId="359" xfId="1" applyFont="1" applyFill="1" applyBorder="1" applyAlignment="1">
      <alignment horizontal="center"/>
    </xf>
    <xf numFmtId="0" fontId="106" fillId="40" borderId="80" xfId="1" applyFont="1" applyFill="1" applyBorder="1" applyAlignment="1">
      <alignment horizontal="center"/>
    </xf>
    <xf numFmtId="0" fontId="105" fillId="3" borderId="80" xfId="1" applyFont="1" applyFill="1" applyBorder="1" applyAlignment="1">
      <alignment horizontal="center" vertical="center"/>
    </xf>
    <xf numFmtId="0" fontId="106" fillId="40" borderId="268" xfId="1" applyFont="1" applyFill="1" applyBorder="1" applyAlignment="1">
      <alignment horizontal="center"/>
    </xf>
    <xf numFmtId="0" fontId="51" fillId="41" borderId="103" xfId="1" applyFont="1" applyFill="1" applyBorder="1" applyAlignment="1">
      <alignment horizontal="center"/>
    </xf>
    <xf numFmtId="0" fontId="105" fillId="35" borderId="272" xfId="1" applyFont="1" applyFill="1" applyBorder="1" applyAlignment="1">
      <alignment horizontal="center"/>
    </xf>
    <xf numFmtId="0" fontId="105" fillId="3" borderId="277" xfId="1" applyFont="1" applyFill="1" applyBorder="1" applyAlignment="1">
      <alignment horizontal="center" vertical="center"/>
    </xf>
    <xf numFmtId="3" fontId="48" fillId="53" borderId="260" xfId="1" applyNumberFormat="1" applyFont="1" applyFill="1" applyBorder="1" applyAlignment="1">
      <alignment horizontal="center" vertical="center"/>
    </xf>
    <xf numFmtId="3" fontId="48" fillId="30" borderId="105" xfId="1" applyNumberFormat="1" applyFont="1" applyFill="1" applyBorder="1" applyAlignment="1">
      <alignment horizontal="center" vertical="center"/>
    </xf>
    <xf numFmtId="3" fontId="2" fillId="30" borderId="260" xfId="1" applyNumberFormat="1" applyFont="1" applyFill="1" applyBorder="1" applyAlignment="1">
      <alignment horizontal="center" vertical="center"/>
    </xf>
    <xf numFmtId="3" fontId="149" fillId="47" borderId="260" xfId="1" applyNumberFormat="1" applyFont="1" applyFill="1" applyBorder="1" applyAlignment="1">
      <alignment horizontal="center" vertical="center"/>
    </xf>
    <xf numFmtId="3" fontId="48" fillId="30" borderId="374" xfId="1" applyNumberFormat="1" applyFont="1" applyFill="1" applyBorder="1" applyAlignment="1">
      <alignment horizontal="center" vertical="center"/>
    </xf>
    <xf numFmtId="3" fontId="48" fillId="31" borderId="292" xfId="1" applyNumberFormat="1" applyFont="1" applyFill="1" applyBorder="1" applyAlignment="1">
      <alignment horizontal="center" vertical="center"/>
    </xf>
    <xf numFmtId="3" fontId="48" fillId="30" borderId="298" xfId="1" applyNumberFormat="1" applyFont="1" applyFill="1" applyBorder="1" applyAlignment="1">
      <alignment horizontal="center" vertical="center"/>
    </xf>
    <xf numFmtId="3" fontId="149" fillId="33" borderId="260" xfId="1" applyNumberFormat="1" applyFont="1" applyFill="1" applyBorder="1" applyAlignment="1">
      <alignment horizontal="center" vertical="center"/>
    </xf>
    <xf numFmtId="3" fontId="149" fillId="28" borderId="280" xfId="1" applyNumberFormat="1" applyFont="1" applyFill="1" applyBorder="1" applyAlignment="1">
      <alignment horizontal="center" vertical="center"/>
    </xf>
    <xf numFmtId="3" fontId="149" fillId="31" borderId="300" xfId="1" applyNumberFormat="1" applyFont="1" applyFill="1" applyBorder="1" applyAlignment="1">
      <alignment horizontal="center" vertical="center"/>
    </xf>
    <xf numFmtId="3" fontId="48" fillId="31" borderId="357" xfId="1" applyNumberFormat="1" applyFont="1" applyFill="1" applyBorder="1" applyAlignment="1">
      <alignment horizontal="center" vertical="center"/>
    </xf>
    <xf numFmtId="3" fontId="149" fillId="3" borderId="357" xfId="1" applyNumberFormat="1" applyFont="1" applyFill="1" applyBorder="1" applyAlignment="1">
      <alignment horizontal="center" vertical="center"/>
    </xf>
    <xf numFmtId="3" fontId="48" fillId="32" borderId="103" xfId="1" applyNumberFormat="1" applyFont="1" applyFill="1" applyBorder="1" applyAlignment="1">
      <alignment horizontal="center" vertical="center"/>
    </xf>
    <xf numFmtId="3" fontId="48" fillId="33" borderId="106" xfId="1" applyNumberFormat="1" applyFont="1" applyFill="1" applyBorder="1" applyAlignment="1">
      <alignment horizontal="center" vertical="center"/>
    </xf>
    <xf numFmtId="3" fontId="149" fillId="48" borderId="352" xfId="1" applyNumberFormat="1" applyFont="1" applyFill="1" applyBorder="1" applyAlignment="1">
      <alignment horizontal="center" vertical="center"/>
    </xf>
    <xf numFmtId="3" fontId="70" fillId="30" borderId="357" xfId="1" applyNumberFormat="1" applyFont="1" applyFill="1" applyBorder="1" applyAlignment="1">
      <alignment horizontal="center" vertical="center" wrapText="1"/>
    </xf>
    <xf numFmtId="3" fontId="149" fillId="33" borderId="19" xfId="1" applyNumberFormat="1" applyFont="1" applyFill="1" applyBorder="1" applyAlignment="1">
      <alignment horizontal="center" vertical="center"/>
    </xf>
    <xf numFmtId="3" fontId="48" fillId="32" borderId="357" xfId="1" applyNumberFormat="1" applyFont="1" applyFill="1" applyBorder="1" applyAlignment="1">
      <alignment horizontal="center" vertical="center"/>
    </xf>
    <xf numFmtId="3" fontId="48" fillId="41" borderId="357" xfId="1" applyNumberFormat="1" applyFont="1" applyFill="1" applyBorder="1" applyAlignment="1">
      <alignment horizontal="center" vertical="center"/>
    </xf>
    <xf numFmtId="3" fontId="48" fillId="46" borderId="352" xfId="1" applyNumberFormat="1" applyFont="1" applyFill="1" applyBorder="1" applyAlignment="1">
      <alignment horizontal="center" vertical="center"/>
    </xf>
    <xf numFmtId="3" fontId="48" fillId="43" borderId="103" xfId="1" applyNumberFormat="1" applyFont="1" applyFill="1" applyBorder="1" applyAlignment="1">
      <alignment horizontal="center" vertical="center"/>
    </xf>
    <xf numFmtId="3" fontId="149" fillId="43" borderId="106" xfId="1" applyNumberFormat="1" applyFont="1" applyFill="1" applyBorder="1" applyAlignment="1">
      <alignment horizontal="center" vertical="center"/>
    </xf>
    <xf numFmtId="3" fontId="48" fillId="46" borderId="106" xfId="1" applyNumberFormat="1" applyFont="1" applyFill="1" applyBorder="1" applyAlignment="1">
      <alignment horizontal="center" vertical="center"/>
    </xf>
    <xf numFmtId="3" fontId="48" fillId="44" borderId="103" xfId="1" applyNumberFormat="1" applyFont="1" applyFill="1" applyBorder="1" applyAlignment="1">
      <alignment horizontal="center" vertical="center"/>
    </xf>
    <xf numFmtId="3" fontId="149" fillId="41" borderId="19" xfId="1" applyNumberFormat="1" applyFont="1" applyFill="1" applyBorder="1" applyAlignment="1">
      <alignment horizontal="center" vertical="center"/>
    </xf>
    <xf numFmtId="3" fontId="149" fillId="51" borderId="103" xfId="1" applyNumberFormat="1" applyFont="1" applyFill="1" applyBorder="1" applyAlignment="1">
      <alignment horizontal="center" vertical="center"/>
    </xf>
    <xf numFmtId="3" fontId="149" fillId="36" borderId="19" xfId="1" applyNumberFormat="1" applyFont="1" applyFill="1" applyBorder="1" applyAlignment="1">
      <alignment horizontal="center" vertical="center"/>
    </xf>
    <xf numFmtId="3" fontId="48" fillId="37" borderId="328" xfId="1" applyNumberFormat="1" applyFont="1" applyFill="1" applyBorder="1" applyAlignment="1">
      <alignment horizontal="center" vertical="center"/>
    </xf>
    <xf numFmtId="3" fontId="48" fillId="34" borderId="352" xfId="1" applyNumberFormat="1" applyFont="1" applyFill="1" applyBorder="1" applyAlignment="1">
      <alignment horizontal="center" vertical="center"/>
    </xf>
    <xf numFmtId="3" fontId="149" fillId="25" borderId="103" xfId="1" applyNumberFormat="1" applyFont="1" applyFill="1" applyBorder="1" applyAlignment="1">
      <alignment horizontal="center" vertical="center"/>
    </xf>
    <xf numFmtId="3" fontId="48" fillId="5" borderId="327" xfId="1" applyNumberFormat="1" applyFont="1" applyFill="1" applyBorder="1" applyAlignment="1">
      <alignment horizontal="center" vertical="center"/>
    </xf>
    <xf numFmtId="3" fontId="2" fillId="5" borderId="344" xfId="1" applyNumberFormat="1" applyFont="1" applyFill="1" applyBorder="1" applyAlignment="1">
      <alignment horizontal="center" vertical="center"/>
    </xf>
    <xf numFmtId="3" fontId="48" fillId="3" borderId="354" xfId="1" applyNumberFormat="1" applyFont="1" applyFill="1" applyBorder="1" applyAlignment="1">
      <alignment horizontal="center" vertical="center"/>
    </xf>
    <xf numFmtId="3" fontId="48" fillId="30" borderId="277" xfId="1" applyNumberFormat="1" applyFont="1" applyFill="1" applyBorder="1" applyAlignment="1">
      <alignment horizontal="center" vertical="center"/>
    </xf>
    <xf numFmtId="3" fontId="48" fillId="31" borderId="260" xfId="1" applyNumberFormat="1" applyFont="1" applyFill="1" applyBorder="1" applyAlignment="1">
      <alignment horizontal="center" vertical="center"/>
    </xf>
    <xf numFmtId="3" fontId="48" fillId="30" borderId="371" xfId="1" applyNumberFormat="1" applyFont="1" applyFill="1" applyBorder="1" applyAlignment="1">
      <alignment horizontal="center" vertical="center"/>
    </xf>
    <xf numFmtId="3" fontId="48" fillId="48" borderId="260" xfId="1" applyNumberFormat="1" applyFont="1" applyFill="1" applyBorder="1" applyAlignment="1">
      <alignment horizontal="center" vertical="center"/>
    </xf>
    <xf numFmtId="3" fontId="149" fillId="30" borderId="276" xfId="1" applyNumberFormat="1" applyFont="1" applyFill="1" applyBorder="1" applyAlignment="1">
      <alignment horizontal="center" vertical="center"/>
    </xf>
    <xf numFmtId="3" fontId="48" fillId="32" borderId="361" xfId="1" applyNumberFormat="1" applyFont="1" applyFill="1" applyBorder="1" applyAlignment="1">
      <alignment horizontal="center" vertical="center"/>
    </xf>
    <xf numFmtId="3" fontId="149" fillId="48" borderId="301" xfId="1" applyNumberFormat="1" applyFont="1" applyFill="1" applyBorder="1" applyAlignment="1">
      <alignment horizontal="center" vertical="center"/>
    </xf>
    <xf numFmtId="3" fontId="48" fillId="31" borderId="307" xfId="1" applyNumberFormat="1" applyFont="1" applyFill="1" applyBorder="1" applyAlignment="1">
      <alignment horizontal="center" vertical="center"/>
    </xf>
    <xf numFmtId="3" fontId="149" fillId="30" borderId="305" xfId="1" applyNumberFormat="1" applyFont="1" applyFill="1" applyBorder="1" applyAlignment="1">
      <alignment horizontal="center" vertical="center"/>
    </xf>
    <xf numFmtId="3" fontId="2" fillId="30" borderId="352" xfId="1" applyNumberFormat="1" applyFont="1" applyFill="1" applyBorder="1" applyAlignment="1">
      <alignment horizontal="center" vertical="center"/>
    </xf>
    <xf numFmtId="3" fontId="149" fillId="32" borderId="278" xfId="1" applyNumberFormat="1" applyFont="1" applyFill="1" applyBorder="1" applyAlignment="1">
      <alignment horizontal="center" vertical="center"/>
    </xf>
    <xf numFmtId="3" fontId="149" fillId="47" borderId="278" xfId="1" applyNumberFormat="1" applyFont="1" applyFill="1" applyBorder="1" applyAlignment="1">
      <alignment horizontal="center" vertical="center"/>
    </xf>
    <xf numFmtId="3" fontId="149" fillId="30" borderId="278" xfId="1" applyNumberFormat="1" applyFont="1" applyFill="1" applyBorder="1" applyAlignment="1">
      <alignment horizontal="center" vertical="center"/>
    </xf>
    <xf numFmtId="3" fontId="149" fillId="32" borderId="352" xfId="1" applyNumberFormat="1" applyFont="1" applyFill="1" applyBorder="1" applyAlignment="1">
      <alignment horizontal="center" vertical="center"/>
    </xf>
    <xf numFmtId="3" fontId="48" fillId="31" borderId="359" xfId="1" applyNumberFormat="1" applyFont="1" applyFill="1" applyBorder="1" applyAlignment="1">
      <alignment horizontal="center" vertical="center"/>
    </xf>
    <xf numFmtId="3" fontId="48" fillId="32" borderId="359" xfId="1" applyNumberFormat="1" applyFont="1" applyFill="1" applyBorder="1" applyAlignment="1">
      <alignment horizontal="center" vertical="center"/>
    </xf>
    <xf numFmtId="3" fontId="149" fillId="31" borderId="275" xfId="1" applyNumberFormat="1" applyFont="1" applyFill="1" applyBorder="1" applyAlignment="1">
      <alignment horizontal="center" vertical="center"/>
    </xf>
    <xf numFmtId="3" fontId="149" fillId="3" borderId="352" xfId="1" applyNumberFormat="1" applyFont="1" applyFill="1" applyBorder="1" applyAlignment="1">
      <alignment horizontal="center" vertical="center"/>
    </xf>
    <xf numFmtId="3" fontId="48" fillId="31" borderId="358" xfId="1" applyNumberFormat="1" applyFont="1" applyFill="1" applyBorder="1" applyAlignment="1">
      <alignment horizontal="center" vertical="center"/>
    </xf>
    <xf numFmtId="3" fontId="113" fillId="52" borderId="358" xfId="1" applyNumberFormat="1" applyFont="1" applyFill="1" applyBorder="1" applyAlignment="1">
      <alignment horizontal="center" vertical="center"/>
    </xf>
    <xf numFmtId="3" fontId="113" fillId="40" borderId="352" xfId="1" applyNumberFormat="1" applyFont="1" applyFill="1" applyBorder="1" applyAlignment="1">
      <alignment horizontal="center" vertical="center"/>
    </xf>
    <xf numFmtId="3" fontId="149" fillId="44" borderId="352" xfId="1" applyNumberFormat="1" applyFont="1" applyFill="1" applyBorder="1" applyAlignment="1">
      <alignment horizontal="center" vertical="center"/>
    </xf>
    <xf numFmtId="3" fontId="48" fillId="45" borderId="358" xfId="1" applyNumberFormat="1" applyFont="1" applyFill="1" applyBorder="1" applyAlignment="1">
      <alignment horizontal="center" vertical="center"/>
    </xf>
    <xf numFmtId="3" fontId="48" fillId="40" borderId="358" xfId="1" applyNumberFormat="1" applyFont="1" applyFill="1" applyBorder="1" applyAlignment="1">
      <alignment horizontal="center" vertical="center"/>
    </xf>
    <xf numFmtId="3" fontId="149" fillId="26" borderId="278" xfId="1" applyNumberFormat="1" applyFont="1" applyFill="1" applyBorder="1" applyAlignment="1">
      <alignment horizontal="center" vertical="center"/>
    </xf>
    <xf numFmtId="3" fontId="149" fillId="42" borderId="103" xfId="1" applyNumberFormat="1" applyFont="1" applyFill="1" applyBorder="1" applyAlignment="1">
      <alignment horizontal="center" vertical="center"/>
    </xf>
    <xf numFmtId="3" fontId="149" fillId="43" borderId="275" xfId="1" applyNumberFormat="1" applyFont="1" applyFill="1" applyBorder="1" applyAlignment="1">
      <alignment horizontal="center" vertical="center"/>
    </xf>
    <xf numFmtId="3" fontId="48" fillId="35" borderId="275" xfId="1" applyNumberFormat="1" applyFont="1" applyFill="1" applyBorder="1" applyAlignment="1">
      <alignment horizontal="center" vertical="center"/>
    </xf>
    <xf numFmtId="3" fontId="48" fillId="34" borderId="66" xfId="1" applyNumberFormat="1" applyFont="1" applyFill="1" applyBorder="1" applyAlignment="1">
      <alignment horizontal="center" vertical="center"/>
    </xf>
    <xf numFmtId="3" fontId="149" fillId="25" borderId="378" xfId="1" applyNumberFormat="1" applyFont="1" applyFill="1" applyBorder="1" applyAlignment="1">
      <alignment horizontal="center" vertical="center"/>
    </xf>
    <xf numFmtId="3" fontId="48" fillId="53" borderId="28" xfId="1" applyNumberFormat="1" applyFont="1" applyFill="1" applyBorder="1" applyAlignment="1">
      <alignment horizontal="center" vertical="center"/>
    </xf>
    <xf numFmtId="3" fontId="48" fillId="30" borderId="73" xfId="1" applyNumberFormat="1" applyFont="1" applyFill="1" applyBorder="1" applyAlignment="1">
      <alignment horizontal="center" vertical="center"/>
    </xf>
    <xf numFmtId="3" fontId="2" fillId="30" borderId="261" xfId="1" applyNumberFormat="1" applyFont="1" applyFill="1" applyBorder="1" applyAlignment="1">
      <alignment horizontal="center" vertical="center"/>
    </xf>
    <xf numFmtId="3" fontId="149" fillId="30" borderId="187" xfId="1" applyNumberFormat="1" applyFont="1" applyFill="1" applyBorder="1" applyAlignment="1">
      <alignment horizontal="center" vertical="center"/>
    </xf>
    <xf numFmtId="3" fontId="48" fillId="47" borderId="261" xfId="1" applyNumberFormat="1" applyFont="1" applyFill="1" applyBorder="1" applyAlignment="1">
      <alignment horizontal="center" vertical="center"/>
    </xf>
    <xf numFmtId="3" fontId="48" fillId="31" borderId="28" xfId="1" applyNumberFormat="1" applyFont="1" applyFill="1" applyBorder="1" applyAlignment="1">
      <alignment horizontal="center" vertical="center"/>
    </xf>
    <xf numFmtId="3" fontId="149" fillId="33" borderId="28" xfId="1" applyNumberFormat="1" applyFont="1" applyFill="1" applyBorder="1" applyAlignment="1">
      <alignment horizontal="center" vertical="center"/>
    </xf>
    <xf numFmtId="3" fontId="149" fillId="47" borderId="187" xfId="1" applyNumberFormat="1" applyFont="1" applyFill="1" applyBorder="1" applyAlignment="1">
      <alignment horizontal="center" vertical="center"/>
    </xf>
    <xf numFmtId="3" fontId="149" fillId="31" borderId="279" xfId="1" applyNumberFormat="1" applyFont="1" applyFill="1" applyBorder="1" applyAlignment="1">
      <alignment horizontal="center" vertical="center"/>
    </xf>
    <xf numFmtId="3" fontId="149" fillId="48" borderId="351" xfId="1" applyNumberFormat="1" applyFont="1" applyFill="1" applyBorder="1" applyAlignment="1">
      <alignment horizontal="center" vertical="center"/>
    </xf>
    <xf numFmtId="3" fontId="149" fillId="33" borderId="183" xfId="1" applyNumberFormat="1" applyFont="1" applyFill="1" applyBorder="1" applyAlignment="1">
      <alignment horizontal="center" vertical="center"/>
    </xf>
    <xf numFmtId="3" fontId="149" fillId="32" borderId="357" xfId="1" applyNumberFormat="1" applyFont="1" applyFill="1" applyBorder="1" applyAlignment="1">
      <alignment horizontal="center" vertical="center"/>
    </xf>
    <xf numFmtId="3" fontId="149" fillId="46" borderId="351" xfId="1" applyNumberFormat="1" applyFont="1" applyFill="1" applyBorder="1" applyAlignment="1">
      <alignment horizontal="center" vertical="center"/>
    </xf>
    <xf numFmtId="3" fontId="149" fillId="46" borderId="74" xfId="1" applyNumberFormat="1" applyFont="1" applyFill="1" applyBorder="1" applyAlignment="1">
      <alignment horizontal="center" vertical="center"/>
    </xf>
    <xf numFmtId="3" fontId="48" fillId="44" borderId="66" xfId="1" applyNumberFormat="1" applyFont="1" applyFill="1" applyBorder="1" applyAlignment="1">
      <alignment horizontal="center" vertical="center"/>
    </xf>
    <xf numFmtId="3" fontId="149" fillId="44" borderId="66" xfId="1" applyNumberFormat="1" applyFont="1" applyFill="1" applyBorder="1" applyAlignment="1">
      <alignment horizontal="center" vertical="center"/>
    </xf>
    <xf numFmtId="3" fontId="149" fillId="51" borderId="66" xfId="1" applyNumberFormat="1" applyFont="1" applyFill="1" applyBorder="1" applyAlignment="1">
      <alignment horizontal="center" vertical="center"/>
    </xf>
    <xf numFmtId="3" fontId="149" fillId="36" borderId="183" xfId="1" applyNumberFormat="1" applyFont="1" applyFill="1" applyBorder="1" applyAlignment="1">
      <alignment horizontal="center" vertical="center"/>
    </xf>
    <xf numFmtId="3" fontId="149" fillId="37" borderId="328" xfId="1" applyNumberFormat="1" applyFont="1" applyFill="1" applyBorder="1" applyAlignment="1">
      <alignment horizontal="center" vertical="center"/>
    </xf>
    <xf numFmtId="3" fontId="149" fillId="25" borderId="66" xfId="1" applyNumberFormat="1" applyFont="1" applyFill="1" applyBorder="1" applyAlignment="1">
      <alignment horizontal="center" vertical="center"/>
    </xf>
    <xf numFmtId="3" fontId="70" fillId="5" borderId="299" xfId="1" applyNumberFormat="1" applyFont="1" applyFill="1" applyBorder="1" applyAlignment="1">
      <alignment horizontal="center" vertical="center" wrapText="1"/>
    </xf>
    <xf numFmtId="3" fontId="48" fillId="5" borderId="313" xfId="1" applyNumberFormat="1" applyFont="1" applyFill="1" applyBorder="1" applyAlignment="1">
      <alignment horizontal="center" vertical="center"/>
    </xf>
    <xf numFmtId="3" fontId="2" fillId="5" borderId="261" xfId="1" applyNumberFormat="1" applyFont="1" applyFill="1" applyBorder="1" applyAlignment="1">
      <alignment horizontal="center" vertical="center"/>
    </xf>
    <xf numFmtId="3" fontId="149" fillId="3" borderId="341" xfId="1" applyNumberFormat="1" applyFont="1" applyFill="1" applyBorder="1" applyAlignment="1">
      <alignment horizontal="center" vertical="center"/>
    </xf>
    <xf numFmtId="3" fontId="149" fillId="30" borderId="27" xfId="1" applyNumberFormat="1" applyFont="1" applyFill="1" applyBorder="1" applyAlignment="1">
      <alignment horizontal="center" vertical="center"/>
    </xf>
    <xf numFmtId="3" fontId="2" fillId="30" borderId="28" xfId="1" applyNumberFormat="1" applyFont="1" applyFill="1" applyBorder="1" applyAlignment="1">
      <alignment horizontal="center" vertical="center"/>
    </xf>
    <xf numFmtId="3" fontId="48" fillId="30" borderId="27" xfId="1" applyNumberFormat="1" applyFont="1" applyFill="1" applyBorder="1" applyAlignment="1">
      <alignment horizontal="center" vertical="center"/>
    </xf>
    <xf numFmtId="3" fontId="113" fillId="30" borderId="267" xfId="1" applyNumberFormat="1" applyFont="1" applyFill="1" applyBorder="1" applyAlignment="1">
      <alignment horizontal="center" vertical="center"/>
    </xf>
    <xf numFmtId="3" fontId="48" fillId="31" borderId="261" xfId="1" applyNumberFormat="1" applyFont="1" applyFill="1" applyBorder="1" applyAlignment="1">
      <alignment horizontal="center" vertical="center"/>
    </xf>
    <xf numFmtId="3" fontId="48" fillId="30" borderId="364" xfId="1" applyNumberFormat="1" applyFont="1" applyFill="1" applyBorder="1" applyAlignment="1">
      <alignment horizontal="center" vertical="center"/>
    </xf>
    <xf numFmtId="3" fontId="48" fillId="48" borderId="28" xfId="1" applyNumberFormat="1" applyFont="1" applyFill="1" applyBorder="1" applyAlignment="1">
      <alignment horizontal="center" vertical="center"/>
    </xf>
    <xf numFmtId="3" fontId="149" fillId="33" borderId="261" xfId="1" applyNumberFormat="1" applyFont="1" applyFill="1" applyBorder="1" applyAlignment="1">
      <alignment horizontal="center" vertical="center"/>
    </xf>
    <xf numFmtId="3" fontId="149" fillId="32" borderId="373" xfId="1" applyNumberFormat="1" applyFont="1" applyFill="1" applyBorder="1" applyAlignment="1">
      <alignment horizontal="center" vertical="center"/>
    </xf>
    <xf numFmtId="3" fontId="149" fillId="48" borderId="28" xfId="1" applyNumberFormat="1" applyFont="1" applyFill="1" applyBorder="1" applyAlignment="1">
      <alignment horizontal="center" vertical="center"/>
    </xf>
    <xf numFmtId="3" fontId="149" fillId="31" borderId="317" xfId="1" applyNumberFormat="1" applyFont="1" applyFill="1" applyBorder="1" applyAlignment="1">
      <alignment horizontal="center" vertical="center"/>
    </xf>
    <xf numFmtId="3" fontId="48" fillId="30" borderId="279" xfId="1" applyNumberFormat="1" applyFont="1" applyFill="1" applyBorder="1" applyAlignment="1">
      <alignment horizontal="center" vertical="center"/>
    </xf>
    <xf numFmtId="3" fontId="149" fillId="32" borderId="25" xfId="1" applyNumberFormat="1" applyFont="1" applyFill="1" applyBorder="1" applyAlignment="1">
      <alignment horizontal="center" vertical="center"/>
    </xf>
    <xf numFmtId="3" fontId="149" fillId="47" borderId="25" xfId="1" applyNumberFormat="1" applyFont="1" applyFill="1" applyBorder="1" applyAlignment="1">
      <alignment horizontal="center" vertical="center"/>
    </xf>
    <xf numFmtId="3" fontId="149" fillId="30" borderId="25" xfId="1" applyNumberFormat="1" applyFont="1" applyFill="1" applyBorder="1" applyAlignment="1">
      <alignment horizontal="center" vertical="center"/>
    </xf>
    <xf numFmtId="3" fontId="48" fillId="31" borderId="25" xfId="1" applyNumberFormat="1" applyFont="1" applyFill="1" applyBorder="1" applyAlignment="1">
      <alignment horizontal="center" vertical="center"/>
    </xf>
    <xf numFmtId="3" fontId="149" fillId="31" borderId="264" xfId="1" applyNumberFormat="1" applyFont="1" applyFill="1" applyBorder="1" applyAlignment="1">
      <alignment horizontal="center" vertical="center"/>
    </xf>
    <xf numFmtId="3" fontId="48" fillId="47" borderId="264" xfId="1" applyNumberFormat="1" applyFont="1" applyFill="1" applyBorder="1" applyAlignment="1">
      <alignment horizontal="center" vertical="center"/>
    </xf>
    <xf numFmtId="3" fontId="113" fillId="30" borderId="358" xfId="1" applyNumberFormat="1" applyFont="1" applyFill="1" applyBorder="1" applyAlignment="1">
      <alignment horizontal="center" vertical="center"/>
    </xf>
    <xf numFmtId="3" fontId="149" fillId="3" borderId="351" xfId="1" applyNumberFormat="1" applyFont="1" applyFill="1" applyBorder="1" applyAlignment="1">
      <alignment horizontal="center" vertical="center"/>
    </xf>
    <xf numFmtId="3" fontId="113" fillId="40" borderId="351" xfId="1" applyNumberFormat="1" applyFont="1" applyFill="1" applyBorder="1" applyAlignment="1">
      <alignment horizontal="center" vertical="center"/>
    </xf>
    <xf numFmtId="3" fontId="149" fillId="44" borderId="351" xfId="1" applyNumberFormat="1" applyFont="1" applyFill="1" applyBorder="1" applyAlignment="1">
      <alignment horizontal="center" vertical="center"/>
    </xf>
    <xf numFmtId="3" fontId="113" fillId="41" borderId="351" xfId="1" applyNumberFormat="1" applyFont="1" applyFill="1" applyBorder="1" applyAlignment="1">
      <alignment horizontal="center" vertical="center"/>
    </xf>
    <xf numFmtId="3" fontId="48" fillId="40" borderId="25" xfId="1" applyNumberFormat="1" applyFont="1" applyFill="1" applyBorder="1" applyAlignment="1">
      <alignment horizontal="center" vertical="center"/>
    </xf>
    <xf numFmtId="3" fontId="149" fillId="26" borderId="25" xfId="1" applyNumberFormat="1" applyFont="1" applyFill="1" applyBorder="1" applyAlignment="1">
      <alignment horizontal="center" vertical="center"/>
    </xf>
    <xf numFmtId="3" fontId="48" fillId="43" borderId="66" xfId="1" applyNumberFormat="1" applyFont="1" applyFill="1" applyBorder="1" applyAlignment="1">
      <alignment horizontal="center" vertical="center"/>
    </xf>
    <xf numFmtId="3" fontId="149" fillId="42" borderId="66" xfId="1" applyNumberFormat="1" applyFont="1" applyFill="1" applyBorder="1" applyAlignment="1">
      <alignment horizontal="center" vertical="center"/>
    </xf>
    <xf numFmtId="3" fontId="149" fillId="43" borderId="264" xfId="1" applyNumberFormat="1" applyFont="1" applyFill="1" applyBorder="1" applyAlignment="1">
      <alignment horizontal="center" vertical="center"/>
    </xf>
    <xf numFmtId="3" fontId="149" fillId="35" borderId="351" xfId="1" applyNumberFormat="1" applyFont="1" applyFill="1" applyBorder="1" applyAlignment="1">
      <alignment horizontal="center" vertical="center"/>
    </xf>
    <xf numFmtId="3" fontId="2" fillId="0" borderId="103" xfId="1" applyNumberFormat="1" applyFont="1" applyFill="1" applyBorder="1" applyAlignment="1">
      <alignment horizontal="center" vertical="center"/>
    </xf>
    <xf numFmtId="3" fontId="150" fillId="0" borderId="352" xfId="1" applyNumberFormat="1" applyFont="1" applyFill="1" applyBorder="1" applyAlignment="1">
      <alignment horizontal="center" vertical="center"/>
    </xf>
    <xf numFmtId="3" fontId="2" fillId="0" borderId="351" xfId="1" applyNumberFormat="1" applyFont="1" applyFill="1" applyBorder="1" applyAlignment="1">
      <alignment horizontal="center" vertical="center"/>
    </xf>
    <xf numFmtId="3" fontId="70" fillId="0" borderId="72" xfId="1" applyNumberFormat="1" applyFont="1" applyFill="1" applyBorder="1" applyAlignment="1">
      <alignment horizontal="center" vertical="center"/>
    </xf>
    <xf numFmtId="3" fontId="48" fillId="9" borderId="103" xfId="1" applyNumberFormat="1" applyFont="1" applyFill="1" applyBorder="1" applyAlignment="1">
      <alignment horizontal="center" vertical="center"/>
    </xf>
    <xf numFmtId="3" fontId="2" fillId="0" borderId="66" xfId="1" applyNumberFormat="1" applyFont="1" applyFill="1" applyBorder="1" applyAlignment="1">
      <alignment horizontal="center" vertical="center"/>
    </xf>
    <xf numFmtId="3" fontId="70" fillId="0" borderId="25" xfId="1" applyNumberFormat="1" applyFont="1" applyFill="1" applyBorder="1" applyAlignment="1" applyProtection="1">
      <alignment horizontal="center" vertical="center"/>
      <protection locked="0"/>
    </xf>
    <xf numFmtId="3" fontId="150" fillId="0" borderId="358" xfId="1" applyNumberFormat="1" applyFont="1" applyFill="1" applyBorder="1" applyAlignment="1">
      <alignment horizontal="center" vertical="center"/>
    </xf>
    <xf numFmtId="3" fontId="48" fillId="0" borderId="357" xfId="1" applyNumberFormat="1" applyFont="1" applyFill="1" applyBorder="1" applyAlignment="1">
      <alignment horizontal="center" vertical="center" shrinkToFit="1"/>
    </xf>
    <xf numFmtId="3" fontId="70" fillId="0" borderId="358" xfId="1" applyNumberFormat="1" applyFont="1" applyFill="1" applyBorder="1" applyAlignment="1">
      <alignment horizontal="center" vertical="center" shrinkToFit="1"/>
    </xf>
    <xf numFmtId="3" fontId="70" fillId="0" borderId="25" xfId="1" applyNumberFormat="1" applyFont="1" applyFill="1" applyBorder="1" applyAlignment="1">
      <alignment horizontal="center" vertical="center" shrinkToFit="1"/>
    </xf>
    <xf numFmtId="3" fontId="48" fillId="9" borderId="66" xfId="1" applyNumberFormat="1" applyFont="1" applyFill="1" applyBorder="1" applyAlignment="1">
      <alignment horizontal="center" vertical="center"/>
    </xf>
    <xf numFmtId="3" fontId="48" fillId="18" borderId="66" xfId="1" applyNumberFormat="1" applyFont="1" applyFill="1" applyBorder="1" applyAlignment="1">
      <alignment horizontal="center" vertical="center"/>
    </xf>
    <xf numFmtId="3" fontId="48" fillId="0" borderId="313" xfId="1" applyNumberFormat="1" applyFont="1" applyFill="1" applyBorder="1" applyAlignment="1">
      <alignment horizontal="center" vertical="center"/>
    </xf>
    <xf numFmtId="3" fontId="48" fillId="10" borderId="378" xfId="1" applyNumberFormat="1" applyFont="1" applyFill="1" applyBorder="1" applyAlignment="1">
      <alignment horizontal="center" vertical="center"/>
    </xf>
    <xf numFmtId="3" fontId="48" fillId="5" borderId="75" xfId="1" applyNumberFormat="1" applyFont="1" applyFill="1" applyBorder="1" applyAlignment="1">
      <alignment horizontal="center" vertical="center"/>
    </xf>
    <xf numFmtId="3" fontId="150" fillId="0" borderId="351" xfId="1" applyNumberFormat="1" applyFont="1" applyFill="1" applyBorder="1" applyAlignment="1">
      <alignment horizontal="center" vertical="center"/>
    </xf>
    <xf numFmtId="3" fontId="48" fillId="0" borderId="30" xfId="1" applyNumberFormat="1" applyFont="1" applyFill="1" applyBorder="1" applyAlignment="1">
      <alignment horizontal="center" vertical="center"/>
    </xf>
    <xf numFmtId="3" fontId="48" fillId="0" borderId="346" xfId="1" applyNumberFormat="1" applyFont="1" applyFill="1" applyBorder="1" applyAlignment="1">
      <alignment horizontal="center" vertical="center"/>
    </xf>
    <xf numFmtId="3" fontId="70" fillId="9" borderId="279" xfId="1" applyNumberFormat="1" applyFont="1" applyFill="1" applyBorder="1" applyAlignment="1">
      <alignment horizontal="center" vertical="center"/>
    </xf>
    <xf numFmtId="3" fontId="70" fillId="9" borderId="183" xfId="1" applyNumberFormat="1" applyFont="1" applyFill="1" applyBorder="1" applyAlignment="1">
      <alignment horizontal="center" vertical="center"/>
    </xf>
    <xf numFmtId="3" fontId="150" fillId="0" borderId="264" xfId="1" applyNumberFormat="1" applyFont="1" applyFill="1" applyBorder="1" applyAlignment="1">
      <alignment horizontal="center" vertical="center"/>
    </xf>
    <xf numFmtId="3" fontId="48" fillId="0" borderId="304" xfId="1" applyNumberFormat="1" applyFont="1" applyFill="1" applyBorder="1" applyAlignment="1">
      <alignment horizontal="center" vertical="center"/>
    </xf>
    <xf numFmtId="3" fontId="70" fillId="9" borderId="264" xfId="1" applyNumberFormat="1" applyFont="1" applyFill="1" applyBorder="1" applyAlignment="1">
      <alignment horizontal="center" vertical="center"/>
    </xf>
    <xf numFmtId="3" fontId="2" fillId="5" borderId="351" xfId="1" applyNumberFormat="1" applyFont="1" applyFill="1" applyBorder="1" applyAlignment="1">
      <alignment horizontal="left" vertical="center"/>
    </xf>
    <xf numFmtId="3" fontId="51" fillId="53" borderId="66" xfId="1" applyNumberFormat="1" applyFont="1" applyFill="1" applyBorder="1" applyAlignment="1">
      <alignment horizontal="left" vertical="center"/>
    </xf>
    <xf numFmtId="3" fontId="51" fillId="28" borderId="280" xfId="1" applyNumberFormat="1" applyFont="1" applyFill="1" applyBorder="1" applyAlignment="1">
      <alignment horizontal="left" vertical="center"/>
    </xf>
    <xf numFmtId="3" fontId="2" fillId="47" borderId="351" xfId="1" applyNumberFormat="1" applyFont="1" applyFill="1" applyBorder="1" applyAlignment="1">
      <alignment horizontal="left" vertical="center"/>
    </xf>
    <xf numFmtId="3" fontId="51" fillId="3" borderId="357" xfId="1" applyNumberFormat="1" applyFont="1" applyFill="1" applyBorder="1" applyAlignment="1">
      <alignment horizontal="left" vertical="center"/>
    </xf>
    <xf numFmtId="3" fontId="51" fillId="48" borderId="351" xfId="1" applyNumberFormat="1" applyFont="1" applyFill="1" applyBorder="1" applyAlignment="1">
      <alignment horizontal="left" vertical="center"/>
    </xf>
    <xf numFmtId="0" fontId="2" fillId="30" borderId="357" xfId="1" applyFont="1" applyFill="1" applyBorder="1" applyAlignment="1">
      <alignment horizontal="left" vertical="center" wrapText="1"/>
    </xf>
    <xf numFmtId="3" fontId="2" fillId="33" borderId="357" xfId="1" applyNumberFormat="1" applyFont="1" applyFill="1" applyBorder="1" applyAlignment="1">
      <alignment horizontal="left" vertical="center"/>
    </xf>
    <xf numFmtId="3" fontId="2" fillId="40" borderId="351" xfId="1" applyNumberFormat="1" applyFont="1" applyFill="1" applyBorder="1" applyAlignment="1">
      <alignment horizontal="left" vertical="center"/>
    </xf>
    <xf numFmtId="3" fontId="51" fillId="46" borderId="74" xfId="1" applyNumberFormat="1" applyFont="1" applyFill="1" applyBorder="1" applyAlignment="1">
      <alignment horizontal="left" vertical="center"/>
    </xf>
    <xf numFmtId="3" fontId="2" fillId="41" borderId="66" xfId="1" applyNumberFormat="1" applyFont="1" applyFill="1" applyBorder="1" applyAlignment="1">
      <alignment horizontal="left" vertical="center"/>
    </xf>
    <xf numFmtId="3" fontId="51" fillId="41" borderId="107" xfId="1" applyNumberFormat="1" applyFont="1" applyFill="1" applyBorder="1" applyAlignment="1">
      <alignment horizontal="left" vertical="center"/>
    </xf>
    <xf numFmtId="3" fontId="51" fillId="45" borderId="74" xfId="1" applyNumberFormat="1" applyFont="1" applyFill="1" applyBorder="1" applyAlignment="1">
      <alignment horizontal="left" vertical="center"/>
    </xf>
    <xf numFmtId="3" fontId="51" fillId="51" borderId="66" xfId="1" applyNumberFormat="1" applyFont="1" applyFill="1" applyBorder="1" applyAlignment="1">
      <alignment horizontal="left" vertical="center"/>
    </xf>
    <xf numFmtId="3" fontId="51" fillId="36" borderId="183" xfId="1" applyNumberFormat="1" applyFont="1" applyFill="1" applyBorder="1" applyAlignment="1">
      <alignment horizontal="left" vertical="center"/>
    </xf>
    <xf numFmtId="3" fontId="51" fillId="25" borderId="66" xfId="1" applyNumberFormat="1" applyFont="1" applyFill="1" applyBorder="1" applyAlignment="1">
      <alignment horizontal="left" vertical="center"/>
    </xf>
    <xf numFmtId="3" fontId="51" fillId="3" borderId="351" xfId="1" applyNumberFormat="1" applyFont="1" applyFill="1" applyBorder="1" applyAlignment="1">
      <alignment horizontal="left" vertical="center"/>
    </xf>
    <xf numFmtId="3" fontId="51" fillId="30" borderId="76" xfId="1" applyNumberFormat="1" applyFont="1" applyFill="1" applyBorder="1" applyAlignment="1">
      <alignment horizontal="left" vertical="center"/>
    </xf>
    <xf numFmtId="3" fontId="51" fillId="48" borderId="66" xfId="1" applyNumberFormat="1" applyFont="1" applyFill="1" applyBorder="1" applyAlignment="1">
      <alignment horizontal="left" vertical="center"/>
    </xf>
    <xf numFmtId="3" fontId="2" fillId="30" borderId="351" xfId="1" applyNumberFormat="1" applyFont="1" applyFill="1" applyBorder="1" applyAlignment="1">
      <alignment horizontal="left" vertical="center"/>
    </xf>
    <xf numFmtId="3" fontId="2" fillId="32" borderId="25" xfId="1" applyNumberFormat="1" applyFont="1" applyFill="1" applyBorder="1" applyAlignment="1">
      <alignment horizontal="left" vertical="center"/>
    </xf>
    <xf numFmtId="3" fontId="51" fillId="47" borderId="71" xfId="1" applyNumberFormat="1" applyFont="1" applyFill="1" applyBorder="1" applyAlignment="1">
      <alignment horizontal="left" vertical="center"/>
    </xf>
    <xf numFmtId="3" fontId="2" fillId="33" borderId="358" xfId="1" applyNumberFormat="1" applyFont="1" applyFill="1" applyBorder="1" applyAlignment="1">
      <alignment horizontal="left" vertical="center"/>
    </xf>
    <xf numFmtId="3" fontId="51" fillId="32" borderId="25" xfId="1" applyNumberFormat="1" applyFont="1" applyFill="1" applyBorder="1" applyAlignment="1">
      <alignment horizontal="left" vertical="center"/>
    </xf>
    <xf numFmtId="3" fontId="51" fillId="52" borderId="358" xfId="1" applyNumberFormat="1" applyFont="1" applyFill="1" applyBorder="1" applyAlignment="1">
      <alignment horizontal="left" vertical="center"/>
    </xf>
    <xf numFmtId="3" fontId="51" fillId="43" borderId="351" xfId="1" applyNumberFormat="1" applyFont="1" applyFill="1" applyBorder="1" applyAlignment="1">
      <alignment horizontal="left" vertical="center"/>
    </xf>
    <xf numFmtId="3" fontId="51" fillId="45" borderId="358" xfId="1" applyNumberFormat="1" applyFont="1" applyFill="1" applyBorder="1" applyAlignment="1">
      <alignment horizontal="left" vertical="center"/>
    </xf>
    <xf numFmtId="3" fontId="2" fillId="41" borderId="358" xfId="1" applyNumberFormat="1" applyFont="1" applyFill="1" applyBorder="1" applyAlignment="1">
      <alignment horizontal="left" vertical="center"/>
    </xf>
    <xf numFmtId="3" fontId="51" fillId="26" borderId="25" xfId="1" applyNumberFormat="1" applyFont="1" applyFill="1" applyBorder="1" applyAlignment="1">
      <alignment horizontal="left" vertical="center"/>
    </xf>
    <xf numFmtId="3" fontId="51" fillId="42" borderId="66" xfId="1" applyNumberFormat="1" applyFont="1" applyFill="1" applyBorder="1" applyAlignment="1">
      <alignment horizontal="left" vertical="center"/>
    </xf>
    <xf numFmtId="3" fontId="51" fillId="50" borderId="264" xfId="1" applyNumberFormat="1" applyFont="1" applyFill="1" applyBorder="1" applyAlignment="1">
      <alignment horizontal="left" vertical="center"/>
    </xf>
    <xf numFmtId="3" fontId="51" fillId="25" borderId="378" xfId="1" applyNumberFormat="1" applyFont="1" applyFill="1" applyBorder="1" applyAlignment="1">
      <alignment horizontal="left" vertical="center"/>
    </xf>
    <xf numFmtId="3" fontId="98" fillId="53" borderId="66" xfId="1" applyNumberFormat="1" applyFont="1" applyFill="1" applyBorder="1" applyAlignment="1">
      <alignment horizontal="center" vertical="center"/>
    </xf>
    <xf numFmtId="3" fontId="51" fillId="28" borderId="280" xfId="1" applyNumberFormat="1" applyFont="1" applyFill="1" applyBorder="1" applyAlignment="1">
      <alignment horizontal="center" vertical="center"/>
    </xf>
    <xf numFmtId="3" fontId="2" fillId="47" borderId="351" xfId="1" applyNumberFormat="1" applyFont="1" applyFill="1" applyBorder="1" applyAlignment="1">
      <alignment horizontal="center" vertical="center"/>
    </xf>
    <xf numFmtId="3" fontId="98" fillId="30" borderId="351" xfId="1" applyNumberFormat="1" applyFont="1" applyFill="1" applyBorder="1" applyAlignment="1">
      <alignment horizontal="center" vertical="center"/>
    </xf>
    <xf numFmtId="3" fontId="51" fillId="3" borderId="357" xfId="1" applyNumberFormat="1" applyFont="1" applyFill="1" applyBorder="1" applyAlignment="1">
      <alignment horizontal="center" vertical="center"/>
    </xf>
    <xf numFmtId="3" fontId="51" fillId="48" borderId="351" xfId="1" applyNumberFormat="1" applyFont="1" applyFill="1" applyBorder="1" applyAlignment="1">
      <alignment horizontal="center" vertical="center"/>
    </xf>
    <xf numFmtId="3" fontId="2" fillId="33" borderId="357" xfId="1" applyNumberFormat="1" applyFont="1" applyFill="1" applyBorder="1" applyAlignment="1">
      <alignment horizontal="center" vertical="center"/>
    </xf>
    <xf numFmtId="3" fontId="98" fillId="41" borderId="357" xfId="1" applyNumberFormat="1" applyFont="1" applyFill="1" applyBorder="1" applyAlignment="1">
      <alignment horizontal="center" vertical="center"/>
    </xf>
    <xf numFmtId="3" fontId="98" fillId="40" borderId="357" xfId="1" applyNumberFormat="1" applyFont="1" applyFill="1" applyBorder="1" applyAlignment="1">
      <alignment horizontal="center" vertical="center"/>
    </xf>
    <xf numFmtId="3" fontId="2" fillId="41" borderId="357" xfId="1" applyNumberFormat="1" applyFont="1" applyFill="1" applyBorder="1" applyAlignment="1">
      <alignment horizontal="center" vertical="center"/>
    </xf>
    <xf numFmtId="3" fontId="2" fillId="40" borderId="351" xfId="1" applyNumberFormat="1" applyFont="1" applyFill="1" applyBorder="1" applyAlignment="1">
      <alignment horizontal="center" vertical="center"/>
    </xf>
    <xf numFmtId="3" fontId="51" fillId="46" borderId="74" xfId="1" applyNumberFormat="1" applyFont="1" applyFill="1" applyBorder="1" applyAlignment="1">
      <alignment horizontal="center" vertical="center"/>
    </xf>
    <xf numFmtId="3" fontId="51" fillId="41" borderId="107" xfId="1" applyNumberFormat="1" applyFont="1" applyFill="1" applyBorder="1" applyAlignment="1">
      <alignment horizontal="center" vertical="center"/>
    </xf>
    <xf numFmtId="3" fontId="98" fillId="45" borderId="74" xfId="1" applyNumberFormat="1" applyFont="1" applyFill="1" applyBorder="1" applyAlignment="1">
      <alignment horizontal="center" vertical="center"/>
    </xf>
    <xf numFmtId="3" fontId="51" fillId="51" borderId="66" xfId="1" applyNumberFormat="1" applyFont="1" applyFill="1" applyBorder="1" applyAlignment="1">
      <alignment horizontal="center" vertical="center"/>
    </xf>
    <xf numFmtId="3" fontId="2" fillId="35" borderId="66" xfId="1" applyNumberFormat="1" applyFont="1" applyFill="1" applyBorder="1" applyAlignment="1">
      <alignment horizontal="center" vertical="center"/>
    </xf>
    <xf numFmtId="3" fontId="98" fillId="35" borderId="183" xfId="1" applyNumberFormat="1" applyFont="1" applyFill="1" applyBorder="1" applyAlignment="1">
      <alignment horizontal="center" vertical="center"/>
    </xf>
    <xf numFmtId="3" fontId="51" fillId="36" borderId="183" xfId="1" applyNumberFormat="1" applyFont="1" applyFill="1" applyBorder="1" applyAlignment="1">
      <alignment horizontal="center" vertical="center"/>
    </xf>
    <xf numFmtId="3" fontId="51" fillId="25" borderId="66" xfId="1" applyNumberFormat="1" applyFont="1" applyFill="1" applyBorder="1" applyAlignment="1">
      <alignment horizontal="center" vertical="center"/>
    </xf>
    <xf numFmtId="3" fontId="98" fillId="34" borderId="351" xfId="1" applyNumberFormat="1" applyFont="1" applyFill="1" applyBorder="1" applyAlignment="1">
      <alignment horizontal="center" vertical="center"/>
    </xf>
    <xf numFmtId="3" fontId="51" fillId="3" borderId="351" xfId="1" applyNumberFormat="1" applyFont="1" applyFill="1" applyBorder="1" applyAlignment="1">
      <alignment horizontal="center" vertical="center"/>
    </xf>
    <xf numFmtId="3" fontId="51" fillId="30" borderId="77" xfId="1" applyNumberFormat="1" applyFont="1" applyFill="1" applyBorder="1" applyAlignment="1">
      <alignment horizontal="center" vertical="center"/>
    </xf>
    <xf numFmtId="3" fontId="2" fillId="30" borderId="264" xfId="1" applyNumberFormat="1" applyFont="1" applyFill="1" applyBorder="1" applyAlignment="1">
      <alignment horizontal="center" vertical="center"/>
    </xf>
    <xf numFmtId="3" fontId="98" fillId="48" borderId="66" xfId="1" applyNumberFormat="1" applyFont="1" applyFill="1" applyBorder="1" applyAlignment="1">
      <alignment horizontal="center" vertical="center"/>
    </xf>
    <xf numFmtId="3" fontId="98" fillId="31" borderId="264" xfId="1" applyNumberFormat="1" applyFont="1" applyFill="1" applyBorder="1" applyAlignment="1">
      <alignment horizontal="center" vertical="center"/>
    </xf>
    <xf numFmtId="3" fontId="98" fillId="48" borderId="279" xfId="1" applyNumberFormat="1" applyFont="1" applyFill="1" applyBorder="1" applyAlignment="1">
      <alignment horizontal="center" vertical="center"/>
    </xf>
    <xf numFmtId="3" fontId="51" fillId="31" borderId="305" xfId="1" applyNumberFormat="1" applyFont="1" applyFill="1" applyBorder="1" applyAlignment="1">
      <alignment horizontal="center" vertical="center"/>
    </xf>
    <xf numFmtId="3" fontId="98" fillId="30" borderId="271" xfId="1" applyNumberFormat="1" applyFont="1" applyFill="1" applyBorder="1" applyAlignment="1">
      <alignment horizontal="center" vertical="center"/>
    </xf>
    <xf numFmtId="3" fontId="98" fillId="31" borderId="66" xfId="1" applyNumberFormat="1" applyFont="1" applyFill="1" applyBorder="1" applyAlignment="1">
      <alignment horizontal="center" vertical="center"/>
    </xf>
    <xf numFmtId="3" fontId="51" fillId="30" borderId="305" xfId="1" applyNumberFormat="1" applyFont="1" applyFill="1" applyBorder="1" applyAlignment="1">
      <alignment horizontal="center" vertical="center"/>
    </xf>
    <xf numFmtId="3" fontId="98" fillId="47" borderId="358" xfId="1" applyNumberFormat="1" applyFont="1" applyFill="1" applyBorder="1" applyAlignment="1">
      <alignment horizontal="center" vertical="center"/>
    </xf>
    <xf numFmtId="3" fontId="2" fillId="32" borderId="25" xfId="1" applyNumberFormat="1" applyFont="1" applyFill="1" applyBorder="1" applyAlignment="1">
      <alignment horizontal="center" vertical="center"/>
    </xf>
    <xf numFmtId="3" fontId="51" fillId="47" borderId="71" xfId="1" applyNumberFormat="1" applyFont="1" applyFill="1" applyBorder="1" applyAlignment="1">
      <alignment horizontal="center" vertical="center"/>
    </xf>
    <xf numFmtId="3" fontId="2" fillId="33" borderId="358" xfId="1" applyNumberFormat="1" applyFont="1" applyFill="1" applyBorder="1" applyAlignment="1">
      <alignment horizontal="center" vertical="center"/>
    </xf>
    <xf numFmtId="3" fontId="51" fillId="32" borderId="25" xfId="1" applyNumberFormat="1" applyFont="1" applyFill="1" applyBorder="1" applyAlignment="1">
      <alignment horizontal="center" vertical="center"/>
    </xf>
    <xf numFmtId="3" fontId="51" fillId="52" borderId="358" xfId="1" applyNumberFormat="1" applyFont="1" applyFill="1" applyBorder="1" applyAlignment="1">
      <alignment horizontal="center" vertical="center"/>
    </xf>
    <xf numFmtId="3" fontId="98" fillId="41" borderId="358" xfId="1" applyNumberFormat="1" applyFont="1" applyFill="1" applyBorder="1" applyAlignment="1">
      <alignment horizontal="center" vertical="center"/>
    </xf>
    <xf numFmtId="3" fontId="51" fillId="43" borderId="351" xfId="1" applyNumberFormat="1" applyFont="1" applyFill="1" applyBorder="1" applyAlignment="1">
      <alignment horizontal="center" vertical="center"/>
    </xf>
    <xf numFmtId="3" fontId="98" fillId="45" borderId="358" xfId="1" applyNumberFormat="1" applyFont="1" applyFill="1" applyBorder="1" applyAlignment="1">
      <alignment horizontal="center" vertical="center"/>
    </xf>
    <xf numFmtId="3" fontId="98" fillId="40" borderId="66" xfId="1" applyNumberFormat="1" applyFont="1" applyFill="1" applyBorder="1" applyAlignment="1">
      <alignment horizontal="center" vertical="center"/>
    </xf>
    <xf numFmtId="3" fontId="51" fillId="26" borderId="25" xfId="1" applyNumberFormat="1" applyFont="1" applyFill="1" applyBorder="1" applyAlignment="1">
      <alignment horizontal="center" vertical="center"/>
    </xf>
    <xf numFmtId="3" fontId="51" fillId="45" borderId="66" xfId="1" applyNumberFormat="1" applyFont="1" applyFill="1" applyBorder="1" applyAlignment="1">
      <alignment horizontal="center" vertical="center"/>
    </xf>
    <xf numFmtId="3" fontId="51" fillId="42" borderId="66" xfId="1" applyNumberFormat="1" applyFont="1" applyFill="1" applyBorder="1" applyAlignment="1">
      <alignment horizontal="center" vertical="center"/>
    </xf>
    <xf numFmtId="3" fontId="98" fillId="34" borderId="66" xfId="1" applyNumberFormat="1" applyFont="1" applyFill="1" applyBorder="1" applyAlignment="1">
      <alignment horizontal="center" vertical="center"/>
    </xf>
    <xf numFmtId="3" fontId="98" fillId="50" borderId="264" xfId="1" applyNumberFormat="1" applyFont="1" applyFill="1" applyBorder="1" applyAlignment="1">
      <alignment horizontal="center" vertical="center"/>
    </xf>
    <xf numFmtId="3" fontId="51" fillId="25" borderId="378" xfId="1" applyNumberFormat="1" applyFont="1" applyFill="1" applyBorder="1" applyAlignment="1">
      <alignment horizontal="center" vertical="center"/>
    </xf>
    <xf numFmtId="0" fontId="98" fillId="53" borderId="66" xfId="1" applyFont="1" applyFill="1" applyBorder="1" applyAlignment="1">
      <alignment horizontal="center" vertical="center"/>
    </xf>
    <xf numFmtId="0" fontId="2" fillId="28" borderId="280" xfId="1" applyFont="1" applyFill="1" applyBorder="1" applyAlignment="1">
      <alignment horizontal="center" vertical="center"/>
    </xf>
    <xf numFmtId="0" fontId="98" fillId="31" borderId="279" xfId="1" applyFont="1" applyFill="1" applyBorder="1" applyAlignment="1">
      <alignment horizontal="center" vertical="center"/>
    </xf>
    <xf numFmtId="0" fontId="2" fillId="3" borderId="357" xfId="1" applyFont="1" applyFill="1" applyBorder="1" applyAlignment="1">
      <alignment horizontal="center" vertical="center"/>
    </xf>
    <xf numFmtId="0" fontId="98" fillId="31" borderId="66" xfId="1" applyFont="1" applyFill="1" applyBorder="1" applyAlignment="1">
      <alignment horizontal="center" vertical="center"/>
    </xf>
    <xf numFmtId="0" fontId="2" fillId="48" borderId="351" xfId="1" applyFont="1" applyFill="1" applyBorder="1" applyAlignment="1">
      <alignment horizontal="center" vertical="center"/>
    </xf>
    <xf numFmtId="0" fontId="2" fillId="32" borderId="351" xfId="1" applyFont="1" applyFill="1" applyBorder="1" applyAlignment="1">
      <alignment horizontal="center" vertical="center"/>
    </xf>
    <xf numFmtId="0" fontId="98" fillId="32" borderId="357" xfId="1" applyFont="1" applyFill="1" applyBorder="1" applyAlignment="1">
      <alignment horizontal="center" vertical="center"/>
    </xf>
    <xf numFmtId="0" fontId="98" fillId="40" borderId="351" xfId="1" applyFont="1" applyFill="1" applyBorder="1" applyAlignment="1">
      <alignment horizontal="center" vertical="center"/>
    </xf>
    <xf numFmtId="0" fontId="98" fillId="41" borderId="351" xfId="1" applyFont="1" applyFill="1" applyBorder="1" applyAlignment="1">
      <alignment horizontal="center" vertical="center"/>
    </xf>
    <xf numFmtId="0" fontId="103" fillId="40" borderId="357" xfId="1" applyFont="1" applyFill="1" applyBorder="1" applyAlignment="1">
      <alignment horizontal="center" vertical="center"/>
    </xf>
    <xf numFmtId="0" fontId="98" fillId="46" borderId="74" xfId="1" applyFont="1" applyFill="1" applyBorder="1" applyAlignment="1">
      <alignment horizontal="center" vertical="center"/>
    </xf>
    <xf numFmtId="0" fontId="2" fillId="41" borderId="107" xfId="1" applyFont="1" applyFill="1" applyBorder="1" applyAlignment="1">
      <alignment horizontal="center" vertical="center"/>
    </xf>
    <xf numFmtId="0" fontId="2" fillId="41" borderId="57" xfId="1" applyFont="1" applyFill="1" applyBorder="1" applyAlignment="1">
      <alignment horizontal="center" vertical="center"/>
    </xf>
    <xf numFmtId="0" fontId="98" fillId="45" borderId="74" xfId="1" applyFont="1" applyFill="1" applyBorder="1" applyAlignment="1">
      <alignment horizontal="center" vertical="center"/>
    </xf>
    <xf numFmtId="0" fontId="2" fillId="51" borderId="66" xfId="1" applyFont="1" applyFill="1" applyBorder="1" applyAlignment="1">
      <alignment horizontal="center" vertical="center"/>
    </xf>
    <xf numFmtId="0" fontId="2" fillId="36" borderId="183" xfId="1" applyFont="1" applyFill="1" applyBorder="1" applyAlignment="1">
      <alignment horizontal="center" vertical="center"/>
    </xf>
    <xf numFmtId="0" fontId="2" fillId="25" borderId="66" xfId="1" applyFont="1" applyFill="1" applyBorder="1" applyAlignment="1">
      <alignment horizontal="center" vertical="center"/>
    </xf>
    <xf numFmtId="0" fontId="2" fillId="3" borderId="351" xfId="1" applyFont="1" applyFill="1" applyBorder="1" applyAlignment="1">
      <alignment horizontal="center" vertical="center"/>
    </xf>
    <xf numFmtId="0" fontId="2" fillId="30" borderId="77" xfId="1" applyFont="1" applyFill="1" applyBorder="1" applyAlignment="1">
      <alignment horizontal="center" vertical="center"/>
    </xf>
    <xf numFmtId="0" fontId="103" fillId="30" borderId="358" xfId="1" applyFont="1" applyFill="1" applyBorder="1" applyAlignment="1">
      <alignment horizontal="center" vertical="center"/>
    </xf>
    <xf numFmtId="0" fontId="2" fillId="48" borderId="66" xfId="1" applyFont="1" applyFill="1" applyBorder="1" applyAlignment="1">
      <alignment horizontal="center" vertical="center"/>
    </xf>
    <xf numFmtId="0" fontId="98" fillId="30" borderId="264" xfId="1" applyFont="1" applyFill="1" applyBorder="1" applyAlignment="1">
      <alignment horizontal="center" vertical="center"/>
    </xf>
    <xf numFmtId="0" fontId="98" fillId="31" borderId="264" xfId="1" applyFont="1" applyFill="1" applyBorder="1" applyAlignment="1">
      <alignment horizontal="center" vertical="center"/>
    </xf>
    <xf numFmtId="0" fontId="103" fillId="48" borderId="279" xfId="1" applyFont="1" applyFill="1" applyBorder="1" applyAlignment="1">
      <alignment horizontal="center" vertical="center"/>
    </xf>
    <xf numFmtId="0" fontId="2" fillId="31" borderId="305" xfId="1" applyFont="1" applyFill="1" applyBorder="1" applyAlignment="1">
      <alignment horizontal="center" vertical="center"/>
    </xf>
    <xf numFmtId="0" fontId="2" fillId="30" borderId="305" xfId="1" applyFont="1" applyFill="1" applyBorder="1" applyAlignment="1">
      <alignment horizontal="center" vertical="center"/>
    </xf>
    <xf numFmtId="0" fontId="98" fillId="33" borderId="358" xfId="1" applyFont="1" applyFill="1" applyBorder="1" applyAlignment="1">
      <alignment horizontal="center" vertical="center"/>
    </xf>
    <xf numFmtId="0" fontId="98" fillId="47" borderId="358" xfId="1" applyFont="1" applyFill="1" applyBorder="1" applyAlignment="1">
      <alignment horizontal="center" vertical="center"/>
    </xf>
    <xf numFmtId="0" fontId="2" fillId="32" borderId="25" xfId="1" applyFont="1" applyFill="1" applyBorder="1" applyAlignment="1">
      <alignment horizontal="center" vertical="center"/>
    </xf>
    <xf numFmtId="0" fontId="2" fillId="47" borderId="71" xfId="1" applyFont="1" applyFill="1" applyBorder="1" applyAlignment="1">
      <alignment horizontal="center" vertical="center"/>
    </xf>
    <xf numFmtId="0" fontId="2" fillId="52" borderId="358" xfId="1" applyFont="1" applyFill="1" applyBorder="1" applyAlignment="1">
      <alignment horizontal="center" vertical="center"/>
    </xf>
    <xf numFmtId="0" fontId="2" fillId="43" borderId="351" xfId="1" applyFont="1" applyFill="1" applyBorder="1" applyAlignment="1">
      <alignment horizontal="center" vertical="center"/>
    </xf>
    <xf numFmtId="0" fontId="98" fillId="45" borderId="358" xfId="1" applyFont="1" applyFill="1" applyBorder="1" applyAlignment="1">
      <alignment horizontal="center" vertical="center"/>
    </xf>
    <xf numFmtId="0" fontId="98" fillId="40" borderId="25" xfId="1" applyFont="1" applyFill="1" applyBorder="1" applyAlignment="1">
      <alignment horizontal="center" vertical="center"/>
    </xf>
    <xf numFmtId="0" fontId="2" fillId="26" borderId="25" xfId="1" applyFont="1" applyFill="1" applyBorder="1" applyAlignment="1">
      <alignment horizontal="center" vertical="center"/>
    </xf>
    <xf numFmtId="0" fontId="98" fillId="41" borderId="25" xfId="1" applyFont="1" applyFill="1" applyBorder="1" applyAlignment="1">
      <alignment horizontal="center" vertical="center"/>
    </xf>
    <xf numFmtId="0" fontId="2" fillId="45" borderId="66" xfId="1" applyFont="1" applyFill="1" applyBorder="1" applyAlignment="1">
      <alignment horizontal="center" vertical="center"/>
    </xf>
    <xf numFmtId="0" fontId="2" fillId="42" borderId="66" xfId="1" applyFont="1" applyFill="1" applyBorder="1" applyAlignment="1">
      <alignment horizontal="center" vertical="center"/>
    </xf>
    <xf numFmtId="0" fontId="98" fillId="34" borderId="66" xfId="1" applyFont="1" applyFill="1" applyBorder="1" applyAlignment="1">
      <alignment horizontal="center" vertical="center"/>
    </xf>
    <xf numFmtId="0" fontId="2" fillId="50" borderId="264" xfId="1" applyFont="1" applyFill="1" applyBorder="1" applyAlignment="1">
      <alignment horizontal="center" vertical="center"/>
    </xf>
    <xf numFmtId="0" fontId="2" fillId="25" borderId="378" xfId="1" applyFont="1" applyFill="1" applyBorder="1" applyAlignment="1">
      <alignment horizontal="center" vertical="center"/>
    </xf>
    <xf numFmtId="0" fontId="98" fillId="0" borderId="351" xfId="1" applyFont="1" applyFill="1" applyBorder="1" applyAlignment="1">
      <alignment horizontal="center" vertical="center"/>
    </xf>
    <xf numFmtId="172" fontId="51" fillId="53" borderId="66" xfId="1" applyNumberFormat="1" applyFont="1" applyFill="1" applyBorder="1" applyAlignment="1">
      <alignment horizontal="center" vertical="center"/>
    </xf>
    <xf numFmtId="172" fontId="2" fillId="47" borderId="351" xfId="1" applyNumberFormat="1" applyFont="1" applyFill="1" applyBorder="1" applyAlignment="1">
      <alignment horizontal="center" vertical="center"/>
    </xf>
    <xf numFmtId="172" fontId="51" fillId="28" borderId="280" xfId="1" applyNumberFormat="1" applyFont="1" applyFill="1" applyBorder="1" applyAlignment="1">
      <alignment horizontal="center" vertical="center"/>
    </xf>
    <xf numFmtId="172" fontId="95" fillId="3" borderId="357" xfId="1" applyNumberFormat="1" applyFont="1" applyFill="1" applyBorder="1" applyAlignment="1">
      <alignment horizontal="center" vertical="center"/>
    </xf>
    <xf numFmtId="172" fontId="2" fillId="33" borderId="357" xfId="1" applyNumberFormat="1" applyFont="1" applyFill="1" applyBorder="1" applyAlignment="1">
      <alignment horizontal="center" vertical="center"/>
    </xf>
    <xf numFmtId="172" fontId="51" fillId="48" borderId="351" xfId="1" applyNumberFormat="1" applyFont="1" applyFill="1" applyBorder="1" applyAlignment="1">
      <alignment horizontal="center" vertical="center"/>
    </xf>
    <xf numFmtId="172" fontId="2" fillId="31" borderId="74" xfId="1" applyNumberFormat="1" applyFont="1" applyFill="1" applyBorder="1" applyAlignment="1">
      <alignment horizontal="center" vertical="center"/>
    </xf>
    <xf numFmtId="172" fontId="51" fillId="32" borderId="351" xfId="1" applyNumberFormat="1" applyFont="1" applyFill="1" applyBorder="1" applyAlignment="1">
      <alignment horizontal="center" vertical="center"/>
    </xf>
    <xf numFmtId="172" fontId="2" fillId="32" borderId="357" xfId="1" applyNumberFormat="1" applyFont="1" applyFill="1" applyBorder="1" applyAlignment="1">
      <alignment horizontal="center" vertical="center"/>
    </xf>
    <xf numFmtId="172" fontId="95" fillId="41" borderId="74" xfId="1" applyNumberFormat="1" applyFont="1" applyFill="1" applyBorder="1" applyAlignment="1">
      <alignment horizontal="center" vertical="center"/>
    </xf>
    <xf numFmtId="172" fontId="2" fillId="46" borderId="74" xfId="1" applyNumberFormat="1" applyFont="1" applyFill="1" applyBorder="1" applyAlignment="1">
      <alignment horizontal="center" vertical="center"/>
    </xf>
    <xf numFmtId="172" fontId="51" fillId="40" borderId="57" xfId="1" applyNumberFormat="1" applyFont="1" applyFill="1" applyBorder="1" applyAlignment="1">
      <alignment horizontal="center" vertical="center"/>
    </xf>
    <xf numFmtId="172" fontId="51" fillId="45" borderId="74" xfId="1" applyNumberFormat="1" applyFont="1" applyFill="1" applyBorder="1" applyAlignment="1">
      <alignment horizontal="center" vertical="center"/>
    </xf>
    <xf numFmtId="172" fontId="2" fillId="40" borderId="183" xfId="1" applyNumberFormat="1" applyFont="1" applyFill="1" applyBorder="1" applyAlignment="1">
      <alignment horizontal="center" vertical="center"/>
    </xf>
    <xf numFmtId="172" fontId="51" fillId="51" borderId="66" xfId="1" applyNumberFormat="1" applyFont="1" applyFill="1" applyBorder="1" applyAlignment="1">
      <alignment horizontal="center" vertical="center"/>
    </xf>
    <xf numFmtId="172" fontId="51" fillId="36" borderId="183" xfId="1" applyNumberFormat="1" applyFont="1" applyFill="1" applyBorder="1" applyAlignment="1">
      <alignment horizontal="center" vertical="center"/>
    </xf>
    <xf numFmtId="172" fontId="95" fillId="25" borderId="66" xfId="1" applyNumberFormat="1" applyFont="1" applyFill="1" applyBorder="1" applyAlignment="1">
      <alignment horizontal="center" vertical="center"/>
    </xf>
    <xf numFmtId="172" fontId="2" fillId="5" borderId="351" xfId="1" applyNumberFormat="1" applyFont="1" applyFill="1" applyBorder="1" applyAlignment="1">
      <alignment horizontal="center" vertical="center"/>
    </xf>
    <xf numFmtId="172" fontId="95" fillId="3" borderId="351" xfId="1" applyNumberFormat="1" applyFont="1" applyFill="1" applyBorder="1" applyAlignment="1">
      <alignment horizontal="center" vertical="center"/>
    </xf>
    <xf numFmtId="172" fontId="51" fillId="30" borderId="77" xfId="1" applyNumberFormat="1" applyFont="1" applyFill="1" applyBorder="1" applyAlignment="1">
      <alignment horizontal="center" vertical="center"/>
    </xf>
    <xf numFmtId="172" fontId="2" fillId="48" borderId="66" xfId="1" applyNumberFormat="1" applyFont="1" applyFill="1" applyBorder="1" applyAlignment="1">
      <alignment horizontal="center" vertical="center"/>
    </xf>
    <xf numFmtId="172" fontId="51" fillId="32" borderId="25" xfId="1" applyNumberFormat="1" applyFont="1" applyFill="1" applyBorder="1" applyAlignment="1">
      <alignment horizontal="center" vertical="center"/>
    </xf>
    <xf numFmtId="172" fontId="2" fillId="47" borderId="71" xfId="1" applyNumberFormat="1" applyFont="1" applyFill="1" applyBorder="1" applyAlignment="1">
      <alignment horizontal="center" vertical="center"/>
    </xf>
    <xf numFmtId="172" fontId="2" fillId="33" borderId="66" xfId="1" applyNumberFormat="1" applyFont="1" applyFill="1" applyBorder="1" applyAlignment="1">
      <alignment horizontal="center" vertical="center"/>
    </xf>
    <xf numFmtId="172" fontId="2" fillId="31" borderId="25" xfId="1" applyNumberFormat="1" applyFont="1" applyFill="1" applyBorder="1" applyAlignment="1">
      <alignment horizontal="center" vertical="center"/>
    </xf>
    <xf numFmtId="172" fontId="2" fillId="31" borderId="358" xfId="1" applyNumberFormat="1" applyFont="1" applyFill="1" applyBorder="1" applyAlignment="1">
      <alignment horizontal="center" vertical="center"/>
    </xf>
    <xf numFmtId="172" fontId="51" fillId="52" borderId="358" xfId="1" applyNumberFormat="1" applyFont="1" applyFill="1" applyBorder="1" applyAlignment="1">
      <alignment horizontal="center" vertical="center"/>
    </xf>
    <xf numFmtId="172" fontId="51" fillId="43" borderId="351" xfId="1" applyNumberFormat="1" applyFont="1" applyFill="1" applyBorder="1" applyAlignment="1">
      <alignment horizontal="center" vertical="center"/>
    </xf>
    <xf numFmtId="172" fontId="51" fillId="45" borderId="358" xfId="1" applyNumberFormat="1" applyFont="1" applyFill="1" applyBorder="1" applyAlignment="1">
      <alignment horizontal="center" vertical="center"/>
    </xf>
    <xf numFmtId="172" fontId="2" fillId="40" borderId="358" xfId="1" applyNumberFormat="1" applyFont="1" applyFill="1" applyBorder="1" applyAlignment="1">
      <alignment horizontal="center" vertical="center"/>
    </xf>
    <xf numFmtId="172" fontId="2" fillId="41" borderId="358" xfId="1" applyNumberFormat="1" applyFont="1" applyFill="1" applyBorder="1" applyAlignment="1">
      <alignment horizontal="center" vertical="center"/>
    </xf>
    <xf numFmtId="172" fontId="95" fillId="26" borderId="25" xfId="1" applyNumberFormat="1" applyFont="1" applyFill="1" applyBorder="1" applyAlignment="1">
      <alignment horizontal="center" vertical="center"/>
    </xf>
    <xf numFmtId="172" fontId="51" fillId="40" borderId="264" xfId="1" applyNumberFormat="1" applyFont="1" applyFill="1" applyBorder="1" applyAlignment="1">
      <alignment horizontal="center" vertical="center"/>
    </xf>
    <xf numFmtId="172" fontId="51" fillId="42" borderId="66" xfId="1" applyNumberFormat="1" applyFont="1" applyFill="1" applyBorder="1" applyAlignment="1">
      <alignment horizontal="center" vertical="center"/>
    </xf>
    <xf numFmtId="172" fontId="2" fillId="35" borderId="66" xfId="1" applyNumberFormat="1" applyFont="1" applyFill="1" applyBorder="1" applyAlignment="1">
      <alignment horizontal="center" vertical="center"/>
    </xf>
    <xf numFmtId="172" fontId="51" fillId="50" borderId="264" xfId="1" applyNumberFormat="1" applyFont="1" applyFill="1" applyBorder="1" applyAlignment="1">
      <alignment horizontal="center" vertical="center"/>
    </xf>
    <xf numFmtId="172" fontId="95" fillId="25" borderId="378" xfId="1" applyNumberFormat="1" applyFont="1" applyFill="1" applyBorder="1" applyAlignment="1">
      <alignment horizontal="center" vertical="center"/>
    </xf>
    <xf numFmtId="14" fontId="51" fillId="53" borderId="66" xfId="1" applyNumberFormat="1" applyFont="1" applyFill="1" applyBorder="1" applyAlignment="1">
      <alignment horizontal="center" vertical="center"/>
    </xf>
    <xf numFmtId="14" fontId="51" fillId="47" borderId="341" xfId="1" applyNumberFormat="1" applyFont="1" applyFill="1" applyBorder="1" applyAlignment="1">
      <alignment horizontal="center" vertical="center"/>
    </xf>
    <xf numFmtId="14" fontId="51" fillId="28" borderId="280" xfId="1" applyNumberFormat="1" applyFont="1" applyFill="1" applyBorder="1" applyAlignment="1">
      <alignment horizontal="center" vertical="center"/>
    </xf>
    <xf numFmtId="14" fontId="51" fillId="3" borderId="357" xfId="1" applyNumberFormat="1" applyFont="1" applyFill="1" applyBorder="1" applyAlignment="1">
      <alignment horizontal="center" vertical="center"/>
    </xf>
    <xf numFmtId="14" fontId="51" fillId="48" borderId="351" xfId="1" applyNumberFormat="1" applyFont="1" applyFill="1" applyBorder="1" applyAlignment="1">
      <alignment horizontal="center" vertical="center"/>
    </xf>
    <xf numFmtId="14" fontId="51" fillId="30" borderId="351" xfId="1" quotePrefix="1" applyNumberFormat="1" applyFont="1" applyFill="1" applyBorder="1" applyAlignment="1">
      <alignment horizontal="center" vertical="center"/>
    </xf>
    <xf numFmtId="14" fontId="51" fillId="40" borderId="357" xfId="1" quotePrefix="1" applyNumberFormat="1" applyFont="1" applyFill="1" applyBorder="1" applyAlignment="1">
      <alignment horizontal="center" vertical="center"/>
    </xf>
    <xf numFmtId="14" fontId="51" fillId="41" borderId="357" xfId="1" quotePrefix="1" applyNumberFormat="1" applyFont="1" applyFill="1" applyBorder="1" applyAlignment="1">
      <alignment horizontal="center" vertical="center"/>
    </xf>
    <xf numFmtId="14" fontId="51" fillId="46" borderId="74" xfId="1" applyNumberFormat="1" applyFont="1" applyFill="1" applyBorder="1" applyAlignment="1">
      <alignment horizontal="center" vertical="center"/>
    </xf>
    <xf numFmtId="14" fontId="51" fillId="45" borderId="74" xfId="1" applyNumberFormat="1" applyFont="1" applyFill="1" applyBorder="1" applyAlignment="1">
      <alignment horizontal="center" vertical="center"/>
    </xf>
    <xf numFmtId="14" fontId="51" fillId="51" borderId="66" xfId="1" applyNumberFormat="1" applyFont="1" applyFill="1" applyBorder="1" applyAlignment="1">
      <alignment horizontal="center" vertical="center"/>
    </xf>
    <xf numFmtId="14" fontId="51" fillId="36" borderId="183" xfId="1" applyNumberFormat="1" applyFont="1" applyFill="1" applyBorder="1" applyAlignment="1">
      <alignment horizontal="center" vertical="center"/>
    </xf>
    <xf numFmtId="14" fontId="51" fillId="25" borderId="66" xfId="1" applyNumberFormat="1" applyFont="1" applyFill="1" applyBorder="1" applyAlignment="1">
      <alignment horizontal="center" vertical="center"/>
    </xf>
    <xf numFmtId="14" fontId="2" fillId="5" borderId="351" xfId="1" applyNumberFormat="1" applyFont="1" applyFill="1" applyBorder="1" applyAlignment="1">
      <alignment horizontal="center" vertical="center"/>
    </xf>
    <xf numFmtId="14" fontId="51" fillId="3" borderId="351" xfId="1" applyNumberFormat="1" applyFont="1" applyFill="1" applyBorder="1" applyAlignment="1">
      <alignment horizontal="center" vertical="center"/>
    </xf>
    <xf numFmtId="14" fontId="51" fillId="30" borderId="77" xfId="1" applyNumberFormat="1" applyFont="1" applyFill="1" applyBorder="1" applyAlignment="1">
      <alignment horizontal="center" vertical="center"/>
    </xf>
    <xf numFmtId="14" fontId="51" fillId="48" borderId="66" xfId="1" applyNumberFormat="1" applyFont="1" applyFill="1" applyBorder="1" applyAlignment="1">
      <alignment horizontal="center" vertical="center"/>
    </xf>
    <xf numFmtId="14" fontId="2" fillId="30" borderId="351" xfId="1" applyNumberFormat="1" applyFont="1" applyFill="1" applyBorder="1" applyAlignment="1">
      <alignment horizontal="center" vertical="center"/>
    </xf>
    <xf numFmtId="14" fontId="51" fillId="32" borderId="25" xfId="1" applyNumberFormat="1" applyFont="1" applyFill="1" applyBorder="1" applyAlignment="1">
      <alignment horizontal="center" vertical="center"/>
    </xf>
    <xf numFmtId="14" fontId="51" fillId="47" borderId="71" xfId="1" applyNumberFormat="1" applyFont="1" applyFill="1" applyBorder="1" applyAlignment="1">
      <alignment horizontal="center" vertical="center"/>
    </xf>
    <xf numFmtId="14" fontId="51" fillId="52" borderId="358" xfId="1" applyNumberFormat="1" applyFont="1" applyFill="1" applyBorder="1" applyAlignment="1">
      <alignment horizontal="center" vertical="center"/>
    </xf>
    <xf numFmtId="14" fontId="51" fillId="43" borderId="351" xfId="1" applyNumberFormat="1" applyFont="1" applyFill="1" applyBorder="1" applyAlignment="1">
      <alignment horizontal="center" vertical="center"/>
    </xf>
    <xf numFmtId="14" fontId="51" fillId="45" borderId="358" xfId="1" applyNumberFormat="1" applyFont="1" applyFill="1" applyBorder="1" applyAlignment="1">
      <alignment horizontal="center" vertical="center"/>
    </xf>
    <xf numFmtId="14" fontId="2" fillId="41" borderId="358" xfId="1" applyNumberFormat="1" applyFont="1" applyFill="1" applyBorder="1" applyAlignment="1">
      <alignment horizontal="center" vertical="center"/>
    </xf>
    <xf numFmtId="14" fontId="51" fillId="26" borderId="25" xfId="1" applyNumberFormat="1" applyFont="1" applyFill="1" applyBorder="1" applyAlignment="1">
      <alignment horizontal="center" vertical="center"/>
    </xf>
    <xf numFmtId="14" fontId="51" fillId="42" borderId="66" xfId="1" applyNumberFormat="1" applyFont="1" applyFill="1" applyBorder="1" applyAlignment="1">
      <alignment horizontal="center" vertical="center"/>
    </xf>
    <xf numFmtId="14" fontId="51" fillId="34" borderId="264" xfId="1" quotePrefix="1" applyNumberFormat="1" applyFont="1" applyFill="1" applyBorder="1" applyAlignment="1">
      <alignment horizontal="center" vertical="center"/>
    </xf>
    <xf numFmtId="14" fontId="51" fillId="50" borderId="264" xfId="1" applyNumberFormat="1" applyFont="1" applyFill="1" applyBorder="1" applyAlignment="1">
      <alignment horizontal="center" vertical="center"/>
    </xf>
    <xf numFmtId="14" fontId="51" fillId="25" borderId="378" xfId="1" applyNumberFormat="1" applyFont="1" applyFill="1" applyBorder="1" applyAlignment="1">
      <alignment horizontal="center" vertical="center"/>
    </xf>
    <xf numFmtId="14" fontId="2" fillId="30" borderId="66" xfId="15" applyNumberFormat="1" applyFont="1" applyFill="1" applyBorder="1" applyAlignment="1">
      <alignment horizontal="center" vertical="center"/>
    </xf>
    <xf numFmtId="14" fontId="51" fillId="30" borderId="74" xfId="1" quotePrefix="1" applyNumberFormat="1" applyFont="1" applyFill="1" applyBorder="1" applyAlignment="1">
      <alignment horizontal="center" vertical="center"/>
    </xf>
    <xf numFmtId="14" fontId="51" fillId="40" borderId="74" xfId="1" quotePrefix="1" applyNumberFormat="1" applyFont="1" applyFill="1" applyBorder="1" applyAlignment="1">
      <alignment horizontal="center" vertical="center"/>
    </xf>
    <xf numFmtId="14" fontId="51" fillId="34" borderId="183" xfId="1" quotePrefix="1" applyNumberFormat="1" applyFont="1" applyFill="1" applyBorder="1" applyAlignment="1">
      <alignment horizontal="center" vertical="center"/>
    </xf>
    <xf numFmtId="14" fontId="51" fillId="30" borderId="78" xfId="1" applyNumberFormat="1" applyFont="1" applyFill="1" applyBorder="1" applyAlignment="1">
      <alignment horizontal="center" vertical="center"/>
    </xf>
    <xf numFmtId="14" fontId="50" fillId="47" borderId="358" xfId="1" applyNumberFormat="1" applyFont="1" applyFill="1" applyBorder="1" applyAlignment="1">
      <alignment horizontal="center" vertical="center"/>
    </xf>
    <xf numFmtId="14" fontId="50" fillId="30" borderId="66" xfId="1" applyNumberFormat="1" applyFont="1" applyFill="1" applyBorder="1" applyAlignment="1">
      <alignment horizontal="center" vertical="center"/>
    </xf>
    <xf numFmtId="14" fontId="51" fillId="30" borderId="25" xfId="1" quotePrefix="1" applyNumberFormat="1" applyFont="1" applyFill="1" applyBorder="1" applyAlignment="1">
      <alignment horizontal="center" vertical="center"/>
    </xf>
    <xf numFmtId="14" fontId="51" fillId="35" borderId="351" xfId="1" quotePrefix="1" applyNumberFormat="1" applyFont="1" applyFill="1" applyBorder="1" applyAlignment="1">
      <alignment horizontal="center" vertical="center"/>
    </xf>
    <xf numFmtId="14" fontId="156" fillId="0" borderId="351" xfId="1" applyNumberFormat="1" applyFont="1" applyFill="1" applyBorder="1" applyAlignment="1">
      <alignment horizontal="center" vertical="center"/>
    </xf>
    <xf numFmtId="2" fontId="51" fillId="3" borderId="291" xfId="1" applyNumberFormat="1" applyFont="1" applyFill="1" applyBorder="1" applyAlignment="1">
      <alignment horizontal="center" vertical="center"/>
    </xf>
    <xf numFmtId="2" fontId="51" fillId="3" borderId="330" xfId="1" applyNumberFormat="1" applyFont="1" applyFill="1" applyBorder="1" applyAlignment="1">
      <alignment horizontal="center" vertical="center"/>
    </xf>
    <xf numFmtId="2" fontId="51" fillId="51" borderId="104" xfId="1" applyNumberFormat="1" applyFont="1" applyFill="1" applyBorder="1" applyAlignment="1">
      <alignment horizontal="center" vertical="center"/>
    </xf>
    <xf numFmtId="2" fontId="51" fillId="48" borderId="104" xfId="1" applyNumberFormat="1" applyFont="1" applyFill="1" applyBorder="1" applyAlignment="1">
      <alignment horizontal="center" vertical="center"/>
    </xf>
    <xf numFmtId="2" fontId="51" fillId="52" borderId="369" xfId="1" applyNumberFormat="1" applyFont="1" applyFill="1" applyBorder="1" applyAlignment="1">
      <alignment horizontal="center" vertical="center"/>
    </xf>
    <xf numFmtId="2" fontId="51" fillId="45" borderId="369" xfId="1" applyNumberFormat="1" applyFont="1" applyFill="1" applyBorder="1" applyAlignment="1">
      <alignment horizontal="center" vertical="center"/>
    </xf>
    <xf numFmtId="0" fontId="142" fillId="0" borderId="308" xfId="1" applyFont="1" applyFill="1" applyBorder="1" applyAlignment="1">
      <alignment horizontal="center" vertical="center"/>
    </xf>
    <xf numFmtId="0" fontId="105" fillId="0" borderId="286" xfId="1" applyFont="1" applyFill="1" applyBorder="1" applyAlignment="1">
      <alignment horizontal="center" vertical="center"/>
    </xf>
    <xf numFmtId="0" fontId="142" fillId="0" borderId="26" xfId="1" applyFont="1" applyFill="1" applyBorder="1" applyAlignment="1">
      <alignment horizontal="center" vertical="center"/>
    </xf>
    <xf numFmtId="0" fontId="105" fillId="0" borderId="290" xfId="1" applyFont="1" applyFill="1" applyBorder="1" applyAlignment="1">
      <alignment horizontal="center" vertical="center"/>
    </xf>
  </cellXfs>
  <cellStyles count="18">
    <cellStyle name="Euro" xfId="2"/>
    <cellStyle name="Hyperlink" xfId="15" builtinId="8"/>
    <cellStyle name="Hyperlink 2" xfId="16"/>
    <cellStyle name="Hyperlink 4" xfId="17"/>
    <cellStyle name="Normal 2" xfId="3"/>
    <cellStyle name="Normal 2 2" xfId="4"/>
    <cellStyle name="Normal 3" xfId="5"/>
    <cellStyle name="Normal 3 2" xfId="6"/>
    <cellStyle name="Normal 3 2 2" xfId="7"/>
    <cellStyle name="Normal 4" xfId="8"/>
    <cellStyle name="Normal 5" xfId="9"/>
    <cellStyle name="Normal 6" xfId="10"/>
    <cellStyle name="Normal 7" xfId="11"/>
    <cellStyle name="Prozent 2" xfId="12"/>
    <cellStyle name="Standard" xfId="0" builtinId="0"/>
    <cellStyle name="Standard 2" xfId="1"/>
    <cellStyle name="Standard 3" xfId="13"/>
    <cellStyle name="Standard 4" xfId="14"/>
  </cellStyles>
  <dxfs count="23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ont>
        <b/>
        <i val="0"/>
      </font>
      <numFmt numFmtId="3" formatCode="#,##0"/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  <strike val="0"/>
      </font>
      <fill>
        <patternFill>
          <bgColor rgb="FFFFFF00"/>
        </patternFill>
      </fill>
    </dxf>
    <dxf>
      <font>
        <b/>
        <i val="0"/>
        <strike val="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BDFFBD"/>
      <color rgb="FFFFE0C1"/>
      <color rgb="FFFFFF99"/>
      <color rgb="FFFF7C80"/>
      <color rgb="FFFFFF66"/>
      <color rgb="FFCCFFFF"/>
      <color rgb="FF99FF99"/>
      <color rgb="FFFFDCB9"/>
      <color rgb="FFFFCC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A2AD1C8-4DE5-4D56-A12F-64D7DC2B1273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de-DE"/>
        </a:p>
      </dgm:t>
    </dgm:pt>
    <dgm:pt modelId="{44816AC2-6026-425C-9F35-882D4B6BA39C}">
      <dgm:prSet phldrT="[Text]"/>
      <dgm:spPr/>
      <dgm:t>
        <a:bodyPr/>
        <a:lstStyle/>
        <a:p>
          <a:r>
            <a:rPr lang="de-DE"/>
            <a:t>deduplication</a:t>
          </a:r>
        </a:p>
      </dgm:t>
    </dgm:pt>
    <dgm:pt modelId="{85BE70C2-0A7C-416C-B80A-B4E8E29E5671}" type="parTrans" cxnId="{373F00AB-0B0B-4BA8-8C42-493A8006CDC2}">
      <dgm:prSet/>
      <dgm:spPr/>
      <dgm:t>
        <a:bodyPr/>
        <a:lstStyle/>
        <a:p>
          <a:endParaRPr lang="de-DE"/>
        </a:p>
      </dgm:t>
    </dgm:pt>
    <dgm:pt modelId="{1FBCA0AF-6376-4D56-9243-2CAE6A6E9646}" type="sibTrans" cxnId="{373F00AB-0B0B-4BA8-8C42-493A8006CDC2}">
      <dgm:prSet/>
      <dgm:spPr/>
      <dgm:t>
        <a:bodyPr/>
        <a:lstStyle/>
        <a:p>
          <a:endParaRPr lang="de-DE"/>
        </a:p>
      </dgm:t>
    </dgm:pt>
    <dgm:pt modelId="{7A614B73-5C40-4AC6-BD12-B6C969AFB977}">
      <dgm:prSet phldrT="[Text]"/>
      <dgm:spPr/>
      <dgm:t>
        <a:bodyPr/>
        <a:lstStyle/>
        <a:p>
          <a:r>
            <a:rPr lang="de-DE"/>
            <a:t>grouping / data segmentation</a:t>
          </a:r>
        </a:p>
      </dgm:t>
    </dgm:pt>
    <dgm:pt modelId="{6F2A4A47-EBFE-43DC-A512-1B07079C400F}" type="parTrans" cxnId="{2C5C04A5-EA42-41F5-88AE-97A6D49E512D}">
      <dgm:prSet/>
      <dgm:spPr/>
      <dgm:t>
        <a:bodyPr/>
        <a:lstStyle/>
        <a:p>
          <a:endParaRPr lang="de-DE"/>
        </a:p>
      </dgm:t>
    </dgm:pt>
    <dgm:pt modelId="{96E0917A-49F6-42BA-A968-6A0007BC0F72}" type="sibTrans" cxnId="{2C5C04A5-EA42-41F5-88AE-97A6D49E512D}">
      <dgm:prSet/>
      <dgm:spPr/>
      <dgm:t>
        <a:bodyPr/>
        <a:lstStyle/>
        <a:p>
          <a:endParaRPr lang="de-DE"/>
        </a:p>
      </dgm:t>
    </dgm:pt>
    <dgm:pt modelId="{34ED9A8A-6561-4FB1-8363-A217D46FCADC}">
      <dgm:prSet phldrT="[Text]"/>
      <dgm:spPr/>
      <dgm:t>
        <a:bodyPr/>
        <a:lstStyle/>
        <a:p>
          <a:r>
            <a:rPr lang="de-DE"/>
            <a:t>bitmaps</a:t>
          </a:r>
        </a:p>
      </dgm:t>
    </dgm:pt>
    <dgm:pt modelId="{63A88CA9-B643-44E1-A139-CA43F275F9BE}" type="parTrans" cxnId="{5B2246C8-9A42-4C1D-9CA9-271971FD0BF3}">
      <dgm:prSet/>
      <dgm:spPr/>
      <dgm:t>
        <a:bodyPr/>
        <a:lstStyle/>
        <a:p>
          <a:endParaRPr lang="de-DE"/>
        </a:p>
      </dgm:t>
    </dgm:pt>
    <dgm:pt modelId="{672E7792-E3D5-42BB-9A84-75956BD19630}" type="sibTrans" cxnId="{5B2246C8-9A42-4C1D-9CA9-271971FD0BF3}">
      <dgm:prSet/>
      <dgm:spPr/>
      <dgm:t>
        <a:bodyPr/>
        <a:lstStyle/>
        <a:p>
          <a:endParaRPr lang="de-DE"/>
        </a:p>
      </dgm:t>
    </dgm:pt>
    <dgm:pt modelId="{CDA87C97-652F-412D-BC8E-86DF641B437D}">
      <dgm:prSet phldrT="[Text]"/>
      <dgm:spPr/>
      <dgm:t>
        <a:bodyPr/>
        <a:lstStyle/>
        <a:p>
          <a:r>
            <a:rPr lang="de-DE"/>
            <a:t>compressed</a:t>
          </a:r>
        </a:p>
      </dgm:t>
    </dgm:pt>
    <dgm:pt modelId="{5334419E-60FC-4E77-90E7-648D7A311593}" type="parTrans" cxnId="{2D339D35-F223-43EB-AB84-965D062F4754}">
      <dgm:prSet/>
      <dgm:spPr/>
      <dgm:t>
        <a:bodyPr/>
        <a:lstStyle/>
        <a:p>
          <a:endParaRPr lang="de-DE"/>
        </a:p>
      </dgm:t>
    </dgm:pt>
    <dgm:pt modelId="{FC663559-F355-4188-A1EF-4CBBF477F43B}" type="sibTrans" cxnId="{2D339D35-F223-43EB-AB84-965D062F4754}">
      <dgm:prSet/>
      <dgm:spPr/>
      <dgm:t>
        <a:bodyPr/>
        <a:lstStyle/>
        <a:p>
          <a:endParaRPr lang="de-DE"/>
        </a:p>
      </dgm:t>
    </dgm:pt>
    <dgm:pt modelId="{965BBA3B-F891-438D-ABFF-17F65678ED2E}">
      <dgm:prSet phldrT="[Text]"/>
      <dgm:spPr/>
      <dgm:t>
        <a:bodyPr/>
        <a:lstStyle/>
        <a:p>
          <a:r>
            <a:rPr lang="de-DE"/>
            <a:t>compressed2</a:t>
          </a:r>
        </a:p>
      </dgm:t>
    </dgm:pt>
    <dgm:pt modelId="{7D57E214-3E89-49F5-A27B-82A559D42ABD}" type="parTrans" cxnId="{B2C0EEE9-559D-4CC8-A709-70588CE8FD4B}">
      <dgm:prSet/>
      <dgm:spPr/>
      <dgm:t>
        <a:bodyPr/>
        <a:lstStyle/>
        <a:p>
          <a:endParaRPr lang="de-DE"/>
        </a:p>
      </dgm:t>
    </dgm:pt>
    <dgm:pt modelId="{C23A4339-D206-468B-85BE-C6234364A399}" type="sibTrans" cxnId="{B2C0EEE9-559D-4CC8-A709-70588CE8FD4B}">
      <dgm:prSet/>
      <dgm:spPr/>
      <dgm:t>
        <a:bodyPr/>
        <a:lstStyle/>
        <a:p>
          <a:endParaRPr lang="de-DE"/>
        </a:p>
      </dgm:t>
    </dgm:pt>
    <dgm:pt modelId="{FA78330F-AB8C-4F35-BFCF-5E24F42E9898}">
      <dgm:prSet phldrT="[Text]"/>
      <dgm:spPr>
        <a:solidFill>
          <a:srgbClr val="FF0000"/>
        </a:solidFill>
      </dgm:spPr>
      <dgm:t>
        <a:bodyPr/>
        <a:lstStyle/>
        <a:p>
          <a:r>
            <a:rPr lang="de-DE"/>
            <a:t>exe</a:t>
          </a:r>
        </a:p>
      </dgm:t>
    </dgm:pt>
    <dgm:pt modelId="{88AB0BCB-9B38-4B1F-807C-2A0E28C165F3}" type="parTrans" cxnId="{BC78D2EB-DFC4-41C9-B603-EB69A5C1D706}">
      <dgm:prSet/>
      <dgm:spPr/>
      <dgm:t>
        <a:bodyPr/>
        <a:lstStyle/>
        <a:p>
          <a:endParaRPr lang="de-DE"/>
        </a:p>
      </dgm:t>
    </dgm:pt>
    <dgm:pt modelId="{5DD635E4-5326-4F9F-8E3B-877673D3D5F8}" type="sibTrans" cxnId="{BC78D2EB-DFC4-41C9-B603-EB69A5C1D706}">
      <dgm:prSet/>
      <dgm:spPr/>
      <dgm:t>
        <a:bodyPr/>
        <a:lstStyle/>
        <a:p>
          <a:endParaRPr lang="de-DE"/>
        </a:p>
      </dgm:t>
    </dgm:pt>
    <dgm:pt modelId="{BD87C575-9C1C-457F-8C8D-2E638A69408E}">
      <dgm:prSet phldrT="[Text]"/>
      <dgm:spPr/>
      <dgm:t>
        <a:bodyPr/>
        <a:lstStyle/>
        <a:p>
          <a:r>
            <a:rPr lang="de-DE"/>
            <a:t>jpeg</a:t>
          </a:r>
        </a:p>
      </dgm:t>
    </dgm:pt>
    <dgm:pt modelId="{479B3868-0A95-4153-933A-4FCDAE6E5B1F}" type="parTrans" cxnId="{53F432C5-DA62-47BE-ABD8-B896842612A4}">
      <dgm:prSet/>
      <dgm:spPr/>
      <dgm:t>
        <a:bodyPr/>
        <a:lstStyle/>
        <a:p>
          <a:endParaRPr lang="de-DE"/>
        </a:p>
      </dgm:t>
    </dgm:pt>
    <dgm:pt modelId="{08083C81-12B8-4DBB-BFD7-AB93F8D9CE78}" type="sibTrans" cxnId="{53F432C5-DA62-47BE-ABD8-B896842612A4}">
      <dgm:prSet/>
      <dgm:spPr/>
      <dgm:t>
        <a:bodyPr/>
        <a:lstStyle/>
        <a:p>
          <a:endParaRPr lang="de-DE"/>
        </a:p>
      </dgm:t>
    </dgm:pt>
    <dgm:pt modelId="{D0AEC066-F128-41AC-8510-ADF068F5DE87}">
      <dgm:prSet phldrT="[Text]"/>
      <dgm:spPr/>
      <dgm:t>
        <a:bodyPr/>
        <a:lstStyle/>
        <a:p>
          <a:r>
            <a:rPr lang="de-DE"/>
            <a:t>mp3</a:t>
          </a:r>
        </a:p>
      </dgm:t>
    </dgm:pt>
    <dgm:pt modelId="{A143FCA3-861B-4AC5-A882-414684A5C863}" type="parTrans" cxnId="{A3253391-FF5C-4110-B3F1-996FD4FBE597}">
      <dgm:prSet/>
      <dgm:spPr/>
      <dgm:t>
        <a:bodyPr/>
        <a:lstStyle/>
        <a:p>
          <a:endParaRPr lang="de-DE"/>
        </a:p>
      </dgm:t>
    </dgm:pt>
    <dgm:pt modelId="{2587999A-0714-41AE-84C0-294B070CEB4F}" type="sibTrans" cxnId="{A3253391-FF5C-4110-B3F1-996FD4FBE597}">
      <dgm:prSet/>
      <dgm:spPr/>
      <dgm:t>
        <a:bodyPr/>
        <a:lstStyle/>
        <a:p>
          <a:endParaRPr lang="de-DE"/>
        </a:p>
      </dgm:t>
    </dgm:pt>
    <dgm:pt modelId="{E485855D-2F77-463F-8696-79B1C2423B88}">
      <dgm:prSet phldrT="[Text]"/>
      <dgm:spPr>
        <a:solidFill>
          <a:srgbClr val="FF0000"/>
        </a:solidFill>
      </dgm:spPr>
      <dgm:t>
        <a:bodyPr/>
        <a:lstStyle/>
        <a:p>
          <a:r>
            <a:rPr lang="de-DE"/>
            <a:t>text</a:t>
          </a:r>
        </a:p>
      </dgm:t>
    </dgm:pt>
    <dgm:pt modelId="{FE4EB8CE-021A-4F61-A2A1-5482BA12ABD4}" type="parTrans" cxnId="{2519E4A2-E4B6-44B9-A3DB-D2E4E94993F1}">
      <dgm:prSet/>
      <dgm:spPr/>
      <dgm:t>
        <a:bodyPr/>
        <a:lstStyle/>
        <a:p>
          <a:endParaRPr lang="de-DE"/>
        </a:p>
      </dgm:t>
    </dgm:pt>
    <dgm:pt modelId="{D9A875BF-F5D7-4BB3-943E-477032C7F1C0}" type="sibTrans" cxnId="{2519E4A2-E4B6-44B9-A3DB-D2E4E94993F1}">
      <dgm:prSet/>
      <dgm:spPr/>
      <dgm:t>
        <a:bodyPr/>
        <a:lstStyle/>
        <a:p>
          <a:endParaRPr lang="de-DE"/>
        </a:p>
      </dgm:t>
    </dgm:pt>
    <dgm:pt modelId="{5CB3E75B-6B16-41A0-ACF4-83F3D1431765}">
      <dgm:prSet phldrT="[Text]"/>
      <dgm:spPr/>
      <dgm:t>
        <a:bodyPr/>
        <a:lstStyle/>
        <a:p>
          <a:r>
            <a:rPr lang="de-DE"/>
            <a:t>wave</a:t>
          </a:r>
        </a:p>
      </dgm:t>
    </dgm:pt>
    <dgm:pt modelId="{B46D3D8D-3ACF-466A-BB0B-C64C0B34ED44}" type="parTrans" cxnId="{CD9E77DF-3AD9-4648-B01D-CD4340A4F1AD}">
      <dgm:prSet/>
      <dgm:spPr/>
      <dgm:t>
        <a:bodyPr/>
        <a:lstStyle/>
        <a:p>
          <a:endParaRPr lang="de-DE"/>
        </a:p>
      </dgm:t>
    </dgm:pt>
    <dgm:pt modelId="{971841A2-D68D-4B6E-ADAC-C9A9FFBE4377}" type="sibTrans" cxnId="{CD9E77DF-3AD9-4648-B01D-CD4340A4F1AD}">
      <dgm:prSet/>
      <dgm:spPr/>
      <dgm:t>
        <a:bodyPr/>
        <a:lstStyle/>
        <a:p>
          <a:endParaRPr lang="de-DE"/>
        </a:p>
      </dgm:t>
    </dgm:pt>
    <dgm:pt modelId="{228BD240-FD24-48CF-9BD2-F13A53343C1E}">
      <dgm:prSet phldrT="[Text]"/>
      <dgm:spPr>
        <a:solidFill>
          <a:srgbClr val="FF0000"/>
        </a:solidFill>
      </dgm:spPr>
      <dgm:t>
        <a:bodyPr/>
        <a:lstStyle/>
        <a:p>
          <a:r>
            <a:rPr lang="de-DE"/>
            <a:t>if none of the above</a:t>
          </a:r>
        </a:p>
      </dgm:t>
    </dgm:pt>
    <dgm:pt modelId="{CBA61F88-C637-4298-9383-F3C0E0CF7D73}" type="parTrans" cxnId="{B2962326-DA77-4C34-8A98-7C9175AA1689}">
      <dgm:prSet/>
      <dgm:spPr/>
      <dgm:t>
        <a:bodyPr/>
        <a:lstStyle/>
        <a:p>
          <a:endParaRPr lang="de-DE"/>
        </a:p>
      </dgm:t>
    </dgm:pt>
    <dgm:pt modelId="{3C44E33F-053A-42A6-A3CE-29EADF57704B}" type="sibTrans" cxnId="{B2962326-DA77-4C34-8A98-7C9175AA1689}">
      <dgm:prSet/>
      <dgm:spPr/>
      <dgm:t>
        <a:bodyPr/>
        <a:lstStyle/>
        <a:p>
          <a:endParaRPr lang="de-DE"/>
        </a:p>
      </dgm:t>
    </dgm:pt>
    <dgm:pt modelId="{2F44C9FF-6994-4413-B34C-5AE9C307C7E3}">
      <dgm:prSet phldrT="[Text]"/>
      <dgm:spPr/>
      <dgm:t>
        <a:bodyPr/>
        <a:lstStyle/>
        <a:p>
          <a:r>
            <a:rPr lang="de-DE"/>
            <a:t>packPNM</a:t>
          </a:r>
        </a:p>
      </dgm:t>
    </dgm:pt>
    <dgm:pt modelId="{248E72CB-ED78-4D37-B5EA-BB87ED33ED7D}" type="parTrans" cxnId="{FCB70A97-1B16-4CAF-9E30-8870FC0FBAFD}">
      <dgm:prSet/>
      <dgm:spPr/>
      <dgm:t>
        <a:bodyPr/>
        <a:lstStyle/>
        <a:p>
          <a:endParaRPr lang="de-DE"/>
        </a:p>
      </dgm:t>
    </dgm:pt>
    <dgm:pt modelId="{E94EABA7-FDAF-4ABD-8BA6-B0DCE8C05308}" type="sibTrans" cxnId="{FCB70A97-1B16-4CAF-9E30-8870FC0FBAFD}">
      <dgm:prSet/>
      <dgm:spPr/>
      <dgm:t>
        <a:bodyPr/>
        <a:lstStyle/>
        <a:p>
          <a:endParaRPr lang="de-DE"/>
        </a:p>
      </dgm:t>
    </dgm:pt>
    <dgm:pt modelId="{5F8ABF5B-0772-432E-9D9C-EBFFBEF2E937}">
      <dgm:prSet phldrT="[Text]"/>
      <dgm:spPr/>
      <dgm:t>
        <a:bodyPr/>
        <a:lstStyle/>
        <a:p>
          <a:r>
            <a:rPr lang="de-DE"/>
            <a:t>store</a:t>
          </a:r>
        </a:p>
      </dgm:t>
    </dgm:pt>
    <dgm:pt modelId="{D93C850D-7D78-4A12-915A-9F56074BB74C}" type="parTrans" cxnId="{3F54F57B-69B7-41A9-BFC8-9B9C95567D8B}">
      <dgm:prSet/>
      <dgm:spPr/>
      <dgm:t>
        <a:bodyPr/>
        <a:lstStyle/>
        <a:p>
          <a:endParaRPr lang="de-DE"/>
        </a:p>
      </dgm:t>
    </dgm:pt>
    <dgm:pt modelId="{A6AE55D5-7FFA-4740-869C-2D30453FBB3B}" type="sibTrans" cxnId="{3F54F57B-69B7-41A9-BFC8-9B9C95567D8B}">
      <dgm:prSet/>
      <dgm:spPr/>
      <dgm:t>
        <a:bodyPr/>
        <a:lstStyle/>
        <a:p>
          <a:endParaRPr lang="de-DE"/>
        </a:p>
      </dgm:t>
    </dgm:pt>
    <dgm:pt modelId="{8CF49386-612D-4188-8925-5C7DBDA04B32}">
      <dgm:prSet phldrT="[Text]"/>
      <dgm:spPr/>
      <dgm:t>
        <a:bodyPr/>
        <a:lstStyle/>
        <a:p>
          <a:r>
            <a:rPr lang="de-DE"/>
            <a:t>BSC</a:t>
          </a:r>
        </a:p>
      </dgm:t>
    </dgm:pt>
    <dgm:pt modelId="{CD0A2303-7CFB-46A5-810F-1A683F23D5D1}" type="parTrans" cxnId="{FB97FB44-37E8-4183-B89A-8387F3D7F3BB}">
      <dgm:prSet/>
      <dgm:spPr/>
      <dgm:t>
        <a:bodyPr/>
        <a:lstStyle/>
        <a:p>
          <a:endParaRPr lang="de-DE"/>
        </a:p>
      </dgm:t>
    </dgm:pt>
    <dgm:pt modelId="{350E602C-5EE5-4E89-86F1-1E6CCCC00295}" type="sibTrans" cxnId="{FB97FB44-37E8-4183-B89A-8387F3D7F3BB}">
      <dgm:prSet/>
      <dgm:spPr/>
      <dgm:t>
        <a:bodyPr/>
        <a:lstStyle/>
        <a:p>
          <a:endParaRPr lang="de-DE"/>
        </a:p>
      </dgm:t>
    </dgm:pt>
    <dgm:pt modelId="{897BF35F-E098-470B-8C65-97221DF4C703}">
      <dgm:prSet phldrT="[Text]"/>
      <dgm:spPr/>
      <dgm:t>
        <a:bodyPr/>
        <a:lstStyle/>
        <a:p>
          <a:r>
            <a:rPr lang="de-DE"/>
            <a:t>BCJ2 + LZMA2</a:t>
          </a:r>
        </a:p>
      </dgm:t>
    </dgm:pt>
    <dgm:pt modelId="{5F69D8F1-E5A5-4B42-8533-1F6F2541983C}" type="parTrans" cxnId="{01ABEB77-C356-4DA9-82D1-2EF32993E46E}">
      <dgm:prSet/>
      <dgm:spPr/>
      <dgm:t>
        <a:bodyPr/>
        <a:lstStyle/>
        <a:p>
          <a:endParaRPr lang="de-DE"/>
        </a:p>
      </dgm:t>
    </dgm:pt>
    <dgm:pt modelId="{C12BB80A-5CD1-43B5-8103-95D6D6702D98}" type="sibTrans" cxnId="{01ABEB77-C356-4DA9-82D1-2EF32993E46E}">
      <dgm:prSet/>
      <dgm:spPr/>
      <dgm:t>
        <a:bodyPr/>
        <a:lstStyle/>
        <a:p>
          <a:endParaRPr lang="de-DE"/>
        </a:p>
      </dgm:t>
    </dgm:pt>
    <dgm:pt modelId="{474D41DC-8672-4AE7-9164-4FC8F57E5AEC}">
      <dgm:prSet phldrT="[Text]"/>
      <dgm:spPr/>
      <dgm:t>
        <a:bodyPr/>
        <a:lstStyle/>
        <a:p>
          <a:r>
            <a:rPr lang="de-DE"/>
            <a:t>packJPG</a:t>
          </a:r>
        </a:p>
      </dgm:t>
    </dgm:pt>
    <dgm:pt modelId="{F894B1E2-074A-418A-80B5-7D77276CA059}" type="parTrans" cxnId="{F62DB8DF-286F-448A-B9D7-E6BAA47A0A22}">
      <dgm:prSet/>
      <dgm:spPr/>
      <dgm:t>
        <a:bodyPr/>
        <a:lstStyle/>
        <a:p>
          <a:endParaRPr lang="de-DE"/>
        </a:p>
      </dgm:t>
    </dgm:pt>
    <dgm:pt modelId="{416B8BC8-FD78-4456-B560-1396EC6CA638}" type="sibTrans" cxnId="{F62DB8DF-286F-448A-B9D7-E6BAA47A0A22}">
      <dgm:prSet/>
      <dgm:spPr/>
      <dgm:t>
        <a:bodyPr/>
        <a:lstStyle/>
        <a:p>
          <a:endParaRPr lang="de-DE"/>
        </a:p>
      </dgm:t>
    </dgm:pt>
    <dgm:pt modelId="{FCE815C5-D18E-435A-BD2B-E1F161D727E4}">
      <dgm:prSet phldrT="[Text]"/>
      <dgm:spPr/>
      <dgm:t>
        <a:bodyPr/>
        <a:lstStyle/>
        <a:p>
          <a:r>
            <a:rPr lang="de-DE"/>
            <a:t>packMP3</a:t>
          </a:r>
        </a:p>
      </dgm:t>
    </dgm:pt>
    <dgm:pt modelId="{F106BE7E-EB7B-4CDC-84EC-537F08EEBB76}" type="parTrans" cxnId="{A0B2021F-ECE4-43FE-B0FD-4E0B14AB0C30}">
      <dgm:prSet/>
      <dgm:spPr/>
      <dgm:t>
        <a:bodyPr/>
        <a:lstStyle/>
        <a:p>
          <a:endParaRPr lang="de-DE"/>
        </a:p>
      </dgm:t>
    </dgm:pt>
    <dgm:pt modelId="{B3A5BC99-BC87-4566-9FD7-3B40AB9D5D07}" type="sibTrans" cxnId="{A0B2021F-ECE4-43FE-B0FD-4E0B14AB0C30}">
      <dgm:prSet/>
      <dgm:spPr/>
      <dgm:t>
        <a:bodyPr/>
        <a:lstStyle/>
        <a:p>
          <a:endParaRPr lang="de-DE"/>
        </a:p>
      </dgm:t>
    </dgm:pt>
    <dgm:pt modelId="{9A0D7B31-10A8-463E-937F-E13904A87FEE}">
      <dgm:prSet phldrT="[Text]"/>
      <dgm:spPr/>
      <dgm:t>
        <a:bodyPr/>
        <a:lstStyle/>
        <a:p>
          <a:r>
            <a:rPr lang="de-DE"/>
            <a:t>BSC</a:t>
          </a:r>
        </a:p>
      </dgm:t>
    </dgm:pt>
    <dgm:pt modelId="{DFFC80FE-8CE6-4D31-AFC7-21DED63FC0BD}" type="parTrans" cxnId="{5E6FE02A-25E9-464E-AEDB-76CF27A46AC0}">
      <dgm:prSet/>
      <dgm:spPr/>
      <dgm:t>
        <a:bodyPr/>
        <a:lstStyle/>
        <a:p>
          <a:endParaRPr lang="de-DE"/>
        </a:p>
      </dgm:t>
    </dgm:pt>
    <dgm:pt modelId="{7548CC88-98C3-4851-8878-7638723E2975}" type="sibTrans" cxnId="{5E6FE02A-25E9-464E-AEDB-76CF27A46AC0}">
      <dgm:prSet/>
      <dgm:spPr/>
      <dgm:t>
        <a:bodyPr/>
        <a:lstStyle/>
        <a:p>
          <a:endParaRPr lang="de-DE"/>
        </a:p>
      </dgm:t>
    </dgm:pt>
    <dgm:pt modelId="{B0B834A7-3905-4F92-9BA7-7AAF9895B6D4}">
      <dgm:prSet phldrT="[Text]"/>
      <dgm:spPr/>
      <dgm:t>
        <a:bodyPr/>
        <a:lstStyle/>
        <a:p>
          <a:r>
            <a:rPr lang="de-DE"/>
            <a:t>TTA / TAK</a:t>
          </a:r>
        </a:p>
      </dgm:t>
    </dgm:pt>
    <dgm:pt modelId="{9FF72F19-ED3E-4E58-8F02-58F1927D143B}" type="parTrans" cxnId="{833FCA1E-FA12-4522-8FBD-9C9E6D83C14D}">
      <dgm:prSet/>
      <dgm:spPr/>
      <dgm:t>
        <a:bodyPr/>
        <a:lstStyle/>
        <a:p>
          <a:endParaRPr lang="de-DE"/>
        </a:p>
      </dgm:t>
    </dgm:pt>
    <dgm:pt modelId="{74F810DD-D182-418C-8187-0B5277B7B36F}" type="sibTrans" cxnId="{833FCA1E-FA12-4522-8FBD-9C9E6D83C14D}">
      <dgm:prSet/>
      <dgm:spPr/>
      <dgm:t>
        <a:bodyPr/>
        <a:lstStyle/>
        <a:p>
          <a:endParaRPr lang="de-DE"/>
        </a:p>
      </dgm:t>
    </dgm:pt>
    <dgm:pt modelId="{6146E3B1-3246-4B2A-A6BB-E099FDD6EB9C}">
      <dgm:prSet phldrT="[Text]"/>
      <dgm:spPr/>
      <dgm:t>
        <a:bodyPr/>
        <a:lstStyle/>
        <a:p>
          <a:r>
            <a:rPr lang="de-DE"/>
            <a:t>LZMA2</a:t>
          </a:r>
        </a:p>
      </dgm:t>
    </dgm:pt>
    <dgm:pt modelId="{08B8E453-238A-441F-82DB-485A15E8D129}" type="parTrans" cxnId="{77125908-8022-42BE-91FD-94B5FBA1C5A3}">
      <dgm:prSet/>
      <dgm:spPr/>
      <dgm:t>
        <a:bodyPr/>
        <a:lstStyle/>
        <a:p>
          <a:endParaRPr lang="de-DE"/>
        </a:p>
      </dgm:t>
    </dgm:pt>
    <dgm:pt modelId="{1CB7B52E-A363-47C1-B9E2-A8A932A82AE1}" type="sibTrans" cxnId="{77125908-8022-42BE-91FD-94B5FBA1C5A3}">
      <dgm:prSet/>
      <dgm:spPr/>
      <dgm:t>
        <a:bodyPr/>
        <a:lstStyle/>
        <a:p>
          <a:endParaRPr lang="de-DE"/>
        </a:p>
      </dgm:t>
    </dgm:pt>
    <dgm:pt modelId="{D50EC4FB-4514-43B2-BBA8-11716ABB7C2E}" type="pres">
      <dgm:prSet presAssocID="{2A2AD1C8-4DE5-4D56-A12F-64D7DC2B1273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de-DE"/>
        </a:p>
      </dgm:t>
    </dgm:pt>
    <dgm:pt modelId="{5F9FC706-14EC-46CB-ABE2-C37246BBE554}" type="pres">
      <dgm:prSet presAssocID="{44816AC2-6026-425C-9F35-882D4B6BA39C}" presName="root1" presStyleCnt="0"/>
      <dgm:spPr/>
    </dgm:pt>
    <dgm:pt modelId="{C852C0F5-016C-4036-9C8E-8FEF9E087CAA}" type="pres">
      <dgm:prSet presAssocID="{44816AC2-6026-425C-9F35-882D4B6BA39C}" presName="LevelOneTextNode" presStyleLbl="node0" presStyleIdx="0" presStyleCnt="1" custScaleX="132398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AB4D0A82-4641-4D8D-82B8-D762D6824BE0}" type="pres">
      <dgm:prSet presAssocID="{44816AC2-6026-425C-9F35-882D4B6BA39C}" presName="level2hierChild" presStyleCnt="0"/>
      <dgm:spPr/>
    </dgm:pt>
    <dgm:pt modelId="{AC504C64-792E-4E1B-BDF5-A16CD384AF5F}" type="pres">
      <dgm:prSet presAssocID="{6F2A4A47-EBFE-43DC-A512-1B07079C400F}" presName="conn2-1" presStyleLbl="parChTrans1D2" presStyleIdx="0" presStyleCnt="1"/>
      <dgm:spPr/>
      <dgm:t>
        <a:bodyPr/>
        <a:lstStyle/>
        <a:p>
          <a:endParaRPr lang="de-DE"/>
        </a:p>
      </dgm:t>
    </dgm:pt>
    <dgm:pt modelId="{642ACAD2-0C0C-41D3-87BF-690E3BB8D6C2}" type="pres">
      <dgm:prSet presAssocID="{6F2A4A47-EBFE-43DC-A512-1B07079C400F}" presName="connTx" presStyleLbl="parChTrans1D2" presStyleIdx="0" presStyleCnt="1"/>
      <dgm:spPr/>
      <dgm:t>
        <a:bodyPr/>
        <a:lstStyle/>
        <a:p>
          <a:endParaRPr lang="de-DE"/>
        </a:p>
      </dgm:t>
    </dgm:pt>
    <dgm:pt modelId="{78C1EB75-725C-42DE-9B7C-11BE57DDD006}" type="pres">
      <dgm:prSet presAssocID="{7A614B73-5C40-4AC6-BD12-B6C969AFB977}" presName="root2" presStyleCnt="0"/>
      <dgm:spPr/>
    </dgm:pt>
    <dgm:pt modelId="{E5CD9143-BDA0-4E85-8BB0-589310756603}" type="pres">
      <dgm:prSet presAssocID="{7A614B73-5C40-4AC6-BD12-B6C969AFB977}" presName="LevelTwoTextNode" presStyleLbl="node2" presStyleIdx="0" presStyleCnt="1" custScaleX="147563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7A5C6EB3-EE2C-4EDB-BB7B-3FF8A8680572}" type="pres">
      <dgm:prSet presAssocID="{7A614B73-5C40-4AC6-BD12-B6C969AFB977}" presName="level3hierChild" presStyleCnt="0"/>
      <dgm:spPr/>
    </dgm:pt>
    <dgm:pt modelId="{553A6445-4C07-46A1-8944-BA833A9E6766}" type="pres">
      <dgm:prSet presAssocID="{63A88CA9-B643-44E1-A139-CA43F275F9BE}" presName="conn2-1" presStyleLbl="parChTrans1D3" presStyleIdx="0" presStyleCnt="9"/>
      <dgm:spPr/>
      <dgm:t>
        <a:bodyPr/>
        <a:lstStyle/>
        <a:p>
          <a:endParaRPr lang="de-DE"/>
        </a:p>
      </dgm:t>
    </dgm:pt>
    <dgm:pt modelId="{F26145B0-48B8-4F61-A0CF-857AB694BE4A}" type="pres">
      <dgm:prSet presAssocID="{63A88CA9-B643-44E1-A139-CA43F275F9BE}" presName="connTx" presStyleLbl="parChTrans1D3" presStyleIdx="0" presStyleCnt="9"/>
      <dgm:spPr/>
      <dgm:t>
        <a:bodyPr/>
        <a:lstStyle/>
        <a:p>
          <a:endParaRPr lang="de-DE"/>
        </a:p>
      </dgm:t>
    </dgm:pt>
    <dgm:pt modelId="{E7AA1E2C-BB0A-494D-9C6E-097FBAD80733}" type="pres">
      <dgm:prSet presAssocID="{34ED9A8A-6561-4FB1-8363-A217D46FCADC}" presName="root2" presStyleCnt="0"/>
      <dgm:spPr/>
    </dgm:pt>
    <dgm:pt modelId="{3A5AE4AD-C1B6-498A-AE7C-BAE748ABFD54}" type="pres">
      <dgm:prSet presAssocID="{34ED9A8A-6561-4FB1-8363-A217D46FCADC}" presName="LevelTwoTextNode" presStyleLbl="node3" presStyleIdx="0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7851C597-FD32-4C79-8BFC-19D2332EAC03}" type="pres">
      <dgm:prSet presAssocID="{34ED9A8A-6561-4FB1-8363-A217D46FCADC}" presName="level3hierChild" presStyleCnt="0"/>
      <dgm:spPr/>
    </dgm:pt>
    <dgm:pt modelId="{B06B532F-8969-42D6-8A56-F59D27145916}" type="pres">
      <dgm:prSet presAssocID="{248E72CB-ED78-4D37-B5EA-BB87ED33ED7D}" presName="conn2-1" presStyleLbl="parChTrans1D4" presStyleIdx="0" presStyleCnt="9"/>
      <dgm:spPr/>
      <dgm:t>
        <a:bodyPr/>
        <a:lstStyle/>
        <a:p>
          <a:endParaRPr lang="de-DE"/>
        </a:p>
      </dgm:t>
    </dgm:pt>
    <dgm:pt modelId="{BE524EFB-89C8-47B7-91B6-0613B76F151D}" type="pres">
      <dgm:prSet presAssocID="{248E72CB-ED78-4D37-B5EA-BB87ED33ED7D}" presName="connTx" presStyleLbl="parChTrans1D4" presStyleIdx="0" presStyleCnt="9"/>
      <dgm:spPr/>
      <dgm:t>
        <a:bodyPr/>
        <a:lstStyle/>
        <a:p>
          <a:endParaRPr lang="de-DE"/>
        </a:p>
      </dgm:t>
    </dgm:pt>
    <dgm:pt modelId="{E1EE34BD-7C0A-44C3-B2CC-D98FF905A9AD}" type="pres">
      <dgm:prSet presAssocID="{2F44C9FF-6994-4413-B34C-5AE9C307C7E3}" presName="root2" presStyleCnt="0"/>
      <dgm:spPr/>
    </dgm:pt>
    <dgm:pt modelId="{A6BBF191-9995-4673-8726-F82C88F19B54}" type="pres">
      <dgm:prSet presAssocID="{2F44C9FF-6994-4413-B34C-5AE9C307C7E3}" presName="LevelTwoTextNode" presStyleLbl="node4" presStyleIdx="0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2547F89A-4DDF-4454-85D7-EB9E64E5CB78}" type="pres">
      <dgm:prSet presAssocID="{2F44C9FF-6994-4413-B34C-5AE9C307C7E3}" presName="level3hierChild" presStyleCnt="0"/>
      <dgm:spPr/>
    </dgm:pt>
    <dgm:pt modelId="{B3677306-3067-404F-B003-A6A8BD39CD50}" type="pres">
      <dgm:prSet presAssocID="{5334419E-60FC-4E77-90E7-648D7A311593}" presName="conn2-1" presStyleLbl="parChTrans1D3" presStyleIdx="1" presStyleCnt="9"/>
      <dgm:spPr/>
      <dgm:t>
        <a:bodyPr/>
        <a:lstStyle/>
        <a:p>
          <a:endParaRPr lang="de-DE"/>
        </a:p>
      </dgm:t>
    </dgm:pt>
    <dgm:pt modelId="{D64F7A9C-9A6E-4B76-81D0-B20DC51055FE}" type="pres">
      <dgm:prSet presAssocID="{5334419E-60FC-4E77-90E7-648D7A311593}" presName="connTx" presStyleLbl="parChTrans1D3" presStyleIdx="1" presStyleCnt="9"/>
      <dgm:spPr/>
      <dgm:t>
        <a:bodyPr/>
        <a:lstStyle/>
        <a:p>
          <a:endParaRPr lang="de-DE"/>
        </a:p>
      </dgm:t>
    </dgm:pt>
    <dgm:pt modelId="{389E9279-E8EF-4295-B578-58BE9B2F0780}" type="pres">
      <dgm:prSet presAssocID="{CDA87C97-652F-412D-BC8E-86DF641B437D}" presName="root2" presStyleCnt="0"/>
      <dgm:spPr/>
    </dgm:pt>
    <dgm:pt modelId="{4EC3A0EF-AFE4-41BE-A202-3C67E270738F}" type="pres">
      <dgm:prSet presAssocID="{CDA87C97-652F-412D-BC8E-86DF641B437D}" presName="LevelTwoTextNode" presStyleLbl="node3" presStyleIdx="1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4B0D67F2-99A9-488A-9592-986D4CAE09B6}" type="pres">
      <dgm:prSet presAssocID="{CDA87C97-652F-412D-BC8E-86DF641B437D}" presName="level3hierChild" presStyleCnt="0"/>
      <dgm:spPr/>
    </dgm:pt>
    <dgm:pt modelId="{9D6B8360-78B0-441F-8CA0-E0E725095AB8}" type="pres">
      <dgm:prSet presAssocID="{D93C850D-7D78-4A12-915A-9F56074BB74C}" presName="conn2-1" presStyleLbl="parChTrans1D4" presStyleIdx="1" presStyleCnt="9"/>
      <dgm:spPr/>
      <dgm:t>
        <a:bodyPr/>
        <a:lstStyle/>
        <a:p>
          <a:endParaRPr lang="de-DE"/>
        </a:p>
      </dgm:t>
    </dgm:pt>
    <dgm:pt modelId="{F09D1188-EC90-42DA-B4D5-4790C9E437E8}" type="pres">
      <dgm:prSet presAssocID="{D93C850D-7D78-4A12-915A-9F56074BB74C}" presName="connTx" presStyleLbl="parChTrans1D4" presStyleIdx="1" presStyleCnt="9"/>
      <dgm:spPr/>
      <dgm:t>
        <a:bodyPr/>
        <a:lstStyle/>
        <a:p>
          <a:endParaRPr lang="de-DE"/>
        </a:p>
      </dgm:t>
    </dgm:pt>
    <dgm:pt modelId="{EF2DABA7-6879-42E0-B08B-73B817CC3574}" type="pres">
      <dgm:prSet presAssocID="{5F8ABF5B-0772-432E-9D9C-EBFFBEF2E937}" presName="root2" presStyleCnt="0"/>
      <dgm:spPr/>
    </dgm:pt>
    <dgm:pt modelId="{EAE040E1-0C84-4555-9E2C-E2348656D9DB}" type="pres">
      <dgm:prSet presAssocID="{5F8ABF5B-0772-432E-9D9C-EBFFBEF2E937}" presName="LevelTwoTextNode" presStyleLbl="node4" presStyleIdx="1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F09B09F4-0DD8-4FD2-96F3-0FDD4C0F0DFE}" type="pres">
      <dgm:prSet presAssocID="{5F8ABF5B-0772-432E-9D9C-EBFFBEF2E937}" presName="level3hierChild" presStyleCnt="0"/>
      <dgm:spPr/>
    </dgm:pt>
    <dgm:pt modelId="{02369F28-EA80-4F20-8A8E-B00DF1979D88}" type="pres">
      <dgm:prSet presAssocID="{7D57E214-3E89-49F5-A27B-82A559D42ABD}" presName="conn2-1" presStyleLbl="parChTrans1D3" presStyleIdx="2" presStyleCnt="9"/>
      <dgm:spPr/>
      <dgm:t>
        <a:bodyPr/>
        <a:lstStyle/>
        <a:p>
          <a:endParaRPr lang="de-DE"/>
        </a:p>
      </dgm:t>
    </dgm:pt>
    <dgm:pt modelId="{2EEECF7A-4239-4287-BADA-E5E4E94A2F91}" type="pres">
      <dgm:prSet presAssocID="{7D57E214-3E89-49F5-A27B-82A559D42ABD}" presName="connTx" presStyleLbl="parChTrans1D3" presStyleIdx="2" presStyleCnt="9"/>
      <dgm:spPr/>
      <dgm:t>
        <a:bodyPr/>
        <a:lstStyle/>
        <a:p>
          <a:endParaRPr lang="de-DE"/>
        </a:p>
      </dgm:t>
    </dgm:pt>
    <dgm:pt modelId="{7128A026-FC7A-4D81-9923-597CC797EEC4}" type="pres">
      <dgm:prSet presAssocID="{965BBA3B-F891-438D-ABFF-17F65678ED2E}" presName="root2" presStyleCnt="0"/>
      <dgm:spPr/>
    </dgm:pt>
    <dgm:pt modelId="{6D8617E7-4859-460C-85AE-EB5068CD5BFC}" type="pres">
      <dgm:prSet presAssocID="{965BBA3B-F891-438D-ABFF-17F65678ED2E}" presName="LevelTwoTextNode" presStyleLbl="node3" presStyleIdx="2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3CAC36F8-FA76-4B51-9C59-82084951FE4C}" type="pres">
      <dgm:prSet presAssocID="{965BBA3B-F891-438D-ABFF-17F65678ED2E}" presName="level3hierChild" presStyleCnt="0"/>
      <dgm:spPr/>
    </dgm:pt>
    <dgm:pt modelId="{74D85A5E-3DB9-49AB-B734-799C48DB509E}" type="pres">
      <dgm:prSet presAssocID="{CD0A2303-7CFB-46A5-810F-1A683F23D5D1}" presName="conn2-1" presStyleLbl="parChTrans1D4" presStyleIdx="2" presStyleCnt="9"/>
      <dgm:spPr/>
      <dgm:t>
        <a:bodyPr/>
        <a:lstStyle/>
        <a:p>
          <a:endParaRPr lang="de-DE"/>
        </a:p>
      </dgm:t>
    </dgm:pt>
    <dgm:pt modelId="{B3D7352F-9695-4962-A423-8278418928F7}" type="pres">
      <dgm:prSet presAssocID="{CD0A2303-7CFB-46A5-810F-1A683F23D5D1}" presName="connTx" presStyleLbl="parChTrans1D4" presStyleIdx="2" presStyleCnt="9"/>
      <dgm:spPr/>
      <dgm:t>
        <a:bodyPr/>
        <a:lstStyle/>
        <a:p>
          <a:endParaRPr lang="de-DE"/>
        </a:p>
      </dgm:t>
    </dgm:pt>
    <dgm:pt modelId="{66040869-8C86-47E4-83DE-4207397614EA}" type="pres">
      <dgm:prSet presAssocID="{8CF49386-612D-4188-8925-5C7DBDA04B32}" presName="root2" presStyleCnt="0"/>
      <dgm:spPr/>
    </dgm:pt>
    <dgm:pt modelId="{A008274B-8819-4B1F-8527-415FC9B1573D}" type="pres">
      <dgm:prSet presAssocID="{8CF49386-612D-4188-8925-5C7DBDA04B32}" presName="LevelTwoTextNode" presStyleLbl="node4" presStyleIdx="2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C63C3452-E496-4755-A42A-CBE893E43CA1}" type="pres">
      <dgm:prSet presAssocID="{8CF49386-612D-4188-8925-5C7DBDA04B32}" presName="level3hierChild" presStyleCnt="0"/>
      <dgm:spPr/>
    </dgm:pt>
    <dgm:pt modelId="{446B30B4-095C-4890-BBDA-8C23B7967814}" type="pres">
      <dgm:prSet presAssocID="{88AB0BCB-9B38-4B1F-807C-2A0E28C165F3}" presName="conn2-1" presStyleLbl="parChTrans1D3" presStyleIdx="3" presStyleCnt="9"/>
      <dgm:spPr/>
      <dgm:t>
        <a:bodyPr/>
        <a:lstStyle/>
        <a:p>
          <a:endParaRPr lang="de-DE"/>
        </a:p>
      </dgm:t>
    </dgm:pt>
    <dgm:pt modelId="{48EEAC4D-2AC7-4A83-A9B4-6C4A462A333B}" type="pres">
      <dgm:prSet presAssocID="{88AB0BCB-9B38-4B1F-807C-2A0E28C165F3}" presName="connTx" presStyleLbl="parChTrans1D3" presStyleIdx="3" presStyleCnt="9"/>
      <dgm:spPr/>
      <dgm:t>
        <a:bodyPr/>
        <a:lstStyle/>
        <a:p>
          <a:endParaRPr lang="de-DE"/>
        </a:p>
      </dgm:t>
    </dgm:pt>
    <dgm:pt modelId="{8FCFB345-483F-49C3-8EAD-9B49D682BC60}" type="pres">
      <dgm:prSet presAssocID="{FA78330F-AB8C-4F35-BFCF-5E24F42E9898}" presName="root2" presStyleCnt="0"/>
      <dgm:spPr/>
    </dgm:pt>
    <dgm:pt modelId="{F9C46582-6052-4102-85FD-9518D800748D}" type="pres">
      <dgm:prSet presAssocID="{FA78330F-AB8C-4F35-BFCF-5E24F42E9898}" presName="LevelTwoTextNode" presStyleLbl="node3" presStyleIdx="3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1FEE6E1F-1670-45DC-B01B-C006E24D8401}" type="pres">
      <dgm:prSet presAssocID="{FA78330F-AB8C-4F35-BFCF-5E24F42E9898}" presName="level3hierChild" presStyleCnt="0"/>
      <dgm:spPr/>
    </dgm:pt>
    <dgm:pt modelId="{A7B49BC9-D4A0-401C-8A97-8F23391994CE}" type="pres">
      <dgm:prSet presAssocID="{5F69D8F1-E5A5-4B42-8533-1F6F2541983C}" presName="conn2-1" presStyleLbl="parChTrans1D4" presStyleIdx="3" presStyleCnt="9"/>
      <dgm:spPr/>
      <dgm:t>
        <a:bodyPr/>
        <a:lstStyle/>
        <a:p>
          <a:endParaRPr lang="de-DE"/>
        </a:p>
      </dgm:t>
    </dgm:pt>
    <dgm:pt modelId="{67988220-A3F4-4EF5-B218-576D95205F7F}" type="pres">
      <dgm:prSet presAssocID="{5F69D8F1-E5A5-4B42-8533-1F6F2541983C}" presName="connTx" presStyleLbl="parChTrans1D4" presStyleIdx="3" presStyleCnt="9"/>
      <dgm:spPr/>
      <dgm:t>
        <a:bodyPr/>
        <a:lstStyle/>
        <a:p>
          <a:endParaRPr lang="de-DE"/>
        </a:p>
      </dgm:t>
    </dgm:pt>
    <dgm:pt modelId="{31C1775C-03F0-4EE0-BFD1-7398C4B93E19}" type="pres">
      <dgm:prSet presAssocID="{897BF35F-E098-470B-8C65-97221DF4C703}" presName="root2" presStyleCnt="0"/>
      <dgm:spPr/>
    </dgm:pt>
    <dgm:pt modelId="{0DFF70AC-409D-437C-89F7-A2740CBE5343}" type="pres">
      <dgm:prSet presAssocID="{897BF35F-E098-470B-8C65-97221DF4C703}" presName="LevelTwoTextNode" presStyleLbl="node4" presStyleIdx="3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B8F5B81B-5482-4038-A5EB-7C967C239368}" type="pres">
      <dgm:prSet presAssocID="{897BF35F-E098-470B-8C65-97221DF4C703}" presName="level3hierChild" presStyleCnt="0"/>
      <dgm:spPr/>
    </dgm:pt>
    <dgm:pt modelId="{88097B2E-4643-4782-97DD-396397E240C3}" type="pres">
      <dgm:prSet presAssocID="{479B3868-0A95-4153-933A-4FCDAE6E5B1F}" presName="conn2-1" presStyleLbl="parChTrans1D3" presStyleIdx="4" presStyleCnt="9"/>
      <dgm:spPr/>
      <dgm:t>
        <a:bodyPr/>
        <a:lstStyle/>
        <a:p>
          <a:endParaRPr lang="de-DE"/>
        </a:p>
      </dgm:t>
    </dgm:pt>
    <dgm:pt modelId="{D6394156-4652-4AB8-BFAE-F5416242F698}" type="pres">
      <dgm:prSet presAssocID="{479B3868-0A95-4153-933A-4FCDAE6E5B1F}" presName="connTx" presStyleLbl="parChTrans1D3" presStyleIdx="4" presStyleCnt="9"/>
      <dgm:spPr/>
      <dgm:t>
        <a:bodyPr/>
        <a:lstStyle/>
        <a:p>
          <a:endParaRPr lang="de-DE"/>
        </a:p>
      </dgm:t>
    </dgm:pt>
    <dgm:pt modelId="{A23DA1F2-B2DB-4F32-9DBB-1076B46A16B7}" type="pres">
      <dgm:prSet presAssocID="{BD87C575-9C1C-457F-8C8D-2E638A69408E}" presName="root2" presStyleCnt="0"/>
      <dgm:spPr/>
    </dgm:pt>
    <dgm:pt modelId="{BF5206FE-E3C6-4883-8B72-25C43AF6E90B}" type="pres">
      <dgm:prSet presAssocID="{BD87C575-9C1C-457F-8C8D-2E638A69408E}" presName="LevelTwoTextNode" presStyleLbl="node3" presStyleIdx="4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9DA80592-F9FC-48B0-8A4E-B51EE27BBCA6}" type="pres">
      <dgm:prSet presAssocID="{BD87C575-9C1C-457F-8C8D-2E638A69408E}" presName="level3hierChild" presStyleCnt="0"/>
      <dgm:spPr/>
    </dgm:pt>
    <dgm:pt modelId="{92953001-902D-4451-B840-0A760B968D69}" type="pres">
      <dgm:prSet presAssocID="{F894B1E2-074A-418A-80B5-7D77276CA059}" presName="conn2-1" presStyleLbl="parChTrans1D4" presStyleIdx="4" presStyleCnt="9"/>
      <dgm:spPr/>
      <dgm:t>
        <a:bodyPr/>
        <a:lstStyle/>
        <a:p>
          <a:endParaRPr lang="de-DE"/>
        </a:p>
      </dgm:t>
    </dgm:pt>
    <dgm:pt modelId="{C13BBB1F-7121-48A6-A2DA-6F3EC958E430}" type="pres">
      <dgm:prSet presAssocID="{F894B1E2-074A-418A-80B5-7D77276CA059}" presName="connTx" presStyleLbl="parChTrans1D4" presStyleIdx="4" presStyleCnt="9"/>
      <dgm:spPr/>
      <dgm:t>
        <a:bodyPr/>
        <a:lstStyle/>
        <a:p>
          <a:endParaRPr lang="de-DE"/>
        </a:p>
      </dgm:t>
    </dgm:pt>
    <dgm:pt modelId="{3885BE01-1BA2-44B8-ABCC-4292C830F3F7}" type="pres">
      <dgm:prSet presAssocID="{474D41DC-8672-4AE7-9164-4FC8F57E5AEC}" presName="root2" presStyleCnt="0"/>
      <dgm:spPr/>
    </dgm:pt>
    <dgm:pt modelId="{C7929A37-87A7-4417-BCCA-56721FD8FCC2}" type="pres">
      <dgm:prSet presAssocID="{474D41DC-8672-4AE7-9164-4FC8F57E5AEC}" presName="LevelTwoTextNode" presStyleLbl="node4" presStyleIdx="4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57FA1837-5EC4-495C-A236-D102A0A40A49}" type="pres">
      <dgm:prSet presAssocID="{474D41DC-8672-4AE7-9164-4FC8F57E5AEC}" presName="level3hierChild" presStyleCnt="0"/>
      <dgm:spPr/>
    </dgm:pt>
    <dgm:pt modelId="{14199023-2042-4801-AC0A-576F2A4B74AB}" type="pres">
      <dgm:prSet presAssocID="{A143FCA3-861B-4AC5-A882-414684A5C863}" presName="conn2-1" presStyleLbl="parChTrans1D3" presStyleIdx="5" presStyleCnt="9"/>
      <dgm:spPr/>
      <dgm:t>
        <a:bodyPr/>
        <a:lstStyle/>
        <a:p>
          <a:endParaRPr lang="de-DE"/>
        </a:p>
      </dgm:t>
    </dgm:pt>
    <dgm:pt modelId="{392CD15A-46DD-454D-A78D-48409D119541}" type="pres">
      <dgm:prSet presAssocID="{A143FCA3-861B-4AC5-A882-414684A5C863}" presName="connTx" presStyleLbl="parChTrans1D3" presStyleIdx="5" presStyleCnt="9"/>
      <dgm:spPr/>
      <dgm:t>
        <a:bodyPr/>
        <a:lstStyle/>
        <a:p>
          <a:endParaRPr lang="de-DE"/>
        </a:p>
      </dgm:t>
    </dgm:pt>
    <dgm:pt modelId="{0CBA6F7C-5B69-4E36-A3BC-70F981B21511}" type="pres">
      <dgm:prSet presAssocID="{D0AEC066-F128-41AC-8510-ADF068F5DE87}" presName="root2" presStyleCnt="0"/>
      <dgm:spPr/>
    </dgm:pt>
    <dgm:pt modelId="{8E39CE72-A54A-40C1-866B-642AE744CED7}" type="pres">
      <dgm:prSet presAssocID="{D0AEC066-F128-41AC-8510-ADF068F5DE87}" presName="LevelTwoTextNode" presStyleLbl="node3" presStyleIdx="5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1DA229EE-3466-4C7F-A892-D75C5D8E6205}" type="pres">
      <dgm:prSet presAssocID="{D0AEC066-F128-41AC-8510-ADF068F5DE87}" presName="level3hierChild" presStyleCnt="0"/>
      <dgm:spPr/>
    </dgm:pt>
    <dgm:pt modelId="{BC0DE7FA-0497-4400-A7AA-A91DEE3AF204}" type="pres">
      <dgm:prSet presAssocID="{F106BE7E-EB7B-4CDC-84EC-537F08EEBB76}" presName="conn2-1" presStyleLbl="parChTrans1D4" presStyleIdx="5" presStyleCnt="9"/>
      <dgm:spPr/>
      <dgm:t>
        <a:bodyPr/>
        <a:lstStyle/>
        <a:p>
          <a:endParaRPr lang="de-DE"/>
        </a:p>
      </dgm:t>
    </dgm:pt>
    <dgm:pt modelId="{985F063E-9DAE-4EB8-9218-95F170B7F559}" type="pres">
      <dgm:prSet presAssocID="{F106BE7E-EB7B-4CDC-84EC-537F08EEBB76}" presName="connTx" presStyleLbl="parChTrans1D4" presStyleIdx="5" presStyleCnt="9"/>
      <dgm:spPr/>
      <dgm:t>
        <a:bodyPr/>
        <a:lstStyle/>
        <a:p>
          <a:endParaRPr lang="de-DE"/>
        </a:p>
      </dgm:t>
    </dgm:pt>
    <dgm:pt modelId="{5FCE35D4-1491-4119-BB39-FF579B9E283B}" type="pres">
      <dgm:prSet presAssocID="{FCE815C5-D18E-435A-BD2B-E1F161D727E4}" presName="root2" presStyleCnt="0"/>
      <dgm:spPr/>
    </dgm:pt>
    <dgm:pt modelId="{AAF68882-4B60-4ACF-9BCA-5281E1B9C05E}" type="pres">
      <dgm:prSet presAssocID="{FCE815C5-D18E-435A-BD2B-E1F161D727E4}" presName="LevelTwoTextNode" presStyleLbl="node4" presStyleIdx="5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C1A2765F-2A17-4346-89A5-D0380D3B6241}" type="pres">
      <dgm:prSet presAssocID="{FCE815C5-D18E-435A-BD2B-E1F161D727E4}" presName="level3hierChild" presStyleCnt="0"/>
      <dgm:spPr/>
    </dgm:pt>
    <dgm:pt modelId="{C656B832-B7DD-458E-BA28-13CE8CF9DC00}" type="pres">
      <dgm:prSet presAssocID="{FE4EB8CE-021A-4F61-A2A1-5482BA12ABD4}" presName="conn2-1" presStyleLbl="parChTrans1D3" presStyleIdx="6" presStyleCnt="9"/>
      <dgm:spPr/>
      <dgm:t>
        <a:bodyPr/>
        <a:lstStyle/>
        <a:p>
          <a:endParaRPr lang="de-DE"/>
        </a:p>
      </dgm:t>
    </dgm:pt>
    <dgm:pt modelId="{8639C9D9-798C-422F-9E59-BD5E540A31C9}" type="pres">
      <dgm:prSet presAssocID="{FE4EB8CE-021A-4F61-A2A1-5482BA12ABD4}" presName="connTx" presStyleLbl="parChTrans1D3" presStyleIdx="6" presStyleCnt="9"/>
      <dgm:spPr/>
      <dgm:t>
        <a:bodyPr/>
        <a:lstStyle/>
        <a:p>
          <a:endParaRPr lang="de-DE"/>
        </a:p>
      </dgm:t>
    </dgm:pt>
    <dgm:pt modelId="{42F7E9BA-EB9D-4C60-83BA-3E73CA9360D6}" type="pres">
      <dgm:prSet presAssocID="{E485855D-2F77-463F-8696-79B1C2423B88}" presName="root2" presStyleCnt="0"/>
      <dgm:spPr/>
    </dgm:pt>
    <dgm:pt modelId="{9DD42457-605E-415A-9D13-6BA7A02D505D}" type="pres">
      <dgm:prSet presAssocID="{E485855D-2F77-463F-8696-79B1C2423B88}" presName="LevelTwoTextNode" presStyleLbl="node3" presStyleIdx="6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E2B4F230-2458-4929-AF8D-13438DE2B6A4}" type="pres">
      <dgm:prSet presAssocID="{E485855D-2F77-463F-8696-79B1C2423B88}" presName="level3hierChild" presStyleCnt="0"/>
      <dgm:spPr/>
    </dgm:pt>
    <dgm:pt modelId="{4B570DBA-9A82-436D-A4DE-36D76AE4D77F}" type="pres">
      <dgm:prSet presAssocID="{DFFC80FE-8CE6-4D31-AFC7-21DED63FC0BD}" presName="conn2-1" presStyleLbl="parChTrans1D4" presStyleIdx="6" presStyleCnt="9"/>
      <dgm:spPr/>
      <dgm:t>
        <a:bodyPr/>
        <a:lstStyle/>
        <a:p>
          <a:endParaRPr lang="de-DE"/>
        </a:p>
      </dgm:t>
    </dgm:pt>
    <dgm:pt modelId="{1610A843-DDC5-4D67-B5BD-F6B36C76D322}" type="pres">
      <dgm:prSet presAssocID="{DFFC80FE-8CE6-4D31-AFC7-21DED63FC0BD}" presName="connTx" presStyleLbl="parChTrans1D4" presStyleIdx="6" presStyleCnt="9"/>
      <dgm:spPr/>
      <dgm:t>
        <a:bodyPr/>
        <a:lstStyle/>
        <a:p>
          <a:endParaRPr lang="de-DE"/>
        </a:p>
      </dgm:t>
    </dgm:pt>
    <dgm:pt modelId="{7A7346F3-A815-4CA3-97F7-E684E5BEBBE9}" type="pres">
      <dgm:prSet presAssocID="{9A0D7B31-10A8-463E-937F-E13904A87FEE}" presName="root2" presStyleCnt="0"/>
      <dgm:spPr/>
    </dgm:pt>
    <dgm:pt modelId="{C76199A6-F3FC-4853-91E1-FDD93617A833}" type="pres">
      <dgm:prSet presAssocID="{9A0D7B31-10A8-463E-937F-E13904A87FEE}" presName="LevelTwoTextNode" presStyleLbl="node4" presStyleIdx="6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A1738A63-B3DC-4B6F-BAB2-BF5CA7EA4DBD}" type="pres">
      <dgm:prSet presAssocID="{9A0D7B31-10A8-463E-937F-E13904A87FEE}" presName="level3hierChild" presStyleCnt="0"/>
      <dgm:spPr/>
    </dgm:pt>
    <dgm:pt modelId="{01AD7C79-5B9B-4976-9E20-EF110A64DCBF}" type="pres">
      <dgm:prSet presAssocID="{B46D3D8D-3ACF-466A-BB0B-C64C0B34ED44}" presName="conn2-1" presStyleLbl="parChTrans1D3" presStyleIdx="7" presStyleCnt="9"/>
      <dgm:spPr/>
      <dgm:t>
        <a:bodyPr/>
        <a:lstStyle/>
        <a:p>
          <a:endParaRPr lang="de-DE"/>
        </a:p>
      </dgm:t>
    </dgm:pt>
    <dgm:pt modelId="{66228926-82E5-47F2-A2AB-B02B978E08BE}" type="pres">
      <dgm:prSet presAssocID="{B46D3D8D-3ACF-466A-BB0B-C64C0B34ED44}" presName="connTx" presStyleLbl="parChTrans1D3" presStyleIdx="7" presStyleCnt="9"/>
      <dgm:spPr/>
      <dgm:t>
        <a:bodyPr/>
        <a:lstStyle/>
        <a:p>
          <a:endParaRPr lang="de-DE"/>
        </a:p>
      </dgm:t>
    </dgm:pt>
    <dgm:pt modelId="{29ADBF42-FD7B-4453-B02F-8D0E507C1965}" type="pres">
      <dgm:prSet presAssocID="{5CB3E75B-6B16-41A0-ACF4-83F3D1431765}" presName="root2" presStyleCnt="0"/>
      <dgm:spPr/>
    </dgm:pt>
    <dgm:pt modelId="{989486B0-A81F-4D4A-8B9E-2DE0A23310EB}" type="pres">
      <dgm:prSet presAssocID="{5CB3E75B-6B16-41A0-ACF4-83F3D1431765}" presName="LevelTwoTextNode" presStyleLbl="node3" presStyleIdx="7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C8AF6A1D-A29A-422A-B74A-377D5CF97A38}" type="pres">
      <dgm:prSet presAssocID="{5CB3E75B-6B16-41A0-ACF4-83F3D1431765}" presName="level3hierChild" presStyleCnt="0"/>
      <dgm:spPr/>
    </dgm:pt>
    <dgm:pt modelId="{21942879-C5FE-4E4A-8F60-3C0303FE2BC3}" type="pres">
      <dgm:prSet presAssocID="{9FF72F19-ED3E-4E58-8F02-58F1927D143B}" presName="conn2-1" presStyleLbl="parChTrans1D4" presStyleIdx="7" presStyleCnt="9"/>
      <dgm:spPr/>
      <dgm:t>
        <a:bodyPr/>
        <a:lstStyle/>
        <a:p>
          <a:endParaRPr lang="de-DE"/>
        </a:p>
      </dgm:t>
    </dgm:pt>
    <dgm:pt modelId="{EE7B3233-805E-4965-ABE9-30461985A19D}" type="pres">
      <dgm:prSet presAssocID="{9FF72F19-ED3E-4E58-8F02-58F1927D143B}" presName="connTx" presStyleLbl="parChTrans1D4" presStyleIdx="7" presStyleCnt="9"/>
      <dgm:spPr/>
      <dgm:t>
        <a:bodyPr/>
        <a:lstStyle/>
        <a:p>
          <a:endParaRPr lang="de-DE"/>
        </a:p>
      </dgm:t>
    </dgm:pt>
    <dgm:pt modelId="{DA6E9F20-CCAE-4198-8D2C-4016DED029C8}" type="pres">
      <dgm:prSet presAssocID="{B0B834A7-3905-4F92-9BA7-7AAF9895B6D4}" presName="root2" presStyleCnt="0"/>
      <dgm:spPr/>
    </dgm:pt>
    <dgm:pt modelId="{F1A83C29-4B02-494F-B1A0-A73B8802D5B8}" type="pres">
      <dgm:prSet presAssocID="{B0B834A7-3905-4F92-9BA7-7AAF9895B6D4}" presName="LevelTwoTextNode" presStyleLbl="node4" presStyleIdx="7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65C5CD67-A5E9-4FB9-A71E-1A6170B0DA2F}" type="pres">
      <dgm:prSet presAssocID="{B0B834A7-3905-4F92-9BA7-7AAF9895B6D4}" presName="level3hierChild" presStyleCnt="0"/>
      <dgm:spPr/>
    </dgm:pt>
    <dgm:pt modelId="{CBE4AF10-7BB3-4BF3-99AF-359CCACEED17}" type="pres">
      <dgm:prSet presAssocID="{CBA61F88-C637-4298-9383-F3C0E0CF7D73}" presName="conn2-1" presStyleLbl="parChTrans1D3" presStyleIdx="8" presStyleCnt="9"/>
      <dgm:spPr/>
      <dgm:t>
        <a:bodyPr/>
        <a:lstStyle/>
        <a:p>
          <a:endParaRPr lang="de-DE"/>
        </a:p>
      </dgm:t>
    </dgm:pt>
    <dgm:pt modelId="{7193C396-9CAE-4163-8B53-23DB2A779311}" type="pres">
      <dgm:prSet presAssocID="{CBA61F88-C637-4298-9383-F3C0E0CF7D73}" presName="connTx" presStyleLbl="parChTrans1D3" presStyleIdx="8" presStyleCnt="9"/>
      <dgm:spPr/>
      <dgm:t>
        <a:bodyPr/>
        <a:lstStyle/>
        <a:p>
          <a:endParaRPr lang="de-DE"/>
        </a:p>
      </dgm:t>
    </dgm:pt>
    <dgm:pt modelId="{10740184-9747-4A71-8507-8DC0523223D7}" type="pres">
      <dgm:prSet presAssocID="{228BD240-FD24-48CF-9BD2-F13A53343C1E}" presName="root2" presStyleCnt="0"/>
      <dgm:spPr/>
    </dgm:pt>
    <dgm:pt modelId="{38BD3B21-9B36-42E4-902C-2E2BFC04B4A0}" type="pres">
      <dgm:prSet presAssocID="{228BD240-FD24-48CF-9BD2-F13A53343C1E}" presName="LevelTwoTextNode" presStyleLbl="node3" presStyleIdx="8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394A5674-8BDC-4095-9055-92621F57A36B}" type="pres">
      <dgm:prSet presAssocID="{228BD240-FD24-48CF-9BD2-F13A53343C1E}" presName="level3hierChild" presStyleCnt="0"/>
      <dgm:spPr/>
    </dgm:pt>
    <dgm:pt modelId="{CEDD12E0-8D29-4563-A7E6-C87464DA4415}" type="pres">
      <dgm:prSet presAssocID="{08B8E453-238A-441F-82DB-485A15E8D129}" presName="conn2-1" presStyleLbl="parChTrans1D4" presStyleIdx="8" presStyleCnt="9"/>
      <dgm:spPr/>
      <dgm:t>
        <a:bodyPr/>
        <a:lstStyle/>
        <a:p>
          <a:endParaRPr lang="de-DE"/>
        </a:p>
      </dgm:t>
    </dgm:pt>
    <dgm:pt modelId="{B5946233-0D26-4621-8182-583CCE9F66F4}" type="pres">
      <dgm:prSet presAssocID="{08B8E453-238A-441F-82DB-485A15E8D129}" presName="connTx" presStyleLbl="parChTrans1D4" presStyleIdx="8" presStyleCnt="9"/>
      <dgm:spPr/>
      <dgm:t>
        <a:bodyPr/>
        <a:lstStyle/>
        <a:p>
          <a:endParaRPr lang="de-DE"/>
        </a:p>
      </dgm:t>
    </dgm:pt>
    <dgm:pt modelId="{38DA3786-FEA5-45A7-8C27-D3AFB0465596}" type="pres">
      <dgm:prSet presAssocID="{6146E3B1-3246-4B2A-A6BB-E099FDD6EB9C}" presName="root2" presStyleCnt="0"/>
      <dgm:spPr/>
    </dgm:pt>
    <dgm:pt modelId="{BB3B3672-94B0-4923-B362-D3C8B3CAA888}" type="pres">
      <dgm:prSet presAssocID="{6146E3B1-3246-4B2A-A6BB-E099FDD6EB9C}" presName="LevelTwoTextNode" presStyleLbl="node4" presStyleIdx="8" presStyleCnt="9">
        <dgm:presLayoutVars>
          <dgm:chPref val="3"/>
        </dgm:presLayoutVars>
      </dgm:prSet>
      <dgm:spPr/>
      <dgm:t>
        <a:bodyPr/>
        <a:lstStyle/>
        <a:p>
          <a:endParaRPr lang="de-DE"/>
        </a:p>
      </dgm:t>
    </dgm:pt>
    <dgm:pt modelId="{D8890AB6-033B-4F25-A2D8-31BBD8F8AF75}" type="pres">
      <dgm:prSet presAssocID="{6146E3B1-3246-4B2A-A6BB-E099FDD6EB9C}" presName="level3hierChild" presStyleCnt="0"/>
      <dgm:spPr/>
    </dgm:pt>
  </dgm:ptLst>
  <dgm:cxnLst>
    <dgm:cxn modelId="{B2962326-DA77-4C34-8A98-7C9175AA1689}" srcId="{7A614B73-5C40-4AC6-BD12-B6C969AFB977}" destId="{228BD240-FD24-48CF-9BD2-F13A53343C1E}" srcOrd="8" destOrd="0" parTransId="{CBA61F88-C637-4298-9383-F3C0E0CF7D73}" sibTransId="{3C44E33F-053A-42A6-A3CE-29EADF57704B}"/>
    <dgm:cxn modelId="{B2C0EEE9-559D-4CC8-A709-70588CE8FD4B}" srcId="{7A614B73-5C40-4AC6-BD12-B6C969AFB977}" destId="{965BBA3B-F891-438D-ABFF-17F65678ED2E}" srcOrd="2" destOrd="0" parTransId="{7D57E214-3E89-49F5-A27B-82A559D42ABD}" sibTransId="{C23A4339-D206-468B-85BE-C6234364A399}"/>
    <dgm:cxn modelId="{1F5DBC4F-9ADD-4602-A597-584D0808C966}" type="presOf" srcId="{CD0A2303-7CFB-46A5-810F-1A683F23D5D1}" destId="{74D85A5E-3DB9-49AB-B734-799C48DB509E}" srcOrd="0" destOrd="0" presId="urn:microsoft.com/office/officeart/2005/8/layout/hierarchy2"/>
    <dgm:cxn modelId="{514A11BA-3277-45E2-84D6-1D3104BE5A89}" type="presOf" srcId="{9A0D7B31-10A8-463E-937F-E13904A87FEE}" destId="{C76199A6-F3FC-4853-91E1-FDD93617A833}" srcOrd="0" destOrd="0" presId="urn:microsoft.com/office/officeart/2005/8/layout/hierarchy2"/>
    <dgm:cxn modelId="{A0B2021F-ECE4-43FE-B0FD-4E0B14AB0C30}" srcId="{D0AEC066-F128-41AC-8510-ADF068F5DE87}" destId="{FCE815C5-D18E-435A-BD2B-E1F161D727E4}" srcOrd="0" destOrd="0" parTransId="{F106BE7E-EB7B-4CDC-84EC-537F08EEBB76}" sibTransId="{B3A5BC99-BC87-4566-9FD7-3B40AB9D5D07}"/>
    <dgm:cxn modelId="{FC3CC570-CEF4-4F17-8809-B491B6DD898A}" type="presOf" srcId="{D0AEC066-F128-41AC-8510-ADF068F5DE87}" destId="{8E39CE72-A54A-40C1-866B-642AE744CED7}" srcOrd="0" destOrd="0" presId="urn:microsoft.com/office/officeart/2005/8/layout/hierarchy2"/>
    <dgm:cxn modelId="{3DBCAD17-49BA-49E0-9933-8627F75CACED}" type="presOf" srcId="{B0B834A7-3905-4F92-9BA7-7AAF9895B6D4}" destId="{F1A83C29-4B02-494F-B1A0-A73B8802D5B8}" srcOrd="0" destOrd="0" presId="urn:microsoft.com/office/officeart/2005/8/layout/hierarchy2"/>
    <dgm:cxn modelId="{81D8330C-8525-4489-BC54-28D212E98F96}" type="presOf" srcId="{F106BE7E-EB7B-4CDC-84EC-537F08EEBB76}" destId="{BC0DE7FA-0497-4400-A7AA-A91DEE3AF204}" srcOrd="0" destOrd="0" presId="urn:microsoft.com/office/officeart/2005/8/layout/hierarchy2"/>
    <dgm:cxn modelId="{4AE6A1B2-FFB0-4360-AB88-6D11E90D98F6}" type="presOf" srcId="{5334419E-60FC-4E77-90E7-648D7A311593}" destId="{B3677306-3067-404F-B003-A6A8BD39CD50}" srcOrd="0" destOrd="0" presId="urn:microsoft.com/office/officeart/2005/8/layout/hierarchy2"/>
    <dgm:cxn modelId="{FB97FB44-37E8-4183-B89A-8387F3D7F3BB}" srcId="{965BBA3B-F891-438D-ABFF-17F65678ED2E}" destId="{8CF49386-612D-4188-8925-5C7DBDA04B32}" srcOrd="0" destOrd="0" parTransId="{CD0A2303-7CFB-46A5-810F-1A683F23D5D1}" sibTransId="{350E602C-5EE5-4E89-86F1-1E6CCCC00295}"/>
    <dgm:cxn modelId="{4A78C2FC-B73D-44A2-8DC3-90EE9696C0CA}" type="presOf" srcId="{2F44C9FF-6994-4413-B34C-5AE9C307C7E3}" destId="{A6BBF191-9995-4673-8726-F82C88F19B54}" srcOrd="0" destOrd="0" presId="urn:microsoft.com/office/officeart/2005/8/layout/hierarchy2"/>
    <dgm:cxn modelId="{5B2246C8-9A42-4C1D-9CA9-271971FD0BF3}" srcId="{7A614B73-5C40-4AC6-BD12-B6C969AFB977}" destId="{34ED9A8A-6561-4FB1-8363-A217D46FCADC}" srcOrd="0" destOrd="0" parTransId="{63A88CA9-B643-44E1-A139-CA43F275F9BE}" sibTransId="{672E7792-E3D5-42BB-9A84-75956BD19630}"/>
    <dgm:cxn modelId="{84823550-9274-4818-9297-CBE95BFAAA9D}" type="presOf" srcId="{FE4EB8CE-021A-4F61-A2A1-5482BA12ABD4}" destId="{C656B832-B7DD-458E-BA28-13CE8CF9DC00}" srcOrd="0" destOrd="0" presId="urn:microsoft.com/office/officeart/2005/8/layout/hierarchy2"/>
    <dgm:cxn modelId="{2519E4A2-E4B6-44B9-A3DB-D2E4E94993F1}" srcId="{7A614B73-5C40-4AC6-BD12-B6C969AFB977}" destId="{E485855D-2F77-463F-8696-79B1C2423B88}" srcOrd="6" destOrd="0" parTransId="{FE4EB8CE-021A-4F61-A2A1-5482BA12ABD4}" sibTransId="{D9A875BF-F5D7-4BB3-943E-477032C7F1C0}"/>
    <dgm:cxn modelId="{025066FD-2DF0-452E-9561-5658C8B09F85}" type="presOf" srcId="{44816AC2-6026-425C-9F35-882D4B6BA39C}" destId="{C852C0F5-016C-4036-9C8E-8FEF9E087CAA}" srcOrd="0" destOrd="0" presId="urn:microsoft.com/office/officeart/2005/8/layout/hierarchy2"/>
    <dgm:cxn modelId="{ABBED071-00E6-4670-BCF0-E14C0C1DFA61}" type="presOf" srcId="{479B3868-0A95-4153-933A-4FCDAE6E5B1F}" destId="{88097B2E-4643-4782-97DD-396397E240C3}" srcOrd="0" destOrd="0" presId="urn:microsoft.com/office/officeart/2005/8/layout/hierarchy2"/>
    <dgm:cxn modelId="{2EA5F986-0FB3-455F-8C96-A76927085E7E}" type="presOf" srcId="{D93C850D-7D78-4A12-915A-9F56074BB74C}" destId="{F09D1188-EC90-42DA-B4D5-4790C9E437E8}" srcOrd="1" destOrd="0" presId="urn:microsoft.com/office/officeart/2005/8/layout/hierarchy2"/>
    <dgm:cxn modelId="{9FE4CFD1-14C4-446F-B63B-42974256569A}" type="presOf" srcId="{D93C850D-7D78-4A12-915A-9F56074BB74C}" destId="{9D6B8360-78B0-441F-8CA0-E0E725095AB8}" srcOrd="0" destOrd="0" presId="urn:microsoft.com/office/officeart/2005/8/layout/hierarchy2"/>
    <dgm:cxn modelId="{FCB70A97-1B16-4CAF-9E30-8870FC0FBAFD}" srcId="{34ED9A8A-6561-4FB1-8363-A217D46FCADC}" destId="{2F44C9FF-6994-4413-B34C-5AE9C307C7E3}" srcOrd="0" destOrd="0" parTransId="{248E72CB-ED78-4D37-B5EA-BB87ED33ED7D}" sibTransId="{E94EABA7-FDAF-4ABD-8BA6-B0DCE8C05308}"/>
    <dgm:cxn modelId="{E4320D58-AD7E-414D-94E0-5263B4FA1103}" type="presOf" srcId="{88AB0BCB-9B38-4B1F-807C-2A0E28C165F3}" destId="{48EEAC4D-2AC7-4A83-A9B4-6C4A462A333B}" srcOrd="1" destOrd="0" presId="urn:microsoft.com/office/officeart/2005/8/layout/hierarchy2"/>
    <dgm:cxn modelId="{77125908-8022-42BE-91FD-94B5FBA1C5A3}" srcId="{228BD240-FD24-48CF-9BD2-F13A53343C1E}" destId="{6146E3B1-3246-4B2A-A6BB-E099FDD6EB9C}" srcOrd="0" destOrd="0" parTransId="{08B8E453-238A-441F-82DB-485A15E8D129}" sibTransId="{1CB7B52E-A363-47C1-B9E2-A8A932A82AE1}"/>
    <dgm:cxn modelId="{2CA9513E-4491-42E9-B86C-77E213951A70}" type="presOf" srcId="{248E72CB-ED78-4D37-B5EA-BB87ED33ED7D}" destId="{BE524EFB-89C8-47B7-91B6-0613B76F151D}" srcOrd="1" destOrd="0" presId="urn:microsoft.com/office/officeart/2005/8/layout/hierarchy2"/>
    <dgm:cxn modelId="{7189E5FB-EA7A-49EC-8905-A03D964B1F10}" type="presOf" srcId="{5F69D8F1-E5A5-4B42-8533-1F6F2541983C}" destId="{A7B49BC9-D4A0-401C-8A97-8F23391994CE}" srcOrd="0" destOrd="0" presId="urn:microsoft.com/office/officeart/2005/8/layout/hierarchy2"/>
    <dgm:cxn modelId="{13105593-1C9A-4AAA-A6E5-7C833D598D3E}" type="presOf" srcId="{F894B1E2-074A-418A-80B5-7D77276CA059}" destId="{92953001-902D-4451-B840-0A760B968D69}" srcOrd="0" destOrd="0" presId="urn:microsoft.com/office/officeart/2005/8/layout/hierarchy2"/>
    <dgm:cxn modelId="{D63B3C91-6BCF-412A-A9C8-190415D39B56}" type="presOf" srcId="{474D41DC-8672-4AE7-9164-4FC8F57E5AEC}" destId="{C7929A37-87A7-4417-BCCA-56721FD8FCC2}" srcOrd="0" destOrd="0" presId="urn:microsoft.com/office/officeart/2005/8/layout/hierarchy2"/>
    <dgm:cxn modelId="{12D70782-FD88-4F2C-9A36-35708CFB64EC}" type="presOf" srcId="{9FF72F19-ED3E-4E58-8F02-58F1927D143B}" destId="{21942879-C5FE-4E4A-8F60-3C0303FE2BC3}" srcOrd="0" destOrd="0" presId="urn:microsoft.com/office/officeart/2005/8/layout/hierarchy2"/>
    <dgm:cxn modelId="{9C037739-1BAD-418D-9F2F-5679579CDF98}" type="presOf" srcId="{E485855D-2F77-463F-8696-79B1C2423B88}" destId="{9DD42457-605E-415A-9D13-6BA7A02D505D}" srcOrd="0" destOrd="0" presId="urn:microsoft.com/office/officeart/2005/8/layout/hierarchy2"/>
    <dgm:cxn modelId="{10CFD809-DE91-4CF2-848A-5E129B0BCD36}" type="presOf" srcId="{CBA61F88-C637-4298-9383-F3C0E0CF7D73}" destId="{7193C396-9CAE-4163-8B53-23DB2A779311}" srcOrd="1" destOrd="0" presId="urn:microsoft.com/office/officeart/2005/8/layout/hierarchy2"/>
    <dgm:cxn modelId="{2C5C04A5-EA42-41F5-88AE-97A6D49E512D}" srcId="{44816AC2-6026-425C-9F35-882D4B6BA39C}" destId="{7A614B73-5C40-4AC6-BD12-B6C969AFB977}" srcOrd="0" destOrd="0" parTransId="{6F2A4A47-EBFE-43DC-A512-1B07079C400F}" sibTransId="{96E0917A-49F6-42BA-A968-6A0007BC0F72}"/>
    <dgm:cxn modelId="{F930BB3F-D356-408E-8C79-0EC6C137FDFE}" type="presOf" srcId="{DFFC80FE-8CE6-4D31-AFC7-21DED63FC0BD}" destId="{4B570DBA-9A82-436D-A4DE-36D76AE4D77F}" srcOrd="0" destOrd="0" presId="urn:microsoft.com/office/officeart/2005/8/layout/hierarchy2"/>
    <dgm:cxn modelId="{A611E520-B12F-4ED9-B6CA-56B52E7E36E0}" type="presOf" srcId="{9FF72F19-ED3E-4E58-8F02-58F1927D143B}" destId="{EE7B3233-805E-4965-ABE9-30461985A19D}" srcOrd="1" destOrd="0" presId="urn:microsoft.com/office/officeart/2005/8/layout/hierarchy2"/>
    <dgm:cxn modelId="{0989A81B-AD53-4E48-B659-27B86929B4FF}" type="presOf" srcId="{7D57E214-3E89-49F5-A27B-82A559D42ABD}" destId="{02369F28-EA80-4F20-8A8E-B00DF1979D88}" srcOrd="0" destOrd="0" presId="urn:microsoft.com/office/officeart/2005/8/layout/hierarchy2"/>
    <dgm:cxn modelId="{0A79D9BE-ED85-4E46-A35D-5C0246D230C6}" type="presOf" srcId="{CDA87C97-652F-412D-BC8E-86DF641B437D}" destId="{4EC3A0EF-AFE4-41BE-A202-3C67E270738F}" srcOrd="0" destOrd="0" presId="urn:microsoft.com/office/officeart/2005/8/layout/hierarchy2"/>
    <dgm:cxn modelId="{2D339D35-F223-43EB-AB84-965D062F4754}" srcId="{7A614B73-5C40-4AC6-BD12-B6C969AFB977}" destId="{CDA87C97-652F-412D-BC8E-86DF641B437D}" srcOrd="1" destOrd="0" parTransId="{5334419E-60FC-4E77-90E7-648D7A311593}" sibTransId="{FC663559-F355-4188-A1EF-4CBBF477F43B}"/>
    <dgm:cxn modelId="{631952F0-39E7-4623-998D-164890221F84}" type="presOf" srcId="{6F2A4A47-EBFE-43DC-A512-1B07079C400F}" destId="{AC504C64-792E-4E1B-BDF5-A16CD384AF5F}" srcOrd="0" destOrd="0" presId="urn:microsoft.com/office/officeart/2005/8/layout/hierarchy2"/>
    <dgm:cxn modelId="{38F332B5-66CC-47E1-8B5C-E0724D0E7A3F}" type="presOf" srcId="{6F2A4A47-EBFE-43DC-A512-1B07079C400F}" destId="{642ACAD2-0C0C-41D3-87BF-690E3BB8D6C2}" srcOrd="1" destOrd="0" presId="urn:microsoft.com/office/officeart/2005/8/layout/hierarchy2"/>
    <dgm:cxn modelId="{AAB073E0-432E-4453-A538-8C39BB4EC9A1}" type="presOf" srcId="{DFFC80FE-8CE6-4D31-AFC7-21DED63FC0BD}" destId="{1610A843-DDC5-4D67-B5BD-F6B36C76D322}" srcOrd="1" destOrd="0" presId="urn:microsoft.com/office/officeart/2005/8/layout/hierarchy2"/>
    <dgm:cxn modelId="{CD9E77DF-3AD9-4648-B01D-CD4340A4F1AD}" srcId="{7A614B73-5C40-4AC6-BD12-B6C969AFB977}" destId="{5CB3E75B-6B16-41A0-ACF4-83F3D1431765}" srcOrd="7" destOrd="0" parTransId="{B46D3D8D-3ACF-466A-BB0B-C64C0B34ED44}" sibTransId="{971841A2-D68D-4B6E-ADAC-C9A9FFBE4377}"/>
    <dgm:cxn modelId="{5BEA5B58-83E5-4E48-B458-CED349F6AD95}" type="presOf" srcId="{B46D3D8D-3ACF-466A-BB0B-C64C0B34ED44}" destId="{66228926-82E5-47F2-A2AB-B02B978E08BE}" srcOrd="1" destOrd="0" presId="urn:microsoft.com/office/officeart/2005/8/layout/hierarchy2"/>
    <dgm:cxn modelId="{9614E884-3F8F-458D-B5F8-CF50B7F0AADB}" type="presOf" srcId="{CBA61F88-C637-4298-9383-F3C0E0CF7D73}" destId="{CBE4AF10-7BB3-4BF3-99AF-359CCACEED17}" srcOrd="0" destOrd="0" presId="urn:microsoft.com/office/officeart/2005/8/layout/hierarchy2"/>
    <dgm:cxn modelId="{37B32F00-C1C7-4424-956F-508E3CB8B007}" type="presOf" srcId="{88AB0BCB-9B38-4B1F-807C-2A0E28C165F3}" destId="{446B30B4-095C-4890-BBDA-8C23B7967814}" srcOrd="0" destOrd="0" presId="urn:microsoft.com/office/officeart/2005/8/layout/hierarchy2"/>
    <dgm:cxn modelId="{02F4A98A-24DC-4A9D-8BD6-FFF3A6466AF0}" type="presOf" srcId="{BD87C575-9C1C-457F-8C8D-2E638A69408E}" destId="{BF5206FE-E3C6-4883-8B72-25C43AF6E90B}" srcOrd="0" destOrd="0" presId="urn:microsoft.com/office/officeart/2005/8/layout/hierarchy2"/>
    <dgm:cxn modelId="{F62DB8DF-286F-448A-B9D7-E6BAA47A0A22}" srcId="{BD87C575-9C1C-457F-8C8D-2E638A69408E}" destId="{474D41DC-8672-4AE7-9164-4FC8F57E5AEC}" srcOrd="0" destOrd="0" parTransId="{F894B1E2-074A-418A-80B5-7D77276CA059}" sibTransId="{416B8BC8-FD78-4456-B560-1396EC6CA638}"/>
    <dgm:cxn modelId="{53F432C5-DA62-47BE-ABD8-B896842612A4}" srcId="{7A614B73-5C40-4AC6-BD12-B6C969AFB977}" destId="{BD87C575-9C1C-457F-8C8D-2E638A69408E}" srcOrd="4" destOrd="0" parTransId="{479B3868-0A95-4153-933A-4FCDAE6E5B1F}" sibTransId="{08083C81-12B8-4DBB-BFD7-AB93F8D9CE78}"/>
    <dgm:cxn modelId="{A1EB0586-2BAA-40D3-B86D-70C4CF985AE5}" type="presOf" srcId="{CD0A2303-7CFB-46A5-810F-1A683F23D5D1}" destId="{B3D7352F-9695-4962-A423-8278418928F7}" srcOrd="1" destOrd="0" presId="urn:microsoft.com/office/officeart/2005/8/layout/hierarchy2"/>
    <dgm:cxn modelId="{DF55C7D6-DBA1-42F4-9417-B868799288DE}" type="presOf" srcId="{5F69D8F1-E5A5-4B42-8533-1F6F2541983C}" destId="{67988220-A3F4-4EF5-B218-576D95205F7F}" srcOrd="1" destOrd="0" presId="urn:microsoft.com/office/officeart/2005/8/layout/hierarchy2"/>
    <dgm:cxn modelId="{449BDF31-C852-42FA-92F8-BB26EBD53030}" type="presOf" srcId="{965BBA3B-F891-438D-ABFF-17F65678ED2E}" destId="{6D8617E7-4859-460C-85AE-EB5068CD5BFC}" srcOrd="0" destOrd="0" presId="urn:microsoft.com/office/officeart/2005/8/layout/hierarchy2"/>
    <dgm:cxn modelId="{CE0D8DAB-9F52-4D1E-BCAC-AA6D4EDD897E}" type="presOf" srcId="{F894B1E2-074A-418A-80B5-7D77276CA059}" destId="{C13BBB1F-7121-48A6-A2DA-6F3EC958E430}" srcOrd="1" destOrd="0" presId="urn:microsoft.com/office/officeart/2005/8/layout/hierarchy2"/>
    <dgm:cxn modelId="{01ABEB77-C356-4DA9-82D1-2EF32993E46E}" srcId="{FA78330F-AB8C-4F35-BFCF-5E24F42E9898}" destId="{897BF35F-E098-470B-8C65-97221DF4C703}" srcOrd="0" destOrd="0" parTransId="{5F69D8F1-E5A5-4B42-8533-1F6F2541983C}" sibTransId="{C12BB80A-5CD1-43B5-8103-95D6D6702D98}"/>
    <dgm:cxn modelId="{CDE95403-6EED-42F8-9CFD-6AD92CDB243D}" type="presOf" srcId="{34ED9A8A-6561-4FB1-8363-A217D46FCADC}" destId="{3A5AE4AD-C1B6-498A-AE7C-BAE748ABFD54}" srcOrd="0" destOrd="0" presId="urn:microsoft.com/office/officeart/2005/8/layout/hierarchy2"/>
    <dgm:cxn modelId="{810540DB-091A-4847-911B-67BB82A3779C}" type="presOf" srcId="{63A88CA9-B643-44E1-A139-CA43F275F9BE}" destId="{F26145B0-48B8-4F61-A0CF-857AB694BE4A}" srcOrd="1" destOrd="0" presId="urn:microsoft.com/office/officeart/2005/8/layout/hierarchy2"/>
    <dgm:cxn modelId="{1D0182E3-46E4-46D8-9188-96691D5941C9}" type="presOf" srcId="{7D57E214-3E89-49F5-A27B-82A559D42ABD}" destId="{2EEECF7A-4239-4287-BADA-E5E4E94A2F91}" srcOrd="1" destOrd="0" presId="urn:microsoft.com/office/officeart/2005/8/layout/hierarchy2"/>
    <dgm:cxn modelId="{4E1B8284-9871-4FDB-A3D5-5441CB331ABF}" type="presOf" srcId="{7A614B73-5C40-4AC6-BD12-B6C969AFB977}" destId="{E5CD9143-BDA0-4E85-8BB0-589310756603}" srcOrd="0" destOrd="0" presId="urn:microsoft.com/office/officeart/2005/8/layout/hierarchy2"/>
    <dgm:cxn modelId="{27B83A70-56D8-48DE-8FD9-A04EE78F3BE6}" type="presOf" srcId="{A143FCA3-861B-4AC5-A882-414684A5C863}" destId="{14199023-2042-4801-AC0A-576F2A4B74AB}" srcOrd="0" destOrd="0" presId="urn:microsoft.com/office/officeart/2005/8/layout/hierarchy2"/>
    <dgm:cxn modelId="{B43437EC-9B66-4C5F-8942-3243194991E7}" type="presOf" srcId="{FCE815C5-D18E-435A-BD2B-E1F161D727E4}" destId="{AAF68882-4B60-4ACF-9BCA-5281E1B9C05E}" srcOrd="0" destOrd="0" presId="urn:microsoft.com/office/officeart/2005/8/layout/hierarchy2"/>
    <dgm:cxn modelId="{1E7879F6-7979-41A9-AE9F-47C66792B12B}" type="presOf" srcId="{FA78330F-AB8C-4F35-BFCF-5E24F42E9898}" destId="{F9C46582-6052-4102-85FD-9518D800748D}" srcOrd="0" destOrd="0" presId="urn:microsoft.com/office/officeart/2005/8/layout/hierarchy2"/>
    <dgm:cxn modelId="{3F54F57B-69B7-41A9-BFC8-9B9C95567D8B}" srcId="{CDA87C97-652F-412D-BC8E-86DF641B437D}" destId="{5F8ABF5B-0772-432E-9D9C-EBFFBEF2E937}" srcOrd="0" destOrd="0" parTransId="{D93C850D-7D78-4A12-915A-9F56074BB74C}" sibTransId="{A6AE55D5-7FFA-4740-869C-2D30453FBB3B}"/>
    <dgm:cxn modelId="{833FCA1E-FA12-4522-8FBD-9C9E6D83C14D}" srcId="{5CB3E75B-6B16-41A0-ACF4-83F3D1431765}" destId="{B0B834A7-3905-4F92-9BA7-7AAF9895B6D4}" srcOrd="0" destOrd="0" parTransId="{9FF72F19-ED3E-4E58-8F02-58F1927D143B}" sibTransId="{74F810DD-D182-418C-8187-0B5277B7B36F}"/>
    <dgm:cxn modelId="{E93A8294-4925-482A-A4EC-8A81338F38D2}" type="presOf" srcId="{B46D3D8D-3ACF-466A-BB0B-C64C0B34ED44}" destId="{01AD7C79-5B9B-4976-9E20-EF110A64DCBF}" srcOrd="0" destOrd="0" presId="urn:microsoft.com/office/officeart/2005/8/layout/hierarchy2"/>
    <dgm:cxn modelId="{15858543-2F0A-4181-A789-BD60BF92B0F3}" type="presOf" srcId="{6146E3B1-3246-4B2A-A6BB-E099FDD6EB9C}" destId="{BB3B3672-94B0-4923-B362-D3C8B3CAA888}" srcOrd="0" destOrd="0" presId="urn:microsoft.com/office/officeart/2005/8/layout/hierarchy2"/>
    <dgm:cxn modelId="{13B0E8DC-80A2-4D2C-9364-EB5C6015D034}" type="presOf" srcId="{897BF35F-E098-470B-8C65-97221DF4C703}" destId="{0DFF70AC-409D-437C-89F7-A2740CBE5343}" srcOrd="0" destOrd="0" presId="urn:microsoft.com/office/officeart/2005/8/layout/hierarchy2"/>
    <dgm:cxn modelId="{0DBB5952-F78E-4B7B-B710-85DBCCE69007}" type="presOf" srcId="{63A88CA9-B643-44E1-A139-CA43F275F9BE}" destId="{553A6445-4C07-46A1-8944-BA833A9E6766}" srcOrd="0" destOrd="0" presId="urn:microsoft.com/office/officeart/2005/8/layout/hierarchy2"/>
    <dgm:cxn modelId="{5E6FE02A-25E9-464E-AEDB-76CF27A46AC0}" srcId="{E485855D-2F77-463F-8696-79B1C2423B88}" destId="{9A0D7B31-10A8-463E-937F-E13904A87FEE}" srcOrd="0" destOrd="0" parTransId="{DFFC80FE-8CE6-4D31-AFC7-21DED63FC0BD}" sibTransId="{7548CC88-98C3-4851-8878-7638723E2975}"/>
    <dgm:cxn modelId="{A3253391-FF5C-4110-B3F1-996FD4FBE597}" srcId="{7A614B73-5C40-4AC6-BD12-B6C969AFB977}" destId="{D0AEC066-F128-41AC-8510-ADF068F5DE87}" srcOrd="5" destOrd="0" parTransId="{A143FCA3-861B-4AC5-A882-414684A5C863}" sibTransId="{2587999A-0714-41AE-84C0-294B070CEB4F}"/>
    <dgm:cxn modelId="{BC78D2EB-DFC4-41C9-B603-EB69A5C1D706}" srcId="{7A614B73-5C40-4AC6-BD12-B6C969AFB977}" destId="{FA78330F-AB8C-4F35-BFCF-5E24F42E9898}" srcOrd="3" destOrd="0" parTransId="{88AB0BCB-9B38-4B1F-807C-2A0E28C165F3}" sibTransId="{5DD635E4-5326-4F9F-8E3B-877673D3D5F8}"/>
    <dgm:cxn modelId="{373F00AB-0B0B-4BA8-8C42-493A8006CDC2}" srcId="{2A2AD1C8-4DE5-4D56-A12F-64D7DC2B1273}" destId="{44816AC2-6026-425C-9F35-882D4B6BA39C}" srcOrd="0" destOrd="0" parTransId="{85BE70C2-0A7C-416C-B80A-B4E8E29E5671}" sibTransId="{1FBCA0AF-6376-4D56-9243-2CAE6A6E9646}"/>
    <dgm:cxn modelId="{7F21B9CD-3F1A-4D65-8233-EBB72B3CDEC6}" type="presOf" srcId="{479B3868-0A95-4153-933A-4FCDAE6E5B1F}" destId="{D6394156-4652-4AB8-BFAE-F5416242F698}" srcOrd="1" destOrd="0" presId="urn:microsoft.com/office/officeart/2005/8/layout/hierarchy2"/>
    <dgm:cxn modelId="{7C10E408-8BE4-4133-9854-70C0DE6E4714}" type="presOf" srcId="{5F8ABF5B-0772-432E-9D9C-EBFFBEF2E937}" destId="{EAE040E1-0C84-4555-9E2C-E2348656D9DB}" srcOrd="0" destOrd="0" presId="urn:microsoft.com/office/officeart/2005/8/layout/hierarchy2"/>
    <dgm:cxn modelId="{EEC5C46E-1D92-47DA-A293-8EEF2DF39D22}" type="presOf" srcId="{FE4EB8CE-021A-4F61-A2A1-5482BA12ABD4}" destId="{8639C9D9-798C-422F-9E59-BD5E540A31C9}" srcOrd="1" destOrd="0" presId="urn:microsoft.com/office/officeart/2005/8/layout/hierarchy2"/>
    <dgm:cxn modelId="{DFEBB105-F162-40B8-AECC-C801053DA5CD}" type="presOf" srcId="{248E72CB-ED78-4D37-B5EA-BB87ED33ED7D}" destId="{B06B532F-8969-42D6-8A56-F59D27145916}" srcOrd="0" destOrd="0" presId="urn:microsoft.com/office/officeart/2005/8/layout/hierarchy2"/>
    <dgm:cxn modelId="{5A4FF7AF-319E-4EC3-A4C9-66F465CBBB13}" type="presOf" srcId="{08B8E453-238A-441F-82DB-485A15E8D129}" destId="{B5946233-0D26-4621-8182-583CCE9F66F4}" srcOrd="1" destOrd="0" presId="urn:microsoft.com/office/officeart/2005/8/layout/hierarchy2"/>
    <dgm:cxn modelId="{FD757136-FB78-4A56-A9C2-815CB177E37C}" type="presOf" srcId="{8CF49386-612D-4188-8925-5C7DBDA04B32}" destId="{A008274B-8819-4B1F-8527-415FC9B1573D}" srcOrd="0" destOrd="0" presId="urn:microsoft.com/office/officeart/2005/8/layout/hierarchy2"/>
    <dgm:cxn modelId="{E6DD886F-D853-4388-ABD7-E001122E32B4}" type="presOf" srcId="{A143FCA3-861B-4AC5-A882-414684A5C863}" destId="{392CD15A-46DD-454D-A78D-48409D119541}" srcOrd="1" destOrd="0" presId="urn:microsoft.com/office/officeart/2005/8/layout/hierarchy2"/>
    <dgm:cxn modelId="{2248A681-57B8-428E-B191-02883399E9EB}" type="presOf" srcId="{228BD240-FD24-48CF-9BD2-F13A53343C1E}" destId="{38BD3B21-9B36-42E4-902C-2E2BFC04B4A0}" srcOrd="0" destOrd="0" presId="urn:microsoft.com/office/officeart/2005/8/layout/hierarchy2"/>
    <dgm:cxn modelId="{13FBAD9F-5E5D-43D8-A7BA-FCAEF8D75D22}" type="presOf" srcId="{5CB3E75B-6B16-41A0-ACF4-83F3D1431765}" destId="{989486B0-A81F-4D4A-8B9E-2DE0A23310EB}" srcOrd="0" destOrd="0" presId="urn:microsoft.com/office/officeart/2005/8/layout/hierarchy2"/>
    <dgm:cxn modelId="{20F3E495-0F28-4EDC-9CA3-A7562D3077EE}" type="presOf" srcId="{2A2AD1C8-4DE5-4D56-A12F-64D7DC2B1273}" destId="{D50EC4FB-4514-43B2-BBA8-11716ABB7C2E}" srcOrd="0" destOrd="0" presId="urn:microsoft.com/office/officeart/2005/8/layout/hierarchy2"/>
    <dgm:cxn modelId="{B436685F-6B3C-4D5C-B132-655C2B112351}" type="presOf" srcId="{F106BE7E-EB7B-4CDC-84EC-537F08EEBB76}" destId="{985F063E-9DAE-4EB8-9218-95F170B7F559}" srcOrd="1" destOrd="0" presId="urn:microsoft.com/office/officeart/2005/8/layout/hierarchy2"/>
    <dgm:cxn modelId="{6C89D338-9E44-46F1-A1C0-0264043424B3}" type="presOf" srcId="{08B8E453-238A-441F-82DB-485A15E8D129}" destId="{CEDD12E0-8D29-4563-A7E6-C87464DA4415}" srcOrd="0" destOrd="0" presId="urn:microsoft.com/office/officeart/2005/8/layout/hierarchy2"/>
    <dgm:cxn modelId="{EFDCEDF9-112E-454A-B4B5-92C3EE542E44}" type="presOf" srcId="{5334419E-60FC-4E77-90E7-648D7A311593}" destId="{D64F7A9C-9A6E-4B76-81D0-B20DC51055FE}" srcOrd="1" destOrd="0" presId="urn:microsoft.com/office/officeart/2005/8/layout/hierarchy2"/>
    <dgm:cxn modelId="{54160C40-83A0-4D2D-98B6-6FAE1E90817E}" type="presParOf" srcId="{D50EC4FB-4514-43B2-BBA8-11716ABB7C2E}" destId="{5F9FC706-14EC-46CB-ABE2-C37246BBE554}" srcOrd="0" destOrd="0" presId="urn:microsoft.com/office/officeart/2005/8/layout/hierarchy2"/>
    <dgm:cxn modelId="{6F2FC87D-2435-436C-A886-D4BE73D752FD}" type="presParOf" srcId="{5F9FC706-14EC-46CB-ABE2-C37246BBE554}" destId="{C852C0F5-016C-4036-9C8E-8FEF9E087CAA}" srcOrd="0" destOrd="0" presId="urn:microsoft.com/office/officeart/2005/8/layout/hierarchy2"/>
    <dgm:cxn modelId="{F4C0C100-FA23-41C2-89CD-45C1F859C415}" type="presParOf" srcId="{5F9FC706-14EC-46CB-ABE2-C37246BBE554}" destId="{AB4D0A82-4641-4D8D-82B8-D762D6824BE0}" srcOrd="1" destOrd="0" presId="urn:microsoft.com/office/officeart/2005/8/layout/hierarchy2"/>
    <dgm:cxn modelId="{1AF96939-0E80-4108-BFAA-E6D8D2D3ED45}" type="presParOf" srcId="{AB4D0A82-4641-4D8D-82B8-D762D6824BE0}" destId="{AC504C64-792E-4E1B-BDF5-A16CD384AF5F}" srcOrd="0" destOrd="0" presId="urn:microsoft.com/office/officeart/2005/8/layout/hierarchy2"/>
    <dgm:cxn modelId="{E0372D6E-5C90-4C50-8670-7A2CAB411032}" type="presParOf" srcId="{AC504C64-792E-4E1B-BDF5-A16CD384AF5F}" destId="{642ACAD2-0C0C-41D3-87BF-690E3BB8D6C2}" srcOrd="0" destOrd="0" presId="urn:microsoft.com/office/officeart/2005/8/layout/hierarchy2"/>
    <dgm:cxn modelId="{92539CF5-8625-49DF-8DE4-1B9025835BE1}" type="presParOf" srcId="{AB4D0A82-4641-4D8D-82B8-D762D6824BE0}" destId="{78C1EB75-725C-42DE-9B7C-11BE57DDD006}" srcOrd="1" destOrd="0" presId="urn:microsoft.com/office/officeart/2005/8/layout/hierarchy2"/>
    <dgm:cxn modelId="{D8A20EEF-364E-4E10-A443-AE478867957E}" type="presParOf" srcId="{78C1EB75-725C-42DE-9B7C-11BE57DDD006}" destId="{E5CD9143-BDA0-4E85-8BB0-589310756603}" srcOrd="0" destOrd="0" presId="urn:microsoft.com/office/officeart/2005/8/layout/hierarchy2"/>
    <dgm:cxn modelId="{5F45815F-6AE2-486A-85FF-90D15011A906}" type="presParOf" srcId="{78C1EB75-725C-42DE-9B7C-11BE57DDD006}" destId="{7A5C6EB3-EE2C-4EDB-BB7B-3FF8A8680572}" srcOrd="1" destOrd="0" presId="urn:microsoft.com/office/officeart/2005/8/layout/hierarchy2"/>
    <dgm:cxn modelId="{DA4C2D8D-2837-4011-9881-9AC34D27D1FA}" type="presParOf" srcId="{7A5C6EB3-EE2C-4EDB-BB7B-3FF8A8680572}" destId="{553A6445-4C07-46A1-8944-BA833A9E6766}" srcOrd="0" destOrd="0" presId="urn:microsoft.com/office/officeart/2005/8/layout/hierarchy2"/>
    <dgm:cxn modelId="{47ECB6EB-6DAB-4465-B56A-73FC4ECEA8DF}" type="presParOf" srcId="{553A6445-4C07-46A1-8944-BA833A9E6766}" destId="{F26145B0-48B8-4F61-A0CF-857AB694BE4A}" srcOrd="0" destOrd="0" presId="urn:microsoft.com/office/officeart/2005/8/layout/hierarchy2"/>
    <dgm:cxn modelId="{8D06A2FE-A6E0-4CC2-9A10-5B3367E17A9F}" type="presParOf" srcId="{7A5C6EB3-EE2C-4EDB-BB7B-3FF8A8680572}" destId="{E7AA1E2C-BB0A-494D-9C6E-097FBAD80733}" srcOrd="1" destOrd="0" presId="urn:microsoft.com/office/officeart/2005/8/layout/hierarchy2"/>
    <dgm:cxn modelId="{BA572A9B-D9EA-482C-89B7-620F54B8B28D}" type="presParOf" srcId="{E7AA1E2C-BB0A-494D-9C6E-097FBAD80733}" destId="{3A5AE4AD-C1B6-498A-AE7C-BAE748ABFD54}" srcOrd="0" destOrd="0" presId="urn:microsoft.com/office/officeart/2005/8/layout/hierarchy2"/>
    <dgm:cxn modelId="{F8BCCB57-ECE0-4559-8470-CB46C5A4FBD4}" type="presParOf" srcId="{E7AA1E2C-BB0A-494D-9C6E-097FBAD80733}" destId="{7851C597-FD32-4C79-8BFC-19D2332EAC03}" srcOrd="1" destOrd="0" presId="urn:microsoft.com/office/officeart/2005/8/layout/hierarchy2"/>
    <dgm:cxn modelId="{A075A8CC-5EC3-4B32-A3AC-80B4AE21B0C1}" type="presParOf" srcId="{7851C597-FD32-4C79-8BFC-19D2332EAC03}" destId="{B06B532F-8969-42D6-8A56-F59D27145916}" srcOrd="0" destOrd="0" presId="urn:microsoft.com/office/officeart/2005/8/layout/hierarchy2"/>
    <dgm:cxn modelId="{24BE1D52-64C4-4E22-A949-4DD907FD041E}" type="presParOf" srcId="{B06B532F-8969-42D6-8A56-F59D27145916}" destId="{BE524EFB-89C8-47B7-91B6-0613B76F151D}" srcOrd="0" destOrd="0" presId="urn:microsoft.com/office/officeart/2005/8/layout/hierarchy2"/>
    <dgm:cxn modelId="{FA77DD91-7D50-4063-AC4F-CB33544E07CA}" type="presParOf" srcId="{7851C597-FD32-4C79-8BFC-19D2332EAC03}" destId="{E1EE34BD-7C0A-44C3-B2CC-D98FF905A9AD}" srcOrd="1" destOrd="0" presId="urn:microsoft.com/office/officeart/2005/8/layout/hierarchy2"/>
    <dgm:cxn modelId="{E450A292-B9F3-4B59-BE90-D4B9F02D0C95}" type="presParOf" srcId="{E1EE34BD-7C0A-44C3-B2CC-D98FF905A9AD}" destId="{A6BBF191-9995-4673-8726-F82C88F19B54}" srcOrd="0" destOrd="0" presId="urn:microsoft.com/office/officeart/2005/8/layout/hierarchy2"/>
    <dgm:cxn modelId="{C282A179-C8C5-42F4-89C1-53328AF3F1C5}" type="presParOf" srcId="{E1EE34BD-7C0A-44C3-B2CC-D98FF905A9AD}" destId="{2547F89A-4DDF-4454-85D7-EB9E64E5CB78}" srcOrd="1" destOrd="0" presId="urn:microsoft.com/office/officeart/2005/8/layout/hierarchy2"/>
    <dgm:cxn modelId="{E0E7602F-8634-47BC-BA92-9248C0325728}" type="presParOf" srcId="{7A5C6EB3-EE2C-4EDB-BB7B-3FF8A8680572}" destId="{B3677306-3067-404F-B003-A6A8BD39CD50}" srcOrd="2" destOrd="0" presId="urn:microsoft.com/office/officeart/2005/8/layout/hierarchy2"/>
    <dgm:cxn modelId="{8A4C7B86-E230-42B2-B958-114BB34B260B}" type="presParOf" srcId="{B3677306-3067-404F-B003-A6A8BD39CD50}" destId="{D64F7A9C-9A6E-4B76-81D0-B20DC51055FE}" srcOrd="0" destOrd="0" presId="urn:microsoft.com/office/officeart/2005/8/layout/hierarchy2"/>
    <dgm:cxn modelId="{812FCBA4-0076-4882-A531-A9012FCC4ED3}" type="presParOf" srcId="{7A5C6EB3-EE2C-4EDB-BB7B-3FF8A8680572}" destId="{389E9279-E8EF-4295-B578-58BE9B2F0780}" srcOrd="3" destOrd="0" presId="urn:microsoft.com/office/officeart/2005/8/layout/hierarchy2"/>
    <dgm:cxn modelId="{1F68A946-9E98-42B9-A45E-A18A227AC689}" type="presParOf" srcId="{389E9279-E8EF-4295-B578-58BE9B2F0780}" destId="{4EC3A0EF-AFE4-41BE-A202-3C67E270738F}" srcOrd="0" destOrd="0" presId="urn:microsoft.com/office/officeart/2005/8/layout/hierarchy2"/>
    <dgm:cxn modelId="{52C6496C-7C26-43EA-AC1C-BA16C8D0489B}" type="presParOf" srcId="{389E9279-E8EF-4295-B578-58BE9B2F0780}" destId="{4B0D67F2-99A9-488A-9592-986D4CAE09B6}" srcOrd="1" destOrd="0" presId="urn:microsoft.com/office/officeart/2005/8/layout/hierarchy2"/>
    <dgm:cxn modelId="{92D976C4-58DD-4ED5-913C-42935C741C0C}" type="presParOf" srcId="{4B0D67F2-99A9-488A-9592-986D4CAE09B6}" destId="{9D6B8360-78B0-441F-8CA0-E0E725095AB8}" srcOrd="0" destOrd="0" presId="urn:microsoft.com/office/officeart/2005/8/layout/hierarchy2"/>
    <dgm:cxn modelId="{6BF35380-B1FC-4544-B9D0-9BE014F3AACF}" type="presParOf" srcId="{9D6B8360-78B0-441F-8CA0-E0E725095AB8}" destId="{F09D1188-EC90-42DA-B4D5-4790C9E437E8}" srcOrd="0" destOrd="0" presId="urn:microsoft.com/office/officeart/2005/8/layout/hierarchy2"/>
    <dgm:cxn modelId="{4F2CC515-4AB6-48C6-822E-2F0D1C667D1F}" type="presParOf" srcId="{4B0D67F2-99A9-488A-9592-986D4CAE09B6}" destId="{EF2DABA7-6879-42E0-B08B-73B817CC3574}" srcOrd="1" destOrd="0" presId="urn:microsoft.com/office/officeart/2005/8/layout/hierarchy2"/>
    <dgm:cxn modelId="{42941173-400F-4493-BAB4-2694E4410AED}" type="presParOf" srcId="{EF2DABA7-6879-42E0-B08B-73B817CC3574}" destId="{EAE040E1-0C84-4555-9E2C-E2348656D9DB}" srcOrd="0" destOrd="0" presId="urn:microsoft.com/office/officeart/2005/8/layout/hierarchy2"/>
    <dgm:cxn modelId="{C476D2B9-95D5-4EB1-BDC5-1AD361F17E08}" type="presParOf" srcId="{EF2DABA7-6879-42E0-B08B-73B817CC3574}" destId="{F09B09F4-0DD8-4FD2-96F3-0FDD4C0F0DFE}" srcOrd="1" destOrd="0" presId="urn:microsoft.com/office/officeart/2005/8/layout/hierarchy2"/>
    <dgm:cxn modelId="{93FAD94B-28C8-4DA4-BAB2-D19AFC55CC78}" type="presParOf" srcId="{7A5C6EB3-EE2C-4EDB-BB7B-3FF8A8680572}" destId="{02369F28-EA80-4F20-8A8E-B00DF1979D88}" srcOrd="4" destOrd="0" presId="urn:microsoft.com/office/officeart/2005/8/layout/hierarchy2"/>
    <dgm:cxn modelId="{FD2652D6-760C-4F3A-8336-74027EBC3F14}" type="presParOf" srcId="{02369F28-EA80-4F20-8A8E-B00DF1979D88}" destId="{2EEECF7A-4239-4287-BADA-E5E4E94A2F91}" srcOrd="0" destOrd="0" presId="urn:microsoft.com/office/officeart/2005/8/layout/hierarchy2"/>
    <dgm:cxn modelId="{C029DE40-4973-4A95-A10B-807A5CD3EEE9}" type="presParOf" srcId="{7A5C6EB3-EE2C-4EDB-BB7B-3FF8A8680572}" destId="{7128A026-FC7A-4D81-9923-597CC797EEC4}" srcOrd="5" destOrd="0" presId="urn:microsoft.com/office/officeart/2005/8/layout/hierarchy2"/>
    <dgm:cxn modelId="{8E6AD1D5-DDAF-47A5-B3A4-FBFCDFCCE67F}" type="presParOf" srcId="{7128A026-FC7A-4D81-9923-597CC797EEC4}" destId="{6D8617E7-4859-460C-85AE-EB5068CD5BFC}" srcOrd="0" destOrd="0" presId="urn:microsoft.com/office/officeart/2005/8/layout/hierarchy2"/>
    <dgm:cxn modelId="{73CEC691-367D-4E44-98E1-1D7B913214B7}" type="presParOf" srcId="{7128A026-FC7A-4D81-9923-597CC797EEC4}" destId="{3CAC36F8-FA76-4B51-9C59-82084951FE4C}" srcOrd="1" destOrd="0" presId="urn:microsoft.com/office/officeart/2005/8/layout/hierarchy2"/>
    <dgm:cxn modelId="{91460BB9-92D1-41E0-BC36-6DB52E21276B}" type="presParOf" srcId="{3CAC36F8-FA76-4B51-9C59-82084951FE4C}" destId="{74D85A5E-3DB9-49AB-B734-799C48DB509E}" srcOrd="0" destOrd="0" presId="urn:microsoft.com/office/officeart/2005/8/layout/hierarchy2"/>
    <dgm:cxn modelId="{D1DF86AC-D34F-462D-A786-7C4F00E58043}" type="presParOf" srcId="{74D85A5E-3DB9-49AB-B734-799C48DB509E}" destId="{B3D7352F-9695-4962-A423-8278418928F7}" srcOrd="0" destOrd="0" presId="urn:microsoft.com/office/officeart/2005/8/layout/hierarchy2"/>
    <dgm:cxn modelId="{59380A32-73A0-4795-9FAA-CD85FE981DFF}" type="presParOf" srcId="{3CAC36F8-FA76-4B51-9C59-82084951FE4C}" destId="{66040869-8C86-47E4-83DE-4207397614EA}" srcOrd="1" destOrd="0" presId="urn:microsoft.com/office/officeart/2005/8/layout/hierarchy2"/>
    <dgm:cxn modelId="{96A6B961-E9E8-421B-BABE-E7D47D45C939}" type="presParOf" srcId="{66040869-8C86-47E4-83DE-4207397614EA}" destId="{A008274B-8819-4B1F-8527-415FC9B1573D}" srcOrd="0" destOrd="0" presId="urn:microsoft.com/office/officeart/2005/8/layout/hierarchy2"/>
    <dgm:cxn modelId="{9F8644ED-8F68-43DD-A7F0-DBAB776B1EBF}" type="presParOf" srcId="{66040869-8C86-47E4-83DE-4207397614EA}" destId="{C63C3452-E496-4755-A42A-CBE893E43CA1}" srcOrd="1" destOrd="0" presId="urn:microsoft.com/office/officeart/2005/8/layout/hierarchy2"/>
    <dgm:cxn modelId="{6EE9B1FD-E8A4-40AE-9DCC-F80AE12833D0}" type="presParOf" srcId="{7A5C6EB3-EE2C-4EDB-BB7B-3FF8A8680572}" destId="{446B30B4-095C-4890-BBDA-8C23B7967814}" srcOrd="6" destOrd="0" presId="urn:microsoft.com/office/officeart/2005/8/layout/hierarchy2"/>
    <dgm:cxn modelId="{A0666214-9310-4769-91C0-1EA83E64D967}" type="presParOf" srcId="{446B30B4-095C-4890-BBDA-8C23B7967814}" destId="{48EEAC4D-2AC7-4A83-A9B4-6C4A462A333B}" srcOrd="0" destOrd="0" presId="urn:microsoft.com/office/officeart/2005/8/layout/hierarchy2"/>
    <dgm:cxn modelId="{40C9DCC8-2F0A-42A5-81B6-878F251327C0}" type="presParOf" srcId="{7A5C6EB3-EE2C-4EDB-BB7B-3FF8A8680572}" destId="{8FCFB345-483F-49C3-8EAD-9B49D682BC60}" srcOrd="7" destOrd="0" presId="urn:microsoft.com/office/officeart/2005/8/layout/hierarchy2"/>
    <dgm:cxn modelId="{9CCE8EDB-6920-4772-94DE-5E46885FA27A}" type="presParOf" srcId="{8FCFB345-483F-49C3-8EAD-9B49D682BC60}" destId="{F9C46582-6052-4102-85FD-9518D800748D}" srcOrd="0" destOrd="0" presId="urn:microsoft.com/office/officeart/2005/8/layout/hierarchy2"/>
    <dgm:cxn modelId="{4368A7E9-782D-49AC-A5D8-494E12CF76D5}" type="presParOf" srcId="{8FCFB345-483F-49C3-8EAD-9B49D682BC60}" destId="{1FEE6E1F-1670-45DC-B01B-C006E24D8401}" srcOrd="1" destOrd="0" presId="urn:microsoft.com/office/officeart/2005/8/layout/hierarchy2"/>
    <dgm:cxn modelId="{32431208-E490-4DDF-80DC-6212FA7E3B6F}" type="presParOf" srcId="{1FEE6E1F-1670-45DC-B01B-C006E24D8401}" destId="{A7B49BC9-D4A0-401C-8A97-8F23391994CE}" srcOrd="0" destOrd="0" presId="urn:microsoft.com/office/officeart/2005/8/layout/hierarchy2"/>
    <dgm:cxn modelId="{37B429B9-CD8D-41E7-869D-9B9B18502461}" type="presParOf" srcId="{A7B49BC9-D4A0-401C-8A97-8F23391994CE}" destId="{67988220-A3F4-4EF5-B218-576D95205F7F}" srcOrd="0" destOrd="0" presId="urn:microsoft.com/office/officeart/2005/8/layout/hierarchy2"/>
    <dgm:cxn modelId="{E9BF34D2-40EE-496C-9D50-9A1C651AA43C}" type="presParOf" srcId="{1FEE6E1F-1670-45DC-B01B-C006E24D8401}" destId="{31C1775C-03F0-4EE0-BFD1-7398C4B93E19}" srcOrd="1" destOrd="0" presId="urn:microsoft.com/office/officeart/2005/8/layout/hierarchy2"/>
    <dgm:cxn modelId="{4B0183A0-9FD2-4A03-832A-D767C9AD7C4B}" type="presParOf" srcId="{31C1775C-03F0-4EE0-BFD1-7398C4B93E19}" destId="{0DFF70AC-409D-437C-89F7-A2740CBE5343}" srcOrd="0" destOrd="0" presId="urn:microsoft.com/office/officeart/2005/8/layout/hierarchy2"/>
    <dgm:cxn modelId="{B4482864-9F07-4C0A-BBBA-428B88BAC494}" type="presParOf" srcId="{31C1775C-03F0-4EE0-BFD1-7398C4B93E19}" destId="{B8F5B81B-5482-4038-A5EB-7C967C239368}" srcOrd="1" destOrd="0" presId="urn:microsoft.com/office/officeart/2005/8/layout/hierarchy2"/>
    <dgm:cxn modelId="{B82761CA-E4E7-40EE-BD3D-4970C8769A03}" type="presParOf" srcId="{7A5C6EB3-EE2C-4EDB-BB7B-3FF8A8680572}" destId="{88097B2E-4643-4782-97DD-396397E240C3}" srcOrd="8" destOrd="0" presId="urn:microsoft.com/office/officeart/2005/8/layout/hierarchy2"/>
    <dgm:cxn modelId="{500E379F-9D56-47F3-B7E5-CF0D91F8E711}" type="presParOf" srcId="{88097B2E-4643-4782-97DD-396397E240C3}" destId="{D6394156-4652-4AB8-BFAE-F5416242F698}" srcOrd="0" destOrd="0" presId="urn:microsoft.com/office/officeart/2005/8/layout/hierarchy2"/>
    <dgm:cxn modelId="{0073341E-AB00-4D95-B424-482F8BC784B2}" type="presParOf" srcId="{7A5C6EB3-EE2C-4EDB-BB7B-3FF8A8680572}" destId="{A23DA1F2-B2DB-4F32-9DBB-1076B46A16B7}" srcOrd="9" destOrd="0" presId="urn:microsoft.com/office/officeart/2005/8/layout/hierarchy2"/>
    <dgm:cxn modelId="{D2A6A3B5-B135-4FBC-9442-3ABF946B0F16}" type="presParOf" srcId="{A23DA1F2-B2DB-4F32-9DBB-1076B46A16B7}" destId="{BF5206FE-E3C6-4883-8B72-25C43AF6E90B}" srcOrd="0" destOrd="0" presId="urn:microsoft.com/office/officeart/2005/8/layout/hierarchy2"/>
    <dgm:cxn modelId="{641D8DFD-3E56-4EF4-A422-525DB2D3E908}" type="presParOf" srcId="{A23DA1F2-B2DB-4F32-9DBB-1076B46A16B7}" destId="{9DA80592-F9FC-48B0-8A4E-B51EE27BBCA6}" srcOrd="1" destOrd="0" presId="urn:microsoft.com/office/officeart/2005/8/layout/hierarchy2"/>
    <dgm:cxn modelId="{FF719C79-690E-4737-AE8D-065A55C7D1CB}" type="presParOf" srcId="{9DA80592-F9FC-48B0-8A4E-B51EE27BBCA6}" destId="{92953001-902D-4451-B840-0A760B968D69}" srcOrd="0" destOrd="0" presId="urn:microsoft.com/office/officeart/2005/8/layout/hierarchy2"/>
    <dgm:cxn modelId="{71BAE164-B0BC-451B-A5C7-A52ED1E1365F}" type="presParOf" srcId="{92953001-902D-4451-B840-0A760B968D69}" destId="{C13BBB1F-7121-48A6-A2DA-6F3EC958E430}" srcOrd="0" destOrd="0" presId="urn:microsoft.com/office/officeart/2005/8/layout/hierarchy2"/>
    <dgm:cxn modelId="{51EA132D-F842-4013-AADA-A88CA83111E1}" type="presParOf" srcId="{9DA80592-F9FC-48B0-8A4E-B51EE27BBCA6}" destId="{3885BE01-1BA2-44B8-ABCC-4292C830F3F7}" srcOrd="1" destOrd="0" presId="urn:microsoft.com/office/officeart/2005/8/layout/hierarchy2"/>
    <dgm:cxn modelId="{1FCB949D-C0E7-4C0F-B4D3-A2F8645DA769}" type="presParOf" srcId="{3885BE01-1BA2-44B8-ABCC-4292C830F3F7}" destId="{C7929A37-87A7-4417-BCCA-56721FD8FCC2}" srcOrd="0" destOrd="0" presId="urn:microsoft.com/office/officeart/2005/8/layout/hierarchy2"/>
    <dgm:cxn modelId="{42B0E6C9-7709-453B-AC41-B2CCCB51FB13}" type="presParOf" srcId="{3885BE01-1BA2-44B8-ABCC-4292C830F3F7}" destId="{57FA1837-5EC4-495C-A236-D102A0A40A49}" srcOrd="1" destOrd="0" presId="urn:microsoft.com/office/officeart/2005/8/layout/hierarchy2"/>
    <dgm:cxn modelId="{576394F4-42B9-4EA1-8152-291FBD5FA254}" type="presParOf" srcId="{7A5C6EB3-EE2C-4EDB-BB7B-3FF8A8680572}" destId="{14199023-2042-4801-AC0A-576F2A4B74AB}" srcOrd="10" destOrd="0" presId="urn:microsoft.com/office/officeart/2005/8/layout/hierarchy2"/>
    <dgm:cxn modelId="{BAAA6292-85E8-4F3A-AE78-D387121B4037}" type="presParOf" srcId="{14199023-2042-4801-AC0A-576F2A4B74AB}" destId="{392CD15A-46DD-454D-A78D-48409D119541}" srcOrd="0" destOrd="0" presId="urn:microsoft.com/office/officeart/2005/8/layout/hierarchy2"/>
    <dgm:cxn modelId="{75041290-40C5-45D1-83E8-ADC4291428B8}" type="presParOf" srcId="{7A5C6EB3-EE2C-4EDB-BB7B-3FF8A8680572}" destId="{0CBA6F7C-5B69-4E36-A3BC-70F981B21511}" srcOrd="11" destOrd="0" presId="urn:microsoft.com/office/officeart/2005/8/layout/hierarchy2"/>
    <dgm:cxn modelId="{C008ED5C-8E65-403F-B7F1-87FEFDD247D7}" type="presParOf" srcId="{0CBA6F7C-5B69-4E36-A3BC-70F981B21511}" destId="{8E39CE72-A54A-40C1-866B-642AE744CED7}" srcOrd="0" destOrd="0" presId="urn:microsoft.com/office/officeart/2005/8/layout/hierarchy2"/>
    <dgm:cxn modelId="{E6C520A6-68DB-48DF-8FDD-165CD08B5CB2}" type="presParOf" srcId="{0CBA6F7C-5B69-4E36-A3BC-70F981B21511}" destId="{1DA229EE-3466-4C7F-A892-D75C5D8E6205}" srcOrd="1" destOrd="0" presId="urn:microsoft.com/office/officeart/2005/8/layout/hierarchy2"/>
    <dgm:cxn modelId="{40660934-98B5-45C4-975E-241CE9C95D38}" type="presParOf" srcId="{1DA229EE-3466-4C7F-A892-D75C5D8E6205}" destId="{BC0DE7FA-0497-4400-A7AA-A91DEE3AF204}" srcOrd="0" destOrd="0" presId="urn:microsoft.com/office/officeart/2005/8/layout/hierarchy2"/>
    <dgm:cxn modelId="{9212F775-2002-4C78-9901-83BA98D65535}" type="presParOf" srcId="{BC0DE7FA-0497-4400-A7AA-A91DEE3AF204}" destId="{985F063E-9DAE-4EB8-9218-95F170B7F559}" srcOrd="0" destOrd="0" presId="urn:microsoft.com/office/officeart/2005/8/layout/hierarchy2"/>
    <dgm:cxn modelId="{ADAFB5FD-8CD9-41D3-9A63-913FE96476D9}" type="presParOf" srcId="{1DA229EE-3466-4C7F-A892-D75C5D8E6205}" destId="{5FCE35D4-1491-4119-BB39-FF579B9E283B}" srcOrd="1" destOrd="0" presId="urn:microsoft.com/office/officeart/2005/8/layout/hierarchy2"/>
    <dgm:cxn modelId="{A8C4D8EF-2878-4AF1-ACEB-F5709D1EA878}" type="presParOf" srcId="{5FCE35D4-1491-4119-BB39-FF579B9E283B}" destId="{AAF68882-4B60-4ACF-9BCA-5281E1B9C05E}" srcOrd="0" destOrd="0" presId="urn:microsoft.com/office/officeart/2005/8/layout/hierarchy2"/>
    <dgm:cxn modelId="{CB893DF8-0BD2-4009-824C-7B7D0C799183}" type="presParOf" srcId="{5FCE35D4-1491-4119-BB39-FF579B9E283B}" destId="{C1A2765F-2A17-4346-89A5-D0380D3B6241}" srcOrd="1" destOrd="0" presId="urn:microsoft.com/office/officeart/2005/8/layout/hierarchy2"/>
    <dgm:cxn modelId="{CD860480-F49E-49F0-8766-98004E598BCB}" type="presParOf" srcId="{7A5C6EB3-EE2C-4EDB-BB7B-3FF8A8680572}" destId="{C656B832-B7DD-458E-BA28-13CE8CF9DC00}" srcOrd="12" destOrd="0" presId="urn:microsoft.com/office/officeart/2005/8/layout/hierarchy2"/>
    <dgm:cxn modelId="{3B0BEF1E-47F6-48CC-B640-9851DAC195B0}" type="presParOf" srcId="{C656B832-B7DD-458E-BA28-13CE8CF9DC00}" destId="{8639C9D9-798C-422F-9E59-BD5E540A31C9}" srcOrd="0" destOrd="0" presId="urn:microsoft.com/office/officeart/2005/8/layout/hierarchy2"/>
    <dgm:cxn modelId="{FE061C35-8FBD-4CCA-9868-4D729A68C1C5}" type="presParOf" srcId="{7A5C6EB3-EE2C-4EDB-BB7B-3FF8A8680572}" destId="{42F7E9BA-EB9D-4C60-83BA-3E73CA9360D6}" srcOrd="13" destOrd="0" presId="urn:microsoft.com/office/officeart/2005/8/layout/hierarchy2"/>
    <dgm:cxn modelId="{7BEC2E65-7130-4CCF-AF18-E2B047DD1A2A}" type="presParOf" srcId="{42F7E9BA-EB9D-4C60-83BA-3E73CA9360D6}" destId="{9DD42457-605E-415A-9D13-6BA7A02D505D}" srcOrd="0" destOrd="0" presId="urn:microsoft.com/office/officeart/2005/8/layout/hierarchy2"/>
    <dgm:cxn modelId="{DFB3FCD9-8C77-495C-98EE-DAB12F3FA91F}" type="presParOf" srcId="{42F7E9BA-EB9D-4C60-83BA-3E73CA9360D6}" destId="{E2B4F230-2458-4929-AF8D-13438DE2B6A4}" srcOrd="1" destOrd="0" presId="urn:microsoft.com/office/officeart/2005/8/layout/hierarchy2"/>
    <dgm:cxn modelId="{16E19A45-4E0A-48AA-9795-88403B6DC7A9}" type="presParOf" srcId="{E2B4F230-2458-4929-AF8D-13438DE2B6A4}" destId="{4B570DBA-9A82-436D-A4DE-36D76AE4D77F}" srcOrd="0" destOrd="0" presId="urn:microsoft.com/office/officeart/2005/8/layout/hierarchy2"/>
    <dgm:cxn modelId="{9B94381B-1E9C-4FE7-B163-9A8A1B6362D3}" type="presParOf" srcId="{4B570DBA-9A82-436D-A4DE-36D76AE4D77F}" destId="{1610A843-DDC5-4D67-B5BD-F6B36C76D322}" srcOrd="0" destOrd="0" presId="urn:microsoft.com/office/officeart/2005/8/layout/hierarchy2"/>
    <dgm:cxn modelId="{694EB788-1A6B-48C3-AEEB-A1B70BA7A8A0}" type="presParOf" srcId="{E2B4F230-2458-4929-AF8D-13438DE2B6A4}" destId="{7A7346F3-A815-4CA3-97F7-E684E5BEBBE9}" srcOrd="1" destOrd="0" presId="urn:microsoft.com/office/officeart/2005/8/layout/hierarchy2"/>
    <dgm:cxn modelId="{0FD861F2-7211-4909-9202-3F88D50EF920}" type="presParOf" srcId="{7A7346F3-A815-4CA3-97F7-E684E5BEBBE9}" destId="{C76199A6-F3FC-4853-91E1-FDD93617A833}" srcOrd="0" destOrd="0" presId="urn:microsoft.com/office/officeart/2005/8/layout/hierarchy2"/>
    <dgm:cxn modelId="{A0C7CB53-6AD2-4514-BAE5-F35DAD4F9F69}" type="presParOf" srcId="{7A7346F3-A815-4CA3-97F7-E684E5BEBBE9}" destId="{A1738A63-B3DC-4B6F-BAB2-BF5CA7EA4DBD}" srcOrd="1" destOrd="0" presId="urn:microsoft.com/office/officeart/2005/8/layout/hierarchy2"/>
    <dgm:cxn modelId="{B608021E-B6E7-4BFE-873F-ED7096467C61}" type="presParOf" srcId="{7A5C6EB3-EE2C-4EDB-BB7B-3FF8A8680572}" destId="{01AD7C79-5B9B-4976-9E20-EF110A64DCBF}" srcOrd="14" destOrd="0" presId="urn:microsoft.com/office/officeart/2005/8/layout/hierarchy2"/>
    <dgm:cxn modelId="{62747511-22EF-4D70-9F6A-2B140E50E8CE}" type="presParOf" srcId="{01AD7C79-5B9B-4976-9E20-EF110A64DCBF}" destId="{66228926-82E5-47F2-A2AB-B02B978E08BE}" srcOrd="0" destOrd="0" presId="urn:microsoft.com/office/officeart/2005/8/layout/hierarchy2"/>
    <dgm:cxn modelId="{D0884F61-8963-441F-AF96-3D26A679BB88}" type="presParOf" srcId="{7A5C6EB3-EE2C-4EDB-BB7B-3FF8A8680572}" destId="{29ADBF42-FD7B-4453-B02F-8D0E507C1965}" srcOrd="15" destOrd="0" presId="urn:microsoft.com/office/officeart/2005/8/layout/hierarchy2"/>
    <dgm:cxn modelId="{E15731B2-5C4B-4BB8-8FE5-C1FCF897EF4C}" type="presParOf" srcId="{29ADBF42-FD7B-4453-B02F-8D0E507C1965}" destId="{989486B0-A81F-4D4A-8B9E-2DE0A23310EB}" srcOrd="0" destOrd="0" presId="urn:microsoft.com/office/officeart/2005/8/layout/hierarchy2"/>
    <dgm:cxn modelId="{B5FE24B8-069A-4C46-B21F-ABD298448635}" type="presParOf" srcId="{29ADBF42-FD7B-4453-B02F-8D0E507C1965}" destId="{C8AF6A1D-A29A-422A-B74A-377D5CF97A38}" srcOrd="1" destOrd="0" presId="urn:microsoft.com/office/officeart/2005/8/layout/hierarchy2"/>
    <dgm:cxn modelId="{5BDEC20F-DCA6-4498-A417-91B8B6F4B8AC}" type="presParOf" srcId="{C8AF6A1D-A29A-422A-B74A-377D5CF97A38}" destId="{21942879-C5FE-4E4A-8F60-3C0303FE2BC3}" srcOrd="0" destOrd="0" presId="urn:microsoft.com/office/officeart/2005/8/layout/hierarchy2"/>
    <dgm:cxn modelId="{314AA86C-2DD5-40E8-BC67-12739EEB90DD}" type="presParOf" srcId="{21942879-C5FE-4E4A-8F60-3C0303FE2BC3}" destId="{EE7B3233-805E-4965-ABE9-30461985A19D}" srcOrd="0" destOrd="0" presId="urn:microsoft.com/office/officeart/2005/8/layout/hierarchy2"/>
    <dgm:cxn modelId="{EC493997-6259-46BE-8A96-A2B913E1EDDE}" type="presParOf" srcId="{C8AF6A1D-A29A-422A-B74A-377D5CF97A38}" destId="{DA6E9F20-CCAE-4198-8D2C-4016DED029C8}" srcOrd="1" destOrd="0" presId="urn:microsoft.com/office/officeart/2005/8/layout/hierarchy2"/>
    <dgm:cxn modelId="{AEF328FE-5352-4AE0-9A8C-7B136DD24775}" type="presParOf" srcId="{DA6E9F20-CCAE-4198-8D2C-4016DED029C8}" destId="{F1A83C29-4B02-494F-B1A0-A73B8802D5B8}" srcOrd="0" destOrd="0" presId="urn:microsoft.com/office/officeart/2005/8/layout/hierarchy2"/>
    <dgm:cxn modelId="{0ED6C789-A273-4B2F-AD83-B9D13A551276}" type="presParOf" srcId="{DA6E9F20-CCAE-4198-8D2C-4016DED029C8}" destId="{65C5CD67-A5E9-4FB9-A71E-1A6170B0DA2F}" srcOrd="1" destOrd="0" presId="urn:microsoft.com/office/officeart/2005/8/layout/hierarchy2"/>
    <dgm:cxn modelId="{2663690A-E0F3-4AE5-9D6C-3FE8AF740B13}" type="presParOf" srcId="{7A5C6EB3-EE2C-4EDB-BB7B-3FF8A8680572}" destId="{CBE4AF10-7BB3-4BF3-99AF-359CCACEED17}" srcOrd="16" destOrd="0" presId="urn:microsoft.com/office/officeart/2005/8/layout/hierarchy2"/>
    <dgm:cxn modelId="{45454BCA-4B4F-4FD2-BDD8-48CBA20BAC79}" type="presParOf" srcId="{CBE4AF10-7BB3-4BF3-99AF-359CCACEED17}" destId="{7193C396-9CAE-4163-8B53-23DB2A779311}" srcOrd="0" destOrd="0" presId="urn:microsoft.com/office/officeart/2005/8/layout/hierarchy2"/>
    <dgm:cxn modelId="{CF3A5BB0-41DA-4E0E-BB5F-6790BF6C718B}" type="presParOf" srcId="{7A5C6EB3-EE2C-4EDB-BB7B-3FF8A8680572}" destId="{10740184-9747-4A71-8507-8DC0523223D7}" srcOrd="17" destOrd="0" presId="urn:microsoft.com/office/officeart/2005/8/layout/hierarchy2"/>
    <dgm:cxn modelId="{6177DCE1-8060-4BA6-A6F8-054F682E3909}" type="presParOf" srcId="{10740184-9747-4A71-8507-8DC0523223D7}" destId="{38BD3B21-9B36-42E4-902C-2E2BFC04B4A0}" srcOrd="0" destOrd="0" presId="urn:microsoft.com/office/officeart/2005/8/layout/hierarchy2"/>
    <dgm:cxn modelId="{FFC477D5-FE1F-4675-96B3-8913100B17AF}" type="presParOf" srcId="{10740184-9747-4A71-8507-8DC0523223D7}" destId="{394A5674-8BDC-4095-9055-92621F57A36B}" srcOrd="1" destOrd="0" presId="urn:microsoft.com/office/officeart/2005/8/layout/hierarchy2"/>
    <dgm:cxn modelId="{FA12FCE2-3DBD-440A-AB53-22AFE7B8CBC6}" type="presParOf" srcId="{394A5674-8BDC-4095-9055-92621F57A36B}" destId="{CEDD12E0-8D29-4563-A7E6-C87464DA4415}" srcOrd="0" destOrd="0" presId="urn:microsoft.com/office/officeart/2005/8/layout/hierarchy2"/>
    <dgm:cxn modelId="{0CB4CE24-5838-4899-8087-5790224C1B9F}" type="presParOf" srcId="{CEDD12E0-8D29-4563-A7E6-C87464DA4415}" destId="{B5946233-0D26-4621-8182-583CCE9F66F4}" srcOrd="0" destOrd="0" presId="urn:microsoft.com/office/officeart/2005/8/layout/hierarchy2"/>
    <dgm:cxn modelId="{BBEAD17F-4BC2-45BC-9AC4-24F540729E51}" type="presParOf" srcId="{394A5674-8BDC-4095-9055-92621F57A36B}" destId="{38DA3786-FEA5-45A7-8C27-D3AFB0465596}" srcOrd="1" destOrd="0" presId="urn:microsoft.com/office/officeart/2005/8/layout/hierarchy2"/>
    <dgm:cxn modelId="{57C72DF4-D13A-4E73-A351-7E64B112D643}" type="presParOf" srcId="{38DA3786-FEA5-45A7-8C27-D3AFB0465596}" destId="{BB3B3672-94B0-4923-B362-D3C8B3CAA888}" srcOrd="0" destOrd="0" presId="urn:microsoft.com/office/officeart/2005/8/layout/hierarchy2"/>
    <dgm:cxn modelId="{DB557216-121F-4870-8EE9-CB24E6AA187B}" type="presParOf" srcId="{38DA3786-FEA5-45A7-8C27-D3AFB0465596}" destId="{D8890AB6-033B-4F25-A2D8-31BBD8F8AF75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110777</xdr:rowOff>
    </xdr:from>
    <xdr:to>
      <xdr:col>11</xdr:col>
      <xdr:colOff>619125</xdr:colOff>
      <xdr:row>6</xdr:row>
      <xdr:rowOff>89247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110777"/>
          <a:ext cx="6172200" cy="864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7</xdr:row>
      <xdr:rowOff>38100</xdr:rowOff>
    </xdr:from>
    <xdr:to>
      <xdr:col>12</xdr:col>
      <xdr:colOff>276225</xdr:colOff>
      <xdr:row>28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2362200</xdr:colOff>
      <xdr:row>0</xdr:row>
      <xdr:rowOff>52279</xdr:rowOff>
    </xdr:from>
    <xdr:to>
      <xdr:col>12</xdr:col>
      <xdr:colOff>352425</xdr:colOff>
      <xdr:row>6</xdr:row>
      <xdr:rowOff>30749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52279"/>
          <a:ext cx="6172200" cy="8642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2313979</xdr:colOff>
      <xdr:row>4</xdr:row>
      <xdr:rowOff>104774</xdr:rowOff>
    </xdr:from>
    <xdr:to>
      <xdr:col>2</xdr:col>
      <xdr:colOff>142875</xdr:colOff>
      <xdr:row>5</xdr:row>
      <xdr:rowOff>80239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954" y="1057274"/>
          <a:ext cx="1676996" cy="432665"/>
        </a:xfrm>
        <a:prstGeom prst="rect">
          <a:avLst/>
        </a:prstGeom>
      </xdr:spPr>
    </xdr:pic>
    <xdr:clientData/>
  </xdr:twoCellAnchor>
  <xdr:oneCellAnchor>
    <xdr:from>
      <xdr:col>1</xdr:col>
      <xdr:colOff>2313979</xdr:colOff>
      <xdr:row>88</xdr:row>
      <xdr:rowOff>104774</xdr:rowOff>
    </xdr:from>
    <xdr:ext cx="1676996" cy="43266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954" y="1047749"/>
          <a:ext cx="1676996" cy="43266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</xdr:col>
      <xdr:colOff>4233</xdr:colOff>
      <xdr:row>10</xdr:row>
      <xdr:rowOff>38100</xdr:rowOff>
    </xdr:to>
    <xdr:pic>
      <xdr:nvPicPr>
        <xdr:cNvPr id="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76550"/>
          <a:ext cx="2709333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comments" Target="../comments5.xml"/><Relationship Id="rId2" Type="http://schemas.openxmlformats.org/officeDocument/2006/relationships/hyperlink" Target="http://en.wikipedia.org/wiki/L.L._Zamenhof" TargetMode="External"/><Relationship Id="rId1" Type="http://schemas.openxmlformats.org/officeDocument/2006/relationships/hyperlink" Target="http://www.unboundbible.org/" TargetMode="External"/><Relationship Id="rId6" Type="http://schemas.openxmlformats.org/officeDocument/2006/relationships/image" Target="../media/image2.png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mpressionratings.com/files/squeezechart_src.7z" TargetMode="External"/><Relationship Id="rId3" Type="http://schemas.openxmlformats.org/officeDocument/2006/relationships/hyperlink" Target="http://www.imagecompression.info/test_images/squeezechart_camera_raw.zip" TargetMode="External"/><Relationship Id="rId7" Type="http://schemas.openxmlformats.org/officeDocument/2006/relationships/hyperlink" Target="http://www.compressionratings.com/files/squeezechart_pgm.7z" TargetMode="External"/><Relationship Id="rId2" Type="http://schemas.openxmlformats.org/officeDocument/2006/relationships/hyperlink" Target="http://www.squeezechart.com/TEST_Audio.arc" TargetMode="External"/><Relationship Id="rId1" Type="http://schemas.openxmlformats.org/officeDocument/2006/relationships/hyperlink" Target="http://www.compressionratings.com/files/squeezechart_app.7z" TargetMode="External"/><Relationship Id="rId6" Type="http://schemas.openxmlformats.org/officeDocument/2006/relationships/hyperlink" Target="http://www.compressionratings.com/files/squeezechart_mobile.7z" TargetMode="External"/><Relationship Id="rId11" Type="http://schemas.openxmlformats.org/officeDocument/2006/relationships/image" Target="../media/image2.png"/><Relationship Id="rId5" Type="http://schemas.openxmlformats.org/officeDocument/2006/relationships/hyperlink" Target="http://www.compressionratings.com/files/squeezechart_installer.7z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compressionratings.com/files/squeezechart_gutenberg.7z" TargetMode="External"/><Relationship Id="rId9" Type="http://schemas.openxmlformats.org/officeDocument/2006/relationships/hyperlink" Target="http://www.compressionratings.com/files/squeezechart_xml.7z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tp://ftp.sac.sk/pub/sac/pack/deepf106.exe" TargetMode="External"/><Relationship Id="rId299" Type="http://schemas.openxmlformats.org/officeDocument/2006/relationships/hyperlink" Target="http://heartofcomp.altervista.org/zcm.zip" TargetMode="External"/><Relationship Id="rId303" Type="http://schemas.openxmlformats.org/officeDocument/2006/relationships/hyperlink" Target="http://encode.ru/attachment.php?attachmentid=2370&amp;d=1373103974" TargetMode="External"/><Relationship Id="rId21" Type="http://schemas.openxmlformats.org/officeDocument/2006/relationships/hyperlink" Target="http://www.bzip.org/" TargetMode="External"/><Relationship Id="rId42" Type="http://schemas.openxmlformats.org/officeDocument/2006/relationships/hyperlink" Target="http://www.nicodevries.com/nico/professional.php" TargetMode="External"/><Relationship Id="rId63" Type="http://schemas.openxmlformats.org/officeDocument/2006/relationships/hyperlink" Target="http://heartofcomp.altervista.org/zcm.zip" TargetMode="External"/><Relationship Id="rId84" Type="http://schemas.openxmlformats.org/officeDocument/2006/relationships/hyperlink" Target="ftp://ftp.sac.sk/pub/sac/pack/pkze110s.exe" TargetMode="External"/><Relationship Id="rId138" Type="http://schemas.openxmlformats.org/officeDocument/2006/relationships/hyperlink" Target="ftp://ftp.sac.sk/pub/sac/pack/hpack79d.zip" TargetMode="External"/><Relationship Id="rId159" Type="http://schemas.openxmlformats.org/officeDocument/2006/relationships/hyperlink" Target="ftp://ftp.sac.sk/pub/sac/pack/yac102.zip" TargetMode="External"/><Relationship Id="rId324" Type="http://schemas.openxmlformats.org/officeDocument/2006/relationships/hyperlink" Target="http://nauful.com/dump/Archiver_02.exe" TargetMode="External"/><Relationship Id="rId170" Type="http://schemas.openxmlformats.org/officeDocument/2006/relationships/hyperlink" Target="http://freearc.org/download/research/tornado03.zip" TargetMode="External"/><Relationship Id="rId191" Type="http://schemas.openxmlformats.org/officeDocument/2006/relationships/hyperlink" Target="ftp://ftp.sac.sk/pub/sac/pack/rar250d.exe" TargetMode="External"/><Relationship Id="rId205" Type="http://schemas.openxmlformats.org/officeDocument/2006/relationships/hyperlink" Target="http://www.rkeene.org/oss/dact/" TargetMode="External"/><Relationship Id="rId226" Type="http://schemas.openxmlformats.org/officeDocument/2006/relationships/hyperlink" Target="http://www.winarchiver.com/" TargetMode="External"/><Relationship Id="rId247" Type="http://schemas.openxmlformats.org/officeDocument/2006/relationships/hyperlink" Target="ftp://ftp.sac.sk/pub/sac/pack/lzpxj12h.zip" TargetMode="External"/><Relationship Id="rId107" Type="http://schemas.openxmlformats.org/officeDocument/2006/relationships/hyperlink" Target="ftp://ftp.sac.sk/pub/sac/pack/cha1-2.exe" TargetMode="External"/><Relationship Id="rId268" Type="http://schemas.openxmlformats.org/officeDocument/2006/relationships/hyperlink" Target="http://mattmahoney.net/dc/m99.zip" TargetMode="External"/><Relationship Id="rId289" Type="http://schemas.openxmlformats.org/officeDocument/2006/relationships/hyperlink" Target="https://github.com/valdmann/crook" TargetMode="External"/><Relationship Id="rId11" Type="http://schemas.openxmlformats.org/officeDocument/2006/relationships/hyperlink" Target="http://www.winzip.com/" TargetMode="External"/><Relationship Id="rId32" Type="http://schemas.openxmlformats.org/officeDocument/2006/relationships/hyperlink" Target="http://www.compressionratings.com/files/squeezechart_gutenberg.7z" TargetMode="External"/><Relationship Id="rId53" Type="http://schemas.openxmlformats.org/officeDocument/2006/relationships/hyperlink" Target="http://www.compressconsult.com/szip/" TargetMode="External"/><Relationship Id="rId74" Type="http://schemas.openxmlformats.org/officeDocument/2006/relationships/hyperlink" Target="ftp://ftp.sac.sk/pub/sac/pack/jarcs094.exe" TargetMode="External"/><Relationship Id="rId128" Type="http://schemas.openxmlformats.org/officeDocument/2006/relationships/hyperlink" Target="ftp://ftp.sac.sk/pub/sac/pack/arq32.zip" TargetMode="External"/><Relationship Id="rId149" Type="http://schemas.openxmlformats.org/officeDocument/2006/relationships/hyperlink" Target="ftp://ftp.sac.sk/pub/sac/pack/ain232.exe" TargetMode="External"/><Relationship Id="rId314" Type="http://schemas.openxmlformats.org/officeDocument/2006/relationships/hyperlink" Target="http://encode.ru/attachment.php?attachmentid=2568&amp;d=1386072406" TargetMode="External"/><Relationship Id="rId5" Type="http://schemas.openxmlformats.org/officeDocument/2006/relationships/hyperlink" Target="http://www.nanozip.net/" TargetMode="External"/><Relationship Id="rId95" Type="http://schemas.openxmlformats.org/officeDocument/2006/relationships/hyperlink" Target="http://fastcompression.blogspot.de/p/lz4.html" TargetMode="External"/><Relationship Id="rId160" Type="http://schemas.openxmlformats.org/officeDocument/2006/relationships/hyperlink" Target="ftp://ftp.sac.sk/pub/sac/pack/tplzh031.zip" TargetMode="External"/><Relationship Id="rId181" Type="http://schemas.openxmlformats.org/officeDocument/2006/relationships/hyperlink" Target="http://compressionratings.com/files/bred3.zip" TargetMode="External"/><Relationship Id="rId216" Type="http://schemas.openxmlformats.org/officeDocument/2006/relationships/hyperlink" Target="ftp://ftp.sac.sk/pub/sac/pack/bioarc19.zip" TargetMode="External"/><Relationship Id="rId237" Type="http://schemas.openxmlformats.org/officeDocument/2006/relationships/hyperlink" Target="ftp://ftp.sac.sk/pub/sac/pack/grzip.zip" TargetMode="External"/><Relationship Id="rId258" Type="http://schemas.openxmlformats.org/officeDocument/2006/relationships/hyperlink" Target="http://www.cs.fit.edu/~mmahoney/compression/paq9a.zip" TargetMode="External"/><Relationship Id="rId279" Type="http://schemas.openxmlformats.org/officeDocument/2006/relationships/hyperlink" Target="https://github.com/tarsa/TarsaLZP" TargetMode="External"/><Relationship Id="rId22" Type="http://schemas.openxmlformats.org/officeDocument/2006/relationships/hyperlink" Target="http://schnaader.info/precomp.php" TargetMode="External"/><Relationship Id="rId43" Type="http://schemas.openxmlformats.org/officeDocument/2006/relationships/hyperlink" Target="ftp://ftp.stack.nl/pub/users/willem/" TargetMode="External"/><Relationship Id="rId64" Type="http://schemas.openxmlformats.org/officeDocument/2006/relationships/hyperlink" Target="http://www.nongnu.org/lzip/lzip.html" TargetMode="External"/><Relationship Id="rId118" Type="http://schemas.openxmlformats.org/officeDocument/2006/relationships/hyperlink" Target="ftp://ftp.sac.sk/pub/sac/pack/eli5750.zip" TargetMode="External"/><Relationship Id="rId139" Type="http://schemas.openxmlformats.org/officeDocument/2006/relationships/hyperlink" Target="ftp://ftp.sac.sk/pub/sac/pack/hap306.zip" TargetMode="External"/><Relationship Id="rId290" Type="http://schemas.openxmlformats.org/officeDocument/2006/relationships/hyperlink" Target="mailto:info@squeezechart.com" TargetMode="External"/><Relationship Id="rId304" Type="http://schemas.openxmlformats.org/officeDocument/2006/relationships/hyperlink" Target="http://encode.ru/attachment.php?attachmentid=2361&amp;d=1371506860" TargetMode="External"/><Relationship Id="rId325" Type="http://schemas.openxmlformats.org/officeDocument/2006/relationships/hyperlink" Target="http://packjpg.encode.ru/?page_id=229" TargetMode="External"/><Relationship Id="rId85" Type="http://schemas.openxmlformats.org/officeDocument/2006/relationships/hyperlink" Target="ftp://ftp.sac.sk/pub/sac/pack/pak1_0.zip" TargetMode="External"/><Relationship Id="rId150" Type="http://schemas.openxmlformats.org/officeDocument/2006/relationships/hyperlink" Target="ftp://ftp.sac.sk/pub/sac/pack/sqz1083e.exe" TargetMode="External"/><Relationship Id="rId171" Type="http://schemas.openxmlformats.org/officeDocument/2006/relationships/hyperlink" Target="http://archiver.reasonables.com/Download.aspx" TargetMode="External"/><Relationship Id="rId192" Type="http://schemas.openxmlformats.org/officeDocument/2006/relationships/hyperlink" Target="ftp://ftp.sac.sk/pub/sac/pack/arh140.zip" TargetMode="External"/><Relationship Id="rId206" Type="http://schemas.openxmlformats.org/officeDocument/2006/relationships/hyperlink" Target="http://homepage3.nifty.com/micco/dlfile/LMEL165C.EXE" TargetMode="External"/><Relationship Id="rId227" Type="http://schemas.openxmlformats.org/officeDocument/2006/relationships/hyperlink" Target="http://rzip.samba.org/ftp/rzip/rzip-2.1.tar.gz" TargetMode="External"/><Relationship Id="rId248" Type="http://schemas.openxmlformats.org/officeDocument/2006/relationships/hyperlink" Target="ftp://ftp.sac.sk/pub/sac/pack/uhbc10.zip" TargetMode="External"/><Relationship Id="rId269" Type="http://schemas.openxmlformats.org/officeDocument/2006/relationships/hyperlink" Target="http://www.michael-maniscalco.com/index.htm" TargetMode="External"/><Relationship Id="rId12" Type="http://schemas.openxmlformats.org/officeDocument/2006/relationships/hyperlink" Target="http://www.winzip.com/" TargetMode="External"/><Relationship Id="rId33" Type="http://schemas.openxmlformats.org/officeDocument/2006/relationships/hyperlink" Target="http://www.compressionratings.com/files/squeezechart_app.7z" TargetMode="External"/><Relationship Id="rId108" Type="http://schemas.openxmlformats.org/officeDocument/2006/relationships/hyperlink" Target="ftp://ftp.sac.sk/pub/sac/pack/jam.zip" TargetMode="External"/><Relationship Id="rId129" Type="http://schemas.openxmlformats.org/officeDocument/2006/relationships/hyperlink" Target="ftp://ftp.sac.sk/pub/sac/pack/lha267e.exe" TargetMode="External"/><Relationship Id="rId280" Type="http://schemas.openxmlformats.org/officeDocument/2006/relationships/hyperlink" Target="http://mattmahoney.net/dc/bpe2v3.cpp" TargetMode="External"/><Relationship Id="rId315" Type="http://schemas.openxmlformats.org/officeDocument/2006/relationships/hyperlink" Target="http://encode.ru/attachment.php?attachmentid=2569&amp;d=1386072406" TargetMode="External"/><Relationship Id="rId54" Type="http://schemas.openxmlformats.org/officeDocument/2006/relationships/hyperlink" Target="http://www.compressconsult.com/szip/" TargetMode="External"/><Relationship Id="rId75" Type="http://schemas.openxmlformats.org/officeDocument/2006/relationships/hyperlink" Target="http://ssergeo.narod.ru/" TargetMode="External"/><Relationship Id="rId96" Type="http://schemas.openxmlformats.org/officeDocument/2006/relationships/hyperlink" Target="http://fastcompression.blogspot.de/p/lz4.html" TargetMode="External"/><Relationship Id="rId140" Type="http://schemas.openxmlformats.org/officeDocument/2006/relationships/hyperlink" Target="ftp://ftp.sac.sk/pub/sac/pack/hap40td2.zip" TargetMode="External"/><Relationship Id="rId161" Type="http://schemas.openxmlformats.org/officeDocument/2006/relationships/hyperlink" Target="ftp://ftp.sac.sk/pub/sac/pack/akt32.zip" TargetMode="External"/><Relationship Id="rId182" Type="http://schemas.openxmlformats.org/officeDocument/2006/relationships/hyperlink" Target="ftp://ftp.sac.sk/pub/sac/pack/lzpx15b.zip" TargetMode="External"/><Relationship Id="rId217" Type="http://schemas.openxmlformats.org/officeDocument/2006/relationships/hyperlink" Target="ftp://ftp.sac.sk/pub/sac/pack/zzip036c.zip" TargetMode="External"/><Relationship Id="rId6" Type="http://schemas.openxmlformats.org/officeDocument/2006/relationships/hyperlink" Target="http://www.nanozip.net/" TargetMode="External"/><Relationship Id="rId238" Type="http://schemas.openxmlformats.org/officeDocument/2006/relationships/hyperlink" Target="ftp://ftp.sac.sk/pub/sac/pack/m99.zip" TargetMode="External"/><Relationship Id="rId259" Type="http://schemas.openxmlformats.org/officeDocument/2006/relationships/hyperlink" Target="http://encode.narod.ru/ppmx008.zip" TargetMode="External"/><Relationship Id="rId23" Type="http://schemas.openxmlformats.org/officeDocument/2006/relationships/hyperlink" Target="http://www.7-zip.org/" TargetMode="External"/><Relationship Id="rId119" Type="http://schemas.openxmlformats.org/officeDocument/2006/relationships/hyperlink" Target="ftp://ftp.sac.sk/pub/sac/pack/ice102c.zip" TargetMode="External"/><Relationship Id="rId270" Type="http://schemas.openxmlformats.org/officeDocument/2006/relationships/hyperlink" Target="http://www.michael-maniscalco.com/index.htm" TargetMode="External"/><Relationship Id="rId291" Type="http://schemas.openxmlformats.org/officeDocument/2006/relationships/hyperlink" Target="http://www.imagecompression.info/test_images/squeezechart_camera_raw.zip" TargetMode="External"/><Relationship Id="rId305" Type="http://schemas.openxmlformats.org/officeDocument/2006/relationships/hyperlink" Target="http://encode.ru/attachment.php?attachmentid=2671&amp;d=1389881630" TargetMode="External"/><Relationship Id="rId326" Type="http://schemas.openxmlformats.org/officeDocument/2006/relationships/hyperlink" Target="http://www.catcompress.com/" TargetMode="External"/><Relationship Id="rId44" Type="http://schemas.openxmlformats.org/officeDocument/2006/relationships/hyperlink" Target="http://sourceforge.net/projects/ciderpress/" TargetMode="External"/><Relationship Id="rId65" Type="http://schemas.openxmlformats.org/officeDocument/2006/relationships/hyperlink" Target="http://software.schmorp.de/pkg/liblzf" TargetMode="External"/><Relationship Id="rId86" Type="http://schemas.openxmlformats.org/officeDocument/2006/relationships/hyperlink" Target="ftp://ftp.sac.sk/pub/sac/pack/fpaq0pv5.zip" TargetMode="External"/><Relationship Id="rId130" Type="http://schemas.openxmlformats.org/officeDocument/2006/relationships/hyperlink" Target="ftp://ftp.sac.sk/pub/sac/pack/wwp305b5.zip" TargetMode="External"/><Relationship Id="rId151" Type="http://schemas.openxmlformats.org/officeDocument/2006/relationships/hyperlink" Target="http://zlib.net/pigz/" TargetMode="External"/><Relationship Id="rId172" Type="http://schemas.openxmlformats.org/officeDocument/2006/relationships/hyperlink" Target="http://heartofcomp.altervista.org/" TargetMode="External"/><Relationship Id="rId193" Type="http://schemas.openxmlformats.org/officeDocument/2006/relationships/hyperlink" Target="ftp://ftp.sac.sk/pub/sac/pack/asd020.exe" TargetMode="External"/><Relationship Id="rId207" Type="http://schemas.openxmlformats.org/officeDocument/2006/relationships/hyperlink" Target="ftp://ftp.sac.sk/pub/sac/pack/imp112.exe" TargetMode="External"/><Relationship Id="rId228" Type="http://schemas.openxmlformats.org/officeDocument/2006/relationships/hyperlink" Target="ftp://ftp.sac.sk/pub/sac/pack/ctxf075p.zip" TargetMode="External"/><Relationship Id="rId249" Type="http://schemas.openxmlformats.org/officeDocument/2006/relationships/hyperlink" Target="http://ctxmodel.net/files/PPMd/ppmd_Jr1_sh8.rar" TargetMode="External"/><Relationship Id="rId13" Type="http://schemas.openxmlformats.org/officeDocument/2006/relationships/hyperlink" Target="http://www.7-zip.org/" TargetMode="External"/><Relationship Id="rId109" Type="http://schemas.openxmlformats.org/officeDocument/2006/relationships/hyperlink" Target="ftp://ftp.sac.sk/pub/sac/pack/pak251.exe" TargetMode="External"/><Relationship Id="rId260" Type="http://schemas.openxmlformats.org/officeDocument/2006/relationships/hyperlink" Target="http://heartofcomp.altervista.org/" TargetMode="External"/><Relationship Id="rId281" Type="http://schemas.openxmlformats.org/officeDocument/2006/relationships/hyperlink" Target="http://mattmahoney.net/dc/symbra02.zip" TargetMode="External"/><Relationship Id="rId316" Type="http://schemas.openxmlformats.org/officeDocument/2006/relationships/hyperlink" Target="http://heartofcomp.altervista.org/packet1.1.zip" TargetMode="External"/><Relationship Id="rId34" Type="http://schemas.openxmlformats.org/officeDocument/2006/relationships/hyperlink" Target="http://www.arjsoftware.com/" TargetMode="External"/><Relationship Id="rId55" Type="http://schemas.openxmlformats.org/officeDocument/2006/relationships/hyperlink" Target="http://www.winzip.com/" TargetMode="External"/><Relationship Id="rId76" Type="http://schemas.openxmlformats.org/officeDocument/2006/relationships/hyperlink" Target="ftp://ftp.sac.sk/pub/sac/pack/mar10.zip" TargetMode="External"/><Relationship Id="rId97" Type="http://schemas.openxmlformats.org/officeDocument/2006/relationships/hyperlink" Target="http://tpi.sourceforge.jp/index.php/News" TargetMode="External"/><Relationship Id="rId120" Type="http://schemas.openxmlformats.org/officeDocument/2006/relationships/hyperlink" Target="http://archive.org/download/tucows_364302_Jabosoft_Archiver/Archiver_1_0.exe" TargetMode="External"/><Relationship Id="rId141" Type="http://schemas.openxmlformats.org/officeDocument/2006/relationships/hyperlink" Target="http://www.jetico.com/encryption-bcarchive/" TargetMode="External"/><Relationship Id="rId7" Type="http://schemas.openxmlformats.org/officeDocument/2006/relationships/hyperlink" Target="http://www.nanozip.net/" TargetMode="External"/><Relationship Id="rId162" Type="http://schemas.openxmlformats.org/officeDocument/2006/relationships/hyperlink" Target="http://phantasie.tonempire.net/" TargetMode="External"/><Relationship Id="rId183" Type="http://schemas.openxmlformats.org/officeDocument/2006/relationships/hyperlink" Target="ftp://ftp.sac.sk/pub/sac/pack/semone06.zip" TargetMode="External"/><Relationship Id="rId218" Type="http://schemas.openxmlformats.org/officeDocument/2006/relationships/hyperlink" Target="http://encode.ru/attachment.php?attachmentid=1861&amp;d=1330534889" TargetMode="External"/><Relationship Id="rId239" Type="http://schemas.openxmlformats.org/officeDocument/2006/relationships/hyperlink" Target="ftp://ftp.sac.sk/pub/sac/pack/tc43.zip" TargetMode="External"/><Relationship Id="rId250" Type="http://schemas.openxmlformats.org/officeDocument/2006/relationships/hyperlink" Target="http://nishi.dreamhosters.com/u/lzmarec_v4b_bin.rar" TargetMode="External"/><Relationship Id="rId271" Type="http://schemas.openxmlformats.org/officeDocument/2006/relationships/hyperlink" Target="http://www.michael-maniscalco.com/index.htm" TargetMode="External"/><Relationship Id="rId292" Type="http://schemas.openxmlformats.org/officeDocument/2006/relationships/hyperlink" Target="http://mattmahoney.net/dc/lpaq4.zip" TargetMode="External"/><Relationship Id="rId306" Type="http://schemas.openxmlformats.org/officeDocument/2006/relationships/hyperlink" Target="http://www.centaurean.com/sharc" TargetMode="External"/><Relationship Id="rId24" Type="http://schemas.openxmlformats.org/officeDocument/2006/relationships/hyperlink" Target="http://www.7-zip.org/" TargetMode="External"/><Relationship Id="rId45" Type="http://schemas.openxmlformats.org/officeDocument/2006/relationships/hyperlink" Target="http://sourceforge.net/projects/ciderpress/" TargetMode="External"/><Relationship Id="rId66" Type="http://schemas.openxmlformats.org/officeDocument/2006/relationships/hyperlink" Target="ftp://ftp.sac.sk/pub/sac/pack/btspk.arj" TargetMode="External"/><Relationship Id="rId87" Type="http://schemas.openxmlformats.org/officeDocument/2006/relationships/hyperlink" Target="ftp://ftp.sac.sk/pub/sac/pack/mscomp20.zip" TargetMode="External"/><Relationship Id="rId110" Type="http://schemas.openxmlformats.org/officeDocument/2006/relationships/hyperlink" Target="ftp://ftp.sac.sk/pub/sac/pack/cpshrink.zip" TargetMode="External"/><Relationship Id="rId131" Type="http://schemas.openxmlformats.org/officeDocument/2006/relationships/hyperlink" Target="ftp://ftp.sac.sk/pub/sac/pack/lza101.zip" TargetMode="External"/><Relationship Id="rId327" Type="http://schemas.openxmlformats.org/officeDocument/2006/relationships/printerSettings" Target="../printerSettings/printerSettings3.bin"/><Relationship Id="rId152" Type="http://schemas.openxmlformats.org/officeDocument/2006/relationships/hyperlink" Target="ftp://ftp.sac.sk/pub/sac/pack/hit.arj" TargetMode="External"/><Relationship Id="rId173" Type="http://schemas.openxmlformats.org/officeDocument/2006/relationships/hyperlink" Target="http://heartofcomp.altervista.org/" TargetMode="External"/><Relationship Id="rId194" Type="http://schemas.openxmlformats.org/officeDocument/2006/relationships/hyperlink" Target="ftp://ftp.sac.sk/pub/sac/pack/par200a.exe" TargetMode="External"/><Relationship Id="rId208" Type="http://schemas.openxmlformats.org/officeDocument/2006/relationships/hyperlink" Target="ftp://ftp.sac.sk/pub/sac/pack/transfrm.zip" TargetMode="External"/><Relationship Id="rId229" Type="http://schemas.openxmlformats.org/officeDocument/2006/relationships/hyperlink" Target="http://www.altools.com/ALTools/ALZip.aspx" TargetMode="External"/><Relationship Id="rId240" Type="http://schemas.openxmlformats.org/officeDocument/2006/relationships/hyperlink" Target="ftp://ftp.sac.sk/pub/sac/pack/dc124.zip" TargetMode="External"/><Relationship Id="rId261" Type="http://schemas.openxmlformats.org/officeDocument/2006/relationships/hyperlink" Target="http://www.ctxmodel.net/files/LZP-DS_v0.rar" TargetMode="External"/><Relationship Id="rId14" Type="http://schemas.openxmlformats.org/officeDocument/2006/relationships/hyperlink" Target="http://nishi.dreamhosters.com/u/reflate_v0c1.rar" TargetMode="External"/><Relationship Id="rId35" Type="http://schemas.openxmlformats.org/officeDocument/2006/relationships/hyperlink" Target="http://www.altools.com/Downloads/ALZip.aspx" TargetMode="External"/><Relationship Id="rId56" Type="http://schemas.openxmlformats.org/officeDocument/2006/relationships/hyperlink" Target="http://www.b1.org/" TargetMode="External"/><Relationship Id="rId77" Type="http://schemas.openxmlformats.org/officeDocument/2006/relationships/hyperlink" Target="ftp://ftp.sac.sk/pub/sac/pack/m99.zip" TargetMode="External"/><Relationship Id="rId100" Type="http://schemas.openxmlformats.org/officeDocument/2006/relationships/hyperlink" Target="ftp://ftp.sac.sk/pub/sac/pack/zoo210.exe" TargetMode="External"/><Relationship Id="rId282" Type="http://schemas.openxmlformats.org/officeDocument/2006/relationships/hyperlink" Target="http://www.powerarchiver.com/" TargetMode="External"/><Relationship Id="rId317" Type="http://schemas.openxmlformats.org/officeDocument/2006/relationships/hyperlink" Target="http://encode.ru/attachment.php?attachmentid=2619&amp;d=1386558145" TargetMode="External"/><Relationship Id="rId8" Type="http://schemas.openxmlformats.org/officeDocument/2006/relationships/hyperlink" Target="http://freearc.org/" TargetMode="External"/><Relationship Id="rId51" Type="http://schemas.openxmlformats.org/officeDocument/2006/relationships/hyperlink" Target="http://cbloom.com/" TargetMode="External"/><Relationship Id="rId72" Type="http://schemas.openxmlformats.org/officeDocument/2006/relationships/hyperlink" Target="ftp://ftp.sac.sk/pub/sac/pack/arg.zip" TargetMode="External"/><Relationship Id="rId93" Type="http://schemas.openxmlformats.org/officeDocument/2006/relationships/hyperlink" Target="ftp://ftp.sac.sk/pub/sac/pack/lzs221.zip" TargetMode="External"/><Relationship Id="rId98" Type="http://schemas.openxmlformats.org/officeDocument/2006/relationships/hyperlink" Target="http://ftk.ys168.com/note/fd.htm?http://ys-F.ys168.com/1.0/272044716/o535K477I5I2PfRiRJUHws/CSC32.exe" TargetMode="External"/><Relationship Id="rId121" Type="http://schemas.openxmlformats.org/officeDocument/2006/relationships/hyperlink" Target="ftp://ftp.sac.sk/pub/sac/pack/kty_13.zip" TargetMode="External"/><Relationship Id="rId142" Type="http://schemas.openxmlformats.org/officeDocument/2006/relationships/hyperlink" Target="ftp://ftp.sac.sk/pub/sac/pack/rax_102.zip" TargetMode="External"/><Relationship Id="rId163" Type="http://schemas.openxmlformats.org/officeDocument/2006/relationships/hyperlink" Target="ftp://ftp.sac.sk/pub/sac/pack/kzip.exe" TargetMode="External"/><Relationship Id="rId184" Type="http://schemas.openxmlformats.org/officeDocument/2006/relationships/hyperlink" Target="ftp://ftp.sac.sk/pub/sac/pack/ha_nt.zip" TargetMode="External"/><Relationship Id="rId189" Type="http://schemas.openxmlformats.org/officeDocument/2006/relationships/hyperlink" Target="http://mattmahoney.net/dc/p12.exe" TargetMode="External"/><Relationship Id="rId219" Type="http://schemas.openxmlformats.org/officeDocument/2006/relationships/hyperlink" Target="http://freearc.org/download/research/4x4ver01.zip" TargetMode="External"/><Relationship Id="rId3" Type="http://schemas.openxmlformats.org/officeDocument/2006/relationships/hyperlink" Target="http://www.nanozip.net/" TargetMode="External"/><Relationship Id="rId214" Type="http://schemas.openxmlformats.org/officeDocument/2006/relationships/hyperlink" Target="ftp://ftp.sac.sk/pub/sac/pack/balz115.zip" TargetMode="External"/><Relationship Id="rId230" Type="http://schemas.openxmlformats.org/officeDocument/2006/relationships/hyperlink" Target="http://forrox.narod.ru/files/bma_1.35beta.rar" TargetMode="External"/><Relationship Id="rId235" Type="http://schemas.openxmlformats.org/officeDocument/2006/relationships/hyperlink" Target="ftp://ftp.sac.sk/pub/sac/pack/winrk312.exe" TargetMode="External"/><Relationship Id="rId251" Type="http://schemas.openxmlformats.org/officeDocument/2006/relationships/hyperlink" Target="http://encode.ru/attachment.php?attachmentid=1400&amp;d=1288545534" TargetMode="External"/><Relationship Id="rId256" Type="http://schemas.openxmlformats.org/officeDocument/2006/relationships/hyperlink" Target="ftp://ftp.sac.sk/pub/sac/pack/comprsia.exe" TargetMode="External"/><Relationship Id="rId277" Type="http://schemas.openxmlformats.org/officeDocument/2006/relationships/hyperlink" Target="http://mattmahoney.net/dc/text.html" TargetMode="External"/><Relationship Id="rId298" Type="http://schemas.openxmlformats.org/officeDocument/2006/relationships/hyperlink" Target="http://mattmahoney.net/dc/zpaq.html" TargetMode="External"/><Relationship Id="rId25" Type="http://schemas.openxmlformats.org/officeDocument/2006/relationships/hyperlink" Target="http://www.gzip.org/" TargetMode="External"/><Relationship Id="rId46" Type="http://schemas.openxmlformats.org/officeDocument/2006/relationships/hyperlink" Target="http://sourceforge.net/projects/ciderpress/" TargetMode="External"/><Relationship Id="rId67" Type="http://schemas.openxmlformats.org/officeDocument/2006/relationships/hyperlink" Target="ftp://ftp.sac.sk/pub/sac/pack/slim110a.zip" TargetMode="External"/><Relationship Id="rId116" Type="http://schemas.openxmlformats.org/officeDocument/2006/relationships/hyperlink" Target="ftp://ftp.sac.sk/pub/sac/pack/squish10.zip" TargetMode="External"/><Relationship Id="rId137" Type="http://schemas.openxmlformats.org/officeDocument/2006/relationships/hyperlink" Target="http://www3.big.or.jp/~schaft/download/" TargetMode="External"/><Relationship Id="rId158" Type="http://schemas.openxmlformats.org/officeDocument/2006/relationships/hyperlink" Target="ftp://ftp.sac.sk/pub/sac/pack/lhark04d.zip" TargetMode="External"/><Relationship Id="rId272" Type="http://schemas.openxmlformats.org/officeDocument/2006/relationships/hyperlink" Target="http://code.google.com/p/data-shrinker/" TargetMode="External"/><Relationship Id="rId293" Type="http://schemas.openxmlformats.org/officeDocument/2006/relationships/hyperlink" Target="http://code.google.com/p/zopfli/" TargetMode="External"/><Relationship Id="rId302" Type="http://schemas.openxmlformats.org/officeDocument/2006/relationships/hyperlink" Target="http://encode.ru/attachment.php?attachmentid=2370&amp;d=1373103974" TargetMode="External"/><Relationship Id="rId307" Type="http://schemas.openxmlformats.org/officeDocument/2006/relationships/hyperlink" Target="http://encode.ru/attachment.php?attachmentid=2370&amp;d=1373103974" TargetMode="External"/><Relationship Id="rId323" Type="http://schemas.openxmlformats.org/officeDocument/2006/relationships/hyperlink" Target="https://dl.dropboxusercontent.com/u/59565338/Zhuff/Zhuffv09c.zip" TargetMode="External"/><Relationship Id="rId328" Type="http://schemas.openxmlformats.org/officeDocument/2006/relationships/drawing" Target="../drawings/drawing1.xml"/><Relationship Id="rId20" Type="http://schemas.openxmlformats.org/officeDocument/2006/relationships/hyperlink" Target="http://www.winace.com/" TargetMode="External"/><Relationship Id="rId41" Type="http://schemas.openxmlformats.org/officeDocument/2006/relationships/hyperlink" Target="http://www.compressionratings.com/files/squeezechart_installer.7z" TargetMode="External"/><Relationship Id="rId62" Type="http://schemas.openxmlformats.org/officeDocument/2006/relationships/hyperlink" Target="http://www.hamstersoft.com/" TargetMode="External"/><Relationship Id="rId83" Type="http://schemas.openxmlformats.org/officeDocument/2006/relationships/hyperlink" Target="ftp://ftp.sac.sk/pub/sac/pack/mdcd10.zip" TargetMode="External"/><Relationship Id="rId88" Type="http://schemas.openxmlformats.org/officeDocument/2006/relationships/hyperlink" Target="http://cbloom.com/src/index_lz.html" TargetMode="External"/><Relationship Id="rId111" Type="http://schemas.openxmlformats.org/officeDocument/2006/relationships/hyperlink" Target="http://www.quicklz.com/" TargetMode="External"/><Relationship Id="rId132" Type="http://schemas.openxmlformats.org/officeDocument/2006/relationships/hyperlink" Target="ftp://ftp.sac.sk/pub/sac/pack/cpac135.zip" TargetMode="External"/><Relationship Id="rId153" Type="http://schemas.openxmlformats.org/officeDocument/2006/relationships/hyperlink" Target="ftp://ftp.sac.sk/pub/sac/pack/limit12.zip" TargetMode="External"/><Relationship Id="rId174" Type="http://schemas.openxmlformats.org/officeDocument/2006/relationships/hyperlink" Target="http://heartofcomp.altervista.org/" TargetMode="External"/><Relationship Id="rId179" Type="http://schemas.openxmlformats.org/officeDocument/2006/relationships/hyperlink" Target="http://heartofcomp.altervista.org/" TargetMode="External"/><Relationship Id="rId195" Type="http://schemas.openxmlformats.org/officeDocument/2006/relationships/hyperlink" Target="http://www.winhki.com/download/setuphki.exe" TargetMode="External"/><Relationship Id="rId209" Type="http://schemas.openxmlformats.org/officeDocument/2006/relationships/hyperlink" Target="ftp://ftp.sac.sk/pub/sac/pack/quad112.zip" TargetMode="External"/><Relationship Id="rId190" Type="http://schemas.openxmlformats.org/officeDocument/2006/relationships/hyperlink" Target="ftp://ftp.sac.sk/pub/sac/pack/rar200sk.exe" TargetMode="External"/><Relationship Id="rId204" Type="http://schemas.openxmlformats.org/officeDocument/2006/relationships/hyperlink" Target="ftp://ftp.sac.sk/pub/sac/pack/bix100b7.zip" TargetMode="External"/><Relationship Id="rId220" Type="http://schemas.openxmlformats.org/officeDocument/2006/relationships/hyperlink" Target="http://encode.narod.ru/pim290.zip" TargetMode="External"/><Relationship Id="rId225" Type="http://schemas.openxmlformats.org/officeDocument/2006/relationships/hyperlink" Target="ftp://ftp.sac.sk/pub/sac/pack/grzipiiw.zip" TargetMode="External"/><Relationship Id="rId241" Type="http://schemas.openxmlformats.org/officeDocument/2006/relationships/hyperlink" Target="http://www.kuaizip.com/en/" TargetMode="External"/><Relationship Id="rId246" Type="http://schemas.openxmlformats.org/officeDocument/2006/relationships/hyperlink" Target="http://www.emit.jp/dgca/dgca_v110e.exe" TargetMode="External"/><Relationship Id="rId267" Type="http://schemas.openxmlformats.org/officeDocument/2006/relationships/hyperlink" Target="http://darchiver.narod.ru/dark/dark-0.51-win.zip" TargetMode="External"/><Relationship Id="rId288" Type="http://schemas.openxmlformats.org/officeDocument/2006/relationships/hyperlink" Target="http://freearc.org/" TargetMode="External"/><Relationship Id="rId15" Type="http://schemas.openxmlformats.org/officeDocument/2006/relationships/hyperlink" Target="http://libbsc.com/" TargetMode="External"/><Relationship Id="rId36" Type="http://schemas.openxmlformats.org/officeDocument/2006/relationships/hyperlink" Target="https://sites.google.com/site/sbcarchiver" TargetMode="External"/><Relationship Id="rId57" Type="http://schemas.openxmlformats.org/officeDocument/2006/relationships/hyperlink" Target="http://ultra7z.ru/" TargetMode="External"/><Relationship Id="rId106" Type="http://schemas.openxmlformats.org/officeDocument/2006/relationships/hyperlink" Target="ftp://ftp.sac.sk/pub/sac/pack/pkze110s.exe" TargetMode="External"/><Relationship Id="rId127" Type="http://schemas.openxmlformats.org/officeDocument/2006/relationships/hyperlink" Target="http://www.senthilkumarr.com/" TargetMode="External"/><Relationship Id="rId262" Type="http://schemas.openxmlformats.org/officeDocument/2006/relationships/hyperlink" Target="http://stcompression.com/" TargetMode="External"/><Relationship Id="rId283" Type="http://schemas.openxmlformats.org/officeDocument/2006/relationships/hyperlink" Target="http://mattmahoney.net/dc/lazy100.zip" TargetMode="External"/><Relationship Id="rId313" Type="http://schemas.openxmlformats.org/officeDocument/2006/relationships/hyperlink" Target="http://encode.ru/attachment.php?attachmentid=2570&amp;d=1386072524" TargetMode="External"/><Relationship Id="rId318" Type="http://schemas.openxmlformats.org/officeDocument/2006/relationships/hyperlink" Target="http://encode.ru/attachment.php?attachmentid=2622&amp;d=1386604070" TargetMode="External"/><Relationship Id="rId10" Type="http://schemas.openxmlformats.org/officeDocument/2006/relationships/hyperlink" Target="http://www.winzip.com/" TargetMode="External"/><Relationship Id="rId31" Type="http://schemas.openxmlformats.org/officeDocument/2006/relationships/hyperlink" Target="http://www.compressionratings.com/files/squeezechart_mobile.7z" TargetMode="External"/><Relationship Id="rId52" Type="http://schemas.openxmlformats.org/officeDocument/2006/relationships/hyperlink" Target="http://cbloom.com/" TargetMode="External"/><Relationship Id="rId73" Type="http://schemas.openxmlformats.org/officeDocument/2006/relationships/hyperlink" Target="ftp://ftp.sac.sk/pub/sac/pack/wbcomp.zip" TargetMode="External"/><Relationship Id="rId78" Type="http://schemas.openxmlformats.org/officeDocument/2006/relationships/hyperlink" Target="ftp://ftp.sac.sk/pub/sac/pack/splint.zip" TargetMode="External"/><Relationship Id="rId94" Type="http://schemas.openxmlformats.org/officeDocument/2006/relationships/hyperlink" Target="http://bcrunch.online.fr/" TargetMode="External"/><Relationship Id="rId99" Type="http://schemas.openxmlformats.org/officeDocument/2006/relationships/hyperlink" Target="http://ftk.ys168.com/note/fd.htm?http://ys-F.ys168.com/1.0/272044716/o535K477I5I2PfRiRJUHws/CSC32.exe" TargetMode="External"/><Relationship Id="rId101" Type="http://schemas.openxmlformats.org/officeDocument/2006/relationships/hyperlink" Target="ftp://ftp.sac.sk/pub/sac/pack/ttcomp.zip" TargetMode="External"/><Relationship Id="rId122" Type="http://schemas.openxmlformats.org/officeDocument/2006/relationships/hyperlink" Target="http://www.matcode.com/lzmat.htm" TargetMode="External"/><Relationship Id="rId143" Type="http://schemas.openxmlformats.org/officeDocument/2006/relationships/hyperlink" Target="ftp://ftp.sac.sk/pub/sac/pack/arjz015.zip" TargetMode="External"/><Relationship Id="rId148" Type="http://schemas.openxmlformats.org/officeDocument/2006/relationships/hyperlink" Target="ftp://ftp.sac.sk/pub/sac/pack/dzip29.exe" TargetMode="External"/><Relationship Id="rId164" Type="http://schemas.openxmlformats.org/officeDocument/2006/relationships/hyperlink" Target="ftp://ftp.sac.sk/pub/sac/pack/rdm006be.zip" TargetMode="External"/><Relationship Id="rId169" Type="http://schemas.openxmlformats.org/officeDocument/2006/relationships/hyperlink" Target="http://freearc.org/download/research/tornado04.zip" TargetMode="External"/><Relationship Id="rId185" Type="http://schemas.openxmlformats.org/officeDocument/2006/relationships/hyperlink" Target="http://code.google.com/p/comprox/" TargetMode="External"/><Relationship Id="rId4" Type="http://schemas.openxmlformats.org/officeDocument/2006/relationships/hyperlink" Target="http://www.nanozip.net/" TargetMode="External"/><Relationship Id="rId9" Type="http://schemas.openxmlformats.org/officeDocument/2006/relationships/hyperlink" Target="http://www.winzip.com/" TargetMode="External"/><Relationship Id="rId180" Type="http://schemas.openxmlformats.org/officeDocument/2006/relationships/hyperlink" Target="ftp://ftp.sac.sk/pub/sac/pack/lgha11g.zip" TargetMode="External"/><Relationship Id="rId210" Type="http://schemas.openxmlformats.org/officeDocument/2006/relationships/hyperlink" Target="ftp://ftp.sac.sk/pub/sac/pack/ufa004b1.zip" TargetMode="External"/><Relationship Id="rId215" Type="http://schemas.openxmlformats.org/officeDocument/2006/relationships/hyperlink" Target="ftp://ftp.sac.sk/pub/sac/pack/stuff85e.exe" TargetMode="External"/><Relationship Id="rId236" Type="http://schemas.openxmlformats.org/officeDocument/2006/relationships/hyperlink" Target="ftp://ftp.sac.sk/pub/sac/pack/abc_24.zip" TargetMode="External"/><Relationship Id="rId257" Type="http://schemas.openxmlformats.org/officeDocument/2006/relationships/hyperlink" Target="http://www.cs.fit.edu/~mmahoney/compression/lpaq1v2.zip" TargetMode="External"/><Relationship Id="rId278" Type="http://schemas.openxmlformats.org/officeDocument/2006/relationships/hyperlink" Target="http://compgt.googlepages.com/lz77" TargetMode="External"/><Relationship Id="rId26" Type="http://schemas.openxmlformats.org/officeDocument/2006/relationships/hyperlink" Target="http://fastcompression.blogspot.de/p/lz4.html" TargetMode="External"/><Relationship Id="rId231" Type="http://schemas.openxmlformats.org/officeDocument/2006/relationships/hyperlink" Target="http://forrox.narod.ru/files/bma_1.33beta.rar" TargetMode="External"/><Relationship Id="rId252" Type="http://schemas.openxmlformats.org/officeDocument/2006/relationships/hyperlink" Target="http://www.michael-maniscalco.com/downloads/M03.zip" TargetMode="External"/><Relationship Id="rId273" Type="http://schemas.openxmlformats.org/officeDocument/2006/relationships/hyperlink" Target="http://bijective.dogma.net/arbcx.zip" TargetMode="External"/><Relationship Id="rId294" Type="http://schemas.openxmlformats.org/officeDocument/2006/relationships/hyperlink" Target="http://mattmahoney.net/dc/zpaq.html" TargetMode="External"/><Relationship Id="rId308" Type="http://schemas.openxmlformats.org/officeDocument/2006/relationships/hyperlink" Target="https://bitbucket.org/attila_afra/doboz" TargetMode="External"/><Relationship Id="rId329" Type="http://schemas.openxmlformats.org/officeDocument/2006/relationships/vmlDrawing" Target="../drawings/vmlDrawing1.vml"/><Relationship Id="rId47" Type="http://schemas.openxmlformats.org/officeDocument/2006/relationships/hyperlink" Target="http://sourceforge.net/projects/ciderpress/" TargetMode="External"/><Relationship Id="rId68" Type="http://schemas.openxmlformats.org/officeDocument/2006/relationships/hyperlink" Target="ftp://ftp.sac.sk/pub/sac/pack/gas20.zip" TargetMode="External"/><Relationship Id="rId89" Type="http://schemas.openxmlformats.org/officeDocument/2006/relationships/hyperlink" Target="ftp://ftp.sac.sk/pub/sac/pack/ddjcompr.zip" TargetMode="External"/><Relationship Id="rId112" Type="http://schemas.openxmlformats.org/officeDocument/2006/relationships/hyperlink" Target="ftp://ftp.sac.sk/pub/sac/pack/hyper26.zip" TargetMode="External"/><Relationship Id="rId133" Type="http://schemas.openxmlformats.org/officeDocument/2006/relationships/hyperlink" Target="ftp://ftp.sac.sk/pub/sac/pack/ar002.zip" TargetMode="External"/><Relationship Id="rId154" Type="http://schemas.openxmlformats.org/officeDocument/2006/relationships/hyperlink" Target="ftp://ftp.sac.sk/pub/sac/pack/amgc22.zip" TargetMode="External"/><Relationship Id="rId175" Type="http://schemas.openxmlformats.org/officeDocument/2006/relationships/hyperlink" Target="http://heartofcomp.altervista.org/" TargetMode="External"/><Relationship Id="rId196" Type="http://schemas.openxmlformats.org/officeDocument/2006/relationships/hyperlink" Target="ftp://ftp.sac.sk/pub/sac/pack/xtrem106.zip" TargetMode="External"/><Relationship Id="rId200" Type="http://schemas.openxmlformats.org/officeDocument/2006/relationships/hyperlink" Target="http://12g.com/ghosts.htm" TargetMode="External"/><Relationship Id="rId16" Type="http://schemas.openxmlformats.org/officeDocument/2006/relationships/hyperlink" Target="http://www.winzip.com/" TargetMode="External"/><Relationship Id="rId221" Type="http://schemas.openxmlformats.org/officeDocument/2006/relationships/hyperlink" Target="http://sites.google.com/site/toffer86/cmm4_02b_010908.7z/" TargetMode="External"/><Relationship Id="rId242" Type="http://schemas.openxmlformats.org/officeDocument/2006/relationships/hyperlink" Target="http://www.7-zip.org/sdk.html" TargetMode="External"/><Relationship Id="rId263" Type="http://schemas.openxmlformats.org/officeDocument/2006/relationships/hyperlink" Target="http://schnaader.info/precomp.php" TargetMode="External"/><Relationship Id="rId284" Type="http://schemas.openxmlformats.org/officeDocument/2006/relationships/hyperlink" Target="http://encode.ru/attachment.php?attachmentid=1767&amp;d=1323796993" TargetMode="External"/><Relationship Id="rId319" Type="http://schemas.openxmlformats.org/officeDocument/2006/relationships/hyperlink" Target="https://www.dropbox.com/s/uq0nwgvr12ylut4/packARC%20v0.7RC11%20%28beta!%29%20%28GPL%29.zip" TargetMode="External"/><Relationship Id="rId37" Type="http://schemas.openxmlformats.org/officeDocument/2006/relationships/hyperlink" Target="http://www.compression.ru/ds/" TargetMode="External"/><Relationship Id="rId58" Type="http://schemas.openxmlformats.org/officeDocument/2006/relationships/hyperlink" Target="http://heartofcomp.altervista.org/zcm.zip" TargetMode="External"/><Relationship Id="rId79" Type="http://schemas.openxmlformats.org/officeDocument/2006/relationships/hyperlink" Target="ftp://ftp.sac.sk/pub/sac/pack/arca129.zip" TargetMode="External"/><Relationship Id="rId102" Type="http://schemas.openxmlformats.org/officeDocument/2006/relationships/hyperlink" Target="ftp://ftp.sac.sk/pub/sac/pack/tscomp.zip" TargetMode="External"/><Relationship Id="rId123" Type="http://schemas.openxmlformats.org/officeDocument/2006/relationships/hyperlink" Target="ftp://ftp.sac.sk/pub/sac/pack/sbx14.zip" TargetMode="External"/><Relationship Id="rId144" Type="http://schemas.openxmlformats.org/officeDocument/2006/relationships/hyperlink" Target="ftp://ftp.sac.sk/pub/sac/pack/bsa.zip" TargetMode="External"/><Relationship Id="rId330" Type="http://schemas.openxmlformats.org/officeDocument/2006/relationships/image" Target="../media/image2.png"/><Relationship Id="rId90" Type="http://schemas.openxmlformats.org/officeDocument/2006/relationships/hyperlink" Target="ftp://ftp.sac.sk/pub/sac/pack/ddjcompr.zip" TargetMode="External"/><Relationship Id="rId165" Type="http://schemas.openxmlformats.org/officeDocument/2006/relationships/hyperlink" Target="ftp://ftp.sac.sk/pub/sac/pack/dca101.exe" TargetMode="External"/><Relationship Id="rId186" Type="http://schemas.openxmlformats.org/officeDocument/2006/relationships/hyperlink" Target="http://code.google.com/p/comprox/" TargetMode="External"/><Relationship Id="rId211" Type="http://schemas.openxmlformats.org/officeDocument/2006/relationships/hyperlink" Target="ftp://ftp.sac.sk/pub/sac/pack/ppmn_km.rar" TargetMode="External"/><Relationship Id="rId232" Type="http://schemas.openxmlformats.org/officeDocument/2006/relationships/hyperlink" Target="ftp://ftp.sac.sk/pub/sac/pack/ybs003fw.zip" TargetMode="External"/><Relationship Id="rId253" Type="http://schemas.openxmlformats.org/officeDocument/2006/relationships/hyperlink" Target="http://cs.fit.edu/~mmahoney/compression/bbb.exe" TargetMode="External"/><Relationship Id="rId274" Type="http://schemas.openxmlformats.org/officeDocument/2006/relationships/hyperlink" Target="http://shelwien.googlepages.com/fpaq0pv4b.rar" TargetMode="External"/><Relationship Id="rId295" Type="http://schemas.openxmlformats.org/officeDocument/2006/relationships/hyperlink" Target="http://code.google.com/p/miniz/" TargetMode="External"/><Relationship Id="rId309" Type="http://schemas.openxmlformats.org/officeDocument/2006/relationships/hyperlink" Target="http://www.b1.org/" TargetMode="External"/><Relationship Id="rId27" Type="http://schemas.openxmlformats.org/officeDocument/2006/relationships/hyperlink" Target="http://www.squeezechart.com/TEST_Audio.arc" TargetMode="External"/><Relationship Id="rId48" Type="http://schemas.openxmlformats.org/officeDocument/2006/relationships/hyperlink" Target="http://ftp.sac.sk/sac/pack/" TargetMode="External"/><Relationship Id="rId69" Type="http://schemas.openxmlformats.org/officeDocument/2006/relationships/hyperlink" Target="http://bindesh.youneedme.googlepages.com/RLC.zip" TargetMode="External"/><Relationship Id="rId113" Type="http://schemas.openxmlformats.org/officeDocument/2006/relationships/hyperlink" Target="ftp://ftp.sac.sk/pub/sac/pack/esp_v192.exe" TargetMode="External"/><Relationship Id="rId134" Type="http://schemas.openxmlformats.org/officeDocument/2006/relationships/hyperlink" Target="ftp://ftp.sac.sk/pub/sac/pack/car150.zip" TargetMode="External"/><Relationship Id="rId320" Type="http://schemas.openxmlformats.org/officeDocument/2006/relationships/hyperlink" Target="http://mattmahoney.net/dc/zpaq.html" TargetMode="External"/><Relationship Id="rId80" Type="http://schemas.openxmlformats.org/officeDocument/2006/relationships/hyperlink" Target="ftp://ftp.sac.sk/pub/sac/pack/tlzrw1.zip" TargetMode="External"/><Relationship Id="rId155" Type="http://schemas.openxmlformats.org/officeDocument/2006/relationships/hyperlink" Target="ftp://ftp.sac.sk/pub/sac/pack/quark10b.zip" TargetMode="External"/><Relationship Id="rId176" Type="http://schemas.openxmlformats.org/officeDocument/2006/relationships/hyperlink" Target="http://heartofcomp.altervista.org/HOOK/home.htm" TargetMode="External"/><Relationship Id="rId197" Type="http://schemas.openxmlformats.org/officeDocument/2006/relationships/hyperlink" Target="https://github.com/lzap" TargetMode="External"/><Relationship Id="rId201" Type="http://schemas.openxmlformats.org/officeDocument/2006/relationships/hyperlink" Target="ftp://ftp.sac.sk/pub/sac/pack/exp1.zip" TargetMode="External"/><Relationship Id="rId222" Type="http://schemas.openxmlformats.org/officeDocument/2006/relationships/hyperlink" Target="http://sites.google.com/site/toffer86/cmm1-src.7z?attredirects=0" TargetMode="External"/><Relationship Id="rId243" Type="http://schemas.openxmlformats.org/officeDocument/2006/relationships/hyperlink" Target="http://ssergeo.narod.ru/bin/bssc.exe" TargetMode="External"/><Relationship Id="rId264" Type="http://schemas.openxmlformats.org/officeDocument/2006/relationships/hyperlink" Target="http://heartofcomp.altervista.org/zcm.zip" TargetMode="External"/><Relationship Id="rId285" Type="http://schemas.openxmlformats.org/officeDocument/2006/relationships/hyperlink" Target="http://encode.ru/attachment.php?attachmentid=2035&amp;d=1350096607" TargetMode="External"/><Relationship Id="rId17" Type="http://schemas.openxmlformats.org/officeDocument/2006/relationships/hyperlink" Target="http://code.google.com/p/lzham/" TargetMode="External"/><Relationship Id="rId38" Type="http://schemas.openxmlformats.org/officeDocument/2006/relationships/hyperlink" Target="http://www.compression.ru/ds/" TargetMode="External"/><Relationship Id="rId59" Type="http://schemas.openxmlformats.org/officeDocument/2006/relationships/hyperlink" Target="http://www.rarlabs.com/" TargetMode="External"/><Relationship Id="rId103" Type="http://schemas.openxmlformats.org/officeDocument/2006/relationships/hyperlink" Target="ftp://ftp.sac.sk/pub/sac/pack/nsk50.zip" TargetMode="External"/><Relationship Id="rId124" Type="http://schemas.openxmlformats.org/officeDocument/2006/relationships/hyperlink" Target="ftp://ftp.sac.sk/pub/sac/pack/abcmp206.zip" TargetMode="External"/><Relationship Id="rId310" Type="http://schemas.openxmlformats.org/officeDocument/2006/relationships/hyperlink" Target="http://libbsc.com/" TargetMode="External"/><Relationship Id="rId70" Type="http://schemas.openxmlformats.org/officeDocument/2006/relationships/hyperlink" Target="ftp://ftp.sac.sk/pub/sac/pack/reduq.zip" TargetMode="External"/><Relationship Id="rId91" Type="http://schemas.openxmlformats.org/officeDocument/2006/relationships/hyperlink" Target="ftp://ftp.sac.sk/pub/sac/pack/ddjcompr.zip" TargetMode="External"/><Relationship Id="rId145" Type="http://schemas.openxmlformats.org/officeDocument/2006/relationships/hyperlink" Target="http://peazip.sourceforge.net/" TargetMode="External"/><Relationship Id="rId166" Type="http://schemas.openxmlformats.org/officeDocument/2006/relationships/hyperlink" Target="ftp://members.aol.com/arjsoftdir/files/jar102x.exe" TargetMode="External"/><Relationship Id="rId187" Type="http://schemas.openxmlformats.org/officeDocument/2006/relationships/hyperlink" Target="http://code.google.com/p/comprox/" TargetMode="External"/><Relationship Id="rId331" Type="http://schemas.openxmlformats.org/officeDocument/2006/relationships/comments" Target="../comments1.xml"/><Relationship Id="rId1" Type="http://schemas.openxmlformats.org/officeDocument/2006/relationships/hyperlink" Target="mailto:squeezechart@gmx.de" TargetMode="External"/><Relationship Id="rId212" Type="http://schemas.openxmlformats.org/officeDocument/2006/relationships/hyperlink" Target="http://mattmahoney.net/dc/paq1.exe" TargetMode="External"/><Relationship Id="rId233" Type="http://schemas.openxmlformats.org/officeDocument/2006/relationships/hyperlink" Target="ftp://ftp.sac.sk/pub/sac/pack/m99.zip" TargetMode="External"/><Relationship Id="rId254" Type="http://schemas.openxmlformats.org/officeDocument/2006/relationships/hyperlink" Target="ftp://ftp.sac.sk/pub/sac/pack/uharc06b.zip" TargetMode="External"/><Relationship Id="rId28" Type="http://schemas.openxmlformats.org/officeDocument/2006/relationships/hyperlink" Target="http://www.compressionratings.com/files/squeezechart_pgm.7z" TargetMode="External"/><Relationship Id="rId49" Type="http://schemas.openxmlformats.org/officeDocument/2006/relationships/hyperlink" Target="ftp://ftp.sac.sk/pub/sac/pack" TargetMode="External"/><Relationship Id="rId114" Type="http://schemas.openxmlformats.org/officeDocument/2006/relationships/hyperlink" Target="http://www.softpedia.com/get/Compression-tools/aPackage.shtml" TargetMode="External"/><Relationship Id="rId275" Type="http://schemas.openxmlformats.org/officeDocument/2006/relationships/hyperlink" Target="http://www.metacompressor.com/download/kwc.zip" TargetMode="External"/><Relationship Id="rId296" Type="http://schemas.openxmlformats.org/officeDocument/2006/relationships/hyperlink" Target="http://freearc.org/download/research/tornado04.zip" TargetMode="External"/><Relationship Id="rId300" Type="http://schemas.openxmlformats.org/officeDocument/2006/relationships/hyperlink" Target="http://encode.narod.ru/bcm014.zip" TargetMode="External"/><Relationship Id="rId60" Type="http://schemas.openxmlformats.org/officeDocument/2006/relationships/hyperlink" Target="http://compressionratings.com/files/mnzip-0.zip" TargetMode="External"/><Relationship Id="rId81" Type="http://schemas.openxmlformats.org/officeDocument/2006/relationships/hyperlink" Target="ftp://ftp.sac.sk/pub/sac/pack/jrc110.zip" TargetMode="External"/><Relationship Id="rId135" Type="http://schemas.openxmlformats.org/officeDocument/2006/relationships/hyperlink" Target="ftp://ftp.sac.sk/pub/sac/pack/sar1.zip" TargetMode="External"/><Relationship Id="rId156" Type="http://schemas.openxmlformats.org/officeDocument/2006/relationships/hyperlink" Target="ftp://ftp.sac.sk/pub/sac/pack/sky115.zip" TargetMode="External"/><Relationship Id="rId177" Type="http://schemas.openxmlformats.org/officeDocument/2006/relationships/hyperlink" Target="http://encode.ru/attachment.php?attachmentid=1958&amp;d=1339160220" TargetMode="External"/><Relationship Id="rId198" Type="http://schemas.openxmlformats.org/officeDocument/2006/relationships/hyperlink" Target="http://nuwen.net/download/bwtzip.zip" TargetMode="External"/><Relationship Id="rId321" Type="http://schemas.openxmlformats.org/officeDocument/2006/relationships/hyperlink" Target="http://encode.ru/attachment.php?attachmentid=2649&amp;d=1387326373" TargetMode="External"/><Relationship Id="rId202" Type="http://schemas.openxmlformats.org/officeDocument/2006/relationships/hyperlink" Target="http://compression.ca/pbzip2/" TargetMode="External"/><Relationship Id="rId223" Type="http://schemas.openxmlformats.org/officeDocument/2006/relationships/hyperlink" Target="http://sites.google.com/site/ctxtree/xpv5.rar?attredirects=0" TargetMode="External"/><Relationship Id="rId244" Type="http://schemas.openxmlformats.org/officeDocument/2006/relationships/hyperlink" Target="ftp://ftp.sac.sk/pub/sac/pack/qlfc6_6w.rar" TargetMode="External"/><Relationship Id="rId18" Type="http://schemas.openxmlformats.org/officeDocument/2006/relationships/hyperlink" Target="http://code.google.com/p/lzham/" TargetMode="External"/><Relationship Id="rId39" Type="http://schemas.openxmlformats.org/officeDocument/2006/relationships/hyperlink" Target="http://www.compression.ru/ds/" TargetMode="External"/><Relationship Id="rId265" Type="http://schemas.openxmlformats.org/officeDocument/2006/relationships/hyperlink" Target="http://code.google.com/p/comprox/" TargetMode="External"/><Relationship Id="rId286" Type="http://schemas.openxmlformats.org/officeDocument/2006/relationships/hyperlink" Target="http://heartofcomp.altervista.org/zcm.zip" TargetMode="External"/><Relationship Id="rId50" Type="http://schemas.openxmlformats.org/officeDocument/2006/relationships/hyperlink" Target="ftp://ftp.sac.sk/pub/sac/pack/uharc06b.zip" TargetMode="External"/><Relationship Id="rId104" Type="http://schemas.openxmlformats.org/officeDocument/2006/relationships/hyperlink" Target="ftp://ftp.sac.sk/pub/sac/pack/dwc-a510.exe" TargetMode="External"/><Relationship Id="rId125" Type="http://schemas.openxmlformats.org/officeDocument/2006/relationships/hyperlink" Target="ftp://ftp.sac.sk/pub/sac/pack/lzop103w.zip" TargetMode="External"/><Relationship Id="rId146" Type="http://schemas.openxmlformats.org/officeDocument/2006/relationships/hyperlink" Target="ftp://ftp.sac.sk/pub/sac/pack/vuzip18.exe" TargetMode="External"/><Relationship Id="rId167" Type="http://schemas.openxmlformats.org/officeDocument/2006/relationships/hyperlink" Target="http://freearc.org/download/research/4x4ver01.zip" TargetMode="External"/><Relationship Id="rId188" Type="http://schemas.openxmlformats.org/officeDocument/2006/relationships/hyperlink" Target="ftp://ftp.sac.sk/pub/sac/pack/x1nt95a.zip" TargetMode="External"/><Relationship Id="rId311" Type="http://schemas.openxmlformats.org/officeDocument/2006/relationships/hyperlink" Target="http://libbsc.com/" TargetMode="External"/><Relationship Id="rId71" Type="http://schemas.openxmlformats.org/officeDocument/2006/relationships/hyperlink" Target="http://compressionratings.com/files/mtcompressor-1.0.7z" TargetMode="External"/><Relationship Id="rId92" Type="http://schemas.openxmlformats.org/officeDocument/2006/relationships/hyperlink" Target="http://code.google.com/p/fastlz/downloads/list" TargetMode="External"/><Relationship Id="rId213" Type="http://schemas.openxmlformats.org/officeDocument/2006/relationships/hyperlink" Target="http://www.iceows.com/Download/Ice420U.exe" TargetMode="External"/><Relationship Id="rId234" Type="http://schemas.openxmlformats.org/officeDocument/2006/relationships/hyperlink" Target="ftp://ftp.sac.sk/pub/sac/pack/winrk312.exe" TargetMode="External"/><Relationship Id="rId2" Type="http://schemas.openxmlformats.org/officeDocument/2006/relationships/hyperlink" Target="http://www.ezcodesample.com/rolz/iROLZ.exe" TargetMode="External"/><Relationship Id="rId29" Type="http://schemas.openxmlformats.org/officeDocument/2006/relationships/hyperlink" Target="http://www.compressionratings.com/files/squeezechart_src.7z" TargetMode="External"/><Relationship Id="rId255" Type="http://schemas.openxmlformats.org/officeDocument/2006/relationships/hyperlink" Target="http://www.sp-download.de/sq5/sq5u_x64.exe" TargetMode="External"/><Relationship Id="rId276" Type="http://schemas.openxmlformats.org/officeDocument/2006/relationships/hyperlink" Target="http://essensolabs.com/" TargetMode="External"/><Relationship Id="rId297" Type="http://schemas.openxmlformats.org/officeDocument/2006/relationships/hyperlink" Target="http://encode.ru/attachment.php?attachmentid=2361&amp;d=1371506860" TargetMode="External"/><Relationship Id="rId40" Type="http://schemas.openxmlformats.org/officeDocument/2006/relationships/hyperlink" Target="http://www.compression.ru/ds/" TargetMode="External"/><Relationship Id="rId115" Type="http://schemas.openxmlformats.org/officeDocument/2006/relationships/hyperlink" Target="http://cbloom.com/src/index_lz.html" TargetMode="External"/><Relationship Id="rId136" Type="http://schemas.openxmlformats.org/officeDocument/2006/relationships/hyperlink" Target="http://www.softpedia.com/get/Compression-tools/CHAOS-Compressor.shtml" TargetMode="External"/><Relationship Id="rId157" Type="http://schemas.openxmlformats.org/officeDocument/2006/relationships/hyperlink" Target="http://homepage3.nifty.com/micco/dlfile/LMEL165C.EXE" TargetMode="External"/><Relationship Id="rId178" Type="http://schemas.openxmlformats.org/officeDocument/2006/relationships/hyperlink" Target="http://heartofcomp.altervista.org/" TargetMode="External"/><Relationship Id="rId301" Type="http://schemas.openxmlformats.org/officeDocument/2006/relationships/hyperlink" Target="http://sourceforge.net/projects/crush/" TargetMode="External"/><Relationship Id="rId322" Type="http://schemas.openxmlformats.org/officeDocument/2006/relationships/hyperlink" Target="https://github.com/richox/zling" TargetMode="External"/><Relationship Id="rId61" Type="http://schemas.openxmlformats.org/officeDocument/2006/relationships/hyperlink" Target="http://www.stuffit.com/" TargetMode="External"/><Relationship Id="rId82" Type="http://schemas.openxmlformats.org/officeDocument/2006/relationships/hyperlink" Target="ftp://ftp.sac.sk/pub/sac/pack/blink.zip" TargetMode="External"/><Relationship Id="rId199" Type="http://schemas.openxmlformats.org/officeDocument/2006/relationships/hyperlink" Target="ftp://ftp.sac.sk/pub/sac/pack/dst09b.zip" TargetMode="External"/><Relationship Id="rId203" Type="http://schemas.openxmlformats.org/officeDocument/2006/relationships/hyperlink" Target="http://freecode.com/projects/lbzip2" TargetMode="External"/><Relationship Id="rId19" Type="http://schemas.openxmlformats.org/officeDocument/2006/relationships/hyperlink" Target="http://www.rarlabs.com/" TargetMode="External"/><Relationship Id="rId224" Type="http://schemas.openxmlformats.org/officeDocument/2006/relationships/hyperlink" Target="http://compressionratings.com/files/ecp-0.e.s.zip" TargetMode="External"/><Relationship Id="rId245" Type="http://schemas.openxmlformats.org/officeDocument/2006/relationships/hyperlink" Target="ftp://ftp.sac.sk/pub/sac/pack/ppmvc10.zip" TargetMode="External"/><Relationship Id="rId266" Type="http://schemas.openxmlformats.org/officeDocument/2006/relationships/hyperlink" Target="http://comprox.googlecode.com/files/comprolz-0.1.0.tar.gz" TargetMode="External"/><Relationship Id="rId287" Type="http://schemas.openxmlformats.org/officeDocument/2006/relationships/hyperlink" Target="http://heartofcomp.altervista.org/" TargetMode="External"/><Relationship Id="rId30" Type="http://schemas.openxmlformats.org/officeDocument/2006/relationships/hyperlink" Target="http://www.compressionratings.com/files/squeezechart_xml.7z" TargetMode="External"/><Relationship Id="rId105" Type="http://schemas.openxmlformats.org/officeDocument/2006/relationships/hyperlink" Target="ftp://ftp.sac.sk/pub/sac/pack/ucl101.tgz" TargetMode="External"/><Relationship Id="rId126" Type="http://schemas.openxmlformats.org/officeDocument/2006/relationships/hyperlink" Target="ftp://ftp.sac.sk/pub/sac/pack/noah110.zip" TargetMode="External"/><Relationship Id="rId147" Type="http://schemas.openxmlformats.org/officeDocument/2006/relationships/hyperlink" Target="ftp://ftp.sac.sk/pub/sac/pack/zet010.zip" TargetMode="External"/><Relationship Id="rId168" Type="http://schemas.openxmlformats.org/officeDocument/2006/relationships/hyperlink" Target="http://freearc.org/download/research/tornado01.zip" TargetMode="External"/><Relationship Id="rId312" Type="http://schemas.openxmlformats.org/officeDocument/2006/relationships/hyperlink" Target="http://www.winzip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schnaader.info/paq8o8pre.zip" TargetMode="External"/><Relationship Id="rId18" Type="http://schemas.openxmlformats.org/officeDocument/2006/relationships/hyperlink" Target="ftp://ftp.sac.sk/pub/sac/pack/ocamyd.zip" TargetMode="External"/><Relationship Id="rId26" Type="http://schemas.openxmlformats.org/officeDocument/2006/relationships/hyperlink" Target="http://mattmahoney.net/dc/paqar4.rar" TargetMode="External"/><Relationship Id="rId39" Type="http://schemas.openxmlformats.org/officeDocument/2006/relationships/hyperlink" Target="http://encode.narod.ru/pimple143.zip" TargetMode="External"/><Relationship Id="rId3" Type="http://schemas.openxmlformats.org/officeDocument/2006/relationships/hyperlink" Target="http://www.compressionratings.com/files/squeezechart_src.7z" TargetMode="External"/><Relationship Id="rId21" Type="http://schemas.openxmlformats.org/officeDocument/2006/relationships/hyperlink" Target="http://mattmahoney.net/dc/paq4-emilcont-duritium.exe" TargetMode="External"/><Relationship Id="rId34" Type="http://schemas.openxmlformats.org/officeDocument/2006/relationships/hyperlink" Target="http://mattmahoney.net/dc/lcssr02.zip" TargetMode="External"/><Relationship Id="rId42" Type="http://schemas.openxmlformats.org/officeDocument/2006/relationships/hyperlink" Target="ftp://ftp.sac.sk/pub/sac/pack/ctw01w32.zip" TargetMode="External"/><Relationship Id="rId47" Type="http://schemas.openxmlformats.org/officeDocument/2006/relationships/hyperlink" Target="http://www.squeezechart.com/TEST_Audio.arc" TargetMode="External"/><Relationship Id="rId50" Type="http://schemas.openxmlformats.org/officeDocument/2006/relationships/printerSettings" Target="../printerSettings/printerSettings5.bin"/><Relationship Id="rId7" Type="http://schemas.openxmlformats.org/officeDocument/2006/relationships/hyperlink" Target="http://www.compressionratings.com/files/squeezechart_app.7z" TargetMode="External"/><Relationship Id="rId12" Type="http://schemas.openxmlformats.org/officeDocument/2006/relationships/hyperlink" Target="ftp://ftp.sac.sk/pub/sac/pack" TargetMode="External"/><Relationship Id="rId17" Type="http://schemas.openxmlformats.org/officeDocument/2006/relationships/hyperlink" Target="http://jveness.info/software/cts-v1.zip" TargetMode="External"/><Relationship Id="rId25" Type="http://schemas.openxmlformats.org/officeDocument/2006/relationships/hyperlink" Target="http://mattmahoney.net/dc/paq8l.zip" TargetMode="External"/><Relationship Id="rId33" Type="http://schemas.openxmlformats.org/officeDocument/2006/relationships/hyperlink" Target="http://www.geocities.ws/ocamyd/" TargetMode="External"/><Relationship Id="rId38" Type="http://schemas.openxmlformats.org/officeDocument/2006/relationships/hyperlink" Target="ftp://ftp.sac.sk/pub/sac/pack/rk104a1w.exe" TargetMode="External"/><Relationship Id="rId46" Type="http://schemas.openxmlformats.org/officeDocument/2006/relationships/hyperlink" Target="ftp://ftp.sac.sk/pub/sac/pack/acb_200c.zip" TargetMode="External"/><Relationship Id="rId2" Type="http://schemas.openxmlformats.org/officeDocument/2006/relationships/hyperlink" Target="http://www.compressionratings.com/files/squeezechart_pgm.7z" TargetMode="External"/><Relationship Id="rId16" Type="http://schemas.openxmlformats.org/officeDocument/2006/relationships/hyperlink" Target="http://tpi.sourceforge.jp/index.php/News" TargetMode="External"/><Relationship Id="rId20" Type="http://schemas.openxmlformats.org/officeDocument/2006/relationships/hyperlink" Target="ftp://ftp.sac.sk/pub/sac/pack/slim023d.zip" TargetMode="External"/><Relationship Id="rId29" Type="http://schemas.openxmlformats.org/officeDocument/2006/relationships/hyperlink" Target="http://mattmahoney.net/dc/paq8i.zip" TargetMode="External"/><Relationship Id="rId41" Type="http://schemas.openxmlformats.org/officeDocument/2006/relationships/hyperlink" Target="ftp://ftp.sac.sk/pub/sac/pack/777004b1.zip" TargetMode="External"/><Relationship Id="rId54" Type="http://schemas.openxmlformats.org/officeDocument/2006/relationships/comments" Target="../comments2.xml"/><Relationship Id="rId1" Type="http://schemas.openxmlformats.org/officeDocument/2006/relationships/hyperlink" Target="mailto:squeezechart%20(at)%20gmx.de" TargetMode="External"/><Relationship Id="rId6" Type="http://schemas.openxmlformats.org/officeDocument/2006/relationships/hyperlink" Target="http://www.compressionratings.com/files/squeezechart_gutenberg.7z" TargetMode="External"/><Relationship Id="rId11" Type="http://schemas.openxmlformats.org/officeDocument/2006/relationships/hyperlink" Target="http://ftp.sac.sk/sac/pack/" TargetMode="External"/><Relationship Id="rId24" Type="http://schemas.openxmlformats.org/officeDocument/2006/relationships/hyperlink" Target="http://mattmahoney.net/dc/paq8jd.zip" TargetMode="External"/><Relationship Id="rId32" Type="http://schemas.openxmlformats.org/officeDocument/2006/relationships/hyperlink" Target="http://code.google.com/p/barred/" TargetMode="External"/><Relationship Id="rId37" Type="http://schemas.openxmlformats.org/officeDocument/2006/relationships/hyperlink" Target="ftp://ftp.sac.sk/pub/sac/pack/quant097.zip" TargetMode="External"/><Relationship Id="rId40" Type="http://schemas.openxmlformats.org/officeDocument/2006/relationships/hyperlink" Target="ftp://ftp.sac.sk/pub/sac/pack/enc015.zip" TargetMode="External"/><Relationship Id="rId45" Type="http://schemas.openxmlformats.org/officeDocument/2006/relationships/hyperlink" Target="ftp://ftp.sac.sk/pub/sac/pack/top4.zip" TargetMode="External"/><Relationship Id="rId53" Type="http://schemas.openxmlformats.org/officeDocument/2006/relationships/image" Target="../media/image2.png"/><Relationship Id="rId5" Type="http://schemas.openxmlformats.org/officeDocument/2006/relationships/hyperlink" Target="http://www.compressionratings.com/files/squeezechart_mobile.7z" TargetMode="External"/><Relationship Id="rId15" Type="http://schemas.openxmlformats.org/officeDocument/2006/relationships/hyperlink" Target="http://encode.ru/attachment.php?attachmentid=1946&amp;d=1336895016" TargetMode="External"/><Relationship Id="rId23" Type="http://schemas.openxmlformats.org/officeDocument/2006/relationships/hyperlink" Target="ftp://ftp.sac.sk/pub/sac/pack/uda0301s.zip" TargetMode="External"/><Relationship Id="rId28" Type="http://schemas.openxmlformats.org/officeDocument/2006/relationships/hyperlink" Target="http://www.ii.uni.wroc.pl/~inikep/research/paq8d.zip" TargetMode="External"/><Relationship Id="rId36" Type="http://schemas.openxmlformats.org/officeDocument/2006/relationships/hyperlink" Target="http://mattmahoney.net/dc/text.html" TargetMode="External"/><Relationship Id="rId49" Type="http://schemas.openxmlformats.org/officeDocument/2006/relationships/hyperlink" Target="http://encode.ru/attachment.php?attachmentid=2355&amp;d=1371488428" TargetMode="External"/><Relationship Id="rId10" Type="http://schemas.openxmlformats.org/officeDocument/2006/relationships/hyperlink" Target="http://www.compressionratings.com/files/squeezechart_installer.7z" TargetMode="External"/><Relationship Id="rId19" Type="http://schemas.openxmlformats.org/officeDocument/2006/relationships/hyperlink" Target="ftp://ftp.sac.sk/pub/sac/pack/slim0021.zip" TargetMode="External"/><Relationship Id="rId31" Type="http://schemas.openxmlformats.org/officeDocument/2006/relationships/hyperlink" Target="http://sourceforge.net/projects/staticcomp/files/" TargetMode="External"/><Relationship Id="rId44" Type="http://schemas.openxmlformats.org/officeDocument/2006/relationships/hyperlink" Target="ftp://ftp.sac.sk/pub/sac/pack/scrnch.zip" TargetMode="External"/><Relationship Id="rId52" Type="http://schemas.openxmlformats.org/officeDocument/2006/relationships/vmlDrawing" Target="../drawings/vmlDrawing2.vml"/><Relationship Id="rId4" Type="http://schemas.openxmlformats.org/officeDocument/2006/relationships/hyperlink" Target="http://www.compressionratings.com/files/squeezechart_xml.7z" TargetMode="External"/><Relationship Id="rId9" Type="http://schemas.openxmlformats.org/officeDocument/2006/relationships/hyperlink" Target="http://encode.ru/threads/613-FP8-(-Fast-PAQ8)" TargetMode="External"/><Relationship Id="rId14" Type="http://schemas.openxmlformats.org/officeDocument/2006/relationships/hyperlink" Target="http://encode.ru/threads/613-FP8-(-Fast-PAQ8)" TargetMode="External"/><Relationship Id="rId22" Type="http://schemas.openxmlformats.org/officeDocument/2006/relationships/hyperlink" Target="http://mattmahoney.net/dc/paq7.exe" TargetMode="External"/><Relationship Id="rId27" Type="http://schemas.openxmlformats.org/officeDocument/2006/relationships/hyperlink" Target="http://www.ii.uni.wroc.pl/~inikep/research/pasqda44.zip" TargetMode="External"/><Relationship Id="rId30" Type="http://schemas.openxmlformats.org/officeDocument/2006/relationships/hyperlink" Target="http://encode.ru/attachment.php?attachmentid=1735&amp;d=1322242897" TargetMode="External"/><Relationship Id="rId35" Type="http://schemas.openxmlformats.org/officeDocument/2006/relationships/hyperlink" Target="http://www.ctxmodel.net/files/ASH/ash07.rar" TargetMode="External"/><Relationship Id="rId43" Type="http://schemas.openxmlformats.org/officeDocument/2006/relationships/hyperlink" Target="ftp://ftp.sac.sk/pub/sac/pack/boa058.zip" TargetMode="External"/><Relationship Id="rId48" Type="http://schemas.openxmlformats.org/officeDocument/2006/relationships/hyperlink" Target="http://www.imagecompression.info/test_images/squeezechart_camera_raw.zip" TargetMode="External"/><Relationship Id="rId8" Type="http://schemas.openxmlformats.org/officeDocument/2006/relationships/hyperlink" Target="http://www.compression.ru/ds/" TargetMode="External"/><Relationship Id="rId5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real.com/" TargetMode="External"/><Relationship Id="rId117" Type="http://schemas.openxmlformats.org/officeDocument/2006/relationships/hyperlink" Target="http://www.hydrogenaudio.org/forums/index.php?showtopic=90519" TargetMode="External"/><Relationship Id="rId21" Type="http://schemas.openxmlformats.org/officeDocument/2006/relationships/hyperlink" Target="http://www.krishnasoft.com/sps.htm" TargetMode="External"/><Relationship Id="rId42" Type="http://schemas.openxmlformats.org/officeDocument/2006/relationships/hyperlink" Target="http://audacity.sourceforge.net/" TargetMode="External"/><Relationship Id="rId47" Type="http://schemas.openxmlformats.org/officeDocument/2006/relationships/hyperlink" Target="http://ftp.sac.sk/sac/pack/vocpak10.zip" TargetMode="External"/><Relationship Id="rId63" Type="http://schemas.openxmlformats.org/officeDocument/2006/relationships/hyperlink" Target="http://www.wavpack.com/" TargetMode="External"/><Relationship Id="rId68" Type="http://schemas.openxmlformats.org/officeDocument/2006/relationships/hyperlink" Target="http://www.nue.tu-berlin.de/menue/forschung/projekte/beendete_projekte/mpeg-4_audio_lossless_coding_als/parameter/en/" TargetMode="External"/><Relationship Id="rId84" Type="http://schemas.openxmlformats.org/officeDocument/2006/relationships/hyperlink" Target="http://soundcloud.com/tony-mccoy/electric-summer" TargetMode="External"/><Relationship Id="rId89" Type="http://schemas.openxmlformats.org/officeDocument/2006/relationships/hyperlink" Target="http://www.mattmahoney.net/dc/text.html" TargetMode="External"/><Relationship Id="rId112" Type="http://schemas.openxmlformats.org/officeDocument/2006/relationships/hyperlink" Target="http://flake-enc.sourceforge.net/" TargetMode="External"/><Relationship Id="rId16" Type="http://schemas.openxmlformats.org/officeDocument/2006/relationships/hyperlink" Target="http://www.losslessaudio.org/" TargetMode="External"/><Relationship Id="rId107" Type="http://schemas.openxmlformats.org/officeDocument/2006/relationships/hyperlink" Target="http://www.thbeck.de/Tak/Tak.html" TargetMode="External"/><Relationship Id="rId11" Type="http://schemas.openxmlformats.org/officeDocument/2006/relationships/hyperlink" Target="http://www.freac.org/index.php/de/downloads-mainmenu-33" TargetMode="External"/><Relationship Id="rId32" Type="http://schemas.openxmlformats.org/officeDocument/2006/relationships/hyperlink" Target="http://www.multitrackstudio.com/download.php" TargetMode="External"/><Relationship Id="rId37" Type="http://schemas.openxmlformats.org/officeDocument/2006/relationships/hyperlink" Target="http://www.thbeck.de/Tak/Tak.html" TargetMode="External"/><Relationship Id="rId53" Type="http://schemas.openxmlformats.org/officeDocument/2006/relationships/hyperlink" Target="http://www.freac.org/index.php/de/downloads-mainmenu-33" TargetMode="External"/><Relationship Id="rId58" Type="http://schemas.openxmlformats.org/officeDocument/2006/relationships/hyperlink" Target="http://www.losslessaudio.org/" TargetMode="External"/><Relationship Id="rId74" Type="http://schemas.openxmlformats.org/officeDocument/2006/relationships/hyperlink" Target="http://freearc.org/" TargetMode="External"/><Relationship Id="rId79" Type="http://schemas.openxmlformats.org/officeDocument/2006/relationships/hyperlink" Target="http://www.bzip.org/" TargetMode="External"/><Relationship Id="rId102" Type="http://schemas.openxmlformats.org/officeDocument/2006/relationships/hyperlink" Target="https://soundcloud.com/user1261136/have-you-seen-the-lizards" TargetMode="External"/><Relationship Id="rId123" Type="http://schemas.openxmlformats.org/officeDocument/2006/relationships/hyperlink" Target="http://sourceforge.net/projects/tta/" TargetMode="External"/><Relationship Id="rId128" Type="http://schemas.openxmlformats.org/officeDocument/2006/relationships/comments" Target="../comments3.xml"/><Relationship Id="rId5" Type="http://schemas.openxmlformats.org/officeDocument/2006/relationships/hyperlink" Target="http://www.rarlabs.com/" TargetMode="External"/><Relationship Id="rId90" Type="http://schemas.openxmlformats.org/officeDocument/2006/relationships/hyperlink" Target="http://www.sonycreativesoftware.com/download/trials/soundforge" TargetMode="External"/><Relationship Id="rId95" Type="http://schemas.openxmlformats.org/officeDocument/2006/relationships/hyperlink" Target="ftp://ftp.sac.sk/pub/sac/pack/winrk312.exe" TargetMode="External"/><Relationship Id="rId19" Type="http://schemas.openxmlformats.org/officeDocument/2006/relationships/hyperlink" Target="http://www.stuffit.com/" TargetMode="External"/><Relationship Id="rId14" Type="http://schemas.openxmlformats.org/officeDocument/2006/relationships/hyperlink" Target="http://www.losslessaudio.org/" TargetMode="External"/><Relationship Id="rId22" Type="http://schemas.openxmlformats.org/officeDocument/2006/relationships/hyperlink" Target="http://ftp.sac.sk/sac/pack/lpacarch.zip" TargetMode="External"/><Relationship Id="rId27" Type="http://schemas.openxmlformats.org/officeDocument/2006/relationships/hyperlink" Target="http://sourceforge.net/projects/flac/?source=directory" TargetMode="External"/><Relationship Id="rId30" Type="http://schemas.openxmlformats.org/officeDocument/2006/relationships/hyperlink" Target="http://www.nue.tu-berlin.de/menue/forschung/projekte/beendete_projekte/mpeg-4_audio_lossless_coding_als/parameter/en/" TargetMode="External"/><Relationship Id="rId35" Type="http://schemas.openxmlformats.org/officeDocument/2006/relationships/hyperlink" Target="http://freearc.org/" TargetMode="External"/><Relationship Id="rId43" Type="http://schemas.openxmlformats.org/officeDocument/2006/relationships/hyperlink" Target="http://www.krishnasoft.com/sps.htm" TargetMode="External"/><Relationship Id="rId48" Type="http://schemas.openxmlformats.org/officeDocument/2006/relationships/hyperlink" Target="http://www.rarlabs.com/" TargetMode="External"/><Relationship Id="rId56" Type="http://schemas.openxmlformats.org/officeDocument/2006/relationships/hyperlink" Target="http://www.losslessaudio.org/" TargetMode="External"/><Relationship Id="rId64" Type="http://schemas.openxmlformats.org/officeDocument/2006/relationships/hyperlink" Target="http://cuetools.net/wiki/CUETools_Download" TargetMode="External"/><Relationship Id="rId69" Type="http://schemas.openxmlformats.org/officeDocument/2006/relationships/hyperlink" Target="http://www.nue.tu-berlin.de/menue/forschung/projekte/beendete_projekte/mpeg-4_audio_lossless_coding_als/parameter/en/" TargetMode="External"/><Relationship Id="rId77" Type="http://schemas.openxmlformats.org/officeDocument/2006/relationships/hyperlink" Target="http://encode.ru/threads/1137-Sac-%28State-of-the-Art%29-Lossless-Audio-Compression?highlight=sac" TargetMode="External"/><Relationship Id="rId100" Type="http://schemas.openxmlformats.org/officeDocument/2006/relationships/hyperlink" Target="http://www.7-zip.org/" TargetMode="External"/><Relationship Id="rId105" Type="http://schemas.openxmlformats.org/officeDocument/2006/relationships/hyperlink" Target="mailto:info@squeezechart.com" TargetMode="External"/><Relationship Id="rId113" Type="http://schemas.openxmlformats.org/officeDocument/2006/relationships/hyperlink" Target="http://ftp.sac.sk/sac/pack/uharc06b.zip" TargetMode="External"/><Relationship Id="rId118" Type="http://schemas.openxmlformats.org/officeDocument/2006/relationships/hyperlink" Target="http://www.hydrogenaudio.org/forums/index.php?showtopic=101073" TargetMode="External"/><Relationship Id="rId126" Type="http://schemas.openxmlformats.org/officeDocument/2006/relationships/vmlDrawing" Target="../drawings/vmlDrawing3.vml"/><Relationship Id="rId8" Type="http://schemas.openxmlformats.org/officeDocument/2006/relationships/hyperlink" Target="http://www.emit.jp/dgca/dgca_e.html" TargetMode="External"/><Relationship Id="rId51" Type="http://schemas.openxmlformats.org/officeDocument/2006/relationships/hyperlink" Target="http://www.emit.jp/dgca/dgca_e.html" TargetMode="External"/><Relationship Id="rId72" Type="http://schemas.openxmlformats.org/officeDocument/2006/relationships/hyperlink" Target="http://www.winzip.com/" TargetMode="External"/><Relationship Id="rId80" Type="http://schemas.openxmlformats.org/officeDocument/2006/relationships/hyperlink" Target="http://www.sonycreativesoftware.com/download/trials/soundforge" TargetMode="External"/><Relationship Id="rId85" Type="http://schemas.openxmlformats.org/officeDocument/2006/relationships/hyperlink" Target="http://soundcloud.com/david-dupplaw/openimaj-and-imageterrier" TargetMode="External"/><Relationship Id="rId93" Type="http://schemas.openxmlformats.org/officeDocument/2006/relationships/hyperlink" Target="http://www.speedproject.de/enu/" TargetMode="External"/><Relationship Id="rId98" Type="http://schemas.openxmlformats.org/officeDocument/2006/relationships/hyperlink" Target="http://soundcloud.com/cyan-music/smooth-genestar-the-source" TargetMode="External"/><Relationship Id="rId121" Type="http://schemas.openxmlformats.org/officeDocument/2006/relationships/hyperlink" Target="http://www.thbeck.de/Tak/Tak.html" TargetMode="External"/><Relationship Id="rId3" Type="http://schemas.openxmlformats.org/officeDocument/2006/relationships/hyperlink" Target="http://ftp.sac.sk/sac/pack/vocpak10.zip" TargetMode="External"/><Relationship Id="rId12" Type="http://schemas.openxmlformats.org/officeDocument/2006/relationships/hyperlink" Target="http://www.lossless-audio.com/" TargetMode="External"/><Relationship Id="rId17" Type="http://schemas.openxmlformats.org/officeDocument/2006/relationships/hyperlink" Target="http://www.losslessaudio.org/" TargetMode="External"/><Relationship Id="rId25" Type="http://schemas.openxmlformats.org/officeDocument/2006/relationships/hyperlink" Target="http://cuetools.net/wiki/CUETools_Download" TargetMode="External"/><Relationship Id="rId33" Type="http://schemas.openxmlformats.org/officeDocument/2006/relationships/hyperlink" Target="http://www.winzip.com/" TargetMode="External"/><Relationship Id="rId38" Type="http://schemas.openxmlformats.org/officeDocument/2006/relationships/hyperlink" Target="http://encode.ru/threads/1137-Sac-%28State-of-the-Art%29-Lossless-Audio-Compression?highlight=sac" TargetMode="External"/><Relationship Id="rId46" Type="http://schemas.openxmlformats.org/officeDocument/2006/relationships/hyperlink" Target="http://ftp.sac.sk/sac/pack/snrc21i.zip" TargetMode="External"/><Relationship Id="rId59" Type="http://schemas.openxmlformats.org/officeDocument/2006/relationships/hyperlink" Target="http://www.losslessaudio.org/" TargetMode="External"/><Relationship Id="rId67" Type="http://schemas.openxmlformats.org/officeDocument/2006/relationships/hyperlink" Target="https://sites.google.com/site/sbcarchiver/" TargetMode="External"/><Relationship Id="rId103" Type="http://schemas.openxmlformats.org/officeDocument/2006/relationships/hyperlink" Target="https://soundcloud.com/cyan-music/new-age-hippies-metamorphosia" TargetMode="External"/><Relationship Id="rId108" Type="http://schemas.openxmlformats.org/officeDocument/2006/relationships/hyperlink" Target="http://audiophilesoft.ru/load/coders_utils/flac/7-1-0-33" TargetMode="External"/><Relationship Id="rId116" Type="http://schemas.openxmlformats.org/officeDocument/2006/relationships/hyperlink" Target="http://onda.sourceforge.net/" TargetMode="External"/><Relationship Id="rId124" Type="http://schemas.openxmlformats.org/officeDocument/2006/relationships/printerSettings" Target="../printerSettings/printerSettings6.bin"/><Relationship Id="rId20" Type="http://schemas.openxmlformats.org/officeDocument/2006/relationships/hyperlink" Target="http://www.monkeysaudio.com/" TargetMode="External"/><Relationship Id="rId41" Type="http://schemas.openxmlformats.org/officeDocument/2006/relationships/hyperlink" Target="http://www.sonycreativesoftware.com/download/trials/soundforge" TargetMode="External"/><Relationship Id="rId54" Type="http://schemas.openxmlformats.org/officeDocument/2006/relationships/hyperlink" Target="http://www.lossless-audio.com/" TargetMode="External"/><Relationship Id="rId62" Type="http://schemas.openxmlformats.org/officeDocument/2006/relationships/hyperlink" Target="http://www.krishnasoft.com/sps.htm" TargetMode="External"/><Relationship Id="rId70" Type="http://schemas.openxmlformats.org/officeDocument/2006/relationships/hyperlink" Target="http://www.multitrackstudio.com/download.php" TargetMode="External"/><Relationship Id="rId75" Type="http://schemas.openxmlformats.org/officeDocument/2006/relationships/hyperlink" Target="http://www.nanozip.net/" TargetMode="External"/><Relationship Id="rId83" Type="http://schemas.openxmlformats.org/officeDocument/2006/relationships/hyperlink" Target="http://soundcloud.com/mrdodi/pendulum-the-island-pt-1-dawn" TargetMode="External"/><Relationship Id="rId88" Type="http://schemas.openxmlformats.org/officeDocument/2006/relationships/hyperlink" Target="http://www.mattmahoney.net/dc/text.html" TargetMode="External"/><Relationship Id="rId91" Type="http://schemas.openxmlformats.org/officeDocument/2006/relationships/hyperlink" Target="http://www.lossless-audio.com/" TargetMode="External"/><Relationship Id="rId96" Type="http://schemas.openxmlformats.org/officeDocument/2006/relationships/hyperlink" Target="ftp://ftp.sac.sk/pub/sac/pack/rkau107.zip" TargetMode="External"/><Relationship Id="rId111" Type="http://schemas.openxmlformats.org/officeDocument/2006/relationships/hyperlink" Target="http://www.hydrogenaudio.org/forums/index.php?showtopic=90519" TargetMode="External"/><Relationship Id="rId1" Type="http://schemas.openxmlformats.org/officeDocument/2006/relationships/hyperlink" Target="http://ftp.sac.sk/sac/pack/snrc21i.zip" TargetMode="External"/><Relationship Id="rId6" Type="http://schemas.openxmlformats.org/officeDocument/2006/relationships/hyperlink" Target="http://www.winace.com/" TargetMode="External"/><Relationship Id="rId15" Type="http://schemas.openxmlformats.org/officeDocument/2006/relationships/hyperlink" Target="http://www.losslessaudio.org/" TargetMode="External"/><Relationship Id="rId23" Type="http://schemas.openxmlformats.org/officeDocument/2006/relationships/hyperlink" Target="http://www.wavpack.com/" TargetMode="External"/><Relationship Id="rId28" Type="http://schemas.openxmlformats.org/officeDocument/2006/relationships/hyperlink" Target="https://sites.google.com/site/sbcarchiver/" TargetMode="External"/><Relationship Id="rId36" Type="http://schemas.openxmlformats.org/officeDocument/2006/relationships/hyperlink" Target="http://www.nanozip.net/" TargetMode="External"/><Relationship Id="rId49" Type="http://schemas.openxmlformats.org/officeDocument/2006/relationships/hyperlink" Target="http://www.winace.com/" TargetMode="External"/><Relationship Id="rId57" Type="http://schemas.openxmlformats.org/officeDocument/2006/relationships/hyperlink" Target="http://www.losslessaudio.org/" TargetMode="External"/><Relationship Id="rId106" Type="http://schemas.openxmlformats.org/officeDocument/2006/relationships/hyperlink" Target="http://heartofcomp.altervista.org/zcm.zip" TargetMode="External"/><Relationship Id="rId114" Type="http://schemas.openxmlformats.org/officeDocument/2006/relationships/hyperlink" Target="https://github.com/nu774/qaac" TargetMode="External"/><Relationship Id="rId119" Type="http://schemas.openxmlformats.org/officeDocument/2006/relationships/hyperlink" Target="http://audiophilesoft.ru/load/coders_utils/flac/7-1-0-33" TargetMode="External"/><Relationship Id="rId127" Type="http://schemas.openxmlformats.org/officeDocument/2006/relationships/image" Target="../media/image2.png"/><Relationship Id="rId10" Type="http://schemas.openxmlformats.org/officeDocument/2006/relationships/hyperlink" Target="http://www.steinberg.net/de/products/wavelab/daten_downloads.html" TargetMode="External"/><Relationship Id="rId31" Type="http://schemas.openxmlformats.org/officeDocument/2006/relationships/hyperlink" Target="http://www.nue.tu-berlin.de/menue/forschung/projekte/beendete_projekte/mpeg-4_audio_lossless_coding_als/parameter/en/" TargetMode="External"/><Relationship Id="rId44" Type="http://schemas.openxmlformats.org/officeDocument/2006/relationships/hyperlink" Target="http://soundcloud.com/shunward/stripper-luv-acapella" TargetMode="External"/><Relationship Id="rId52" Type="http://schemas.openxmlformats.org/officeDocument/2006/relationships/hyperlink" Target="http://www.steinberg.net/de/products/wavelab/daten_downloads.html" TargetMode="External"/><Relationship Id="rId60" Type="http://schemas.openxmlformats.org/officeDocument/2006/relationships/hyperlink" Target="http://www.losslessaudio.org/" TargetMode="External"/><Relationship Id="rId65" Type="http://schemas.openxmlformats.org/officeDocument/2006/relationships/hyperlink" Target="http://www.real.com/" TargetMode="External"/><Relationship Id="rId73" Type="http://schemas.openxmlformats.org/officeDocument/2006/relationships/hyperlink" Target="http://www.wavpack.com/" TargetMode="External"/><Relationship Id="rId78" Type="http://schemas.openxmlformats.org/officeDocument/2006/relationships/hyperlink" Target="http://www.gzip.org/" TargetMode="External"/><Relationship Id="rId81" Type="http://schemas.openxmlformats.org/officeDocument/2006/relationships/hyperlink" Target="http://audacity.sourceforge.net/" TargetMode="External"/><Relationship Id="rId86" Type="http://schemas.openxmlformats.org/officeDocument/2006/relationships/hyperlink" Target="http://www.sonycreativesoftware.com/download/trials/soundforge" TargetMode="External"/><Relationship Id="rId94" Type="http://schemas.openxmlformats.org/officeDocument/2006/relationships/hyperlink" Target="ftp://ftp.sac.sk/pub/sac/pack/winrk312.exe" TargetMode="External"/><Relationship Id="rId99" Type="http://schemas.openxmlformats.org/officeDocument/2006/relationships/hyperlink" Target="http://soundcloud.com/caalamus/blues-alley-a-caalamus" TargetMode="External"/><Relationship Id="rId101" Type="http://schemas.openxmlformats.org/officeDocument/2006/relationships/hyperlink" Target="https://soundcloud.com/crystal-newton/declaration-of-love" TargetMode="External"/><Relationship Id="rId122" Type="http://schemas.openxmlformats.org/officeDocument/2006/relationships/hyperlink" Target="http://heartofcomp.altervista.org/zcm.zip" TargetMode="External"/><Relationship Id="rId4" Type="http://schemas.openxmlformats.org/officeDocument/2006/relationships/hyperlink" Target="http://onda.sourceforge.net/" TargetMode="External"/><Relationship Id="rId9" Type="http://schemas.openxmlformats.org/officeDocument/2006/relationships/hyperlink" Target="http://ftp.sac.sk/sac/pack/uharc06b.zip" TargetMode="External"/><Relationship Id="rId13" Type="http://schemas.openxmlformats.org/officeDocument/2006/relationships/hyperlink" Target="http://www.lossless-audio.com/" TargetMode="External"/><Relationship Id="rId18" Type="http://schemas.openxmlformats.org/officeDocument/2006/relationships/hyperlink" Target="http://www.losslessaudio.org/" TargetMode="External"/><Relationship Id="rId39" Type="http://schemas.openxmlformats.org/officeDocument/2006/relationships/hyperlink" Target="http://www.gzip.org/" TargetMode="External"/><Relationship Id="rId109" Type="http://schemas.openxmlformats.org/officeDocument/2006/relationships/hyperlink" Target="http://www.hydrogenaudio.org/forums/index.php?showtopic=101073" TargetMode="External"/><Relationship Id="rId34" Type="http://schemas.openxmlformats.org/officeDocument/2006/relationships/hyperlink" Target="http://www.wavpack.com/" TargetMode="External"/><Relationship Id="rId50" Type="http://schemas.openxmlformats.org/officeDocument/2006/relationships/hyperlink" Target="http://ftp.sac.sk/sac/pack/short360.zip" TargetMode="External"/><Relationship Id="rId55" Type="http://schemas.openxmlformats.org/officeDocument/2006/relationships/hyperlink" Target="http://www.lossless-audio.com/" TargetMode="External"/><Relationship Id="rId76" Type="http://schemas.openxmlformats.org/officeDocument/2006/relationships/hyperlink" Target="http://www.thbeck.de/Tak/Tak.html" TargetMode="External"/><Relationship Id="rId97" Type="http://schemas.openxmlformats.org/officeDocument/2006/relationships/hyperlink" Target="ftp://ftp.sac.sk/pub/sac/pack/rkau107.zip" TargetMode="External"/><Relationship Id="rId104" Type="http://schemas.openxmlformats.org/officeDocument/2006/relationships/hyperlink" Target="mailto:squeezechart@gmx.de" TargetMode="External"/><Relationship Id="rId120" Type="http://schemas.openxmlformats.org/officeDocument/2006/relationships/hyperlink" Target="http://www.hydrogenaudio.org/forums/index.php?showtopic=101073" TargetMode="External"/><Relationship Id="rId125" Type="http://schemas.openxmlformats.org/officeDocument/2006/relationships/drawing" Target="../drawings/drawing4.xml"/><Relationship Id="rId7" Type="http://schemas.openxmlformats.org/officeDocument/2006/relationships/hyperlink" Target="http://ftp.sac.sk/sac/pack/short360.zip" TargetMode="External"/><Relationship Id="rId71" Type="http://schemas.openxmlformats.org/officeDocument/2006/relationships/hyperlink" Target="http://www.all4mp3.com/tools/mp3HD-tools.php" TargetMode="External"/><Relationship Id="rId92" Type="http://schemas.openxmlformats.org/officeDocument/2006/relationships/hyperlink" Target="http://www.lossless-audio.com/" TargetMode="External"/><Relationship Id="rId2" Type="http://schemas.openxmlformats.org/officeDocument/2006/relationships/hyperlink" Target="http://www.7-zip.org/" TargetMode="External"/><Relationship Id="rId29" Type="http://schemas.openxmlformats.org/officeDocument/2006/relationships/hyperlink" Target="http://sourceforge.net/projects/tta/" TargetMode="External"/><Relationship Id="rId24" Type="http://schemas.openxmlformats.org/officeDocument/2006/relationships/hyperlink" Target="https://github.com/nu774/qaac" TargetMode="External"/><Relationship Id="rId40" Type="http://schemas.openxmlformats.org/officeDocument/2006/relationships/hyperlink" Target="http://www.bzip.org/" TargetMode="External"/><Relationship Id="rId45" Type="http://schemas.openxmlformats.org/officeDocument/2006/relationships/hyperlink" Target="http://anadyomene-records.com/mp3.htm" TargetMode="External"/><Relationship Id="rId66" Type="http://schemas.openxmlformats.org/officeDocument/2006/relationships/hyperlink" Target="http://sourceforge.net/projects/flac/?source=directory" TargetMode="External"/><Relationship Id="rId87" Type="http://schemas.openxmlformats.org/officeDocument/2006/relationships/hyperlink" Target="http://www.speedproject.de/enu/" TargetMode="External"/><Relationship Id="rId110" Type="http://schemas.openxmlformats.org/officeDocument/2006/relationships/hyperlink" Target="http://www.hydrogenaudio.org/forums/index.php?showtopic=101073" TargetMode="External"/><Relationship Id="rId115" Type="http://schemas.openxmlformats.org/officeDocument/2006/relationships/hyperlink" Target="http://ftp.sac.sk/sac/pack/lpacarch.zip" TargetMode="External"/><Relationship Id="rId61" Type="http://schemas.openxmlformats.org/officeDocument/2006/relationships/hyperlink" Target="http://www.stuffit.com/" TargetMode="External"/><Relationship Id="rId82" Type="http://schemas.openxmlformats.org/officeDocument/2006/relationships/hyperlink" Target="http://www.krishnasoft.com/sps.ht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mattmahoney.net/dc/zpaq.html" TargetMode="External"/><Relationship Id="rId13" Type="http://schemas.openxmlformats.org/officeDocument/2006/relationships/hyperlink" Target="http://download.klauspost.com/rawcompress/" TargetMode="External"/><Relationship Id="rId18" Type="http://schemas.openxmlformats.org/officeDocument/2006/relationships/hyperlink" Target="http://www.impulseadventure.com/photo/" TargetMode="External"/><Relationship Id="rId3" Type="http://schemas.openxmlformats.org/officeDocument/2006/relationships/hyperlink" Target="http://www.winzip.com/" TargetMode="External"/><Relationship Id="rId7" Type="http://schemas.openxmlformats.org/officeDocument/2006/relationships/hyperlink" Target="http://www.winzip.com/" TargetMode="External"/><Relationship Id="rId12" Type="http://schemas.openxmlformats.org/officeDocument/2006/relationships/hyperlink" Target="http://download.klauspost.com/rawcompress/" TargetMode="External"/><Relationship Id="rId17" Type="http://schemas.openxmlformats.org/officeDocument/2006/relationships/hyperlink" Target="http://www.imagecompression.info/test_images/squeezechart_camera_raw.zip" TargetMode="External"/><Relationship Id="rId2" Type="http://schemas.openxmlformats.org/officeDocument/2006/relationships/hyperlink" Target="http://www.rarlab.com/" TargetMode="External"/><Relationship Id="rId16" Type="http://schemas.openxmlformats.org/officeDocument/2006/relationships/hyperlink" Target="http://download.klauspost.com/rawcompress/" TargetMode="External"/><Relationship Id="rId20" Type="http://schemas.openxmlformats.org/officeDocument/2006/relationships/image" Target="../media/image2.png"/><Relationship Id="rId1" Type="http://schemas.openxmlformats.org/officeDocument/2006/relationships/hyperlink" Target="http://www.7-zip.org/" TargetMode="External"/><Relationship Id="rId6" Type="http://schemas.openxmlformats.org/officeDocument/2006/relationships/hyperlink" Target="http://www.imagecompression.info/test_images/squeezechart_camera_raw.zip" TargetMode="External"/><Relationship Id="rId11" Type="http://schemas.openxmlformats.org/officeDocument/2006/relationships/hyperlink" Target="http://download.klauspost.com/rawcompress/" TargetMode="External"/><Relationship Id="rId5" Type="http://schemas.openxmlformats.org/officeDocument/2006/relationships/hyperlink" Target="http://www.emit.jp/dgca/dgca_v110e.exe" TargetMode="External"/><Relationship Id="rId15" Type="http://schemas.openxmlformats.org/officeDocument/2006/relationships/hyperlink" Target="http://download.klauspost.com/rawcompress/" TargetMode="External"/><Relationship Id="rId10" Type="http://schemas.openxmlformats.org/officeDocument/2006/relationships/hyperlink" Target="http://www.winzip.com/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://www.bzip.org/" TargetMode="External"/><Relationship Id="rId9" Type="http://schemas.openxmlformats.org/officeDocument/2006/relationships/hyperlink" Target="http://libbsc.com/" TargetMode="External"/><Relationship Id="rId14" Type="http://schemas.openxmlformats.org/officeDocument/2006/relationships/hyperlink" Target="http://download.klauspost.com/rawcompress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mattmahoney.net/dc/text.html" TargetMode="External"/><Relationship Id="rId117" Type="http://schemas.openxmlformats.org/officeDocument/2006/relationships/hyperlink" Target="http://www.openexr.com/" TargetMode="External"/><Relationship Id="rId21" Type="http://schemas.openxmlformats.org/officeDocument/2006/relationships/hyperlink" Target="http://www.winace.com/" TargetMode="External"/><Relationship Id="rId42" Type="http://schemas.openxmlformats.org/officeDocument/2006/relationships/hyperlink" Target="ftp://ftp.sac.sk/pub/sac/pack/compress.zip" TargetMode="External"/><Relationship Id="rId47" Type="http://schemas.openxmlformats.org/officeDocument/2006/relationships/hyperlink" Target="http://www.intuac.com/userport/john/apt/" TargetMode="External"/><Relationship Id="rId63" Type="http://schemas.openxmlformats.org/officeDocument/2006/relationships/hyperlink" Target="http://freearc.org/" TargetMode="External"/><Relationship Id="rId68" Type="http://schemas.openxmlformats.org/officeDocument/2006/relationships/hyperlink" Target="http://www.winace.com/" TargetMode="External"/><Relationship Id="rId84" Type="http://schemas.openxmlformats.org/officeDocument/2006/relationships/hyperlink" Target="ftp://ftp.sac.sk/pub/sac/pack/compress.zip" TargetMode="External"/><Relationship Id="rId89" Type="http://schemas.openxmlformats.org/officeDocument/2006/relationships/hyperlink" Target="http://jpegclub.org/jcropsrc.zip" TargetMode="External"/><Relationship Id="rId112" Type="http://schemas.openxmlformats.org/officeDocument/2006/relationships/hyperlink" Target="http://compression.ru/ds/bmf_2_01.rar" TargetMode="External"/><Relationship Id="rId133" Type="http://schemas.openxmlformats.org/officeDocument/2006/relationships/hyperlink" Target="http://www.xnview.com/" TargetMode="External"/><Relationship Id="rId138" Type="http://schemas.openxmlformats.org/officeDocument/2006/relationships/hyperlink" Target="http://www.squeezechart.com/catheter8.rar" TargetMode="External"/><Relationship Id="rId154" Type="http://schemas.openxmlformats.org/officeDocument/2006/relationships/hyperlink" Target="http://www.xnview.com/" TargetMode="External"/><Relationship Id="rId159" Type="http://schemas.openxmlformats.org/officeDocument/2006/relationships/hyperlink" Target="http://www.studioline.net/" TargetMode="External"/><Relationship Id="rId175" Type="http://schemas.openxmlformats.org/officeDocument/2006/relationships/hyperlink" Target="https://developers.google.com/speed/webp/download" TargetMode="External"/><Relationship Id="rId170" Type="http://schemas.openxmlformats.org/officeDocument/2006/relationships/hyperlink" Target="https://developers.google.com/speed/webp/download" TargetMode="External"/><Relationship Id="rId16" Type="http://schemas.openxmlformats.org/officeDocument/2006/relationships/hyperlink" Target="http://freearc.org/" TargetMode="External"/><Relationship Id="rId107" Type="http://schemas.openxmlformats.org/officeDocument/2006/relationships/hyperlink" Target="ftp://ftp.csd.uwo.ca/pub/from_wu/v.arith/" TargetMode="External"/><Relationship Id="rId11" Type="http://schemas.openxmlformats.org/officeDocument/2006/relationships/hyperlink" Target="http://www.squeezechart.com/hubble.pnm" TargetMode="External"/><Relationship Id="rId32" Type="http://schemas.openxmlformats.org/officeDocument/2006/relationships/hyperlink" Target="https://developers.google.com/speed/webp/download" TargetMode="External"/><Relationship Id="rId37" Type="http://schemas.openxmlformats.org/officeDocument/2006/relationships/hyperlink" Target="http://www.xnview.com/" TargetMode="External"/><Relationship Id="rId53" Type="http://schemas.openxmlformats.org/officeDocument/2006/relationships/hyperlink" Target="http://bjoern.hoehrmann.de/pngwolf/" TargetMode="External"/><Relationship Id="rId58" Type="http://schemas.openxmlformats.org/officeDocument/2006/relationships/hyperlink" Target="http://www.emit.jp/dgca/dgca_e.html" TargetMode="External"/><Relationship Id="rId74" Type="http://schemas.openxmlformats.org/officeDocument/2006/relationships/hyperlink" Target="http://www.elektronik.htw-aalen.de/packjpg/" TargetMode="External"/><Relationship Id="rId79" Type="http://schemas.openxmlformats.org/officeDocument/2006/relationships/hyperlink" Target="https://developers.google.com/speed/webp/download" TargetMode="External"/><Relationship Id="rId102" Type="http://schemas.openxmlformats.org/officeDocument/2006/relationships/hyperlink" Target="http://phil.cdc.gov/PHIL_Images/7318/7318.tif" TargetMode="External"/><Relationship Id="rId123" Type="http://schemas.openxmlformats.org/officeDocument/2006/relationships/hyperlink" Target="http://sourceforge.net/projects/pyramidworkshop/" TargetMode="External"/><Relationship Id="rId128" Type="http://schemas.openxmlformats.org/officeDocument/2006/relationships/hyperlink" Target="http://free.zoner.com/" TargetMode="External"/><Relationship Id="rId144" Type="http://schemas.openxmlformats.org/officeDocument/2006/relationships/hyperlink" Target="http://www.gimp.org/downloads/" TargetMode="External"/><Relationship Id="rId149" Type="http://schemas.openxmlformats.org/officeDocument/2006/relationships/hyperlink" Target="http://www.xnview.com/" TargetMode="External"/><Relationship Id="rId5" Type="http://schemas.openxmlformats.org/officeDocument/2006/relationships/hyperlink" Target="http://www.squeezechart.com/" TargetMode="External"/><Relationship Id="rId90" Type="http://schemas.openxmlformats.org/officeDocument/2006/relationships/hyperlink" Target="http://www.intuac.com/userport/john/btpc5/index.html" TargetMode="External"/><Relationship Id="rId95" Type="http://schemas.openxmlformats.org/officeDocument/2006/relationships/hyperlink" Target="http://www.openexr.com/" TargetMode="External"/><Relationship Id="rId160" Type="http://schemas.openxmlformats.org/officeDocument/2006/relationships/hyperlink" Target="http://encode.narod.ru/bim001.zip" TargetMode="External"/><Relationship Id="rId165" Type="http://schemas.openxmlformats.org/officeDocument/2006/relationships/hyperlink" Target="mailto:info@squeezechart.com" TargetMode="External"/><Relationship Id="rId181" Type="http://schemas.openxmlformats.org/officeDocument/2006/relationships/hyperlink" Target="https://developers.google.com/speed/webp/download" TargetMode="External"/><Relationship Id="rId22" Type="http://schemas.openxmlformats.org/officeDocument/2006/relationships/hyperlink" Target="http://www.rarlabs.com/" TargetMode="External"/><Relationship Id="rId27" Type="http://schemas.openxmlformats.org/officeDocument/2006/relationships/hyperlink" Target="http://www.elektronik.htw-aalen.de/packjpg/" TargetMode="External"/><Relationship Id="rId43" Type="http://schemas.openxmlformats.org/officeDocument/2006/relationships/hyperlink" Target="ftp://ftp.sac.sk/pub/sac/pack/winrk312.exe" TargetMode="External"/><Relationship Id="rId48" Type="http://schemas.openxmlformats.org/officeDocument/2006/relationships/hyperlink" Target="http://jpegclub.org/jcropsrc.zip" TargetMode="External"/><Relationship Id="rId64" Type="http://schemas.openxmlformats.org/officeDocument/2006/relationships/hyperlink" Target="http://www.winzip.com/" TargetMode="External"/><Relationship Id="rId69" Type="http://schemas.openxmlformats.org/officeDocument/2006/relationships/hyperlink" Target="http://www.rarlabs.com/" TargetMode="External"/><Relationship Id="rId113" Type="http://schemas.openxmlformats.org/officeDocument/2006/relationships/hyperlink" Target="http://www.xnview.com/" TargetMode="External"/><Relationship Id="rId118" Type="http://schemas.openxmlformats.org/officeDocument/2006/relationships/hyperlink" Target="ftp://ftp.sac.sk/pub/sac/pack/compress.zip" TargetMode="External"/><Relationship Id="rId134" Type="http://schemas.openxmlformats.org/officeDocument/2006/relationships/hyperlink" Target="http://www.xnview.com/" TargetMode="External"/><Relationship Id="rId139" Type="http://schemas.openxmlformats.org/officeDocument/2006/relationships/hyperlink" Target="http://www.squeezechart.com/sigma8.rar" TargetMode="External"/><Relationship Id="rId80" Type="http://schemas.openxmlformats.org/officeDocument/2006/relationships/hyperlink" Target="http://www.researchandtechnology.net/bcif/index.php" TargetMode="External"/><Relationship Id="rId85" Type="http://schemas.openxmlformats.org/officeDocument/2006/relationships/hyperlink" Target="ftp://ftp.sac.sk/pub/sac/pack/winrk312.exe" TargetMode="External"/><Relationship Id="rId150" Type="http://schemas.openxmlformats.org/officeDocument/2006/relationships/hyperlink" Target="http://www.xnview.com/" TargetMode="External"/><Relationship Id="rId155" Type="http://schemas.openxmlformats.org/officeDocument/2006/relationships/hyperlink" Target="http://www.xnview.com/" TargetMode="External"/><Relationship Id="rId171" Type="http://schemas.openxmlformats.org/officeDocument/2006/relationships/hyperlink" Target="http://heartofcomp.altervista.org/zcm.zip" TargetMode="External"/><Relationship Id="rId176" Type="http://schemas.openxmlformats.org/officeDocument/2006/relationships/hyperlink" Target="https://developers.google.com/speed/webp/download" TargetMode="External"/><Relationship Id="rId12" Type="http://schemas.openxmlformats.org/officeDocument/2006/relationships/hyperlink" Target="mailto:copyright@stsci.edu" TargetMode="External"/><Relationship Id="rId17" Type="http://schemas.openxmlformats.org/officeDocument/2006/relationships/hyperlink" Target="http://www.winzip.com/" TargetMode="External"/><Relationship Id="rId33" Type="http://schemas.openxmlformats.org/officeDocument/2006/relationships/hyperlink" Target="http://www.researchandtechnology.net/bcif/index.php" TargetMode="External"/><Relationship Id="rId38" Type="http://schemas.openxmlformats.org/officeDocument/2006/relationships/hyperlink" Target="http://www.xnview.com/" TargetMode="External"/><Relationship Id="rId59" Type="http://schemas.openxmlformats.org/officeDocument/2006/relationships/hyperlink" Target="https://sites.google.com/site/sbcarchiver/" TargetMode="External"/><Relationship Id="rId103" Type="http://schemas.openxmlformats.org/officeDocument/2006/relationships/hyperlink" Target="http://itohws03.ee.noda.sut.ac.jp/~matsuda/mrp/" TargetMode="External"/><Relationship Id="rId108" Type="http://schemas.openxmlformats.org/officeDocument/2006/relationships/hyperlink" Target="http://www.caravian.com/research/packages/pwc.zip" TargetMode="External"/><Relationship Id="rId124" Type="http://schemas.openxmlformats.org/officeDocument/2006/relationships/hyperlink" Target="http://sourceforge.net/projects/wic/?source=directory" TargetMode="External"/><Relationship Id="rId129" Type="http://schemas.openxmlformats.org/officeDocument/2006/relationships/hyperlink" Target="http://free.zoner.com/" TargetMode="External"/><Relationship Id="rId54" Type="http://schemas.openxmlformats.org/officeDocument/2006/relationships/hyperlink" Target="http://www.adobe.com/go/dng_converter_win" TargetMode="External"/><Relationship Id="rId70" Type="http://schemas.openxmlformats.org/officeDocument/2006/relationships/hyperlink" Target="http://compression.ru/ds/bmf_2_01.rar" TargetMode="External"/><Relationship Id="rId75" Type="http://schemas.openxmlformats.org/officeDocument/2006/relationships/hyperlink" Target="ftp://ftp.sac.sk/pub/sac/pack/rkim106.zip" TargetMode="External"/><Relationship Id="rId91" Type="http://schemas.openxmlformats.org/officeDocument/2006/relationships/hyperlink" Target="http://imagezero.maxiom.de/" TargetMode="External"/><Relationship Id="rId96" Type="http://schemas.openxmlformats.org/officeDocument/2006/relationships/hyperlink" Target="http://www.adobe.com/go/dng_converter_win" TargetMode="External"/><Relationship Id="rId140" Type="http://schemas.openxmlformats.org/officeDocument/2006/relationships/hyperlink" Target="http://www.7-zip.org/" TargetMode="External"/><Relationship Id="rId145" Type="http://schemas.openxmlformats.org/officeDocument/2006/relationships/hyperlink" Target="http://www.corel.com/" TargetMode="External"/><Relationship Id="rId161" Type="http://schemas.openxmlformats.org/officeDocument/2006/relationships/hyperlink" Target="http://www.imagecompression.info/gralic/qlic1d.zip" TargetMode="External"/><Relationship Id="rId166" Type="http://schemas.openxmlformats.org/officeDocument/2006/relationships/hyperlink" Target="http://encode.narod.ru/bim001.zip" TargetMode="External"/><Relationship Id="rId182" Type="http://schemas.openxmlformats.org/officeDocument/2006/relationships/hyperlink" Target="http://jpegclub.org/jcropsrc.zip" TargetMode="External"/><Relationship Id="rId1" Type="http://schemas.openxmlformats.org/officeDocument/2006/relationships/hyperlink" Target="http://www.squeezechart.com/canon24.pnm" TargetMode="External"/><Relationship Id="rId6" Type="http://schemas.openxmlformats.org/officeDocument/2006/relationships/hyperlink" Target="mailto:mark@photographyblog.com" TargetMode="External"/><Relationship Id="rId23" Type="http://schemas.openxmlformats.org/officeDocument/2006/relationships/hyperlink" Target="http://www.imagecompression.info/gralic/flic21d.zip" TargetMode="External"/><Relationship Id="rId28" Type="http://schemas.openxmlformats.org/officeDocument/2006/relationships/hyperlink" Target="ftp://ftp.sac.sk/pub/sac/pack/rkim106.zip" TargetMode="External"/><Relationship Id="rId49" Type="http://schemas.openxmlformats.org/officeDocument/2006/relationships/hyperlink" Target="http://www.intuac.com/userport/john/btpc5/index.html" TargetMode="External"/><Relationship Id="rId114" Type="http://schemas.openxmlformats.org/officeDocument/2006/relationships/hyperlink" Target="http://optipng.sourceforge.net/" TargetMode="External"/><Relationship Id="rId119" Type="http://schemas.openxmlformats.org/officeDocument/2006/relationships/hyperlink" Target="http://compression.ru/ds/bmf_2_01.rar" TargetMode="External"/><Relationship Id="rId44" Type="http://schemas.openxmlformats.org/officeDocument/2006/relationships/hyperlink" Target="https://developers.google.com/speed/webp/download" TargetMode="External"/><Relationship Id="rId60" Type="http://schemas.openxmlformats.org/officeDocument/2006/relationships/hyperlink" Target="http://www.rawzor.com/" TargetMode="External"/><Relationship Id="rId65" Type="http://schemas.openxmlformats.org/officeDocument/2006/relationships/hyperlink" Target="http://www.speedproject.de/enu/" TargetMode="External"/><Relationship Id="rId81" Type="http://schemas.openxmlformats.org/officeDocument/2006/relationships/hyperlink" Target="http://www.hpl.hp.com/loco/" TargetMode="External"/><Relationship Id="rId86" Type="http://schemas.openxmlformats.org/officeDocument/2006/relationships/hyperlink" Target="http://free.zoner.com/" TargetMode="External"/><Relationship Id="rId130" Type="http://schemas.openxmlformats.org/officeDocument/2006/relationships/hyperlink" Target="http://www.kakadusoftware.com/" TargetMode="External"/><Relationship Id="rId135" Type="http://schemas.openxmlformats.org/officeDocument/2006/relationships/hyperlink" Target="http://www.openjpeg.org/" TargetMode="External"/><Relationship Id="rId151" Type="http://schemas.openxmlformats.org/officeDocument/2006/relationships/hyperlink" Target="http://www.photofiltre.com/" TargetMode="External"/><Relationship Id="rId156" Type="http://schemas.openxmlformats.org/officeDocument/2006/relationships/hyperlink" Target="http://www.xnview.com/" TargetMode="External"/><Relationship Id="rId177" Type="http://schemas.openxmlformats.org/officeDocument/2006/relationships/hyperlink" Target="http://www.xnview.com/" TargetMode="External"/><Relationship Id="rId4" Type="http://schemas.openxmlformats.org/officeDocument/2006/relationships/hyperlink" Target="http://www.squeezechart.com/" TargetMode="External"/><Relationship Id="rId9" Type="http://schemas.openxmlformats.org/officeDocument/2006/relationships/hyperlink" Target="http://www.squeezechart.com/oly24.pnm" TargetMode="External"/><Relationship Id="rId172" Type="http://schemas.openxmlformats.org/officeDocument/2006/relationships/hyperlink" Target="https://github.com/thorfdbg/libjpeg" TargetMode="External"/><Relationship Id="rId180" Type="http://schemas.openxmlformats.org/officeDocument/2006/relationships/hyperlink" Target="https://developers.google.com/speed/webp/download" TargetMode="External"/><Relationship Id="rId13" Type="http://schemas.openxmlformats.org/officeDocument/2006/relationships/hyperlink" Target="http://www.rawzor.com/" TargetMode="External"/><Relationship Id="rId18" Type="http://schemas.openxmlformats.org/officeDocument/2006/relationships/hyperlink" Target="http://www.speedproject.de/enu/" TargetMode="External"/><Relationship Id="rId39" Type="http://schemas.openxmlformats.org/officeDocument/2006/relationships/hyperlink" Target="http://www.xnview.com/" TargetMode="External"/><Relationship Id="rId109" Type="http://schemas.openxmlformats.org/officeDocument/2006/relationships/hyperlink" Target="http://www.barre.nom.fr/medical/samples/files/MR-MONO2-12-shoulder.gz" TargetMode="External"/><Relationship Id="rId34" Type="http://schemas.openxmlformats.org/officeDocument/2006/relationships/hyperlink" Target="http://www.hpl.hp.com/loco/" TargetMode="External"/><Relationship Id="rId50" Type="http://schemas.openxmlformats.org/officeDocument/2006/relationships/hyperlink" Target="http://imagezero.maxiom.de/" TargetMode="External"/><Relationship Id="rId55" Type="http://schemas.openxmlformats.org/officeDocument/2006/relationships/hyperlink" Target="http://www.squeezechart.com/radiograph.pnm" TargetMode="External"/><Relationship Id="rId76" Type="http://schemas.openxmlformats.org/officeDocument/2006/relationships/hyperlink" Target="ftp://ftp.sac.sk/pub/sac/pack/rkim106.zip" TargetMode="External"/><Relationship Id="rId97" Type="http://schemas.openxmlformats.org/officeDocument/2006/relationships/hyperlink" Target="http://www.bzip.org/" TargetMode="External"/><Relationship Id="rId104" Type="http://schemas.openxmlformats.org/officeDocument/2006/relationships/hyperlink" Target="ftp://ftp.csd.uwo.ca/pub/from_wu/v.arith/" TargetMode="External"/><Relationship Id="rId120" Type="http://schemas.openxmlformats.org/officeDocument/2006/relationships/hyperlink" Target="ftp://ftp.sac.sk/pub/sac/pack/arh140.zip" TargetMode="External"/><Relationship Id="rId125" Type="http://schemas.openxmlformats.org/officeDocument/2006/relationships/hyperlink" Target="http://www.xeraina.ch/download/win/pgfconsole.msi" TargetMode="External"/><Relationship Id="rId141" Type="http://schemas.openxmlformats.org/officeDocument/2006/relationships/hyperlink" Target="http://www.7-zip.org/" TargetMode="External"/><Relationship Id="rId146" Type="http://schemas.openxmlformats.org/officeDocument/2006/relationships/hyperlink" Target="http://www.gimp.org/downloads/" TargetMode="External"/><Relationship Id="rId167" Type="http://schemas.openxmlformats.org/officeDocument/2006/relationships/hyperlink" Target="http://heartofcomp.altervista.org/zcm.zip" TargetMode="External"/><Relationship Id="rId7" Type="http://schemas.openxmlformats.org/officeDocument/2006/relationships/hyperlink" Target="mailto:mark@photographyblog.com" TargetMode="External"/><Relationship Id="rId71" Type="http://schemas.openxmlformats.org/officeDocument/2006/relationships/hyperlink" Target="http://www.imagecompression.info/gralic/flic21d.zip" TargetMode="External"/><Relationship Id="rId92" Type="http://schemas.openxmlformats.org/officeDocument/2006/relationships/hyperlink" Target="http://charls.codeplex.com/" TargetMode="External"/><Relationship Id="rId162" Type="http://schemas.openxmlformats.org/officeDocument/2006/relationships/hyperlink" Target="http://www.imagecompression.info/gralic/qlic1d.zip" TargetMode="External"/><Relationship Id="rId183" Type="http://schemas.openxmlformats.org/officeDocument/2006/relationships/printerSettings" Target="../printerSettings/printerSettings8.bin"/><Relationship Id="rId2" Type="http://schemas.openxmlformats.org/officeDocument/2006/relationships/hyperlink" Target="http://www.squeezechart.com/sigma24.pnm" TargetMode="External"/><Relationship Id="rId29" Type="http://schemas.openxmlformats.org/officeDocument/2006/relationships/hyperlink" Target="ftp://ftp.sac.sk/pub/sac/pack/rkim106.zip" TargetMode="External"/><Relationship Id="rId24" Type="http://schemas.openxmlformats.org/officeDocument/2006/relationships/hyperlink" Target="http://www.imagecompression.info/gralic/Gralic111d.zip" TargetMode="External"/><Relationship Id="rId40" Type="http://schemas.openxmlformats.org/officeDocument/2006/relationships/hyperlink" Target="http://www.xnview.com/" TargetMode="External"/><Relationship Id="rId45" Type="http://schemas.openxmlformats.org/officeDocument/2006/relationships/hyperlink" Target="http://free.zoner.com/" TargetMode="External"/><Relationship Id="rId66" Type="http://schemas.openxmlformats.org/officeDocument/2006/relationships/hyperlink" Target="http://www.mattmahoney.net/dc/text.html" TargetMode="External"/><Relationship Id="rId87" Type="http://schemas.openxmlformats.org/officeDocument/2006/relationships/hyperlink" Target="http://www.softpedia.com/dyn-postdownload.php?p=131267&amp;t=0&amp;i=1" TargetMode="External"/><Relationship Id="rId110" Type="http://schemas.openxmlformats.org/officeDocument/2006/relationships/hyperlink" Target="http://upload.wikimedia.org/wikipedia/commons/4/4e/Scan17semanas2.png" TargetMode="External"/><Relationship Id="rId115" Type="http://schemas.openxmlformats.org/officeDocument/2006/relationships/hyperlink" Target="http://www.xnview.com/" TargetMode="External"/><Relationship Id="rId131" Type="http://schemas.openxmlformats.org/officeDocument/2006/relationships/hyperlink" Target="http://www.kakadusoftware.com/" TargetMode="External"/><Relationship Id="rId136" Type="http://schemas.openxmlformats.org/officeDocument/2006/relationships/hyperlink" Target="http://www.openjpeg.org/" TargetMode="External"/><Relationship Id="rId157" Type="http://schemas.openxmlformats.org/officeDocument/2006/relationships/hyperlink" Target="http://www.xnview.com/" TargetMode="External"/><Relationship Id="rId178" Type="http://schemas.openxmlformats.org/officeDocument/2006/relationships/hyperlink" Target="https://www.ashampoo.com/en/eur/pin/1618/Multimedia_Software/Ashampoo-Photo-Commander-11" TargetMode="External"/><Relationship Id="rId61" Type="http://schemas.openxmlformats.org/officeDocument/2006/relationships/hyperlink" Target="http://www.stuffit.com/" TargetMode="External"/><Relationship Id="rId82" Type="http://schemas.openxmlformats.org/officeDocument/2006/relationships/hyperlink" Target="http://replay.waybackmachine.org/20030126170744/http:/www.cipr.rpi.edu/research/SPIHT/EW_Code/lsp.exe" TargetMode="External"/><Relationship Id="rId152" Type="http://schemas.openxmlformats.org/officeDocument/2006/relationships/hyperlink" Target="http://www.xnview.com/" TargetMode="External"/><Relationship Id="rId173" Type="http://schemas.openxmlformats.org/officeDocument/2006/relationships/hyperlink" Target="https://github.com/thorfdbg/libjpeg" TargetMode="External"/><Relationship Id="rId19" Type="http://schemas.openxmlformats.org/officeDocument/2006/relationships/hyperlink" Target="http://www.mattmahoney.net/dc/text.html" TargetMode="External"/><Relationship Id="rId14" Type="http://schemas.openxmlformats.org/officeDocument/2006/relationships/hyperlink" Target="http://www.stuffit.com/" TargetMode="External"/><Relationship Id="rId30" Type="http://schemas.openxmlformats.org/officeDocument/2006/relationships/hyperlink" Target="ftp://ftp.sac.sk/pub/sac/pack/uhic20.zip" TargetMode="External"/><Relationship Id="rId35" Type="http://schemas.openxmlformats.org/officeDocument/2006/relationships/hyperlink" Target="http://www.hpl.hp.com/loco/" TargetMode="External"/><Relationship Id="rId56" Type="http://schemas.openxmlformats.org/officeDocument/2006/relationships/hyperlink" Target="http://www.bzip.org/" TargetMode="External"/><Relationship Id="rId77" Type="http://schemas.openxmlformats.org/officeDocument/2006/relationships/hyperlink" Target="ftp://ftp.sac.sk/pub/sac/pack/uhic20.zip" TargetMode="External"/><Relationship Id="rId100" Type="http://schemas.openxmlformats.org/officeDocument/2006/relationships/hyperlink" Target="https://sites.google.com/site/sbcarchiver/" TargetMode="External"/><Relationship Id="rId105" Type="http://schemas.openxmlformats.org/officeDocument/2006/relationships/hyperlink" Target="http://www.caravian.com/research/packages/pwc.zip" TargetMode="External"/><Relationship Id="rId126" Type="http://schemas.openxmlformats.org/officeDocument/2006/relationships/hyperlink" Target="http://www.cs.mu.oz.au/mg/mg-1.2.1.tar.gz" TargetMode="External"/><Relationship Id="rId147" Type="http://schemas.openxmlformats.org/officeDocument/2006/relationships/hyperlink" Target="http://www.corel.com/" TargetMode="External"/><Relationship Id="rId168" Type="http://schemas.openxmlformats.org/officeDocument/2006/relationships/hyperlink" Target="http://heartofcomp.altervista.org/zcm.zip" TargetMode="External"/><Relationship Id="rId8" Type="http://schemas.openxmlformats.org/officeDocument/2006/relationships/hyperlink" Target="http://www.squeezechart.com/fuji.pnm" TargetMode="External"/><Relationship Id="rId51" Type="http://schemas.openxmlformats.org/officeDocument/2006/relationships/hyperlink" Target="http://charls.codeplex.com/" TargetMode="External"/><Relationship Id="rId72" Type="http://schemas.openxmlformats.org/officeDocument/2006/relationships/hyperlink" Target="http://www.imagecompression.info/gralic/Gralic111d.zip" TargetMode="External"/><Relationship Id="rId93" Type="http://schemas.openxmlformats.org/officeDocument/2006/relationships/hyperlink" Target="https://github.com/thorfdbg/libjpeg" TargetMode="External"/><Relationship Id="rId98" Type="http://schemas.openxmlformats.org/officeDocument/2006/relationships/hyperlink" Target="http://www.gzip.org/" TargetMode="External"/><Relationship Id="rId121" Type="http://schemas.openxmlformats.org/officeDocument/2006/relationships/hyperlink" Target="ftp://ftp.sac.sk/pub/sac/pack/arh140.zip" TargetMode="External"/><Relationship Id="rId142" Type="http://schemas.openxmlformats.org/officeDocument/2006/relationships/hyperlink" Target="http://www.getpaint.net/" TargetMode="External"/><Relationship Id="rId163" Type="http://schemas.openxmlformats.org/officeDocument/2006/relationships/hyperlink" Target="http://encode.narod.ru/bim001.zip" TargetMode="External"/><Relationship Id="rId184" Type="http://schemas.openxmlformats.org/officeDocument/2006/relationships/image" Target="../media/image2.png"/><Relationship Id="rId3" Type="http://schemas.openxmlformats.org/officeDocument/2006/relationships/hyperlink" Target="http://www.squeezechart.com/sony24.pnm" TargetMode="External"/><Relationship Id="rId25" Type="http://schemas.openxmlformats.org/officeDocument/2006/relationships/hyperlink" Target="http://www.xeraina.ch/download/win/pgfconsole.msi" TargetMode="External"/><Relationship Id="rId46" Type="http://schemas.openxmlformats.org/officeDocument/2006/relationships/hyperlink" Target="http://www.softpedia.com/dyn-postdownload.php?p=131267&amp;t=0&amp;i=1" TargetMode="External"/><Relationship Id="rId67" Type="http://schemas.openxmlformats.org/officeDocument/2006/relationships/hyperlink" Target="http://ftp.sac.sk/sac/pack/uharc06b.zip" TargetMode="External"/><Relationship Id="rId116" Type="http://schemas.openxmlformats.org/officeDocument/2006/relationships/hyperlink" Target="ftp://ftp.sac.sk/pub/sac/pack/compress.zip" TargetMode="External"/><Relationship Id="rId137" Type="http://schemas.openxmlformats.org/officeDocument/2006/relationships/hyperlink" Target="http://heartofcomp.altervista.org/zcm.zip" TargetMode="External"/><Relationship Id="rId158" Type="http://schemas.openxmlformats.org/officeDocument/2006/relationships/hyperlink" Target="http://www.studioline.net/" TargetMode="External"/><Relationship Id="rId20" Type="http://schemas.openxmlformats.org/officeDocument/2006/relationships/hyperlink" Target="http://ftp.sac.sk/sac/pack/uharc06b.zip" TargetMode="External"/><Relationship Id="rId41" Type="http://schemas.openxmlformats.org/officeDocument/2006/relationships/hyperlink" Target="http://www.xnview.com/" TargetMode="External"/><Relationship Id="rId62" Type="http://schemas.openxmlformats.org/officeDocument/2006/relationships/hyperlink" Target="http://www.nanozip.net/" TargetMode="External"/><Relationship Id="rId83" Type="http://schemas.openxmlformats.org/officeDocument/2006/relationships/hyperlink" Target="http://www.xnview.com/" TargetMode="External"/><Relationship Id="rId88" Type="http://schemas.openxmlformats.org/officeDocument/2006/relationships/hyperlink" Target="http://www.intuac.com/userport/john/apt/" TargetMode="External"/><Relationship Id="rId111" Type="http://schemas.openxmlformats.org/officeDocument/2006/relationships/hyperlink" Target="http://www.xnview.com/" TargetMode="External"/><Relationship Id="rId132" Type="http://schemas.openxmlformats.org/officeDocument/2006/relationships/hyperlink" Target="http://optipng.sourceforge.net/" TargetMode="External"/><Relationship Id="rId153" Type="http://schemas.openxmlformats.org/officeDocument/2006/relationships/hyperlink" Target="http://www.xnview.com/" TargetMode="External"/><Relationship Id="rId174" Type="http://schemas.openxmlformats.org/officeDocument/2006/relationships/hyperlink" Target="http://jxrlib.codeplex.com/" TargetMode="External"/><Relationship Id="rId179" Type="http://schemas.openxmlformats.org/officeDocument/2006/relationships/hyperlink" Target="http://encode.narod.ru/bim001.zip" TargetMode="External"/><Relationship Id="rId15" Type="http://schemas.openxmlformats.org/officeDocument/2006/relationships/hyperlink" Target="http://www.nanozip.net/" TargetMode="External"/><Relationship Id="rId36" Type="http://schemas.openxmlformats.org/officeDocument/2006/relationships/hyperlink" Target="http://replay.waybackmachine.org/20030126170744/http:/www.cipr.rpi.edu/research/SPIHT/EW_Code/lsp.exe" TargetMode="External"/><Relationship Id="rId57" Type="http://schemas.openxmlformats.org/officeDocument/2006/relationships/hyperlink" Target="http://www.gzip.org/" TargetMode="External"/><Relationship Id="rId106" Type="http://schemas.openxmlformats.org/officeDocument/2006/relationships/hyperlink" Target="http://itohws03.ee.noda.sut.ac.jp/~matsuda/mrp/" TargetMode="External"/><Relationship Id="rId127" Type="http://schemas.openxmlformats.org/officeDocument/2006/relationships/hyperlink" Target="http://www.cs.mu.oz.au/mg/mg-1.2.1.tar.gz" TargetMode="External"/><Relationship Id="rId10" Type="http://schemas.openxmlformats.org/officeDocument/2006/relationships/hyperlink" Target="mailto:mark@photographyblog.com" TargetMode="External"/><Relationship Id="rId31" Type="http://schemas.openxmlformats.org/officeDocument/2006/relationships/hyperlink" Target="ftp://ftp.sac.sk/pub/sac/pack/uhic20.zip" TargetMode="External"/><Relationship Id="rId52" Type="http://schemas.openxmlformats.org/officeDocument/2006/relationships/hyperlink" Target="https://github.com/thorfdbg/libjpeg" TargetMode="External"/><Relationship Id="rId73" Type="http://schemas.openxmlformats.org/officeDocument/2006/relationships/hyperlink" Target="http://mattmahoney.net/dc/text.html" TargetMode="External"/><Relationship Id="rId78" Type="http://schemas.openxmlformats.org/officeDocument/2006/relationships/hyperlink" Target="ftp://ftp.sac.sk/pub/sac/pack/uhic20.zip" TargetMode="External"/><Relationship Id="rId94" Type="http://schemas.openxmlformats.org/officeDocument/2006/relationships/hyperlink" Target="http://bjoern.hoehrmann.de/pngwolf/" TargetMode="External"/><Relationship Id="rId99" Type="http://schemas.openxmlformats.org/officeDocument/2006/relationships/hyperlink" Target="http://www.emit.jp/dgca/dgca_e.html" TargetMode="External"/><Relationship Id="rId101" Type="http://schemas.openxmlformats.org/officeDocument/2006/relationships/hyperlink" Target="http://heartofcomp.altervista.org/" TargetMode="External"/><Relationship Id="rId122" Type="http://schemas.openxmlformats.org/officeDocument/2006/relationships/hyperlink" Target="http://sourceforge.net/projects/pyramidworkshop/" TargetMode="External"/><Relationship Id="rId143" Type="http://schemas.openxmlformats.org/officeDocument/2006/relationships/hyperlink" Target="http://www.getpaint.net/" TargetMode="External"/><Relationship Id="rId148" Type="http://schemas.openxmlformats.org/officeDocument/2006/relationships/hyperlink" Target="http://www.photofiltre.com/" TargetMode="External"/><Relationship Id="rId164" Type="http://schemas.openxmlformats.org/officeDocument/2006/relationships/hyperlink" Target="mailto:squeezechart@gmx.de" TargetMode="External"/><Relationship Id="rId169" Type="http://schemas.openxmlformats.org/officeDocument/2006/relationships/hyperlink" Target="https://developers.google.com/speed/webp/download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rarlabs.com/" TargetMode="External"/><Relationship Id="rId299" Type="http://schemas.openxmlformats.org/officeDocument/2006/relationships/hyperlink" Target="http://mattmahoney.net/dc/text.html" TargetMode="External"/><Relationship Id="rId671" Type="http://schemas.openxmlformats.org/officeDocument/2006/relationships/hyperlink" Target="http://www.rarlabs.com/" TargetMode="External"/><Relationship Id="rId727" Type="http://schemas.openxmlformats.org/officeDocument/2006/relationships/hyperlink" Target="http://encode.ru/attachment.php?attachmentid=2422&amp;d=1376508078" TargetMode="External"/><Relationship Id="rId21" Type="http://schemas.openxmlformats.org/officeDocument/2006/relationships/hyperlink" Target="http://wiki.xiph.org/Rehuff" TargetMode="External"/><Relationship Id="rId63" Type="http://schemas.openxmlformats.org/officeDocument/2006/relationships/hyperlink" Target="http://www.winzip.com/" TargetMode="External"/><Relationship Id="rId159" Type="http://schemas.openxmlformats.org/officeDocument/2006/relationships/hyperlink" Target="http://www.7-zip.org/" TargetMode="External"/><Relationship Id="rId324" Type="http://schemas.openxmlformats.org/officeDocument/2006/relationships/hyperlink" Target="http://nishi.dreamhosters.com/u/reflate_v0c1.rar" TargetMode="External"/><Relationship Id="rId366" Type="http://schemas.openxmlformats.org/officeDocument/2006/relationships/hyperlink" Target="http://www.compression.ru/ds/" TargetMode="External"/><Relationship Id="rId531" Type="http://schemas.openxmlformats.org/officeDocument/2006/relationships/hyperlink" Target="http://nishi.dreamhosters.com/u/reflate_v0c1.rar" TargetMode="External"/><Relationship Id="rId573" Type="http://schemas.openxmlformats.org/officeDocument/2006/relationships/hyperlink" Target="http://schnaader.info/precomp.php" TargetMode="External"/><Relationship Id="rId629" Type="http://schemas.openxmlformats.org/officeDocument/2006/relationships/hyperlink" Target="http://ftp.sac.sk/sac/pack/uharc06b.zip" TargetMode="External"/><Relationship Id="rId170" Type="http://schemas.openxmlformats.org/officeDocument/2006/relationships/hyperlink" Target="http://www.7-zip.org/" TargetMode="External"/><Relationship Id="rId226" Type="http://schemas.openxmlformats.org/officeDocument/2006/relationships/hyperlink" Target="http://freearc.org/" TargetMode="External"/><Relationship Id="rId433" Type="http://schemas.openxmlformats.org/officeDocument/2006/relationships/hyperlink" Target="http://schnaader.info/precomp.php" TargetMode="External"/><Relationship Id="rId268" Type="http://schemas.openxmlformats.org/officeDocument/2006/relationships/hyperlink" Target="http://ftp.sac.sk/sac/pack/uharc06b.zip" TargetMode="External"/><Relationship Id="rId475" Type="http://schemas.openxmlformats.org/officeDocument/2006/relationships/hyperlink" Target="http://www.rarlabs.com/" TargetMode="External"/><Relationship Id="rId640" Type="http://schemas.openxmlformats.org/officeDocument/2006/relationships/hyperlink" Target="http://www.squeezechart.com/SDIM1021.X3F" TargetMode="External"/><Relationship Id="rId682" Type="http://schemas.openxmlformats.org/officeDocument/2006/relationships/hyperlink" Target="http://www.rarlabs.com/" TargetMode="External"/><Relationship Id="rId32" Type="http://schemas.openxmlformats.org/officeDocument/2006/relationships/hyperlink" Target="http://www.bzip.org/" TargetMode="External"/><Relationship Id="rId74" Type="http://schemas.openxmlformats.org/officeDocument/2006/relationships/hyperlink" Target="http://www.winzip.com/" TargetMode="External"/><Relationship Id="rId128" Type="http://schemas.openxmlformats.org/officeDocument/2006/relationships/hyperlink" Target="http://www.rarlabs.com/" TargetMode="External"/><Relationship Id="rId335" Type="http://schemas.openxmlformats.org/officeDocument/2006/relationships/hyperlink" Target="http://nishi.dreamhosters.com/u/reflate_v0c1.rar" TargetMode="External"/><Relationship Id="rId377" Type="http://schemas.openxmlformats.org/officeDocument/2006/relationships/hyperlink" Target="http://code.google.com/p/lzham/" TargetMode="External"/><Relationship Id="rId500" Type="http://schemas.openxmlformats.org/officeDocument/2006/relationships/hyperlink" Target="http://code.google.com/p/lzham/" TargetMode="External"/><Relationship Id="rId542" Type="http://schemas.openxmlformats.org/officeDocument/2006/relationships/hyperlink" Target="http://www.nanozip.net/" TargetMode="External"/><Relationship Id="rId584" Type="http://schemas.openxmlformats.org/officeDocument/2006/relationships/hyperlink" Target="http://freearc.org/" TargetMode="External"/><Relationship Id="rId5" Type="http://schemas.openxmlformats.org/officeDocument/2006/relationships/hyperlink" Target="http://www.squeezechart.com/a55.flv" TargetMode="External"/><Relationship Id="rId181" Type="http://schemas.openxmlformats.org/officeDocument/2006/relationships/hyperlink" Target="http://www.7-zip.org/" TargetMode="External"/><Relationship Id="rId237" Type="http://schemas.openxmlformats.org/officeDocument/2006/relationships/hyperlink" Target="http://freearc.org/" TargetMode="External"/><Relationship Id="rId402" Type="http://schemas.openxmlformats.org/officeDocument/2006/relationships/hyperlink" Target="http://code.google.com/p/lzham/" TargetMode="External"/><Relationship Id="rId279" Type="http://schemas.openxmlformats.org/officeDocument/2006/relationships/hyperlink" Target="http://ftp.sac.sk/sac/pack/uharc06b.zip" TargetMode="External"/><Relationship Id="rId444" Type="http://schemas.openxmlformats.org/officeDocument/2006/relationships/hyperlink" Target="http://schnaader.info/precomp.php" TargetMode="External"/><Relationship Id="rId486" Type="http://schemas.openxmlformats.org/officeDocument/2006/relationships/hyperlink" Target="http://libbsc.com/" TargetMode="External"/><Relationship Id="rId651" Type="http://schemas.openxmlformats.org/officeDocument/2006/relationships/hyperlink" Target="http://www.rarlabs.com/" TargetMode="External"/><Relationship Id="rId693" Type="http://schemas.openxmlformats.org/officeDocument/2006/relationships/hyperlink" Target="http://www.nanozip.net/" TargetMode="External"/><Relationship Id="rId707" Type="http://schemas.openxmlformats.org/officeDocument/2006/relationships/hyperlink" Target="http://encode.ru/attachment.php?attachmentid=2422&amp;d=1376508078" TargetMode="External"/><Relationship Id="rId43" Type="http://schemas.openxmlformats.org/officeDocument/2006/relationships/hyperlink" Target="http://www.bzip.org/" TargetMode="External"/><Relationship Id="rId139" Type="http://schemas.openxmlformats.org/officeDocument/2006/relationships/hyperlink" Target="http://www.emit.jp/dgca/dgca_e.html" TargetMode="External"/><Relationship Id="rId290" Type="http://schemas.openxmlformats.org/officeDocument/2006/relationships/hyperlink" Target="http://ftp.sac.sk/sac/pack/uharc06b.zip" TargetMode="External"/><Relationship Id="rId304" Type="http://schemas.openxmlformats.org/officeDocument/2006/relationships/hyperlink" Target="http://mattmahoney.net/dc/text.html" TargetMode="External"/><Relationship Id="rId346" Type="http://schemas.openxmlformats.org/officeDocument/2006/relationships/hyperlink" Target="http://nishi.dreamhosters.com/u/reflate_v0c1.rar" TargetMode="External"/><Relationship Id="rId388" Type="http://schemas.openxmlformats.org/officeDocument/2006/relationships/hyperlink" Target="http://code.google.com/p/lzham/" TargetMode="External"/><Relationship Id="rId511" Type="http://schemas.openxmlformats.org/officeDocument/2006/relationships/hyperlink" Target="http://openmpt.org/download" TargetMode="External"/><Relationship Id="rId553" Type="http://schemas.openxmlformats.org/officeDocument/2006/relationships/hyperlink" Target="http://www.rawzor.com/" TargetMode="External"/><Relationship Id="rId609" Type="http://schemas.openxmlformats.org/officeDocument/2006/relationships/hyperlink" Target="http://www.winace.com/" TargetMode="External"/><Relationship Id="rId85" Type="http://schemas.openxmlformats.org/officeDocument/2006/relationships/hyperlink" Target="http://heartofcomp.altervista.org/zcm.zip" TargetMode="External"/><Relationship Id="rId150" Type="http://schemas.openxmlformats.org/officeDocument/2006/relationships/hyperlink" Target="http://www.emit.jp/dgca/dgca_e.html" TargetMode="External"/><Relationship Id="rId192" Type="http://schemas.openxmlformats.org/officeDocument/2006/relationships/hyperlink" Target="http://www.nanozip.net/" TargetMode="External"/><Relationship Id="rId206" Type="http://schemas.openxmlformats.org/officeDocument/2006/relationships/hyperlink" Target="http://www.nanozip.net/" TargetMode="External"/><Relationship Id="rId413" Type="http://schemas.openxmlformats.org/officeDocument/2006/relationships/hyperlink" Target="http://libbsc.com/" TargetMode="External"/><Relationship Id="rId595" Type="http://schemas.openxmlformats.org/officeDocument/2006/relationships/hyperlink" Target="http://www.7-zip.org/" TargetMode="External"/><Relationship Id="rId248" Type="http://schemas.openxmlformats.org/officeDocument/2006/relationships/hyperlink" Target="http://www.winace.com/" TargetMode="External"/><Relationship Id="rId455" Type="http://schemas.openxmlformats.org/officeDocument/2006/relationships/hyperlink" Target="http://schnaader.info/precomp.php" TargetMode="External"/><Relationship Id="rId497" Type="http://schemas.openxmlformats.org/officeDocument/2006/relationships/hyperlink" Target="http://mattmahoney.net/dc/text.html" TargetMode="External"/><Relationship Id="rId620" Type="http://schemas.openxmlformats.org/officeDocument/2006/relationships/hyperlink" Target="http://www.bzip.org/" TargetMode="External"/><Relationship Id="rId662" Type="http://schemas.openxmlformats.org/officeDocument/2006/relationships/hyperlink" Target="http://www.rarlabs.com/" TargetMode="External"/><Relationship Id="rId718" Type="http://schemas.openxmlformats.org/officeDocument/2006/relationships/hyperlink" Target="http://encode.ru/attachment.php?attachmentid=2422&amp;d=1376508078" TargetMode="External"/><Relationship Id="rId12" Type="http://schemas.openxmlformats.org/officeDocument/2006/relationships/hyperlink" Target="http://dl.maximumpc.com/Archives/MPC_2011_11-web.pdf" TargetMode="External"/><Relationship Id="rId108" Type="http://schemas.openxmlformats.org/officeDocument/2006/relationships/hyperlink" Target="http://www.rarlabs.com/" TargetMode="External"/><Relationship Id="rId315" Type="http://schemas.openxmlformats.org/officeDocument/2006/relationships/hyperlink" Target="http://mattmahoney.net/dc/text.html" TargetMode="External"/><Relationship Id="rId357" Type="http://schemas.openxmlformats.org/officeDocument/2006/relationships/hyperlink" Target="http://www.compression.ru/ds/" TargetMode="External"/><Relationship Id="rId522" Type="http://schemas.openxmlformats.org/officeDocument/2006/relationships/hyperlink" Target="http://heartofcomp.altervista.org/zcm.zip" TargetMode="External"/><Relationship Id="rId54" Type="http://schemas.openxmlformats.org/officeDocument/2006/relationships/hyperlink" Target="http://www.winzip.com/" TargetMode="External"/><Relationship Id="rId96" Type="http://schemas.openxmlformats.org/officeDocument/2006/relationships/hyperlink" Target="http://heartofcomp.altervista.org/zcm.zip" TargetMode="External"/><Relationship Id="rId161" Type="http://schemas.openxmlformats.org/officeDocument/2006/relationships/hyperlink" Target="http://www.7-zip.org/" TargetMode="External"/><Relationship Id="rId217" Type="http://schemas.openxmlformats.org/officeDocument/2006/relationships/hyperlink" Target="http://freearc.org/" TargetMode="External"/><Relationship Id="rId399" Type="http://schemas.openxmlformats.org/officeDocument/2006/relationships/hyperlink" Target="http://code.google.com/p/lzham/" TargetMode="External"/><Relationship Id="rId564" Type="http://schemas.openxmlformats.org/officeDocument/2006/relationships/hyperlink" Target="http://www.nanozip.net/" TargetMode="External"/><Relationship Id="rId259" Type="http://schemas.openxmlformats.org/officeDocument/2006/relationships/hyperlink" Target="http://www.winace.com/" TargetMode="External"/><Relationship Id="rId424" Type="http://schemas.openxmlformats.org/officeDocument/2006/relationships/hyperlink" Target="http://libbsc.com/" TargetMode="External"/><Relationship Id="rId466" Type="http://schemas.openxmlformats.org/officeDocument/2006/relationships/hyperlink" Target="http://ftp.sac.sk/sac/pack/uharc06b.zip" TargetMode="External"/><Relationship Id="rId631" Type="http://schemas.openxmlformats.org/officeDocument/2006/relationships/hyperlink" Target="http://nishi.dreamhosters.com/u/reflate_v0c1.rar" TargetMode="External"/><Relationship Id="rId673" Type="http://schemas.openxmlformats.org/officeDocument/2006/relationships/hyperlink" Target="http://www.rarlabs.com/" TargetMode="External"/><Relationship Id="rId729" Type="http://schemas.openxmlformats.org/officeDocument/2006/relationships/hyperlink" Target="http://encode.ru/attachment.php?attachmentid=2422&amp;d=1376508078" TargetMode="External"/><Relationship Id="rId23" Type="http://schemas.openxmlformats.org/officeDocument/2006/relationships/hyperlink" Target="http://samples.mplayerhq.hu/HDTV/Van_Helsing.ts" TargetMode="External"/><Relationship Id="rId119" Type="http://schemas.openxmlformats.org/officeDocument/2006/relationships/hyperlink" Target="http://www.rarlabs.com/" TargetMode="External"/><Relationship Id="rId270" Type="http://schemas.openxmlformats.org/officeDocument/2006/relationships/hyperlink" Target="http://ftp.sac.sk/sac/pack/uharc06b.zip" TargetMode="External"/><Relationship Id="rId326" Type="http://schemas.openxmlformats.org/officeDocument/2006/relationships/hyperlink" Target="http://nishi.dreamhosters.com/u/reflate_v0c1.rar" TargetMode="External"/><Relationship Id="rId533" Type="http://schemas.openxmlformats.org/officeDocument/2006/relationships/hyperlink" Target="http://code.google.com/p/lzham/" TargetMode="External"/><Relationship Id="rId65" Type="http://schemas.openxmlformats.org/officeDocument/2006/relationships/hyperlink" Target="http://www.winzip.com/" TargetMode="External"/><Relationship Id="rId130" Type="http://schemas.openxmlformats.org/officeDocument/2006/relationships/hyperlink" Target="http://www.rarlabs.com/" TargetMode="External"/><Relationship Id="rId368" Type="http://schemas.openxmlformats.org/officeDocument/2006/relationships/hyperlink" Target="http://www.compression.ru/ds/" TargetMode="External"/><Relationship Id="rId575" Type="http://schemas.openxmlformats.org/officeDocument/2006/relationships/hyperlink" Target="http://www.winzip.com/" TargetMode="External"/><Relationship Id="rId172" Type="http://schemas.openxmlformats.org/officeDocument/2006/relationships/hyperlink" Target="http://www.7-zip.org/" TargetMode="External"/><Relationship Id="rId228" Type="http://schemas.openxmlformats.org/officeDocument/2006/relationships/hyperlink" Target="http://freearc.org/" TargetMode="External"/><Relationship Id="rId435" Type="http://schemas.openxmlformats.org/officeDocument/2006/relationships/hyperlink" Target="http://schnaader.info/precomp.php" TargetMode="External"/><Relationship Id="rId477" Type="http://schemas.openxmlformats.org/officeDocument/2006/relationships/hyperlink" Target="http://www.7-zip.org/" TargetMode="External"/><Relationship Id="rId600" Type="http://schemas.openxmlformats.org/officeDocument/2006/relationships/hyperlink" Target="http://img.photographyblog.com/reviews/fujifilm_x_e1/sample_images/fujifilm_x_e1_20.raf" TargetMode="External"/><Relationship Id="rId642" Type="http://schemas.openxmlformats.org/officeDocument/2006/relationships/hyperlink" Target="mailto:info@squeezechart.com" TargetMode="External"/><Relationship Id="rId684" Type="http://schemas.openxmlformats.org/officeDocument/2006/relationships/hyperlink" Target="http://www.7-zip.org/" TargetMode="External"/><Relationship Id="rId281" Type="http://schemas.openxmlformats.org/officeDocument/2006/relationships/hyperlink" Target="http://ftp.sac.sk/sac/pack/uharc06b.zip" TargetMode="External"/><Relationship Id="rId337" Type="http://schemas.openxmlformats.org/officeDocument/2006/relationships/hyperlink" Target="http://nishi.dreamhosters.com/u/reflate_v0c1.rar" TargetMode="External"/><Relationship Id="rId502" Type="http://schemas.openxmlformats.org/officeDocument/2006/relationships/hyperlink" Target="http://modarchive.org/data/downloads.php?moduleid=167157" TargetMode="External"/><Relationship Id="rId34" Type="http://schemas.openxmlformats.org/officeDocument/2006/relationships/hyperlink" Target="http://www.bzip.org/" TargetMode="External"/><Relationship Id="rId76" Type="http://schemas.openxmlformats.org/officeDocument/2006/relationships/hyperlink" Target="http://www.winzip.com/" TargetMode="External"/><Relationship Id="rId141" Type="http://schemas.openxmlformats.org/officeDocument/2006/relationships/hyperlink" Target="http://www.emit.jp/dgca/dgca_e.html" TargetMode="External"/><Relationship Id="rId379" Type="http://schemas.openxmlformats.org/officeDocument/2006/relationships/hyperlink" Target="http://code.google.com/p/lzham/" TargetMode="External"/><Relationship Id="rId544" Type="http://schemas.openxmlformats.org/officeDocument/2006/relationships/hyperlink" Target="http://www.winace.com/" TargetMode="External"/><Relationship Id="rId586" Type="http://schemas.openxmlformats.org/officeDocument/2006/relationships/hyperlink" Target="http://ftp.sac.sk/sac/pack/uharc06b.zip" TargetMode="External"/><Relationship Id="rId7" Type="http://schemas.openxmlformats.org/officeDocument/2006/relationships/hyperlink" Target="http://www.squeezechart.com/tech.mht" TargetMode="External"/><Relationship Id="rId183" Type="http://schemas.openxmlformats.org/officeDocument/2006/relationships/hyperlink" Target="http://www.7-zip.org/" TargetMode="External"/><Relationship Id="rId239" Type="http://schemas.openxmlformats.org/officeDocument/2006/relationships/hyperlink" Target="http://freearc.org/" TargetMode="External"/><Relationship Id="rId390" Type="http://schemas.openxmlformats.org/officeDocument/2006/relationships/hyperlink" Target="http://code.google.com/p/lzham/" TargetMode="External"/><Relationship Id="rId404" Type="http://schemas.openxmlformats.org/officeDocument/2006/relationships/hyperlink" Target="http://libbsc.com/" TargetMode="External"/><Relationship Id="rId446" Type="http://schemas.openxmlformats.org/officeDocument/2006/relationships/hyperlink" Target="http://schnaader.info/precomp.php" TargetMode="External"/><Relationship Id="rId611" Type="http://schemas.openxmlformats.org/officeDocument/2006/relationships/hyperlink" Target="http://mattmahoney.net/dc/text.html" TargetMode="External"/><Relationship Id="rId653" Type="http://schemas.openxmlformats.org/officeDocument/2006/relationships/hyperlink" Target="http://www.rarlabs.com/" TargetMode="External"/><Relationship Id="rId250" Type="http://schemas.openxmlformats.org/officeDocument/2006/relationships/hyperlink" Target="http://www.winace.com/" TargetMode="External"/><Relationship Id="rId292" Type="http://schemas.openxmlformats.org/officeDocument/2006/relationships/hyperlink" Target="http://ftp.sac.sk/sac/pack/uharc06b.zip" TargetMode="External"/><Relationship Id="rId306" Type="http://schemas.openxmlformats.org/officeDocument/2006/relationships/hyperlink" Target="http://mattmahoney.net/dc/text.html" TargetMode="External"/><Relationship Id="rId488" Type="http://schemas.openxmlformats.org/officeDocument/2006/relationships/hyperlink" Target="http://www.winzip.com/" TargetMode="External"/><Relationship Id="rId695" Type="http://schemas.openxmlformats.org/officeDocument/2006/relationships/hyperlink" Target="http://encode.ru/attachment.php?s=73f8f0e3a2159601451aeec475cd0a86&amp;attachmentid=1947&amp;d=1337700292" TargetMode="External"/><Relationship Id="rId709" Type="http://schemas.openxmlformats.org/officeDocument/2006/relationships/hyperlink" Target="http://encode.ru/attachment.php?attachmentid=2422&amp;d=1376508078" TargetMode="External"/><Relationship Id="rId45" Type="http://schemas.openxmlformats.org/officeDocument/2006/relationships/hyperlink" Target="http://www.bzip.org/" TargetMode="External"/><Relationship Id="rId87" Type="http://schemas.openxmlformats.org/officeDocument/2006/relationships/hyperlink" Target="http://heartofcomp.altervista.org/zcm.zip" TargetMode="External"/><Relationship Id="rId110" Type="http://schemas.openxmlformats.org/officeDocument/2006/relationships/hyperlink" Target="http://www.rarlabs.com/" TargetMode="External"/><Relationship Id="rId348" Type="http://schemas.openxmlformats.org/officeDocument/2006/relationships/hyperlink" Target="http://nishi.dreamhosters.com/u/reflate_v0c1.rar" TargetMode="External"/><Relationship Id="rId513" Type="http://schemas.openxmlformats.org/officeDocument/2006/relationships/hyperlink" Target="http://www.madtracker.org/" TargetMode="External"/><Relationship Id="rId555" Type="http://schemas.openxmlformats.org/officeDocument/2006/relationships/hyperlink" Target="http://www.winzip.com/" TargetMode="External"/><Relationship Id="rId597" Type="http://schemas.openxmlformats.org/officeDocument/2006/relationships/hyperlink" Target="http://www.squeezechart.com/DSC00347.ARW" TargetMode="External"/><Relationship Id="rId720" Type="http://schemas.openxmlformats.org/officeDocument/2006/relationships/hyperlink" Target="http://encode.ru/attachment.php?attachmentid=2422&amp;d=1376508078" TargetMode="External"/><Relationship Id="rId152" Type="http://schemas.openxmlformats.org/officeDocument/2006/relationships/hyperlink" Target="http://www.emit.jp/dgca/dgca_e.html" TargetMode="External"/><Relationship Id="rId194" Type="http://schemas.openxmlformats.org/officeDocument/2006/relationships/hyperlink" Target="http://www.nanozip.net/" TargetMode="External"/><Relationship Id="rId208" Type="http://schemas.openxmlformats.org/officeDocument/2006/relationships/hyperlink" Target="http://www.nanozip.net/" TargetMode="External"/><Relationship Id="rId415" Type="http://schemas.openxmlformats.org/officeDocument/2006/relationships/hyperlink" Target="http://libbsc.com/" TargetMode="External"/><Relationship Id="rId457" Type="http://schemas.openxmlformats.org/officeDocument/2006/relationships/hyperlink" Target="http://www.bzip.org/" TargetMode="External"/><Relationship Id="rId622" Type="http://schemas.openxmlformats.org/officeDocument/2006/relationships/hyperlink" Target="http://heartofcomp.altervista.org/zcm.zip" TargetMode="External"/><Relationship Id="rId261" Type="http://schemas.openxmlformats.org/officeDocument/2006/relationships/hyperlink" Target="http://www.winace.com/" TargetMode="External"/><Relationship Id="rId499" Type="http://schemas.openxmlformats.org/officeDocument/2006/relationships/hyperlink" Target="http://www.compression.ru/ds/" TargetMode="External"/><Relationship Id="rId664" Type="http://schemas.openxmlformats.org/officeDocument/2006/relationships/hyperlink" Target="http://www.rarlabs.com/" TargetMode="External"/><Relationship Id="rId14" Type="http://schemas.openxmlformats.org/officeDocument/2006/relationships/hyperlink" Target="http://de.download.nvidia.com/Windows/295.73/295.73-notebook-win7-winvista-64bit-international-whql.exe" TargetMode="External"/><Relationship Id="rId56" Type="http://schemas.openxmlformats.org/officeDocument/2006/relationships/hyperlink" Target="http://www.winzip.com/" TargetMode="External"/><Relationship Id="rId317" Type="http://schemas.openxmlformats.org/officeDocument/2006/relationships/hyperlink" Target="http://mattmahoney.net/dc/text.html" TargetMode="External"/><Relationship Id="rId359" Type="http://schemas.openxmlformats.org/officeDocument/2006/relationships/hyperlink" Target="http://www.compression.ru/ds/" TargetMode="External"/><Relationship Id="rId524" Type="http://schemas.openxmlformats.org/officeDocument/2006/relationships/hyperlink" Target="http://www.emit.jp/dgca/dgca_e.html" TargetMode="External"/><Relationship Id="rId566" Type="http://schemas.openxmlformats.org/officeDocument/2006/relationships/hyperlink" Target="http://www.winace.com/" TargetMode="External"/><Relationship Id="rId731" Type="http://schemas.openxmlformats.org/officeDocument/2006/relationships/hyperlink" Target="http://jpegclub.org/jpegcrop.zip" TargetMode="External"/><Relationship Id="rId98" Type="http://schemas.openxmlformats.org/officeDocument/2006/relationships/hyperlink" Target="http://heartofcomp.altervista.org/zcm.zip" TargetMode="External"/><Relationship Id="rId121" Type="http://schemas.openxmlformats.org/officeDocument/2006/relationships/hyperlink" Target="http://www.rarlabs.com/" TargetMode="External"/><Relationship Id="rId163" Type="http://schemas.openxmlformats.org/officeDocument/2006/relationships/hyperlink" Target="http://www.7-zip.org/" TargetMode="External"/><Relationship Id="rId219" Type="http://schemas.openxmlformats.org/officeDocument/2006/relationships/hyperlink" Target="http://freearc.org/" TargetMode="External"/><Relationship Id="rId370" Type="http://schemas.openxmlformats.org/officeDocument/2006/relationships/hyperlink" Target="http://www.compression.ru/ds/" TargetMode="External"/><Relationship Id="rId426" Type="http://schemas.openxmlformats.org/officeDocument/2006/relationships/hyperlink" Target="http://libbsc.com/" TargetMode="External"/><Relationship Id="rId633" Type="http://schemas.openxmlformats.org/officeDocument/2006/relationships/hyperlink" Target="http://code.google.com/p/lzham/" TargetMode="External"/><Relationship Id="rId230" Type="http://schemas.openxmlformats.org/officeDocument/2006/relationships/hyperlink" Target="http://freearc.org/" TargetMode="External"/><Relationship Id="rId468" Type="http://schemas.openxmlformats.org/officeDocument/2006/relationships/hyperlink" Target="http://nishi.dreamhosters.com/u/reflate_v0c1.rar" TargetMode="External"/><Relationship Id="rId675" Type="http://schemas.openxmlformats.org/officeDocument/2006/relationships/hyperlink" Target="http://www.rarlabs.com/" TargetMode="External"/><Relationship Id="rId25" Type="http://schemas.openxmlformats.org/officeDocument/2006/relationships/hyperlink" Target="http://www.bzip.org/" TargetMode="External"/><Relationship Id="rId67" Type="http://schemas.openxmlformats.org/officeDocument/2006/relationships/hyperlink" Target="http://www.winzip.com/" TargetMode="External"/><Relationship Id="rId272" Type="http://schemas.openxmlformats.org/officeDocument/2006/relationships/hyperlink" Target="http://ftp.sac.sk/sac/pack/uharc06b.zip" TargetMode="External"/><Relationship Id="rId328" Type="http://schemas.openxmlformats.org/officeDocument/2006/relationships/hyperlink" Target="http://nishi.dreamhosters.com/u/reflate_v0c1.rar" TargetMode="External"/><Relationship Id="rId535" Type="http://schemas.openxmlformats.org/officeDocument/2006/relationships/hyperlink" Target="http://schnaader.info/precomp.php" TargetMode="External"/><Relationship Id="rId577" Type="http://schemas.openxmlformats.org/officeDocument/2006/relationships/hyperlink" Target="http://www.bzip.org/" TargetMode="External"/><Relationship Id="rId700" Type="http://schemas.openxmlformats.org/officeDocument/2006/relationships/hyperlink" Target="http://encode.ru/attachment.php?attachmentid=2422&amp;d=1376508078" TargetMode="External"/><Relationship Id="rId132" Type="http://schemas.openxmlformats.org/officeDocument/2006/relationships/hyperlink" Target="http://www.emit.jp/dgca/dgca_e.html" TargetMode="External"/><Relationship Id="rId174" Type="http://schemas.openxmlformats.org/officeDocument/2006/relationships/hyperlink" Target="http://www.7-zip.org/" TargetMode="External"/><Relationship Id="rId381" Type="http://schemas.openxmlformats.org/officeDocument/2006/relationships/hyperlink" Target="http://code.google.com/p/lzham/" TargetMode="External"/><Relationship Id="rId602" Type="http://schemas.openxmlformats.org/officeDocument/2006/relationships/hyperlink" Target="http://www.winzip.com/" TargetMode="External"/><Relationship Id="rId241" Type="http://schemas.openxmlformats.org/officeDocument/2006/relationships/hyperlink" Target="http://www.winace.com/" TargetMode="External"/><Relationship Id="rId437" Type="http://schemas.openxmlformats.org/officeDocument/2006/relationships/hyperlink" Target="http://schnaader.info/precomp.php" TargetMode="External"/><Relationship Id="rId479" Type="http://schemas.openxmlformats.org/officeDocument/2006/relationships/hyperlink" Target="http://freearc.org/" TargetMode="External"/><Relationship Id="rId644" Type="http://schemas.openxmlformats.org/officeDocument/2006/relationships/hyperlink" Target="http://www.rarlabs.com/" TargetMode="External"/><Relationship Id="rId686" Type="http://schemas.openxmlformats.org/officeDocument/2006/relationships/hyperlink" Target="http://www.winace.com/" TargetMode="External"/><Relationship Id="rId36" Type="http://schemas.openxmlformats.org/officeDocument/2006/relationships/hyperlink" Target="http://www.bzip.org/" TargetMode="External"/><Relationship Id="rId283" Type="http://schemas.openxmlformats.org/officeDocument/2006/relationships/hyperlink" Target="http://ftp.sac.sk/sac/pack/uharc06b.zip" TargetMode="External"/><Relationship Id="rId339" Type="http://schemas.openxmlformats.org/officeDocument/2006/relationships/hyperlink" Target="http://nishi.dreamhosters.com/u/reflate_v0c1.rar" TargetMode="External"/><Relationship Id="rId490" Type="http://schemas.openxmlformats.org/officeDocument/2006/relationships/hyperlink" Target="http://www.rarlabs.com/" TargetMode="External"/><Relationship Id="rId504" Type="http://schemas.openxmlformats.org/officeDocument/2006/relationships/hyperlink" Target="http://www.renoise.com/" TargetMode="External"/><Relationship Id="rId546" Type="http://schemas.openxmlformats.org/officeDocument/2006/relationships/hyperlink" Target="http://mattmahoney.net/dc/text.html" TargetMode="External"/><Relationship Id="rId711" Type="http://schemas.openxmlformats.org/officeDocument/2006/relationships/hyperlink" Target="http://encode.ru/attachment.php?attachmentid=2422&amp;d=1376508078" TargetMode="External"/><Relationship Id="rId78" Type="http://schemas.openxmlformats.org/officeDocument/2006/relationships/hyperlink" Target="http://heartofcomp.altervista.org/zcm.zip" TargetMode="External"/><Relationship Id="rId101" Type="http://schemas.openxmlformats.org/officeDocument/2006/relationships/hyperlink" Target="http://heartofcomp.altervista.org/zcm.zip" TargetMode="External"/><Relationship Id="rId143" Type="http://schemas.openxmlformats.org/officeDocument/2006/relationships/hyperlink" Target="http://www.emit.jp/dgca/dgca_e.html" TargetMode="External"/><Relationship Id="rId185" Type="http://schemas.openxmlformats.org/officeDocument/2006/relationships/hyperlink" Target="http://www.7-zip.org/" TargetMode="External"/><Relationship Id="rId350" Type="http://schemas.openxmlformats.org/officeDocument/2006/relationships/hyperlink" Target="http://www.compression.ru/ds/" TargetMode="External"/><Relationship Id="rId406" Type="http://schemas.openxmlformats.org/officeDocument/2006/relationships/hyperlink" Target="http://libbsc.com/" TargetMode="External"/><Relationship Id="rId588" Type="http://schemas.openxmlformats.org/officeDocument/2006/relationships/hyperlink" Target="http://nishi.dreamhosters.com/u/reflate_v0c1.rar" TargetMode="External"/><Relationship Id="rId9" Type="http://schemas.openxmlformats.org/officeDocument/2006/relationships/hyperlink" Target="http://www.squeezechart.com/filou.gif" TargetMode="External"/><Relationship Id="rId210" Type="http://schemas.openxmlformats.org/officeDocument/2006/relationships/hyperlink" Target="http://www.nanozip.net/" TargetMode="External"/><Relationship Id="rId392" Type="http://schemas.openxmlformats.org/officeDocument/2006/relationships/hyperlink" Target="http://code.google.com/p/lzham/" TargetMode="External"/><Relationship Id="rId448" Type="http://schemas.openxmlformats.org/officeDocument/2006/relationships/hyperlink" Target="http://schnaader.info/precomp.php" TargetMode="External"/><Relationship Id="rId613" Type="http://schemas.openxmlformats.org/officeDocument/2006/relationships/hyperlink" Target="http://www.compression.ru/ds/" TargetMode="External"/><Relationship Id="rId655" Type="http://schemas.openxmlformats.org/officeDocument/2006/relationships/hyperlink" Target="http://www.rarlabs.com/" TargetMode="External"/><Relationship Id="rId697" Type="http://schemas.openxmlformats.org/officeDocument/2006/relationships/hyperlink" Target="http://encode.ru/attachment.php?attachmentid=2422&amp;d=1376508078" TargetMode="External"/><Relationship Id="rId252" Type="http://schemas.openxmlformats.org/officeDocument/2006/relationships/hyperlink" Target="http://www.winace.com/" TargetMode="External"/><Relationship Id="rId294" Type="http://schemas.openxmlformats.org/officeDocument/2006/relationships/hyperlink" Target="http://mattmahoney.net/dc/text.html" TargetMode="External"/><Relationship Id="rId308" Type="http://schemas.openxmlformats.org/officeDocument/2006/relationships/hyperlink" Target="http://mattmahoney.net/dc/text.html" TargetMode="External"/><Relationship Id="rId515" Type="http://schemas.openxmlformats.org/officeDocument/2006/relationships/hyperlink" Target="http://www.madtracker.org/" TargetMode="External"/><Relationship Id="rId722" Type="http://schemas.openxmlformats.org/officeDocument/2006/relationships/hyperlink" Target="http://encode.ru/attachment.php?attachmentid=2422&amp;d=1376508078" TargetMode="External"/><Relationship Id="rId47" Type="http://schemas.openxmlformats.org/officeDocument/2006/relationships/hyperlink" Target="http://www.bzip.org/" TargetMode="External"/><Relationship Id="rId89" Type="http://schemas.openxmlformats.org/officeDocument/2006/relationships/hyperlink" Target="http://heartofcomp.altervista.org/zcm.zip" TargetMode="External"/><Relationship Id="rId112" Type="http://schemas.openxmlformats.org/officeDocument/2006/relationships/hyperlink" Target="http://www.rarlabs.com/" TargetMode="External"/><Relationship Id="rId154" Type="http://schemas.openxmlformats.org/officeDocument/2006/relationships/hyperlink" Target="http://www.emit.jp/dgca/dgca_e.html" TargetMode="External"/><Relationship Id="rId361" Type="http://schemas.openxmlformats.org/officeDocument/2006/relationships/hyperlink" Target="http://www.compression.ru/ds/" TargetMode="External"/><Relationship Id="rId557" Type="http://schemas.openxmlformats.org/officeDocument/2006/relationships/hyperlink" Target="http://www.7-zip.org/" TargetMode="External"/><Relationship Id="rId599" Type="http://schemas.openxmlformats.org/officeDocument/2006/relationships/hyperlink" Target="http://www.csl.cornell.edu/~burtscher/research/FPC/datasets.html" TargetMode="External"/><Relationship Id="rId196" Type="http://schemas.openxmlformats.org/officeDocument/2006/relationships/hyperlink" Target="http://www.nanozip.net/" TargetMode="External"/><Relationship Id="rId417" Type="http://schemas.openxmlformats.org/officeDocument/2006/relationships/hyperlink" Target="http://libbsc.com/" TargetMode="External"/><Relationship Id="rId459" Type="http://schemas.openxmlformats.org/officeDocument/2006/relationships/hyperlink" Target="http://heartofcomp.altervista.org/zcm.zip" TargetMode="External"/><Relationship Id="rId624" Type="http://schemas.openxmlformats.org/officeDocument/2006/relationships/hyperlink" Target="http://www.emit.jp/dgca/dgca_e.html" TargetMode="External"/><Relationship Id="rId666" Type="http://schemas.openxmlformats.org/officeDocument/2006/relationships/hyperlink" Target="http://www.rarlabs.com/" TargetMode="External"/><Relationship Id="rId16" Type="http://schemas.openxmlformats.org/officeDocument/2006/relationships/hyperlink" Target="http://sourceforge.net/projects/stellarium/files/Stellarium-win32/0.11.2/" TargetMode="External"/><Relationship Id="rId221" Type="http://schemas.openxmlformats.org/officeDocument/2006/relationships/hyperlink" Target="http://freearc.org/" TargetMode="External"/><Relationship Id="rId263" Type="http://schemas.openxmlformats.org/officeDocument/2006/relationships/hyperlink" Target="http://www.winace.com/" TargetMode="External"/><Relationship Id="rId319" Type="http://schemas.openxmlformats.org/officeDocument/2006/relationships/hyperlink" Target="http://mattmahoney.net/dc/text.html" TargetMode="External"/><Relationship Id="rId470" Type="http://schemas.openxmlformats.org/officeDocument/2006/relationships/hyperlink" Target="http://code.google.com/p/lzham/" TargetMode="External"/><Relationship Id="rId526" Type="http://schemas.openxmlformats.org/officeDocument/2006/relationships/hyperlink" Target="http://www.nanozip.net/" TargetMode="External"/><Relationship Id="rId58" Type="http://schemas.openxmlformats.org/officeDocument/2006/relationships/hyperlink" Target="http://www.winzip.com/" TargetMode="External"/><Relationship Id="rId123" Type="http://schemas.openxmlformats.org/officeDocument/2006/relationships/hyperlink" Target="http://www.rarlabs.com/" TargetMode="External"/><Relationship Id="rId330" Type="http://schemas.openxmlformats.org/officeDocument/2006/relationships/hyperlink" Target="http://nishi.dreamhosters.com/u/reflate_v0c1.rar" TargetMode="External"/><Relationship Id="rId568" Type="http://schemas.openxmlformats.org/officeDocument/2006/relationships/hyperlink" Target="http://mattmahoney.net/dc/text.html" TargetMode="External"/><Relationship Id="rId733" Type="http://schemas.openxmlformats.org/officeDocument/2006/relationships/printerSettings" Target="../printerSettings/printerSettings9.bin"/><Relationship Id="rId165" Type="http://schemas.openxmlformats.org/officeDocument/2006/relationships/hyperlink" Target="http://www.7-zip.org/" TargetMode="External"/><Relationship Id="rId372" Type="http://schemas.openxmlformats.org/officeDocument/2006/relationships/hyperlink" Target="http://www.compression.ru/ds/" TargetMode="External"/><Relationship Id="rId428" Type="http://schemas.openxmlformats.org/officeDocument/2006/relationships/hyperlink" Target="http://libbsc.com/" TargetMode="External"/><Relationship Id="rId635" Type="http://schemas.openxmlformats.org/officeDocument/2006/relationships/hyperlink" Target="http://schnaader.info/precomp.php" TargetMode="External"/><Relationship Id="rId677" Type="http://schemas.openxmlformats.org/officeDocument/2006/relationships/hyperlink" Target="http://www.rarlabs.com/" TargetMode="External"/><Relationship Id="rId232" Type="http://schemas.openxmlformats.org/officeDocument/2006/relationships/hyperlink" Target="http://freearc.org/" TargetMode="External"/><Relationship Id="rId274" Type="http://schemas.openxmlformats.org/officeDocument/2006/relationships/hyperlink" Target="http://ftp.sac.sk/sac/pack/uharc06b.zip" TargetMode="External"/><Relationship Id="rId481" Type="http://schemas.openxmlformats.org/officeDocument/2006/relationships/hyperlink" Target="http://ftp.sac.sk/sac/pack/uharc06b.zip" TargetMode="External"/><Relationship Id="rId702" Type="http://schemas.openxmlformats.org/officeDocument/2006/relationships/hyperlink" Target="http://encode.ru/attachment.php?attachmentid=2422&amp;d=1376508078" TargetMode="External"/><Relationship Id="rId27" Type="http://schemas.openxmlformats.org/officeDocument/2006/relationships/hyperlink" Target="http://www.bzip.org/" TargetMode="External"/><Relationship Id="rId69" Type="http://schemas.openxmlformats.org/officeDocument/2006/relationships/hyperlink" Target="http://www.winzip.com/" TargetMode="External"/><Relationship Id="rId134" Type="http://schemas.openxmlformats.org/officeDocument/2006/relationships/hyperlink" Target="http://www.emit.jp/dgca/dgca_e.html" TargetMode="External"/><Relationship Id="rId537" Type="http://schemas.openxmlformats.org/officeDocument/2006/relationships/hyperlink" Target="http://www.winzip.com/" TargetMode="External"/><Relationship Id="rId579" Type="http://schemas.openxmlformats.org/officeDocument/2006/relationships/hyperlink" Target="http://heartofcomp.altervista.org/zcm.zip" TargetMode="External"/><Relationship Id="rId80" Type="http://schemas.openxmlformats.org/officeDocument/2006/relationships/hyperlink" Target="http://heartofcomp.altervista.org/zcm.zip" TargetMode="External"/><Relationship Id="rId176" Type="http://schemas.openxmlformats.org/officeDocument/2006/relationships/hyperlink" Target="http://www.7-zip.org/" TargetMode="External"/><Relationship Id="rId341" Type="http://schemas.openxmlformats.org/officeDocument/2006/relationships/hyperlink" Target="http://nishi.dreamhosters.com/u/reflate_v0c1.rar" TargetMode="External"/><Relationship Id="rId383" Type="http://schemas.openxmlformats.org/officeDocument/2006/relationships/hyperlink" Target="http://code.google.com/p/lzham/" TargetMode="External"/><Relationship Id="rId439" Type="http://schemas.openxmlformats.org/officeDocument/2006/relationships/hyperlink" Target="http://schnaader.info/precomp.php" TargetMode="External"/><Relationship Id="rId590" Type="http://schemas.openxmlformats.org/officeDocument/2006/relationships/hyperlink" Target="http://code.google.com/p/lzham/" TargetMode="External"/><Relationship Id="rId604" Type="http://schemas.openxmlformats.org/officeDocument/2006/relationships/hyperlink" Target="http://www.rarlabs.com/" TargetMode="External"/><Relationship Id="rId646" Type="http://schemas.openxmlformats.org/officeDocument/2006/relationships/hyperlink" Target="http://www.rarlabs.com/" TargetMode="External"/><Relationship Id="rId201" Type="http://schemas.openxmlformats.org/officeDocument/2006/relationships/hyperlink" Target="http://www.nanozip.net/" TargetMode="External"/><Relationship Id="rId243" Type="http://schemas.openxmlformats.org/officeDocument/2006/relationships/hyperlink" Target="http://www.winace.com/" TargetMode="External"/><Relationship Id="rId285" Type="http://schemas.openxmlformats.org/officeDocument/2006/relationships/hyperlink" Target="http://ftp.sac.sk/sac/pack/uharc06b.zip" TargetMode="External"/><Relationship Id="rId450" Type="http://schemas.openxmlformats.org/officeDocument/2006/relationships/hyperlink" Target="http://schnaader.info/precomp.php" TargetMode="External"/><Relationship Id="rId506" Type="http://schemas.openxmlformats.org/officeDocument/2006/relationships/hyperlink" Target="http://psycle.pastnotecut.org/portal.php" TargetMode="External"/><Relationship Id="rId688" Type="http://schemas.openxmlformats.org/officeDocument/2006/relationships/hyperlink" Target="http://nishi.dreamhosters.com/u/reflate_v0c1.rar" TargetMode="External"/><Relationship Id="rId38" Type="http://schemas.openxmlformats.org/officeDocument/2006/relationships/hyperlink" Target="http://www.bzip.org/" TargetMode="External"/><Relationship Id="rId103" Type="http://schemas.openxmlformats.org/officeDocument/2006/relationships/hyperlink" Target="http://heartofcomp.altervista.org/zcm.zip" TargetMode="External"/><Relationship Id="rId310" Type="http://schemas.openxmlformats.org/officeDocument/2006/relationships/hyperlink" Target="http://mattmahoney.net/dc/text.html" TargetMode="External"/><Relationship Id="rId492" Type="http://schemas.openxmlformats.org/officeDocument/2006/relationships/hyperlink" Target="http://www.7-zip.org/" TargetMode="External"/><Relationship Id="rId548" Type="http://schemas.openxmlformats.org/officeDocument/2006/relationships/hyperlink" Target="http://www.compression.ru/ds/" TargetMode="External"/><Relationship Id="rId713" Type="http://schemas.openxmlformats.org/officeDocument/2006/relationships/hyperlink" Target="http://encode.ru/attachment.php?attachmentid=2422&amp;d=1376508078" TargetMode="External"/><Relationship Id="rId91" Type="http://schemas.openxmlformats.org/officeDocument/2006/relationships/hyperlink" Target="http://heartofcomp.altervista.org/zcm.zip" TargetMode="External"/><Relationship Id="rId145" Type="http://schemas.openxmlformats.org/officeDocument/2006/relationships/hyperlink" Target="http://www.emit.jp/dgca/dgca_e.html" TargetMode="External"/><Relationship Id="rId187" Type="http://schemas.openxmlformats.org/officeDocument/2006/relationships/hyperlink" Target="http://www.nanozip.net/" TargetMode="External"/><Relationship Id="rId352" Type="http://schemas.openxmlformats.org/officeDocument/2006/relationships/hyperlink" Target="http://www.compression.ru/ds/" TargetMode="External"/><Relationship Id="rId394" Type="http://schemas.openxmlformats.org/officeDocument/2006/relationships/hyperlink" Target="http://code.google.com/p/lzham/" TargetMode="External"/><Relationship Id="rId408" Type="http://schemas.openxmlformats.org/officeDocument/2006/relationships/hyperlink" Target="http://libbsc.com/" TargetMode="External"/><Relationship Id="rId615" Type="http://schemas.openxmlformats.org/officeDocument/2006/relationships/hyperlink" Target="http://libbsc.com/" TargetMode="External"/><Relationship Id="rId212" Type="http://schemas.openxmlformats.org/officeDocument/2006/relationships/hyperlink" Target="http://www.nanozip.net/" TargetMode="External"/><Relationship Id="rId254" Type="http://schemas.openxmlformats.org/officeDocument/2006/relationships/hyperlink" Target="http://www.winace.com/" TargetMode="External"/><Relationship Id="rId657" Type="http://schemas.openxmlformats.org/officeDocument/2006/relationships/hyperlink" Target="http://www.rarlabs.com/" TargetMode="External"/><Relationship Id="rId699" Type="http://schemas.openxmlformats.org/officeDocument/2006/relationships/hyperlink" Target="http://encode.ru/attachment.php?attachmentid=2422&amp;d=1376508078" TargetMode="External"/><Relationship Id="rId49" Type="http://schemas.openxmlformats.org/officeDocument/2006/relationships/hyperlink" Target="http://www.bzip.org/" TargetMode="External"/><Relationship Id="rId114" Type="http://schemas.openxmlformats.org/officeDocument/2006/relationships/hyperlink" Target="http://www.rarlabs.com/" TargetMode="External"/><Relationship Id="rId296" Type="http://schemas.openxmlformats.org/officeDocument/2006/relationships/hyperlink" Target="http://mattmahoney.net/dc/text.html" TargetMode="External"/><Relationship Id="rId461" Type="http://schemas.openxmlformats.org/officeDocument/2006/relationships/hyperlink" Target="http://www.emit.jp/dgca/dgca_e.html" TargetMode="External"/><Relationship Id="rId517" Type="http://schemas.openxmlformats.org/officeDocument/2006/relationships/hyperlink" Target="http://www.un4seen.com/mo3.html" TargetMode="External"/><Relationship Id="rId559" Type="http://schemas.openxmlformats.org/officeDocument/2006/relationships/hyperlink" Target="http://www.winzip.com/" TargetMode="External"/><Relationship Id="rId724" Type="http://schemas.openxmlformats.org/officeDocument/2006/relationships/hyperlink" Target="http://encode.ru/attachment.php?attachmentid=2422&amp;d=1376508078" TargetMode="External"/><Relationship Id="rId60" Type="http://schemas.openxmlformats.org/officeDocument/2006/relationships/hyperlink" Target="http://www.winzip.com/" TargetMode="External"/><Relationship Id="rId156" Type="http://schemas.openxmlformats.org/officeDocument/2006/relationships/hyperlink" Target="http://www.emit.jp/dgca/dgca_e.html" TargetMode="External"/><Relationship Id="rId198" Type="http://schemas.openxmlformats.org/officeDocument/2006/relationships/hyperlink" Target="http://www.nanozip.net/" TargetMode="External"/><Relationship Id="rId321" Type="http://schemas.openxmlformats.org/officeDocument/2006/relationships/hyperlink" Target="http://nishi.dreamhosters.com/u/reflate_v0c1.rar" TargetMode="External"/><Relationship Id="rId363" Type="http://schemas.openxmlformats.org/officeDocument/2006/relationships/hyperlink" Target="http://www.compression.ru/ds/" TargetMode="External"/><Relationship Id="rId419" Type="http://schemas.openxmlformats.org/officeDocument/2006/relationships/hyperlink" Target="http://libbsc.com/" TargetMode="External"/><Relationship Id="rId570" Type="http://schemas.openxmlformats.org/officeDocument/2006/relationships/hyperlink" Target="http://www.compression.ru/ds/" TargetMode="External"/><Relationship Id="rId626" Type="http://schemas.openxmlformats.org/officeDocument/2006/relationships/hyperlink" Target="http://www.nanozip.net/" TargetMode="External"/><Relationship Id="rId223" Type="http://schemas.openxmlformats.org/officeDocument/2006/relationships/hyperlink" Target="http://freearc.org/" TargetMode="External"/><Relationship Id="rId430" Type="http://schemas.openxmlformats.org/officeDocument/2006/relationships/hyperlink" Target="http://schnaader.info/precomp.php" TargetMode="External"/><Relationship Id="rId668" Type="http://schemas.openxmlformats.org/officeDocument/2006/relationships/hyperlink" Target="http://www.rarlabs.com/" TargetMode="External"/><Relationship Id="rId18" Type="http://schemas.openxmlformats.org/officeDocument/2006/relationships/hyperlink" Target="http://archive.org/download/uso20080202/uso20080202-03-smetana-vltava.wav" TargetMode="External"/><Relationship Id="rId265" Type="http://schemas.openxmlformats.org/officeDocument/2006/relationships/hyperlink" Target="http://www.winace.com/" TargetMode="External"/><Relationship Id="rId472" Type="http://schemas.openxmlformats.org/officeDocument/2006/relationships/hyperlink" Target="http://www.bzip.org/" TargetMode="External"/><Relationship Id="rId528" Type="http://schemas.openxmlformats.org/officeDocument/2006/relationships/hyperlink" Target="http://www.winace.com/" TargetMode="External"/><Relationship Id="rId735" Type="http://schemas.openxmlformats.org/officeDocument/2006/relationships/image" Target="../media/image2.png"/><Relationship Id="rId125" Type="http://schemas.openxmlformats.org/officeDocument/2006/relationships/hyperlink" Target="http://www.rarlabs.com/" TargetMode="External"/><Relationship Id="rId167" Type="http://schemas.openxmlformats.org/officeDocument/2006/relationships/hyperlink" Target="http://www.7-zip.org/" TargetMode="External"/><Relationship Id="rId332" Type="http://schemas.openxmlformats.org/officeDocument/2006/relationships/hyperlink" Target="http://nishi.dreamhosters.com/u/reflate_v0c1.rar" TargetMode="External"/><Relationship Id="rId374" Type="http://schemas.openxmlformats.org/officeDocument/2006/relationships/hyperlink" Target="http://www.compression.ru/ds/" TargetMode="External"/><Relationship Id="rId581" Type="http://schemas.openxmlformats.org/officeDocument/2006/relationships/hyperlink" Target="http://www.emit.jp/dgca/dgca_e.html" TargetMode="External"/><Relationship Id="rId71" Type="http://schemas.openxmlformats.org/officeDocument/2006/relationships/hyperlink" Target="http://www.winzip.com/" TargetMode="External"/><Relationship Id="rId234" Type="http://schemas.openxmlformats.org/officeDocument/2006/relationships/hyperlink" Target="http://freearc.org/" TargetMode="External"/><Relationship Id="rId637" Type="http://schemas.openxmlformats.org/officeDocument/2006/relationships/hyperlink" Target="http://www.winzip.com/" TargetMode="External"/><Relationship Id="rId679" Type="http://schemas.openxmlformats.org/officeDocument/2006/relationships/hyperlink" Target="http://www.bzip.org/" TargetMode="External"/><Relationship Id="rId2" Type="http://schemas.openxmlformats.org/officeDocument/2006/relationships/hyperlink" Target="http://www.apple.com/trailers/paramount/startrek/" TargetMode="External"/><Relationship Id="rId29" Type="http://schemas.openxmlformats.org/officeDocument/2006/relationships/hyperlink" Target="http://www.bzip.org/" TargetMode="External"/><Relationship Id="rId276" Type="http://schemas.openxmlformats.org/officeDocument/2006/relationships/hyperlink" Target="http://ftp.sac.sk/sac/pack/uharc06b.zip" TargetMode="External"/><Relationship Id="rId441" Type="http://schemas.openxmlformats.org/officeDocument/2006/relationships/hyperlink" Target="http://schnaader.info/precomp.php" TargetMode="External"/><Relationship Id="rId483" Type="http://schemas.openxmlformats.org/officeDocument/2006/relationships/hyperlink" Target="http://nishi.dreamhosters.com/u/reflate_v0c1.rar" TargetMode="External"/><Relationship Id="rId539" Type="http://schemas.openxmlformats.org/officeDocument/2006/relationships/hyperlink" Target="http://www.rarlabs.com/" TargetMode="External"/><Relationship Id="rId690" Type="http://schemas.openxmlformats.org/officeDocument/2006/relationships/hyperlink" Target="http://code.google.com/p/lzham/" TargetMode="External"/><Relationship Id="rId704" Type="http://schemas.openxmlformats.org/officeDocument/2006/relationships/hyperlink" Target="http://encode.ru/attachment.php?attachmentid=2422&amp;d=1376508078" TargetMode="External"/><Relationship Id="rId40" Type="http://schemas.openxmlformats.org/officeDocument/2006/relationships/hyperlink" Target="http://www.bzip.org/" TargetMode="External"/><Relationship Id="rId136" Type="http://schemas.openxmlformats.org/officeDocument/2006/relationships/hyperlink" Target="http://www.emit.jp/dgca/dgca_e.html" TargetMode="External"/><Relationship Id="rId178" Type="http://schemas.openxmlformats.org/officeDocument/2006/relationships/hyperlink" Target="http://www.7-zip.org/" TargetMode="External"/><Relationship Id="rId301" Type="http://schemas.openxmlformats.org/officeDocument/2006/relationships/hyperlink" Target="http://mattmahoney.net/dc/text.html" TargetMode="External"/><Relationship Id="rId343" Type="http://schemas.openxmlformats.org/officeDocument/2006/relationships/hyperlink" Target="http://nishi.dreamhosters.com/u/reflate_v0c1.rar" TargetMode="External"/><Relationship Id="rId550" Type="http://schemas.openxmlformats.org/officeDocument/2006/relationships/hyperlink" Target="http://libbsc.com/" TargetMode="External"/><Relationship Id="rId82" Type="http://schemas.openxmlformats.org/officeDocument/2006/relationships/hyperlink" Target="http://heartofcomp.altervista.org/zcm.zip" TargetMode="External"/><Relationship Id="rId203" Type="http://schemas.openxmlformats.org/officeDocument/2006/relationships/hyperlink" Target="http://www.nanozip.net/" TargetMode="External"/><Relationship Id="rId385" Type="http://schemas.openxmlformats.org/officeDocument/2006/relationships/hyperlink" Target="http://code.google.com/p/lzham/" TargetMode="External"/><Relationship Id="rId592" Type="http://schemas.openxmlformats.org/officeDocument/2006/relationships/hyperlink" Target="http://schnaader.info/precomp.php" TargetMode="External"/><Relationship Id="rId606" Type="http://schemas.openxmlformats.org/officeDocument/2006/relationships/hyperlink" Target="http://www.7-zip.org/" TargetMode="External"/><Relationship Id="rId648" Type="http://schemas.openxmlformats.org/officeDocument/2006/relationships/hyperlink" Target="http://www.rarlabs.com/" TargetMode="External"/><Relationship Id="rId245" Type="http://schemas.openxmlformats.org/officeDocument/2006/relationships/hyperlink" Target="http://www.winace.com/" TargetMode="External"/><Relationship Id="rId287" Type="http://schemas.openxmlformats.org/officeDocument/2006/relationships/hyperlink" Target="http://ftp.sac.sk/sac/pack/uharc06b.zip" TargetMode="External"/><Relationship Id="rId410" Type="http://schemas.openxmlformats.org/officeDocument/2006/relationships/hyperlink" Target="http://libbsc.com/" TargetMode="External"/><Relationship Id="rId452" Type="http://schemas.openxmlformats.org/officeDocument/2006/relationships/hyperlink" Target="http://schnaader.info/precomp.php" TargetMode="External"/><Relationship Id="rId494" Type="http://schemas.openxmlformats.org/officeDocument/2006/relationships/hyperlink" Target="http://freearc.org/" TargetMode="External"/><Relationship Id="rId508" Type="http://schemas.openxmlformats.org/officeDocument/2006/relationships/hyperlink" Target="http://psycle.pastnotecut.org/portal.php" TargetMode="External"/><Relationship Id="rId715" Type="http://schemas.openxmlformats.org/officeDocument/2006/relationships/hyperlink" Target="http://encode.ru/attachment.php?attachmentid=2422&amp;d=1376508078" TargetMode="External"/><Relationship Id="rId105" Type="http://schemas.openxmlformats.org/officeDocument/2006/relationships/hyperlink" Target="http://www.rarlabs.com/" TargetMode="External"/><Relationship Id="rId147" Type="http://schemas.openxmlformats.org/officeDocument/2006/relationships/hyperlink" Target="http://www.emit.jp/dgca/dgca_e.html" TargetMode="External"/><Relationship Id="rId312" Type="http://schemas.openxmlformats.org/officeDocument/2006/relationships/hyperlink" Target="http://mattmahoney.net/dc/text.html" TargetMode="External"/><Relationship Id="rId354" Type="http://schemas.openxmlformats.org/officeDocument/2006/relationships/hyperlink" Target="http://www.compression.ru/ds/" TargetMode="External"/><Relationship Id="rId51" Type="http://schemas.openxmlformats.org/officeDocument/2006/relationships/hyperlink" Target="http://www.winzip.com/" TargetMode="External"/><Relationship Id="rId93" Type="http://schemas.openxmlformats.org/officeDocument/2006/relationships/hyperlink" Target="http://heartofcomp.altervista.org/zcm.zip" TargetMode="External"/><Relationship Id="rId189" Type="http://schemas.openxmlformats.org/officeDocument/2006/relationships/hyperlink" Target="http://www.nanozip.net/" TargetMode="External"/><Relationship Id="rId396" Type="http://schemas.openxmlformats.org/officeDocument/2006/relationships/hyperlink" Target="http://code.google.com/p/lzham/" TargetMode="External"/><Relationship Id="rId561" Type="http://schemas.openxmlformats.org/officeDocument/2006/relationships/hyperlink" Target="http://www.rarlabs.com/" TargetMode="External"/><Relationship Id="rId617" Type="http://schemas.openxmlformats.org/officeDocument/2006/relationships/hyperlink" Target="http://www.rawzor.com/" TargetMode="External"/><Relationship Id="rId659" Type="http://schemas.openxmlformats.org/officeDocument/2006/relationships/hyperlink" Target="http://www.rarlabs.com/" TargetMode="External"/><Relationship Id="rId214" Type="http://schemas.openxmlformats.org/officeDocument/2006/relationships/hyperlink" Target="http://freearc.org/" TargetMode="External"/><Relationship Id="rId256" Type="http://schemas.openxmlformats.org/officeDocument/2006/relationships/hyperlink" Target="http://www.winace.com/" TargetMode="External"/><Relationship Id="rId298" Type="http://schemas.openxmlformats.org/officeDocument/2006/relationships/hyperlink" Target="http://mattmahoney.net/dc/text.html" TargetMode="External"/><Relationship Id="rId421" Type="http://schemas.openxmlformats.org/officeDocument/2006/relationships/hyperlink" Target="http://libbsc.com/" TargetMode="External"/><Relationship Id="rId463" Type="http://schemas.openxmlformats.org/officeDocument/2006/relationships/hyperlink" Target="http://www.nanozip.net/" TargetMode="External"/><Relationship Id="rId519" Type="http://schemas.openxmlformats.org/officeDocument/2006/relationships/hyperlink" Target="http://sagamusix.de/download/discovery/mod/" TargetMode="External"/><Relationship Id="rId670" Type="http://schemas.openxmlformats.org/officeDocument/2006/relationships/hyperlink" Target="http://www.rarlabs.com/" TargetMode="External"/><Relationship Id="rId116" Type="http://schemas.openxmlformats.org/officeDocument/2006/relationships/hyperlink" Target="http://www.rarlabs.com/" TargetMode="External"/><Relationship Id="rId158" Type="http://schemas.openxmlformats.org/officeDocument/2006/relationships/hyperlink" Target="http://www.emit.jp/dgca/dgca_e.html" TargetMode="External"/><Relationship Id="rId323" Type="http://schemas.openxmlformats.org/officeDocument/2006/relationships/hyperlink" Target="http://ftp.sac.sk/sac/pack/uharc06b.zip" TargetMode="External"/><Relationship Id="rId530" Type="http://schemas.openxmlformats.org/officeDocument/2006/relationships/hyperlink" Target="http://mattmahoney.net/dc/text.html" TargetMode="External"/><Relationship Id="rId726" Type="http://schemas.openxmlformats.org/officeDocument/2006/relationships/hyperlink" Target="http://encode.ru/attachment.php?attachmentid=2422&amp;d=1376508078" TargetMode="External"/><Relationship Id="rId20" Type="http://schemas.openxmlformats.org/officeDocument/2006/relationships/hyperlink" Target="http://stardock.com/products/windowblinds/downloads.asp" TargetMode="External"/><Relationship Id="rId41" Type="http://schemas.openxmlformats.org/officeDocument/2006/relationships/hyperlink" Target="http://www.bzip.org/" TargetMode="External"/><Relationship Id="rId62" Type="http://schemas.openxmlformats.org/officeDocument/2006/relationships/hyperlink" Target="http://www.winzip.com/" TargetMode="External"/><Relationship Id="rId83" Type="http://schemas.openxmlformats.org/officeDocument/2006/relationships/hyperlink" Target="http://heartofcomp.altervista.org/zcm.zip" TargetMode="External"/><Relationship Id="rId179" Type="http://schemas.openxmlformats.org/officeDocument/2006/relationships/hyperlink" Target="http://www.7-zip.org/" TargetMode="External"/><Relationship Id="rId365" Type="http://schemas.openxmlformats.org/officeDocument/2006/relationships/hyperlink" Target="http://www.compression.ru/ds/" TargetMode="External"/><Relationship Id="rId386" Type="http://schemas.openxmlformats.org/officeDocument/2006/relationships/hyperlink" Target="http://code.google.com/p/lzham/" TargetMode="External"/><Relationship Id="rId551" Type="http://schemas.openxmlformats.org/officeDocument/2006/relationships/hyperlink" Target="http://schnaader.info/precomp.php" TargetMode="External"/><Relationship Id="rId572" Type="http://schemas.openxmlformats.org/officeDocument/2006/relationships/hyperlink" Target="http://libbsc.com/" TargetMode="External"/><Relationship Id="rId593" Type="http://schemas.openxmlformats.org/officeDocument/2006/relationships/hyperlink" Target="http://www.rawzor.com/" TargetMode="External"/><Relationship Id="rId607" Type="http://schemas.openxmlformats.org/officeDocument/2006/relationships/hyperlink" Target="http://www.nanozip.net/" TargetMode="External"/><Relationship Id="rId628" Type="http://schemas.openxmlformats.org/officeDocument/2006/relationships/hyperlink" Target="http://www.winace.com/" TargetMode="External"/><Relationship Id="rId649" Type="http://schemas.openxmlformats.org/officeDocument/2006/relationships/hyperlink" Target="http://www.rarlabs.com/" TargetMode="External"/><Relationship Id="rId190" Type="http://schemas.openxmlformats.org/officeDocument/2006/relationships/hyperlink" Target="http://www.nanozip.net/" TargetMode="External"/><Relationship Id="rId204" Type="http://schemas.openxmlformats.org/officeDocument/2006/relationships/hyperlink" Target="http://www.nanozip.net/" TargetMode="External"/><Relationship Id="rId225" Type="http://schemas.openxmlformats.org/officeDocument/2006/relationships/hyperlink" Target="http://freearc.org/" TargetMode="External"/><Relationship Id="rId246" Type="http://schemas.openxmlformats.org/officeDocument/2006/relationships/hyperlink" Target="http://www.winace.com/" TargetMode="External"/><Relationship Id="rId267" Type="http://schemas.openxmlformats.org/officeDocument/2006/relationships/hyperlink" Target="http://www.winace.com/" TargetMode="External"/><Relationship Id="rId288" Type="http://schemas.openxmlformats.org/officeDocument/2006/relationships/hyperlink" Target="http://ftp.sac.sk/sac/pack/uharc06b.zip" TargetMode="External"/><Relationship Id="rId411" Type="http://schemas.openxmlformats.org/officeDocument/2006/relationships/hyperlink" Target="http://libbsc.com/" TargetMode="External"/><Relationship Id="rId432" Type="http://schemas.openxmlformats.org/officeDocument/2006/relationships/hyperlink" Target="http://schnaader.info/precomp.php" TargetMode="External"/><Relationship Id="rId453" Type="http://schemas.openxmlformats.org/officeDocument/2006/relationships/hyperlink" Target="http://schnaader.info/precomp.php" TargetMode="External"/><Relationship Id="rId474" Type="http://schemas.openxmlformats.org/officeDocument/2006/relationships/hyperlink" Target="http://heartofcomp.altervista.org/zcm.zip" TargetMode="External"/><Relationship Id="rId509" Type="http://schemas.openxmlformats.org/officeDocument/2006/relationships/hyperlink" Target="http://openmpt.org/download" TargetMode="External"/><Relationship Id="rId660" Type="http://schemas.openxmlformats.org/officeDocument/2006/relationships/hyperlink" Target="http://www.rarlabs.com/" TargetMode="External"/><Relationship Id="rId106" Type="http://schemas.openxmlformats.org/officeDocument/2006/relationships/hyperlink" Target="http://www.rarlabs.com/" TargetMode="External"/><Relationship Id="rId127" Type="http://schemas.openxmlformats.org/officeDocument/2006/relationships/hyperlink" Target="http://www.rarlabs.com/" TargetMode="External"/><Relationship Id="rId313" Type="http://schemas.openxmlformats.org/officeDocument/2006/relationships/hyperlink" Target="http://mattmahoney.net/dc/text.html" TargetMode="External"/><Relationship Id="rId495" Type="http://schemas.openxmlformats.org/officeDocument/2006/relationships/hyperlink" Target="http://www.winace.com/" TargetMode="External"/><Relationship Id="rId681" Type="http://schemas.openxmlformats.org/officeDocument/2006/relationships/hyperlink" Target="http://heartofcomp.altervista.org/zcm.zip" TargetMode="External"/><Relationship Id="rId716" Type="http://schemas.openxmlformats.org/officeDocument/2006/relationships/hyperlink" Target="http://encode.ru/attachment.php?attachmentid=2422&amp;d=1376508078" TargetMode="External"/><Relationship Id="rId10" Type="http://schemas.openxmlformats.org/officeDocument/2006/relationships/hyperlink" Target="http://www.squeezechart.com/flyer.msg" TargetMode="External"/><Relationship Id="rId31" Type="http://schemas.openxmlformats.org/officeDocument/2006/relationships/hyperlink" Target="http://www.bzip.org/" TargetMode="External"/><Relationship Id="rId52" Type="http://schemas.openxmlformats.org/officeDocument/2006/relationships/hyperlink" Target="http://www.winzip.com/" TargetMode="External"/><Relationship Id="rId73" Type="http://schemas.openxmlformats.org/officeDocument/2006/relationships/hyperlink" Target="http://www.winzip.com/" TargetMode="External"/><Relationship Id="rId94" Type="http://schemas.openxmlformats.org/officeDocument/2006/relationships/hyperlink" Target="http://heartofcomp.altervista.org/zcm.zip" TargetMode="External"/><Relationship Id="rId148" Type="http://schemas.openxmlformats.org/officeDocument/2006/relationships/hyperlink" Target="http://www.emit.jp/dgca/dgca_e.html" TargetMode="External"/><Relationship Id="rId169" Type="http://schemas.openxmlformats.org/officeDocument/2006/relationships/hyperlink" Target="http://www.7-zip.org/" TargetMode="External"/><Relationship Id="rId334" Type="http://schemas.openxmlformats.org/officeDocument/2006/relationships/hyperlink" Target="http://nishi.dreamhosters.com/u/reflate_v0c1.rar" TargetMode="External"/><Relationship Id="rId355" Type="http://schemas.openxmlformats.org/officeDocument/2006/relationships/hyperlink" Target="http://www.compression.ru/ds/" TargetMode="External"/><Relationship Id="rId376" Type="http://schemas.openxmlformats.org/officeDocument/2006/relationships/hyperlink" Target="http://code.google.com/p/lzham/" TargetMode="External"/><Relationship Id="rId397" Type="http://schemas.openxmlformats.org/officeDocument/2006/relationships/hyperlink" Target="http://code.google.com/p/lzham/" TargetMode="External"/><Relationship Id="rId520" Type="http://schemas.openxmlformats.org/officeDocument/2006/relationships/hyperlink" Target="http://www.bzip.org/" TargetMode="External"/><Relationship Id="rId541" Type="http://schemas.openxmlformats.org/officeDocument/2006/relationships/hyperlink" Target="http://www.7-zip.org/" TargetMode="External"/><Relationship Id="rId562" Type="http://schemas.openxmlformats.org/officeDocument/2006/relationships/hyperlink" Target="http://www.emit.jp/dgca/dgca_e.html" TargetMode="External"/><Relationship Id="rId583" Type="http://schemas.openxmlformats.org/officeDocument/2006/relationships/hyperlink" Target="http://www.nanozip.net/" TargetMode="External"/><Relationship Id="rId618" Type="http://schemas.openxmlformats.org/officeDocument/2006/relationships/hyperlink" Target="http://www.winzip.com/" TargetMode="External"/><Relationship Id="rId639" Type="http://schemas.openxmlformats.org/officeDocument/2006/relationships/hyperlink" Target="http://img.photographyblog.com/reviews/olympus_epm2/sample_images/olympus_epm2_16.orf" TargetMode="External"/><Relationship Id="rId4" Type="http://schemas.openxmlformats.org/officeDocument/2006/relationships/hyperlink" Target="http://www.apple.com/trailers/paramount/startrek/" TargetMode="External"/><Relationship Id="rId180" Type="http://schemas.openxmlformats.org/officeDocument/2006/relationships/hyperlink" Target="http://www.7-zip.org/" TargetMode="External"/><Relationship Id="rId215" Type="http://schemas.openxmlformats.org/officeDocument/2006/relationships/hyperlink" Target="http://freearc.org/" TargetMode="External"/><Relationship Id="rId236" Type="http://schemas.openxmlformats.org/officeDocument/2006/relationships/hyperlink" Target="http://freearc.org/" TargetMode="External"/><Relationship Id="rId257" Type="http://schemas.openxmlformats.org/officeDocument/2006/relationships/hyperlink" Target="http://www.winace.com/" TargetMode="External"/><Relationship Id="rId278" Type="http://schemas.openxmlformats.org/officeDocument/2006/relationships/hyperlink" Target="http://ftp.sac.sk/sac/pack/uharc06b.zip" TargetMode="External"/><Relationship Id="rId401" Type="http://schemas.openxmlformats.org/officeDocument/2006/relationships/hyperlink" Target="http://code.google.com/p/lzham/" TargetMode="External"/><Relationship Id="rId422" Type="http://schemas.openxmlformats.org/officeDocument/2006/relationships/hyperlink" Target="http://libbsc.com/" TargetMode="External"/><Relationship Id="rId443" Type="http://schemas.openxmlformats.org/officeDocument/2006/relationships/hyperlink" Target="http://schnaader.info/precomp.php" TargetMode="External"/><Relationship Id="rId464" Type="http://schemas.openxmlformats.org/officeDocument/2006/relationships/hyperlink" Target="http://freearc.org/" TargetMode="External"/><Relationship Id="rId650" Type="http://schemas.openxmlformats.org/officeDocument/2006/relationships/hyperlink" Target="http://www.rarlabs.com/" TargetMode="External"/><Relationship Id="rId303" Type="http://schemas.openxmlformats.org/officeDocument/2006/relationships/hyperlink" Target="http://mattmahoney.net/dc/text.html" TargetMode="External"/><Relationship Id="rId485" Type="http://schemas.openxmlformats.org/officeDocument/2006/relationships/hyperlink" Target="http://code.google.com/p/lzham/" TargetMode="External"/><Relationship Id="rId692" Type="http://schemas.openxmlformats.org/officeDocument/2006/relationships/hyperlink" Target="http://libbsc.com/" TargetMode="External"/><Relationship Id="rId706" Type="http://schemas.openxmlformats.org/officeDocument/2006/relationships/hyperlink" Target="http://encode.ru/attachment.php?attachmentid=2422&amp;d=1376508078" TargetMode="External"/><Relationship Id="rId42" Type="http://schemas.openxmlformats.org/officeDocument/2006/relationships/hyperlink" Target="http://www.bzip.org/" TargetMode="External"/><Relationship Id="rId84" Type="http://schemas.openxmlformats.org/officeDocument/2006/relationships/hyperlink" Target="http://heartofcomp.altervista.org/zcm.zip" TargetMode="External"/><Relationship Id="rId138" Type="http://schemas.openxmlformats.org/officeDocument/2006/relationships/hyperlink" Target="http://www.emit.jp/dgca/dgca_e.html" TargetMode="External"/><Relationship Id="rId345" Type="http://schemas.openxmlformats.org/officeDocument/2006/relationships/hyperlink" Target="http://nishi.dreamhosters.com/u/reflate_v0c1.rar" TargetMode="External"/><Relationship Id="rId387" Type="http://schemas.openxmlformats.org/officeDocument/2006/relationships/hyperlink" Target="http://code.google.com/p/lzham/" TargetMode="External"/><Relationship Id="rId510" Type="http://schemas.openxmlformats.org/officeDocument/2006/relationships/hyperlink" Target="http://openmpt.org/download" TargetMode="External"/><Relationship Id="rId552" Type="http://schemas.openxmlformats.org/officeDocument/2006/relationships/hyperlink" Target="http://www.rawzor.com/" TargetMode="External"/><Relationship Id="rId594" Type="http://schemas.openxmlformats.org/officeDocument/2006/relationships/hyperlink" Target="http://www.winzip.com/" TargetMode="External"/><Relationship Id="rId608" Type="http://schemas.openxmlformats.org/officeDocument/2006/relationships/hyperlink" Target="http://freearc.org/" TargetMode="External"/><Relationship Id="rId191" Type="http://schemas.openxmlformats.org/officeDocument/2006/relationships/hyperlink" Target="http://www.nanozip.net/" TargetMode="External"/><Relationship Id="rId205" Type="http://schemas.openxmlformats.org/officeDocument/2006/relationships/hyperlink" Target="http://www.nanozip.net/" TargetMode="External"/><Relationship Id="rId247" Type="http://schemas.openxmlformats.org/officeDocument/2006/relationships/hyperlink" Target="http://www.winace.com/" TargetMode="External"/><Relationship Id="rId412" Type="http://schemas.openxmlformats.org/officeDocument/2006/relationships/hyperlink" Target="http://libbsc.com/" TargetMode="External"/><Relationship Id="rId107" Type="http://schemas.openxmlformats.org/officeDocument/2006/relationships/hyperlink" Target="http://www.rarlabs.com/" TargetMode="External"/><Relationship Id="rId289" Type="http://schemas.openxmlformats.org/officeDocument/2006/relationships/hyperlink" Target="http://ftp.sac.sk/sac/pack/uharc06b.zip" TargetMode="External"/><Relationship Id="rId454" Type="http://schemas.openxmlformats.org/officeDocument/2006/relationships/hyperlink" Target="http://schnaader.info/precomp.php" TargetMode="External"/><Relationship Id="rId496" Type="http://schemas.openxmlformats.org/officeDocument/2006/relationships/hyperlink" Target="http://ftp.sac.sk/sac/pack/uharc06b.zip" TargetMode="External"/><Relationship Id="rId661" Type="http://schemas.openxmlformats.org/officeDocument/2006/relationships/hyperlink" Target="http://www.rarlabs.com/" TargetMode="External"/><Relationship Id="rId717" Type="http://schemas.openxmlformats.org/officeDocument/2006/relationships/hyperlink" Target="http://encode.ru/attachment.php?attachmentid=2422&amp;d=1376508078" TargetMode="External"/><Relationship Id="rId11" Type="http://schemas.openxmlformats.org/officeDocument/2006/relationships/hyperlink" Target="http://www.squeezechart.com/flumy.png" TargetMode="External"/><Relationship Id="rId53" Type="http://schemas.openxmlformats.org/officeDocument/2006/relationships/hyperlink" Target="http://www.winzip.com/" TargetMode="External"/><Relationship Id="rId149" Type="http://schemas.openxmlformats.org/officeDocument/2006/relationships/hyperlink" Target="http://www.emit.jp/dgca/dgca_e.html" TargetMode="External"/><Relationship Id="rId314" Type="http://schemas.openxmlformats.org/officeDocument/2006/relationships/hyperlink" Target="http://mattmahoney.net/dc/text.html" TargetMode="External"/><Relationship Id="rId356" Type="http://schemas.openxmlformats.org/officeDocument/2006/relationships/hyperlink" Target="http://www.compression.ru/ds/" TargetMode="External"/><Relationship Id="rId398" Type="http://schemas.openxmlformats.org/officeDocument/2006/relationships/hyperlink" Target="http://code.google.com/p/lzham/" TargetMode="External"/><Relationship Id="rId521" Type="http://schemas.openxmlformats.org/officeDocument/2006/relationships/hyperlink" Target="http://www.winzip.com/" TargetMode="External"/><Relationship Id="rId563" Type="http://schemas.openxmlformats.org/officeDocument/2006/relationships/hyperlink" Target="http://www.7-zip.org/" TargetMode="External"/><Relationship Id="rId619" Type="http://schemas.openxmlformats.org/officeDocument/2006/relationships/hyperlink" Target="http://www.7-zip.org/" TargetMode="External"/><Relationship Id="rId95" Type="http://schemas.openxmlformats.org/officeDocument/2006/relationships/hyperlink" Target="http://heartofcomp.altervista.org/zcm.zip" TargetMode="External"/><Relationship Id="rId160" Type="http://schemas.openxmlformats.org/officeDocument/2006/relationships/hyperlink" Target="http://www.7-zip.org/" TargetMode="External"/><Relationship Id="rId216" Type="http://schemas.openxmlformats.org/officeDocument/2006/relationships/hyperlink" Target="http://freearc.org/" TargetMode="External"/><Relationship Id="rId423" Type="http://schemas.openxmlformats.org/officeDocument/2006/relationships/hyperlink" Target="http://libbsc.com/" TargetMode="External"/><Relationship Id="rId258" Type="http://schemas.openxmlformats.org/officeDocument/2006/relationships/hyperlink" Target="http://www.winace.com/" TargetMode="External"/><Relationship Id="rId465" Type="http://schemas.openxmlformats.org/officeDocument/2006/relationships/hyperlink" Target="http://www.winace.com/" TargetMode="External"/><Relationship Id="rId630" Type="http://schemas.openxmlformats.org/officeDocument/2006/relationships/hyperlink" Target="http://mattmahoney.net/dc/text.html" TargetMode="External"/><Relationship Id="rId672" Type="http://schemas.openxmlformats.org/officeDocument/2006/relationships/hyperlink" Target="http://www.rarlabs.com/" TargetMode="External"/><Relationship Id="rId728" Type="http://schemas.openxmlformats.org/officeDocument/2006/relationships/hyperlink" Target="http://encode.ru/attachment.php?attachmentid=2422&amp;d=1376508078" TargetMode="External"/><Relationship Id="rId22" Type="http://schemas.openxmlformats.org/officeDocument/2006/relationships/hyperlink" Target="http://soundcloud.com/cyan-music/new-age-hippies-metamorphosia" TargetMode="External"/><Relationship Id="rId64" Type="http://schemas.openxmlformats.org/officeDocument/2006/relationships/hyperlink" Target="http://www.winzip.com/" TargetMode="External"/><Relationship Id="rId118" Type="http://schemas.openxmlformats.org/officeDocument/2006/relationships/hyperlink" Target="http://www.rarlabs.com/" TargetMode="External"/><Relationship Id="rId325" Type="http://schemas.openxmlformats.org/officeDocument/2006/relationships/hyperlink" Target="http://nishi.dreamhosters.com/u/reflate_v0c1.rar" TargetMode="External"/><Relationship Id="rId367" Type="http://schemas.openxmlformats.org/officeDocument/2006/relationships/hyperlink" Target="http://www.compression.ru/ds/" TargetMode="External"/><Relationship Id="rId532" Type="http://schemas.openxmlformats.org/officeDocument/2006/relationships/hyperlink" Target="http://www.compression.ru/ds/" TargetMode="External"/><Relationship Id="rId574" Type="http://schemas.openxmlformats.org/officeDocument/2006/relationships/hyperlink" Target="http://www.rawzor.com/" TargetMode="External"/><Relationship Id="rId171" Type="http://schemas.openxmlformats.org/officeDocument/2006/relationships/hyperlink" Target="http://www.7-zip.org/" TargetMode="External"/><Relationship Id="rId227" Type="http://schemas.openxmlformats.org/officeDocument/2006/relationships/hyperlink" Target="http://freearc.org/" TargetMode="External"/><Relationship Id="rId269" Type="http://schemas.openxmlformats.org/officeDocument/2006/relationships/hyperlink" Target="http://ftp.sac.sk/sac/pack/uharc06b.zip" TargetMode="External"/><Relationship Id="rId434" Type="http://schemas.openxmlformats.org/officeDocument/2006/relationships/hyperlink" Target="http://schnaader.info/precomp.php" TargetMode="External"/><Relationship Id="rId476" Type="http://schemas.openxmlformats.org/officeDocument/2006/relationships/hyperlink" Target="http://www.emit.jp/dgca/dgca_e.html" TargetMode="External"/><Relationship Id="rId641" Type="http://schemas.openxmlformats.org/officeDocument/2006/relationships/hyperlink" Target="mailto:squeezechart@gmx.de" TargetMode="External"/><Relationship Id="rId683" Type="http://schemas.openxmlformats.org/officeDocument/2006/relationships/hyperlink" Target="http://www.emit.jp/dgca/dgca_e.html" TargetMode="External"/><Relationship Id="rId33" Type="http://schemas.openxmlformats.org/officeDocument/2006/relationships/hyperlink" Target="http://www.bzip.org/" TargetMode="External"/><Relationship Id="rId129" Type="http://schemas.openxmlformats.org/officeDocument/2006/relationships/hyperlink" Target="http://www.rarlabs.com/" TargetMode="External"/><Relationship Id="rId280" Type="http://schemas.openxmlformats.org/officeDocument/2006/relationships/hyperlink" Target="http://ftp.sac.sk/sac/pack/uharc06b.zip" TargetMode="External"/><Relationship Id="rId336" Type="http://schemas.openxmlformats.org/officeDocument/2006/relationships/hyperlink" Target="http://nishi.dreamhosters.com/u/reflate_v0c1.rar" TargetMode="External"/><Relationship Id="rId501" Type="http://schemas.openxmlformats.org/officeDocument/2006/relationships/hyperlink" Target="http://libbsc.com/" TargetMode="External"/><Relationship Id="rId543" Type="http://schemas.openxmlformats.org/officeDocument/2006/relationships/hyperlink" Target="http://freearc.org/" TargetMode="External"/><Relationship Id="rId75" Type="http://schemas.openxmlformats.org/officeDocument/2006/relationships/hyperlink" Target="http://www.winzip.com/" TargetMode="External"/><Relationship Id="rId140" Type="http://schemas.openxmlformats.org/officeDocument/2006/relationships/hyperlink" Target="http://www.emit.jp/dgca/dgca_e.html" TargetMode="External"/><Relationship Id="rId182" Type="http://schemas.openxmlformats.org/officeDocument/2006/relationships/hyperlink" Target="http://www.7-zip.org/" TargetMode="External"/><Relationship Id="rId378" Type="http://schemas.openxmlformats.org/officeDocument/2006/relationships/hyperlink" Target="http://code.google.com/p/lzham/" TargetMode="External"/><Relationship Id="rId403" Type="http://schemas.openxmlformats.org/officeDocument/2006/relationships/hyperlink" Target="http://libbsc.com/" TargetMode="External"/><Relationship Id="rId585" Type="http://schemas.openxmlformats.org/officeDocument/2006/relationships/hyperlink" Target="http://www.winace.com/" TargetMode="External"/><Relationship Id="rId6" Type="http://schemas.openxmlformats.org/officeDocument/2006/relationships/hyperlink" Target="http://www.diatonis.com/downloads/diatonis_ac3_48k_soal.zip" TargetMode="External"/><Relationship Id="rId238" Type="http://schemas.openxmlformats.org/officeDocument/2006/relationships/hyperlink" Target="http://freearc.org/" TargetMode="External"/><Relationship Id="rId445" Type="http://schemas.openxmlformats.org/officeDocument/2006/relationships/hyperlink" Target="http://schnaader.info/precomp.php" TargetMode="External"/><Relationship Id="rId487" Type="http://schemas.openxmlformats.org/officeDocument/2006/relationships/hyperlink" Target="http://www.bzip.org/" TargetMode="External"/><Relationship Id="rId610" Type="http://schemas.openxmlformats.org/officeDocument/2006/relationships/hyperlink" Target="http://ftp.sac.sk/sac/pack/uharc06b.zip" TargetMode="External"/><Relationship Id="rId652" Type="http://schemas.openxmlformats.org/officeDocument/2006/relationships/hyperlink" Target="http://www.rarlabs.com/" TargetMode="External"/><Relationship Id="rId694" Type="http://schemas.openxmlformats.org/officeDocument/2006/relationships/hyperlink" Target="http://audiophilesoft.ru/commandline/mpz/MPZ.7z" TargetMode="External"/><Relationship Id="rId708" Type="http://schemas.openxmlformats.org/officeDocument/2006/relationships/hyperlink" Target="http://encode.ru/attachment.php?attachmentid=2422&amp;d=1376508078" TargetMode="External"/><Relationship Id="rId291" Type="http://schemas.openxmlformats.org/officeDocument/2006/relationships/hyperlink" Target="http://ftp.sac.sk/sac/pack/uharc06b.zip" TargetMode="External"/><Relationship Id="rId305" Type="http://schemas.openxmlformats.org/officeDocument/2006/relationships/hyperlink" Target="http://mattmahoney.net/dc/text.html" TargetMode="External"/><Relationship Id="rId347" Type="http://schemas.openxmlformats.org/officeDocument/2006/relationships/hyperlink" Target="http://nishi.dreamhosters.com/u/reflate_v0c1.rar" TargetMode="External"/><Relationship Id="rId512" Type="http://schemas.openxmlformats.org/officeDocument/2006/relationships/hyperlink" Target="http://sagamusix.de/download/starlit_night/mod/" TargetMode="External"/><Relationship Id="rId44" Type="http://schemas.openxmlformats.org/officeDocument/2006/relationships/hyperlink" Target="http://www.bzip.org/" TargetMode="External"/><Relationship Id="rId86" Type="http://schemas.openxmlformats.org/officeDocument/2006/relationships/hyperlink" Target="http://heartofcomp.altervista.org/zcm.zip" TargetMode="External"/><Relationship Id="rId151" Type="http://schemas.openxmlformats.org/officeDocument/2006/relationships/hyperlink" Target="http://www.emit.jp/dgca/dgca_e.html" TargetMode="External"/><Relationship Id="rId389" Type="http://schemas.openxmlformats.org/officeDocument/2006/relationships/hyperlink" Target="http://code.google.com/p/lzham/" TargetMode="External"/><Relationship Id="rId554" Type="http://schemas.openxmlformats.org/officeDocument/2006/relationships/hyperlink" Target="http://www.winzip.com/" TargetMode="External"/><Relationship Id="rId596" Type="http://schemas.openxmlformats.org/officeDocument/2006/relationships/hyperlink" Target="http://img.photographyblog.com/reviews/nikon_d3x/sample_images/nikon_d3x_08.nef" TargetMode="External"/><Relationship Id="rId193" Type="http://schemas.openxmlformats.org/officeDocument/2006/relationships/hyperlink" Target="http://www.nanozip.net/" TargetMode="External"/><Relationship Id="rId207" Type="http://schemas.openxmlformats.org/officeDocument/2006/relationships/hyperlink" Target="http://www.nanozip.net/" TargetMode="External"/><Relationship Id="rId249" Type="http://schemas.openxmlformats.org/officeDocument/2006/relationships/hyperlink" Target="http://www.winace.com/" TargetMode="External"/><Relationship Id="rId414" Type="http://schemas.openxmlformats.org/officeDocument/2006/relationships/hyperlink" Target="http://libbsc.com/" TargetMode="External"/><Relationship Id="rId456" Type="http://schemas.openxmlformats.org/officeDocument/2006/relationships/hyperlink" Target="http://schnaader.info/precomp.php" TargetMode="External"/><Relationship Id="rId498" Type="http://schemas.openxmlformats.org/officeDocument/2006/relationships/hyperlink" Target="http://nishi.dreamhosters.com/u/reflate_v0c1.rar" TargetMode="External"/><Relationship Id="rId621" Type="http://schemas.openxmlformats.org/officeDocument/2006/relationships/hyperlink" Target="http://www.winzip.com/" TargetMode="External"/><Relationship Id="rId663" Type="http://schemas.openxmlformats.org/officeDocument/2006/relationships/hyperlink" Target="http://www.rarlabs.com/" TargetMode="External"/><Relationship Id="rId13" Type="http://schemas.openxmlformats.org/officeDocument/2006/relationships/hyperlink" Target="http://www.squeezechart.com/mill.jpg" TargetMode="External"/><Relationship Id="rId109" Type="http://schemas.openxmlformats.org/officeDocument/2006/relationships/hyperlink" Target="http://www.rarlabs.com/" TargetMode="External"/><Relationship Id="rId260" Type="http://schemas.openxmlformats.org/officeDocument/2006/relationships/hyperlink" Target="http://www.winace.com/" TargetMode="External"/><Relationship Id="rId316" Type="http://schemas.openxmlformats.org/officeDocument/2006/relationships/hyperlink" Target="http://mattmahoney.net/dc/text.html" TargetMode="External"/><Relationship Id="rId523" Type="http://schemas.openxmlformats.org/officeDocument/2006/relationships/hyperlink" Target="http://www.rarlabs.com/" TargetMode="External"/><Relationship Id="rId719" Type="http://schemas.openxmlformats.org/officeDocument/2006/relationships/hyperlink" Target="http://encode.ru/attachment.php?attachmentid=2422&amp;d=1376508078" TargetMode="External"/><Relationship Id="rId55" Type="http://schemas.openxmlformats.org/officeDocument/2006/relationships/hyperlink" Target="http://www.winzip.com/" TargetMode="External"/><Relationship Id="rId97" Type="http://schemas.openxmlformats.org/officeDocument/2006/relationships/hyperlink" Target="http://heartofcomp.altervista.org/zcm.zip" TargetMode="External"/><Relationship Id="rId120" Type="http://schemas.openxmlformats.org/officeDocument/2006/relationships/hyperlink" Target="http://www.rarlabs.com/" TargetMode="External"/><Relationship Id="rId358" Type="http://schemas.openxmlformats.org/officeDocument/2006/relationships/hyperlink" Target="http://www.compression.ru/ds/" TargetMode="External"/><Relationship Id="rId565" Type="http://schemas.openxmlformats.org/officeDocument/2006/relationships/hyperlink" Target="http://freearc.org/" TargetMode="External"/><Relationship Id="rId730" Type="http://schemas.openxmlformats.org/officeDocument/2006/relationships/hyperlink" Target="http://jpegclub.org/jpegcrop.zip" TargetMode="External"/><Relationship Id="rId162" Type="http://schemas.openxmlformats.org/officeDocument/2006/relationships/hyperlink" Target="http://www.7-zip.org/" TargetMode="External"/><Relationship Id="rId218" Type="http://schemas.openxmlformats.org/officeDocument/2006/relationships/hyperlink" Target="http://freearc.org/" TargetMode="External"/><Relationship Id="rId425" Type="http://schemas.openxmlformats.org/officeDocument/2006/relationships/hyperlink" Target="http://libbsc.com/" TargetMode="External"/><Relationship Id="rId467" Type="http://schemas.openxmlformats.org/officeDocument/2006/relationships/hyperlink" Target="http://mattmahoney.net/dc/text.html" TargetMode="External"/><Relationship Id="rId632" Type="http://schemas.openxmlformats.org/officeDocument/2006/relationships/hyperlink" Target="http://www.compression.ru/ds/" TargetMode="External"/><Relationship Id="rId271" Type="http://schemas.openxmlformats.org/officeDocument/2006/relationships/hyperlink" Target="http://ftp.sac.sk/sac/pack/uharc06b.zip" TargetMode="External"/><Relationship Id="rId674" Type="http://schemas.openxmlformats.org/officeDocument/2006/relationships/hyperlink" Target="http://www.rarlabs.com/" TargetMode="External"/><Relationship Id="rId24" Type="http://schemas.openxmlformats.org/officeDocument/2006/relationships/hyperlink" Target="http://www.bzip.org/" TargetMode="External"/><Relationship Id="rId66" Type="http://schemas.openxmlformats.org/officeDocument/2006/relationships/hyperlink" Target="http://www.winzip.com/" TargetMode="External"/><Relationship Id="rId131" Type="http://schemas.openxmlformats.org/officeDocument/2006/relationships/hyperlink" Target="http://www.rarlabs.com/" TargetMode="External"/><Relationship Id="rId327" Type="http://schemas.openxmlformats.org/officeDocument/2006/relationships/hyperlink" Target="http://nishi.dreamhosters.com/u/reflate_v0c1.rar" TargetMode="External"/><Relationship Id="rId369" Type="http://schemas.openxmlformats.org/officeDocument/2006/relationships/hyperlink" Target="http://www.compression.ru/ds/" TargetMode="External"/><Relationship Id="rId534" Type="http://schemas.openxmlformats.org/officeDocument/2006/relationships/hyperlink" Target="http://libbsc.com/" TargetMode="External"/><Relationship Id="rId576" Type="http://schemas.openxmlformats.org/officeDocument/2006/relationships/hyperlink" Target="http://www.7-zip.org/" TargetMode="External"/><Relationship Id="rId173" Type="http://schemas.openxmlformats.org/officeDocument/2006/relationships/hyperlink" Target="http://www.7-zip.org/" TargetMode="External"/><Relationship Id="rId229" Type="http://schemas.openxmlformats.org/officeDocument/2006/relationships/hyperlink" Target="http://freearc.org/" TargetMode="External"/><Relationship Id="rId380" Type="http://schemas.openxmlformats.org/officeDocument/2006/relationships/hyperlink" Target="http://code.google.com/p/lzham/" TargetMode="External"/><Relationship Id="rId436" Type="http://schemas.openxmlformats.org/officeDocument/2006/relationships/hyperlink" Target="http://schnaader.info/precomp.php" TargetMode="External"/><Relationship Id="rId601" Type="http://schemas.openxmlformats.org/officeDocument/2006/relationships/hyperlink" Target="http://www.bzip.org/" TargetMode="External"/><Relationship Id="rId643" Type="http://schemas.openxmlformats.org/officeDocument/2006/relationships/hyperlink" Target="http://www.rarlabs.com/" TargetMode="External"/><Relationship Id="rId240" Type="http://schemas.openxmlformats.org/officeDocument/2006/relationships/hyperlink" Target="http://freearc.org/" TargetMode="External"/><Relationship Id="rId478" Type="http://schemas.openxmlformats.org/officeDocument/2006/relationships/hyperlink" Target="http://www.nanozip.net/" TargetMode="External"/><Relationship Id="rId685" Type="http://schemas.openxmlformats.org/officeDocument/2006/relationships/hyperlink" Target="http://freearc.org/" TargetMode="External"/><Relationship Id="rId35" Type="http://schemas.openxmlformats.org/officeDocument/2006/relationships/hyperlink" Target="http://www.bzip.org/" TargetMode="External"/><Relationship Id="rId77" Type="http://schemas.openxmlformats.org/officeDocument/2006/relationships/hyperlink" Target="http://www.winzip.com/" TargetMode="External"/><Relationship Id="rId100" Type="http://schemas.openxmlformats.org/officeDocument/2006/relationships/hyperlink" Target="http://heartofcomp.altervista.org/zcm.zip" TargetMode="External"/><Relationship Id="rId282" Type="http://schemas.openxmlformats.org/officeDocument/2006/relationships/hyperlink" Target="http://ftp.sac.sk/sac/pack/uharc06b.zip" TargetMode="External"/><Relationship Id="rId338" Type="http://schemas.openxmlformats.org/officeDocument/2006/relationships/hyperlink" Target="http://nishi.dreamhosters.com/u/reflate_v0c1.rar" TargetMode="External"/><Relationship Id="rId503" Type="http://schemas.openxmlformats.org/officeDocument/2006/relationships/hyperlink" Target="http://www.renoise.com/" TargetMode="External"/><Relationship Id="rId545" Type="http://schemas.openxmlformats.org/officeDocument/2006/relationships/hyperlink" Target="http://ftp.sac.sk/sac/pack/uharc06b.zip" TargetMode="External"/><Relationship Id="rId587" Type="http://schemas.openxmlformats.org/officeDocument/2006/relationships/hyperlink" Target="http://mattmahoney.net/dc/text.html" TargetMode="External"/><Relationship Id="rId710" Type="http://schemas.openxmlformats.org/officeDocument/2006/relationships/hyperlink" Target="http://encode.ru/attachment.php?attachmentid=2422&amp;d=1376508078" TargetMode="External"/><Relationship Id="rId8" Type="http://schemas.openxmlformats.org/officeDocument/2006/relationships/hyperlink" Target="http://www.miniclip.com/" TargetMode="External"/><Relationship Id="rId142" Type="http://schemas.openxmlformats.org/officeDocument/2006/relationships/hyperlink" Target="http://www.emit.jp/dgca/dgca_e.html" TargetMode="External"/><Relationship Id="rId184" Type="http://schemas.openxmlformats.org/officeDocument/2006/relationships/hyperlink" Target="http://www.7-zip.org/" TargetMode="External"/><Relationship Id="rId391" Type="http://schemas.openxmlformats.org/officeDocument/2006/relationships/hyperlink" Target="http://code.google.com/p/lzham/" TargetMode="External"/><Relationship Id="rId405" Type="http://schemas.openxmlformats.org/officeDocument/2006/relationships/hyperlink" Target="http://libbsc.com/" TargetMode="External"/><Relationship Id="rId447" Type="http://schemas.openxmlformats.org/officeDocument/2006/relationships/hyperlink" Target="http://schnaader.info/precomp.php" TargetMode="External"/><Relationship Id="rId612" Type="http://schemas.openxmlformats.org/officeDocument/2006/relationships/hyperlink" Target="http://nishi.dreamhosters.com/u/reflate_v0c1.rar" TargetMode="External"/><Relationship Id="rId251" Type="http://schemas.openxmlformats.org/officeDocument/2006/relationships/hyperlink" Target="http://www.winace.com/" TargetMode="External"/><Relationship Id="rId489" Type="http://schemas.openxmlformats.org/officeDocument/2006/relationships/hyperlink" Target="http://heartofcomp.altervista.org/zcm.zip" TargetMode="External"/><Relationship Id="rId654" Type="http://schemas.openxmlformats.org/officeDocument/2006/relationships/hyperlink" Target="http://www.rarlabs.com/" TargetMode="External"/><Relationship Id="rId696" Type="http://schemas.openxmlformats.org/officeDocument/2006/relationships/hyperlink" Target="http://www.soundslimmer.com/" TargetMode="External"/><Relationship Id="rId46" Type="http://schemas.openxmlformats.org/officeDocument/2006/relationships/hyperlink" Target="http://www.bzip.org/" TargetMode="External"/><Relationship Id="rId293" Type="http://schemas.openxmlformats.org/officeDocument/2006/relationships/hyperlink" Target="http://ftp.sac.sk/sac/pack/uharc06b.zip" TargetMode="External"/><Relationship Id="rId307" Type="http://schemas.openxmlformats.org/officeDocument/2006/relationships/hyperlink" Target="http://mattmahoney.net/dc/text.html" TargetMode="External"/><Relationship Id="rId349" Type="http://schemas.openxmlformats.org/officeDocument/2006/relationships/hyperlink" Target="http://www.compression.ru/ds/" TargetMode="External"/><Relationship Id="rId514" Type="http://schemas.openxmlformats.org/officeDocument/2006/relationships/hyperlink" Target="http://www.madtracker.org/" TargetMode="External"/><Relationship Id="rId556" Type="http://schemas.openxmlformats.org/officeDocument/2006/relationships/hyperlink" Target="http://www.7-zip.org/" TargetMode="External"/><Relationship Id="rId721" Type="http://schemas.openxmlformats.org/officeDocument/2006/relationships/hyperlink" Target="http://encode.ru/attachment.php?attachmentid=2422&amp;d=1376508078" TargetMode="External"/><Relationship Id="rId88" Type="http://schemas.openxmlformats.org/officeDocument/2006/relationships/hyperlink" Target="http://heartofcomp.altervista.org/zcm.zip" TargetMode="External"/><Relationship Id="rId111" Type="http://schemas.openxmlformats.org/officeDocument/2006/relationships/hyperlink" Target="http://www.rarlabs.com/" TargetMode="External"/><Relationship Id="rId153" Type="http://schemas.openxmlformats.org/officeDocument/2006/relationships/hyperlink" Target="http://www.emit.jp/dgca/dgca_e.html" TargetMode="External"/><Relationship Id="rId195" Type="http://schemas.openxmlformats.org/officeDocument/2006/relationships/hyperlink" Target="http://www.nanozip.net/" TargetMode="External"/><Relationship Id="rId209" Type="http://schemas.openxmlformats.org/officeDocument/2006/relationships/hyperlink" Target="http://www.nanozip.net/" TargetMode="External"/><Relationship Id="rId360" Type="http://schemas.openxmlformats.org/officeDocument/2006/relationships/hyperlink" Target="http://www.compression.ru/ds/" TargetMode="External"/><Relationship Id="rId416" Type="http://schemas.openxmlformats.org/officeDocument/2006/relationships/hyperlink" Target="http://libbsc.com/" TargetMode="External"/><Relationship Id="rId598" Type="http://schemas.openxmlformats.org/officeDocument/2006/relationships/hyperlink" Target="http://img.photographyblog.com/reviews/canon_eos_7d/sample_images/canon_eos_7d_05.cr2" TargetMode="External"/><Relationship Id="rId220" Type="http://schemas.openxmlformats.org/officeDocument/2006/relationships/hyperlink" Target="http://freearc.org/" TargetMode="External"/><Relationship Id="rId458" Type="http://schemas.openxmlformats.org/officeDocument/2006/relationships/hyperlink" Target="http://www.winzip.com/" TargetMode="External"/><Relationship Id="rId623" Type="http://schemas.openxmlformats.org/officeDocument/2006/relationships/hyperlink" Target="http://www.rarlabs.com/" TargetMode="External"/><Relationship Id="rId665" Type="http://schemas.openxmlformats.org/officeDocument/2006/relationships/hyperlink" Target="http://www.rarlabs.com/" TargetMode="External"/><Relationship Id="rId15" Type="http://schemas.openxmlformats.org/officeDocument/2006/relationships/hyperlink" Target="http://www2.ati.com/drivers/linux/amd-driver-installer-12-2-x86.x86_64.run" TargetMode="External"/><Relationship Id="rId57" Type="http://schemas.openxmlformats.org/officeDocument/2006/relationships/hyperlink" Target="http://www.winzip.com/" TargetMode="External"/><Relationship Id="rId262" Type="http://schemas.openxmlformats.org/officeDocument/2006/relationships/hyperlink" Target="http://www.winace.com/" TargetMode="External"/><Relationship Id="rId318" Type="http://schemas.openxmlformats.org/officeDocument/2006/relationships/hyperlink" Target="http://mattmahoney.net/dc/text.html" TargetMode="External"/><Relationship Id="rId525" Type="http://schemas.openxmlformats.org/officeDocument/2006/relationships/hyperlink" Target="http://www.7-zip.org/" TargetMode="External"/><Relationship Id="rId567" Type="http://schemas.openxmlformats.org/officeDocument/2006/relationships/hyperlink" Target="http://ftp.sac.sk/sac/pack/uharc06b.zip" TargetMode="External"/><Relationship Id="rId732" Type="http://schemas.openxmlformats.org/officeDocument/2006/relationships/hyperlink" Target="https://www.dropbox.com/s/mfbuk05o5l2qp5j/packJPG%20v2.5i%20%28LGPL%29.zip" TargetMode="External"/><Relationship Id="rId99" Type="http://schemas.openxmlformats.org/officeDocument/2006/relationships/hyperlink" Target="http://heartofcomp.altervista.org/zcm.zip" TargetMode="External"/><Relationship Id="rId122" Type="http://schemas.openxmlformats.org/officeDocument/2006/relationships/hyperlink" Target="http://www.rarlabs.com/" TargetMode="External"/><Relationship Id="rId164" Type="http://schemas.openxmlformats.org/officeDocument/2006/relationships/hyperlink" Target="http://www.7-zip.org/" TargetMode="External"/><Relationship Id="rId371" Type="http://schemas.openxmlformats.org/officeDocument/2006/relationships/hyperlink" Target="http://www.compression.ru/ds/" TargetMode="External"/><Relationship Id="rId427" Type="http://schemas.openxmlformats.org/officeDocument/2006/relationships/hyperlink" Target="http://libbsc.com/" TargetMode="External"/><Relationship Id="rId469" Type="http://schemas.openxmlformats.org/officeDocument/2006/relationships/hyperlink" Target="http://www.compression.ru/ds/" TargetMode="External"/><Relationship Id="rId634" Type="http://schemas.openxmlformats.org/officeDocument/2006/relationships/hyperlink" Target="http://libbsc.com/" TargetMode="External"/><Relationship Id="rId676" Type="http://schemas.openxmlformats.org/officeDocument/2006/relationships/hyperlink" Target="http://www.rarlabs.com/" TargetMode="External"/><Relationship Id="rId26" Type="http://schemas.openxmlformats.org/officeDocument/2006/relationships/hyperlink" Target="http://www.bzip.org/" TargetMode="External"/><Relationship Id="rId231" Type="http://schemas.openxmlformats.org/officeDocument/2006/relationships/hyperlink" Target="http://freearc.org/" TargetMode="External"/><Relationship Id="rId273" Type="http://schemas.openxmlformats.org/officeDocument/2006/relationships/hyperlink" Target="http://ftp.sac.sk/sac/pack/uharc06b.zip" TargetMode="External"/><Relationship Id="rId329" Type="http://schemas.openxmlformats.org/officeDocument/2006/relationships/hyperlink" Target="http://nishi.dreamhosters.com/u/reflate_v0c1.rar" TargetMode="External"/><Relationship Id="rId480" Type="http://schemas.openxmlformats.org/officeDocument/2006/relationships/hyperlink" Target="http://www.winace.com/" TargetMode="External"/><Relationship Id="rId536" Type="http://schemas.openxmlformats.org/officeDocument/2006/relationships/hyperlink" Target="http://www.bzip.org/" TargetMode="External"/><Relationship Id="rId701" Type="http://schemas.openxmlformats.org/officeDocument/2006/relationships/hyperlink" Target="http://encode.ru/attachment.php?attachmentid=2422&amp;d=1376508078" TargetMode="External"/><Relationship Id="rId68" Type="http://schemas.openxmlformats.org/officeDocument/2006/relationships/hyperlink" Target="http://www.winzip.com/" TargetMode="External"/><Relationship Id="rId133" Type="http://schemas.openxmlformats.org/officeDocument/2006/relationships/hyperlink" Target="http://www.emit.jp/dgca/dgca_e.html" TargetMode="External"/><Relationship Id="rId175" Type="http://schemas.openxmlformats.org/officeDocument/2006/relationships/hyperlink" Target="http://www.7-zip.org/" TargetMode="External"/><Relationship Id="rId340" Type="http://schemas.openxmlformats.org/officeDocument/2006/relationships/hyperlink" Target="http://nishi.dreamhosters.com/u/reflate_v0c1.rar" TargetMode="External"/><Relationship Id="rId578" Type="http://schemas.openxmlformats.org/officeDocument/2006/relationships/hyperlink" Target="http://www.winzip.com/" TargetMode="External"/><Relationship Id="rId200" Type="http://schemas.openxmlformats.org/officeDocument/2006/relationships/hyperlink" Target="http://www.nanozip.net/" TargetMode="External"/><Relationship Id="rId382" Type="http://schemas.openxmlformats.org/officeDocument/2006/relationships/hyperlink" Target="http://code.google.com/p/lzham/" TargetMode="External"/><Relationship Id="rId438" Type="http://schemas.openxmlformats.org/officeDocument/2006/relationships/hyperlink" Target="http://schnaader.info/precomp.php" TargetMode="External"/><Relationship Id="rId603" Type="http://schemas.openxmlformats.org/officeDocument/2006/relationships/hyperlink" Target="http://heartofcomp.altervista.org/zcm.zip" TargetMode="External"/><Relationship Id="rId645" Type="http://schemas.openxmlformats.org/officeDocument/2006/relationships/hyperlink" Target="http://www.rarlabs.com/" TargetMode="External"/><Relationship Id="rId687" Type="http://schemas.openxmlformats.org/officeDocument/2006/relationships/hyperlink" Target="http://ftp.sac.sk/sac/pack/uharc06b.zip" TargetMode="External"/><Relationship Id="rId242" Type="http://schemas.openxmlformats.org/officeDocument/2006/relationships/hyperlink" Target="http://www.winace.com/" TargetMode="External"/><Relationship Id="rId284" Type="http://schemas.openxmlformats.org/officeDocument/2006/relationships/hyperlink" Target="http://ftp.sac.sk/sac/pack/uharc06b.zip" TargetMode="External"/><Relationship Id="rId491" Type="http://schemas.openxmlformats.org/officeDocument/2006/relationships/hyperlink" Target="http://www.emit.jp/dgca/dgca_e.html" TargetMode="External"/><Relationship Id="rId505" Type="http://schemas.openxmlformats.org/officeDocument/2006/relationships/hyperlink" Target="http://www.renoise.com/" TargetMode="External"/><Relationship Id="rId712" Type="http://schemas.openxmlformats.org/officeDocument/2006/relationships/hyperlink" Target="http://encode.ru/attachment.php?attachmentid=2422&amp;d=1376508078" TargetMode="External"/><Relationship Id="rId37" Type="http://schemas.openxmlformats.org/officeDocument/2006/relationships/hyperlink" Target="http://www.bzip.org/" TargetMode="External"/><Relationship Id="rId79" Type="http://schemas.openxmlformats.org/officeDocument/2006/relationships/hyperlink" Target="http://heartofcomp.altervista.org/zcm.zip" TargetMode="External"/><Relationship Id="rId102" Type="http://schemas.openxmlformats.org/officeDocument/2006/relationships/hyperlink" Target="http://heartofcomp.altervista.org/zcm.zip" TargetMode="External"/><Relationship Id="rId144" Type="http://schemas.openxmlformats.org/officeDocument/2006/relationships/hyperlink" Target="http://www.emit.jp/dgca/dgca_e.html" TargetMode="External"/><Relationship Id="rId547" Type="http://schemas.openxmlformats.org/officeDocument/2006/relationships/hyperlink" Target="http://nishi.dreamhosters.com/u/reflate_v0c1.rar" TargetMode="External"/><Relationship Id="rId589" Type="http://schemas.openxmlformats.org/officeDocument/2006/relationships/hyperlink" Target="http://www.compression.ru/ds/" TargetMode="External"/><Relationship Id="rId90" Type="http://schemas.openxmlformats.org/officeDocument/2006/relationships/hyperlink" Target="http://heartofcomp.altervista.org/zcm.zip" TargetMode="External"/><Relationship Id="rId186" Type="http://schemas.openxmlformats.org/officeDocument/2006/relationships/hyperlink" Target="http://www.nanozip.net/" TargetMode="External"/><Relationship Id="rId351" Type="http://schemas.openxmlformats.org/officeDocument/2006/relationships/hyperlink" Target="http://www.compression.ru/ds/" TargetMode="External"/><Relationship Id="rId393" Type="http://schemas.openxmlformats.org/officeDocument/2006/relationships/hyperlink" Target="http://code.google.com/p/lzham/" TargetMode="External"/><Relationship Id="rId407" Type="http://schemas.openxmlformats.org/officeDocument/2006/relationships/hyperlink" Target="http://libbsc.com/" TargetMode="External"/><Relationship Id="rId449" Type="http://schemas.openxmlformats.org/officeDocument/2006/relationships/hyperlink" Target="http://schnaader.info/precomp.php" TargetMode="External"/><Relationship Id="rId614" Type="http://schemas.openxmlformats.org/officeDocument/2006/relationships/hyperlink" Target="http://code.google.com/p/lzham/" TargetMode="External"/><Relationship Id="rId656" Type="http://schemas.openxmlformats.org/officeDocument/2006/relationships/hyperlink" Target="http://www.rarlabs.com/" TargetMode="External"/><Relationship Id="rId211" Type="http://schemas.openxmlformats.org/officeDocument/2006/relationships/hyperlink" Target="http://www.nanozip.net/" TargetMode="External"/><Relationship Id="rId253" Type="http://schemas.openxmlformats.org/officeDocument/2006/relationships/hyperlink" Target="http://www.winace.com/" TargetMode="External"/><Relationship Id="rId295" Type="http://schemas.openxmlformats.org/officeDocument/2006/relationships/hyperlink" Target="http://mattmahoney.net/dc/text.html" TargetMode="External"/><Relationship Id="rId309" Type="http://schemas.openxmlformats.org/officeDocument/2006/relationships/hyperlink" Target="http://mattmahoney.net/dc/text.html" TargetMode="External"/><Relationship Id="rId460" Type="http://schemas.openxmlformats.org/officeDocument/2006/relationships/hyperlink" Target="http://www.rarlabs.com/" TargetMode="External"/><Relationship Id="rId516" Type="http://schemas.openxmlformats.org/officeDocument/2006/relationships/hyperlink" Target="http://www.un4seen.com/mo3.html" TargetMode="External"/><Relationship Id="rId698" Type="http://schemas.openxmlformats.org/officeDocument/2006/relationships/hyperlink" Target="http://encode.ru/attachment.php?attachmentid=2422&amp;d=1376508078" TargetMode="External"/><Relationship Id="rId48" Type="http://schemas.openxmlformats.org/officeDocument/2006/relationships/hyperlink" Target="http://www.bzip.org/" TargetMode="External"/><Relationship Id="rId113" Type="http://schemas.openxmlformats.org/officeDocument/2006/relationships/hyperlink" Target="http://www.rarlabs.com/" TargetMode="External"/><Relationship Id="rId320" Type="http://schemas.openxmlformats.org/officeDocument/2006/relationships/hyperlink" Target="http://mattmahoney.net/dc/text.html" TargetMode="External"/><Relationship Id="rId558" Type="http://schemas.openxmlformats.org/officeDocument/2006/relationships/hyperlink" Target="http://www.bzip.org/" TargetMode="External"/><Relationship Id="rId723" Type="http://schemas.openxmlformats.org/officeDocument/2006/relationships/hyperlink" Target="http://encode.ru/attachment.php?attachmentid=2422&amp;d=1376508078" TargetMode="External"/><Relationship Id="rId155" Type="http://schemas.openxmlformats.org/officeDocument/2006/relationships/hyperlink" Target="http://www.emit.jp/dgca/dgca_e.html" TargetMode="External"/><Relationship Id="rId197" Type="http://schemas.openxmlformats.org/officeDocument/2006/relationships/hyperlink" Target="http://www.nanozip.net/" TargetMode="External"/><Relationship Id="rId362" Type="http://schemas.openxmlformats.org/officeDocument/2006/relationships/hyperlink" Target="http://www.compression.ru/ds/" TargetMode="External"/><Relationship Id="rId418" Type="http://schemas.openxmlformats.org/officeDocument/2006/relationships/hyperlink" Target="http://libbsc.com/" TargetMode="External"/><Relationship Id="rId625" Type="http://schemas.openxmlformats.org/officeDocument/2006/relationships/hyperlink" Target="http://www.7-zip.org/" TargetMode="External"/><Relationship Id="rId222" Type="http://schemas.openxmlformats.org/officeDocument/2006/relationships/hyperlink" Target="http://freearc.org/" TargetMode="External"/><Relationship Id="rId264" Type="http://schemas.openxmlformats.org/officeDocument/2006/relationships/hyperlink" Target="http://www.winace.com/" TargetMode="External"/><Relationship Id="rId471" Type="http://schemas.openxmlformats.org/officeDocument/2006/relationships/hyperlink" Target="http://libbsc.com/" TargetMode="External"/><Relationship Id="rId667" Type="http://schemas.openxmlformats.org/officeDocument/2006/relationships/hyperlink" Target="http://www.rarlabs.com/" TargetMode="External"/><Relationship Id="rId17" Type="http://schemas.openxmlformats.org/officeDocument/2006/relationships/hyperlink" Target="http://rawtherapee.com/releases_head/windows/RawTherapee_WinVista_64_4.0.7.1.zip" TargetMode="External"/><Relationship Id="rId59" Type="http://schemas.openxmlformats.org/officeDocument/2006/relationships/hyperlink" Target="http://www.winzip.com/" TargetMode="External"/><Relationship Id="rId124" Type="http://schemas.openxmlformats.org/officeDocument/2006/relationships/hyperlink" Target="http://www.rarlabs.com/" TargetMode="External"/><Relationship Id="rId527" Type="http://schemas.openxmlformats.org/officeDocument/2006/relationships/hyperlink" Target="http://freearc.org/" TargetMode="External"/><Relationship Id="rId569" Type="http://schemas.openxmlformats.org/officeDocument/2006/relationships/hyperlink" Target="http://nishi.dreamhosters.com/u/reflate_v0c1.rar" TargetMode="External"/><Relationship Id="rId734" Type="http://schemas.openxmlformats.org/officeDocument/2006/relationships/vmlDrawing" Target="../drawings/vmlDrawing4.vml"/><Relationship Id="rId70" Type="http://schemas.openxmlformats.org/officeDocument/2006/relationships/hyperlink" Target="http://www.winzip.com/" TargetMode="External"/><Relationship Id="rId166" Type="http://schemas.openxmlformats.org/officeDocument/2006/relationships/hyperlink" Target="http://www.7-zip.org/" TargetMode="External"/><Relationship Id="rId331" Type="http://schemas.openxmlformats.org/officeDocument/2006/relationships/hyperlink" Target="http://nishi.dreamhosters.com/u/reflate_v0c1.rar" TargetMode="External"/><Relationship Id="rId373" Type="http://schemas.openxmlformats.org/officeDocument/2006/relationships/hyperlink" Target="http://www.compression.ru/ds/" TargetMode="External"/><Relationship Id="rId429" Type="http://schemas.openxmlformats.org/officeDocument/2006/relationships/hyperlink" Target="http://libbsc.com/" TargetMode="External"/><Relationship Id="rId580" Type="http://schemas.openxmlformats.org/officeDocument/2006/relationships/hyperlink" Target="http://www.rarlabs.com/" TargetMode="External"/><Relationship Id="rId636" Type="http://schemas.openxmlformats.org/officeDocument/2006/relationships/hyperlink" Target="http://www.rawzor.com/" TargetMode="External"/><Relationship Id="rId1" Type="http://schemas.openxmlformats.org/officeDocument/2006/relationships/hyperlink" Target="http://www.squeezechart.com/mp3corpus.7z" TargetMode="External"/><Relationship Id="rId233" Type="http://schemas.openxmlformats.org/officeDocument/2006/relationships/hyperlink" Target="http://freearc.org/" TargetMode="External"/><Relationship Id="rId440" Type="http://schemas.openxmlformats.org/officeDocument/2006/relationships/hyperlink" Target="http://schnaader.info/precomp.php" TargetMode="External"/><Relationship Id="rId678" Type="http://schemas.openxmlformats.org/officeDocument/2006/relationships/hyperlink" Target="http://www.rarlabs.com/" TargetMode="External"/><Relationship Id="rId28" Type="http://schemas.openxmlformats.org/officeDocument/2006/relationships/hyperlink" Target="http://www.bzip.org/" TargetMode="External"/><Relationship Id="rId275" Type="http://schemas.openxmlformats.org/officeDocument/2006/relationships/hyperlink" Target="http://ftp.sac.sk/sac/pack/uharc06b.zip" TargetMode="External"/><Relationship Id="rId300" Type="http://schemas.openxmlformats.org/officeDocument/2006/relationships/hyperlink" Target="http://mattmahoney.net/dc/text.html" TargetMode="External"/><Relationship Id="rId482" Type="http://schemas.openxmlformats.org/officeDocument/2006/relationships/hyperlink" Target="http://mattmahoney.net/dc/text.html" TargetMode="External"/><Relationship Id="rId538" Type="http://schemas.openxmlformats.org/officeDocument/2006/relationships/hyperlink" Target="http://heartofcomp.altervista.org/zcm.zip" TargetMode="External"/><Relationship Id="rId703" Type="http://schemas.openxmlformats.org/officeDocument/2006/relationships/hyperlink" Target="http://encode.ru/attachment.php?attachmentid=2422&amp;d=1376508078" TargetMode="External"/><Relationship Id="rId81" Type="http://schemas.openxmlformats.org/officeDocument/2006/relationships/hyperlink" Target="http://heartofcomp.altervista.org/zcm.zip" TargetMode="External"/><Relationship Id="rId135" Type="http://schemas.openxmlformats.org/officeDocument/2006/relationships/hyperlink" Target="http://www.emit.jp/dgca/dgca_e.html" TargetMode="External"/><Relationship Id="rId177" Type="http://schemas.openxmlformats.org/officeDocument/2006/relationships/hyperlink" Target="http://www.7-zip.org/" TargetMode="External"/><Relationship Id="rId342" Type="http://schemas.openxmlformats.org/officeDocument/2006/relationships/hyperlink" Target="http://nishi.dreamhosters.com/u/reflate_v0c1.rar" TargetMode="External"/><Relationship Id="rId384" Type="http://schemas.openxmlformats.org/officeDocument/2006/relationships/hyperlink" Target="http://code.google.com/p/lzham/" TargetMode="External"/><Relationship Id="rId591" Type="http://schemas.openxmlformats.org/officeDocument/2006/relationships/hyperlink" Target="http://libbsc.com/" TargetMode="External"/><Relationship Id="rId605" Type="http://schemas.openxmlformats.org/officeDocument/2006/relationships/hyperlink" Target="http://www.emit.jp/dgca/dgca_e.html" TargetMode="External"/><Relationship Id="rId202" Type="http://schemas.openxmlformats.org/officeDocument/2006/relationships/hyperlink" Target="http://www.nanozip.net/" TargetMode="External"/><Relationship Id="rId244" Type="http://schemas.openxmlformats.org/officeDocument/2006/relationships/hyperlink" Target="http://www.winace.com/" TargetMode="External"/><Relationship Id="rId647" Type="http://schemas.openxmlformats.org/officeDocument/2006/relationships/hyperlink" Target="http://www.rarlabs.com/" TargetMode="External"/><Relationship Id="rId689" Type="http://schemas.openxmlformats.org/officeDocument/2006/relationships/hyperlink" Target="http://nishi.dreamhosters.com/u/reflate_v0c1.rar" TargetMode="External"/><Relationship Id="rId39" Type="http://schemas.openxmlformats.org/officeDocument/2006/relationships/hyperlink" Target="http://www.bzip.org/" TargetMode="External"/><Relationship Id="rId286" Type="http://schemas.openxmlformats.org/officeDocument/2006/relationships/hyperlink" Target="http://ftp.sac.sk/sac/pack/uharc06b.zip" TargetMode="External"/><Relationship Id="rId451" Type="http://schemas.openxmlformats.org/officeDocument/2006/relationships/hyperlink" Target="http://schnaader.info/precomp.php" TargetMode="External"/><Relationship Id="rId493" Type="http://schemas.openxmlformats.org/officeDocument/2006/relationships/hyperlink" Target="http://www.nanozip.net/" TargetMode="External"/><Relationship Id="rId507" Type="http://schemas.openxmlformats.org/officeDocument/2006/relationships/hyperlink" Target="http://psycle.pastnotecut.org/portal.php" TargetMode="External"/><Relationship Id="rId549" Type="http://schemas.openxmlformats.org/officeDocument/2006/relationships/hyperlink" Target="http://code.google.com/p/lzham/" TargetMode="External"/><Relationship Id="rId714" Type="http://schemas.openxmlformats.org/officeDocument/2006/relationships/hyperlink" Target="http://encode.ru/attachment.php?attachmentid=2422&amp;d=1376508078" TargetMode="External"/><Relationship Id="rId50" Type="http://schemas.openxmlformats.org/officeDocument/2006/relationships/hyperlink" Target="http://www.bzip.org/" TargetMode="External"/><Relationship Id="rId104" Type="http://schemas.openxmlformats.org/officeDocument/2006/relationships/hyperlink" Target="http://heartofcomp.altervista.org/zcm.zip" TargetMode="External"/><Relationship Id="rId146" Type="http://schemas.openxmlformats.org/officeDocument/2006/relationships/hyperlink" Target="http://www.emit.jp/dgca/dgca_e.html" TargetMode="External"/><Relationship Id="rId188" Type="http://schemas.openxmlformats.org/officeDocument/2006/relationships/hyperlink" Target="http://www.nanozip.net/" TargetMode="External"/><Relationship Id="rId311" Type="http://schemas.openxmlformats.org/officeDocument/2006/relationships/hyperlink" Target="http://mattmahoney.net/dc/text.html" TargetMode="External"/><Relationship Id="rId353" Type="http://schemas.openxmlformats.org/officeDocument/2006/relationships/hyperlink" Target="http://www.compression.ru/ds/" TargetMode="External"/><Relationship Id="rId395" Type="http://schemas.openxmlformats.org/officeDocument/2006/relationships/hyperlink" Target="http://code.google.com/p/lzham/" TargetMode="External"/><Relationship Id="rId409" Type="http://schemas.openxmlformats.org/officeDocument/2006/relationships/hyperlink" Target="http://libbsc.com/" TargetMode="External"/><Relationship Id="rId560" Type="http://schemas.openxmlformats.org/officeDocument/2006/relationships/hyperlink" Target="http://heartofcomp.altervista.org/zcm.zip" TargetMode="External"/><Relationship Id="rId92" Type="http://schemas.openxmlformats.org/officeDocument/2006/relationships/hyperlink" Target="http://heartofcomp.altervista.org/zcm.zip" TargetMode="External"/><Relationship Id="rId213" Type="http://schemas.openxmlformats.org/officeDocument/2006/relationships/hyperlink" Target="http://www.nanozip.net/" TargetMode="External"/><Relationship Id="rId420" Type="http://schemas.openxmlformats.org/officeDocument/2006/relationships/hyperlink" Target="http://libbsc.com/" TargetMode="External"/><Relationship Id="rId616" Type="http://schemas.openxmlformats.org/officeDocument/2006/relationships/hyperlink" Target="http://schnaader.info/precomp.php" TargetMode="External"/><Relationship Id="rId658" Type="http://schemas.openxmlformats.org/officeDocument/2006/relationships/hyperlink" Target="http://www.rarlabs.com/" TargetMode="External"/><Relationship Id="rId255" Type="http://schemas.openxmlformats.org/officeDocument/2006/relationships/hyperlink" Target="http://www.winace.com/" TargetMode="External"/><Relationship Id="rId297" Type="http://schemas.openxmlformats.org/officeDocument/2006/relationships/hyperlink" Target="http://mattmahoney.net/dc/text.html" TargetMode="External"/><Relationship Id="rId462" Type="http://schemas.openxmlformats.org/officeDocument/2006/relationships/hyperlink" Target="http://www.7-zip.org/" TargetMode="External"/><Relationship Id="rId518" Type="http://schemas.openxmlformats.org/officeDocument/2006/relationships/hyperlink" Target="http://www.un4seen.com/mo3.html" TargetMode="External"/><Relationship Id="rId725" Type="http://schemas.openxmlformats.org/officeDocument/2006/relationships/hyperlink" Target="http://encode.ru/attachment.php?attachmentid=2422&amp;d=1376508078" TargetMode="External"/><Relationship Id="rId115" Type="http://schemas.openxmlformats.org/officeDocument/2006/relationships/hyperlink" Target="http://www.rarlabs.com/" TargetMode="External"/><Relationship Id="rId157" Type="http://schemas.openxmlformats.org/officeDocument/2006/relationships/hyperlink" Target="http://www.emit.jp/dgca/dgca_e.html" TargetMode="External"/><Relationship Id="rId322" Type="http://schemas.openxmlformats.org/officeDocument/2006/relationships/hyperlink" Target="http://nishi.dreamhosters.com/u/reflate_v0c1.rar" TargetMode="External"/><Relationship Id="rId364" Type="http://schemas.openxmlformats.org/officeDocument/2006/relationships/hyperlink" Target="http://www.compression.ru/ds/" TargetMode="External"/><Relationship Id="rId61" Type="http://schemas.openxmlformats.org/officeDocument/2006/relationships/hyperlink" Target="http://www.winzip.com/" TargetMode="External"/><Relationship Id="rId199" Type="http://schemas.openxmlformats.org/officeDocument/2006/relationships/hyperlink" Target="http://www.nanozip.net/" TargetMode="External"/><Relationship Id="rId571" Type="http://schemas.openxmlformats.org/officeDocument/2006/relationships/hyperlink" Target="http://code.google.com/p/lzham/" TargetMode="External"/><Relationship Id="rId627" Type="http://schemas.openxmlformats.org/officeDocument/2006/relationships/hyperlink" Target="http://freearc.org/" TargetMode="External"/><Relationship Id="rId669" Type="http://schemas.openxmlformats.org/officeDocument/2006/relationships/hyperlink" Target="http://www.rarlabs.com/" TargetMode="External"/><Relationship Id="rId19" Type="http://schemas.openxmlformats.org/officeDocument/2006/relationships/hyperlink" Target="http://www.diatonis.com/downloads/diatonis_currents_44_51.wma" TargetMode="External"/><Relationship Id="rId224" Type="http://schemas.openxmlformats.org/officeDocument/2006/relationships/hyperlink" Target="http://freearc.org/" TargetMode="External"/><Relationship Id="rId266" Type="http://schemas.openxmlformats.org/officeDocument/2006/relationships/hyperlink" Target="http://www.winace.com/" TargetMode="External"/><Relationship Id="rId431" Type="http://schemas.openxmlformats.org/officeDocument/2006/relationships/hyperlink" Target="http://schnaader.info/precomp.php" TargetMode="External"/><Relationship Id="rId473" Type="http://schemas.openxmlformats.org/officeDocument/2006/relationships/hyperlink" Target="http://www.winzip.com/" TargetMode="External"/><Relationship Id="rId529" Type="http://schemas.openxmlformats.org/officeDocument/2006/relationships/hyperlink" Target="http://ftp.sac.sk/sac/pack/uharc06b.zip" TargetMode="External"/><Relationship Id="rId680" Type="http://schemas.openxmlformats.org/officeDocument/2006/relationships/hyperlink" Target="http://www.winzip.com/" TargetMode="External"/><Relationship Id="rId736" Type="http://schemas.openxmlformats.org/officeDocument/2006/relationships/comments" Target="../comments4.xml"/><Relationship Id="rId30" Type="http://schemas.openxmlformats.org/officeDocument/2006/relationships/hyperlink" Target="http://www.bzip.org/" TargetMode="External"/><Relationship Id="rId126" Type="http://schemas.openxmlformats.org/officeDocument/2006/relationships/hyperlink" Target="http://www.rarlabs.com/" TargetMode="External"/><Relationship Id="rId168" Type="http://schemas.openxmlformats.org/officeDocument/2006/relationships/hyperlink" Target="http://www.7-zip.org/" TargetMode="External"/><Relationship Id="rId333" Type="http://schemas.openxmlformats.org/officeDocument/2006/relationships/hyperlink" Target="http://nishi.dreamhosters.com/u/reflate_v0c1.rar" TargetMode="External"/><Relationship Id="rId540" Type="http://schemas.openxmlformats.org/officeDocument/2006/relationships/hyperlink" Target="http://www.emit.jp/dgca/dgca_e.html" TargetMode="External"/><Relationship Id="rId72" Type="http://schemas.openxmlformats.org/officeDocument/2006/relationships/hyperlink" Target="http://www.winzip.com/" TargetMode="External"/><Relationship Id="rId375" Type="http://schemas.openxmlformats.org/officeDocument/2006/relationships/hyperlink" Target="http://www.compression.ru/ds/" TargetMode="External"/><Relationship Id="rId582" Type="http://schemas.openxmlformats.org/officeDocument/2006/relationships/hyperlink" Target="http://www.7-zip.org/" TargetMode="External"/><Relationship Id="rId638" Type="http://schemas.openxmlformats.org/officeDocument/2006/relationships/hyperlink" Target="http://www.7-zip.org/" TargetMode="External"/><Relationship Id="rId3" Type="http://schemas.openxmlformats.org/officeDocument/2006/relationships/hyperlink" Target="http://samples.mplayerhq.hu/Matroska/H264%2bEAC3.mkv" TargetMode="External"/><Relationship Id="rId235" Type="http://schemas.openxmlformats.org/officeDocument/2006/relationships/hyperlink" Target="http://freearc.org/" TargetMode="External"/><Relationship Id="rId277" Type="http://schemas.openxmlformats.org/officeDocument/2006/relationships/hyperlink" Target="http://ftp.sac.sk/sac/pack/uharc06b.zip" TargetMode="External"/><Relationship Id="rId400" Type="http://schemas.openxmlformats.org/officeDocument/2006/relationships/hyperlink" Target="http://code.google.com/p/lzham/" TargetMode="External"/><Relationship Id="rId442" Type="http://schemas.openxmlformats.org/officeDocument/2006/relationships/hyperlink" Target="http://schnaader.info/precomp.php" TargetMode="External"/><Relationship Id="rId484" Type="http://schemas.openxmlformats.org/officeDocument/2006/relationships/hyperlink" Target="http://www.compression.ru/ds/" TargetMode="External"/><Relationship Id="rId705" Type="http://schemas.openxmlformats.org/officeDocument/2006/relationships/hyperlink" Target="http://encode.ru/attachment.php?attachmentid=2422&amp;d=1376508078" TargetMode="External"/><Relationship Id="rId137" Type="http://schemas.openxmlformats.org/officeDocument/2006/relationships/hyperlink" Target="http://www.emit.jp/dgca/dgca_e.html" TargetMode="External"/><Relationship Id="rId302" Type="http://schemas.openxmlformats.org/officeDocument/2006/relationships/hyperlink" Target="http://mattmahoney.net/dc/text.html" TargetMode="External"/><Relationship Id="rId344" Type="http://schemas.openxmlformats.org/officeDocument/2006/relationships/hyperlink" Target="http://nishi.dreamhosters.com/u/reflate_v0c1.rar" TargetMode="External"/><Relationship Id="rId691" Type="http://schemas.openxmlformats.org/officeDocument/2006/relationships/hyperlink" Target="http://libbs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A41A"/>
  </sheetPr>
  <dimension ref="A1:B24"/>
  <sheetViews>
    <sheetView showGridLines="0" workbookViewId="0">
      <selection activeCell="A25" sqref="A25"/>
    </sheetView>
  </sheetViews>
  <sheetFormatPr baseColWidth="10" defaultColWidth="0" defaultRowHeight="12.75" customHeight="1" zeroHeight="1"/>
  <cols>
    <col min="1" max="1" width="11.42578125" style="1" customWidth="1"/>
    <col min="2" max="2" width="122.140625" style="1" customWidth="1"/>
    <col min="3" max="16384" width="0" style="1" hidden="1"/>
  </cols>
  <sheetData>
    <row r="1" spans="1:2" ht="27">
      <c r="A1" s="2"/>
      <c r="B1" s="3" t="s">
        <v>0</v>
      </c>
    </row>
    <row r="2" spans="1:2" ht="22.5">
      <c r="A2" s="2"/>
      <c r="B2" s="2"/>
    </row>
    <row r="3" spans="1:2" ht="27">
      <c r="A3" s="4" t="s">
        <v>1</v>
      </c>
      <c r="B3" s="3" t="s">
        <v>2</v>
      </c>
    </row>
    <row r="4" spans="1:2" ht="27">
      <c r="A4" s="4"/>
      <c r="B4" s="3" t="s">
        <v>3</v>
      </c>
    </row>
    <row r="5" spans="1:2" ht="12" customHeight="1">
      <c r="A5" s="4"/>
      <c r="B5" s="3"/>
    </row>
    <row r="6" spans="1:2" ht="27">
      <c r="A6" s="4" t="s">
        <v>4</v>
      </c>
      <c r="B6" s="3" t="s">
        <v>5</v>
      </c>
    </row>
    <row r="7" spans="1:2" ht="12" customHeight="1">
      <c r="A7" s="4"/>
      <c r="B7" s="3"/>
    </row>
    <row r="8" spans="1:2" ht="27">
      <c r="A8" s="4" t="s">
        <v>6</v>
      </c>
      <c r="B8" s="3" t="s">
        <v>7</v>
      </c>
    </row>
    <row r="9" spans="1:2" ht="12" customHeight="1">
      <c r="A9" s="4"/>
      <c r="B9" s="3"/>
    </row>
    <row r="10" spans="1:2" ht="27">
      <c r="A10" s="4" t="s">
        <v>8</v>
      </c>
      <c r="B10" s="3" t="s">
        <v>9</v>
      </c>
    </row>
    <row r="11" spans="1:2" ht="27">
      <c r="A11" s="4"/>
      <c r="B11" s="3" t="s">
        <v>10</v>
      </c>
    </row>
    <row r="12" spans="1:2" ht="12" customHeight="1">
      <c r="A12" s="4"/>
      <c r="B12" s="3"/>
    </row>
    <row r="13" spans="1:2" ht="27">
      <c r="A13" s="4" t="s">
        <v>11</v>
      </c>
      <c r="B13" s="3" t="s">
        <v>12</v>
      </c>
    </row>
    <row r="14" spans="1:2" ht="12" customHeight="1">
      <c r="A14" s="4"/>
      <c r="B14" s="3"/>
    </row>
    <row r="15" spans="1:2" ht="27">
      <c r="A15" s="4" t="s">
        <v>13</v>
      </c>
      <c r="B15" s="3" t="s">
        <v>14</v>
      </c>
    </row>
    <row r="16" spans="1:2" ht="12" customHeight="1">
      <c r="A16" s="4"/>
      <c r="B16" s="3"/>
    </row>
    <row r="17" spans="1:2" ht="27">
      <c r="A17" s="4" t="s">
        <v>15</v>
      </c>
      <c r="B17" s="3" t="s">
        <v>16</v>
      </c>
    </row>
    <row r="18" spans="1:2" ht="12" customHeight="1">
      <c r="A18" s="4"/>
      <c r="B18" s="3"/>
    </row>
    <row r="19" spans="1:2" ht="27">
      <c r="A19" s="4" t="s">
        <v>17</v>
      </c>
      <c r="B19" s="3" t="s">
        <v>18</v>
      </c>
    </row>
    <row r="20" spans="1:2" ht="12" customHeight="1">
      <c r="A20" s="4"/>
      <c r="B20" s="3"/>
    </row>
    <row r="21" spans="1:2" ht="27">
      <c r="A21" s="4" t="s">
        <v>19</v>
      </c>
      <c r="B21" s="3" t="s">
        <v>20</v>
      </c>
    </row>
    <row r="22" spans="1:2" ht="12" customHeight="1">
      <c r="A22" s="4"/>
      <c r="B22" s="3"/>
    </row>
    <row r="23" spans="1:2" ht="27">
      <c r="A23" s="4" t="s">
        <v>21</v>
      </c>
      <c r="B23" s="3" t="s">
        <v>22</v>
      </c>
    </row>
    <row r="24" spans="1:2" ht="27">
      <c r="A24" s="3"/>
      <c r="B24" s="3" t="s">
        <v>23</v>
      </c>
    </row>
  </sheetData>
  <pageMargins left="0.70000000000000007" right="0.70000000000000007" top="0.78749999999999998" bottom="0.78749999999999998" header="0.51180555555555562" footer="0.51180555555555562"/>
  <pageSetup paperSize="9" firstPageNumber="0" orientation="portrait" r:id="rId1"/>
  <headerFooter alignWithMargins="0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J88"/>
  <sheetViews>
    <sheetView showGridLines="0" topLeftCell="A2" workbookViewId="0">
      <pane xSplit="3" ySplit="5" topLeftCell="AA7" activePane="bottomRight" state="frozen"/>
      <selection activeCell="A2" sqref="A2"/>
      <selection pane="topRight" activeCell="D2" sqref="D2"/>
      <selection pane="bottomLeft" activeCell="A7" sqref="A7"/>
      <selection pane="bottomRight" activeCell="T1" sqref="T1:AJ5"/>
    </sheetView>
  </sheetViews>
  <sheetFormatPr baseColWidth="10" defaultColWidth="0" defaultRowHeight="12.75" zeroHeight="1"/>
  <cols>
    <col min="1" max="1" width="23.7109375" style="1" customWidth="1"/>
    <col min="2" max="2" width="16.85546875" style="1" customWidth="1"/>
    <col min="3" max="3" width="15.42578125" style="1" customWidth="1"/>
    <col min="4" max="4" width="14" style="1" customWidth="1"/>
    <col min="5" max="5" width="15.7109375" style="1" customWidth="1"/>
    <col min="6" max="8" width="12.5703125" style="1" customWidth="1"/>
    <col min="9" max="9" width="16.140625" style="1" customWidth="1"/>
    <col min="10" max="12" width="12.5703125" style="1" customWidth="1"/>
    <col min="13" max="13" width="14.85546875" style="1" customWidth="1"/>
    <col min="14" max="14" width="12.5703125" style="1" customWidth="1"/>
    <col min="15" max="15" width="14.28515625" style="1" customWidth="1"/>
    <col min="16" max="19" width="12.5703125" style="1" customWidth="1"/>
    <col min="20" max="20" width="15.7109375" style="1" customWidth="1"/>
    <col min="21" max="24" width="12.5703125" style="1" customWidth="1"/>
    <col min="25" max="25" width="17.5703125" style="1" customWidth="1"/>
    <col min="26" max="26" width="13.85546875" style="1" customWidth="1"/>
    <col min="27" max="28" width="12.5703125" style="1" customWidth="1"/>
    <col min="29" max="29" width="13.28515625" style="1" customWidth="1"/>
    <col min="30" max="32" width="12.5703125" style="1" customWidth="1"/>
    <col min="33" max="33" width="13.85546875" style="1" customWidth="1"/>
    <col min="34" max="35" width="12.5703125" style="1" customWidth="1"/>
    <col min="36" max="36" width="15.140625" style="1" customWidth="1"/>
    <col min="37" max="16384" width="9.140625" style="1" hidden="1"/>
  </cols>
  <sheetData>
    <row r="1" spans="1:36" ht="12.75" customHeight="1">
      <c r="A1" s="5"/>
      <c r="B1" s="5"/>
      <c r="C1" s="3188" t="s">
        <v>1256</v>
      </c>
      <c r="D1" s="3188"/>
      <c r="E1" s="3188"/>
      <c r="F1" s="3188"/>
      <c r="G1" s="3188"/>
      <c r="H1" s="3188"/>
      <c r="I1" s="3188"/>
      <c r="J1" s="3188"/>
      <c r="K1" s="3188"/>
      <c r="L1" s="3188"/>
      <c r="M1" s="3188"/>
      <c r="N1" s="3188"/>
      <c r="O1" s="3188"/>
      <c r="P1" s="3188"/>
      <c r="Q1" s="3188"/>
      <c r="R1" s="3188"/>
      <c r="S1" s="3188"/>
      <c r="T1" s="3188" t="s">
        <v>1256</v>
      </c>
      <c r="U1" s="3188"/>
      <c r="V1" s="3188"/>
      <c r="W1" s="3188"/>
      <c r="X1" s="3188"/>
      <c r="Y1" s="3188"/>
      <c r="Z1" s="3188"/>
      <c r="AA1" s="3188"/>
      <c r="AB1" s="3188"/>
      <c r="AC1" s="3188"/>
      <c r="AD1" s="3188"/>
      <c r="AE1" s="3188"/>
      <c r="AF1" s="3188"/>
      <c r="AG1" s="3188"/>
      <c r="AH1" s="3188"/>
      <c r="AI1" s="3188"/>
      <c r="AJ1" s="3188"/>
    </row>
    <row r="2" spans="1:36" ht="18" customHeight="1">
      <c r="A2" s="124">
        <f ca="1">NOW()</f>
        <v>41756.581124537035</v>
      </c>
      <c r="B2" s="5"/>
      <c r="C2" s="3188"/>
      <c r="D2" s="3188"/>
      <c r="E2" s="3188"/>
      <c r="F2" s="3188"/>
      <c r="G2" s="3188"/>
      <c r="H2" s="3188"/>
      <c r="I2" s="3188"/>
      <c r="J2" s="3188"/>
      <c r="K2" s="3188"/>
      <c r="L2" s="3188"/>
      <c r="M2" s="3188"/>
      <c r="N2" s="3188"/>
      <c r="O2" s="3188"/>
      <c r="P2" s="3188"/>
      <c r="Q2" s="3188"/>
      <c r="R2" s="3188"/>
      <c r="S2" s="3188"/>
      <c r="T2" s="3188"/>
      <c r="U2" s="3188"/>
      <c r="V2" s="3188"/>
      <c r="W2" s="3188"/>
      <c r="X2" s="3188"/>
      <c r="Y2" s="3188"/>
      <c r="Z2" s="3188"/>
      <c r="AA2" s="3188"/>
      <c r="AB2" s="3188"/>
      <c r="AC2" s="3188"/>
      <c r="AD2" s="3188"/>
      <c r="AE2" s="3188"/>
      <c r="AF2" s="3188"/>
      <c r="AG2" s="3188"/>
      <c r="AH2" s="3188"/>
      <c r="AI2" s="3188"/>
      <c r="AJ2" s="3188"/>
    </row>
    <row r="3" spans="1:36" ht="12.75" customHeight="1">
      <c r="A3" s="23"/>
      <c r="B3" s="5"/>
      <c r="C3" s="3188"/>
      <c r="D3" s="3188"/>
      <c r="E3" s="3188"/>
      <c r="F3" s="3188"/>
      <c r="G3" s="3188"/>
      <c r="H3" s="3188"/>
      <c r="I3" s="3188"/>
      <c r="J3" s="3188"/>
      <c r="K3" s="3188"/>
      <c r="L3" s="3188"/>
      <c r="M3" s="3188"/>
      <c r="N3" s="3188"/>
      <c r="O3" s="3188"/>
      <c r="P3" s="3188"/>
      <c r="Q3" s="3188"/>
      <c r="R3" s="3188"/>
      <c r="S3" s="3188"/>
      <c r="T3" s="3188"/>
      <c r="U3" s="3188"/>
      <c r="V3" s="3188"/>
      <c r="W3" s="3188"/>
      <c r="X3" s="3188"/>
      <c r="Y3" s="3188"/>
      <c r="Z3" s="3188"/>
      <c r="AA3" s="3188"/>
      <c r="AB3" s="3188"/>
      <c r="AC3" s="3188"/>
      <c r="AD3" s="3188"/>
      <c r="AE3" s="3188"/>
      <c r="AF3" s="3188"/>
      <c r="AG3" s="3188"/>
      <c r="AH3" s="3188"/>
      <c r="AI3" s="3188"/>
      <c r="AJ3" s="3188"/>
    </row>
    <row r="4" spans="1:36" ht="12.75" customHeight="1">
      <c r="A4" s="5"/>
      <c r="B4" s="5"/>
      <c r="C4" s="3188"/>
      <c r="D4" s="3188"/>
      <c r="E4" s="3188"/>
      <c r="F4" s="3188"/>
      <c r="G4" s="3188"/>
      <c r="H4" s="3188"/>
      <c r="I4" s="3188"/>
      <c r="J4" s="3188"/>
      <c r="K4" s="3188"/>
      <c r="L4" s="3188"/>
      <c r="M4" s="3188"/>
      <c r="N4" s="3188"/>
      <c r="O4" s="3188"/>
      <c r="P4" s="3188"/>
      <c r="Q4" s="3188"/>
      <c r="R4" s="3188"/>
      <c r="S4" s="3188"/>
      <c r="T4" s="3188"/>
      <c r="U4" s="3188"/>
      <c r="V4" s="3188"/>
      <c r="W4" s="3188"/>
      <c r="X4" s="3188"/>
      <c r="Y4" s="3188"/>
      <c r="Z4" s="3188"/>
      <c r="AA4" s="3188"/>
      <c r="AB4" s="3188"/>
      <c r="AC4" s="3188"/>
      <c r="AD4" s="3188"/>
      <c r="AE4" s="3188"/>
      <c r="AF4" s="3188"/>
      <c r="AG4" s="3188"/>
      <c r="AH4" s="3188"/>
      <c r="AI4" s="3188"/>
      <c r="AJ4" s="3188"/>
    </row>
    <row r="5" spans="1:36" ht="12.75" customHeight="1">
      <c r="A5" s="5"/>
      <c r="B5" s="5"/>
      <c r="C5" s="3188"/>
      <c r="D5" s="3188"/>
      <c r="E5" s="3188"/>
      <c r="F5" s="3188"/>
      <c r="G5" s="3188"/>
      <c r="H5" s="3188"/>
      <c r="I5" s="3188"/>
      <c r="J5" s="3188"/>
      <c r="K5" s="3188"/>
      <c r="L5" s="3188"/>
      <c r="M5" s="3188"/>
      <c r="N5" s="3188"/>
      <c r="O5" s="3188"/>
      <c r="P5" s="3188"/>
      <c r="Q5" s="3188"/>
      <c r="R5" s="3188"/>
      <c r="S5" s="3188"/>
      <c r="T5" s="3188"/>
      <c r="U5" s="3188"/>
      <c r="V5" s="3188"/>
      <c r="W5" s="3188"/>
      <c r="X5" s="3188"/>
      <c r="Y5" s="3188"/>
      <c r="Z5" s="3188"/>
      <c r="AA5" s="3188"/>
      <c r="AB5" s="3188"/>
      <c r="AC5" s="3188"/>
      <c r="AD5" s="3188"/>
      <c r="AE5" s="3188"/>
      <c r="AF5" s="3188"/>
      <c r="AG5" s="3188"/>
      <c r="AH5" s="3188"/>
      <c r="AI5" s="3188"/>
      <c r="AJ5" s="3188"/>
    </row>
    <row r="6" spans="1:36" ht="30" customHeight="1">
      <c r="A6" s="125" t="s">
        <v>45</v>
      </c>
      <c r="B6" s="126" t="s">
        <v>950</v>
      </c>
      <c r="C6" s="127" t="s">
        <v>951</v>
      </c>
      <c r="D6" s="128" t="s">
        <v>952</v>
      </c>
      <c r="E6" s="129" t="s">
        <v>953</v>
      </c>
      <c r="F6" s="129" t="s">
        <v>954</v>
      </c>
      <c r="G6" s="130" t="s">
        <v>955</v>
      </c>
      <c r="H6" s="129" t="s">
        <v>956</v>
      </c>
      <c r="I6" s="129" t="s">
        <v>957</v>
      </c>
      <c r="J6" s="129" t="s">
        <v>958</v>
      </c>
      <c r="K6" s="129" t="s">
        <v>959</v>
      </c>
      <c r="L6" s="129" t="s">
        <v>960</v>
      </c>
      <c r="M6" s="129" t="s">
        <v>961</v>
      </c>
      <c r="N6" s="129" t="s">
        <v>962</v>
      </c>
      <c r="O6" s="129" t="s">
        <v>963</v>
      </c>
      <c r="P6" s="129" t="s">
        <v>964</v>
      </c>
      <c r="Q6" s="129" t="s">
        <v>965</v>
      </c>
      <c r="R6" s="129" t="s">
        <v>966</v>
      </c>
      <c r="S6" s="129" t="s">
        <v>967</v>
      </c>
      <c r="T6" s="129" t="s">
        <v>968</v>
      </c>
      <c r="U6" s="129" t="s">
        <v>969</v>
      </c>
      <c r="V6" s="129" t="s">
        <v>970</v>
      </c>
      <c r="W6" s="129" t="s">
        <v>971</v>
      </c>
      <c r="X6" s="129" t="s">
        <v>972</v>
      </c>
      <c r="Y6" s="129" t="s">
        <v>973</v>
      </c>
      <c r="Z6" s="129" t="s">
        <v>974</v>
      </c>
      <c r="AA6" s="129" t="s">
        <v>975</v>
      </c>
      <c r="AB6" s="129" t="s">
        <v>976</v>
      </c>
      <c r="AC6" s="129" t="s">
        <v>977</v>
      </c>
      <c r="AD6" s="129" t="s">
        <v>978</v>
      </c>
      <c r="AE6" s="129" t="s">
        <v>979</v>
      </c>
      <c r="AF6" s="129" t="s">
        <v>980</v>
      </c>
      <c r="AG6" s="129" t="s">
        <v>981</v>
      </c>
      <c r="AH6" s="129" t="s">
        <v>982</v>
      </c>
      <c r="AI6" s="129" t="s">
        <v>983</v>
      </c>
      <c r="AJ6" s="130" t="s">
        <v>984</v>
      </c>
    </row>
    <row r="7" spans="1:36" ht="60">
      <c r="A7" s="3199" t="s">
        <v>985</v>
      </c>
      <c r="B7" s="3200"/>
      <c r="C7" s="131"/>
      <c r="D7" s="132" t="s">
        <v>986</v>
      </c>
      <c r="E7" s="133" t="s">
        <v>987</v>
      </c>
      <c r="F7" s="3189" t="s">
        <v>988</v>
      </c>
      <c r="G7" s="3190"/>
      <c r="H7" s="134" t="s">
        <v>989</v>
      </c>
      <c r="I7" s="135" t="s">
        <v>990</v>
      </c>
      <c r="J7" s="3191" t="s">
        <v>991</v>
      </c>
      <c r="K7" s="3190"/>
      <c r="L7" s="3189" t="s">
        <v>992</v>
      </c>
      <c r="M7" s="3192"/>
      <c r="N7" s="3190"/>
      <c r="O7" s="3189" t="s">
        <v>992</v>
      </c>
      <c r="P7" s="3192"/>
      <c r="Q7" s="3192"/>
      <c r="R7" s="3192"/>
      <c r="S7" s="3192"/>
      <c r="T7" s="3192"/>
      <c r="U7" s="3190"/>
      <c r="V7" s="3189" t="s">
        <v>992</v>
      </c>
      <c r="W7" s="3192"/>
      <c r="X7" s="3192"/>
      <c r="Y7" s="3192"/>
      <c r="Z7" s="3192"/>
      <c r="AA7" s="3190"/>
      <c r="AB7" s="135" t="s">
        <v>992</v>
      </c>
      <c r="AC7" s="3189" t="s">
        <v>992</v>
      </c>
      <c r="AD7" s="3190"/>
      <c r="AE7" s="134" t="s">
        <v>993</v>
      </c>
      <c r="AF7" s="135" t="s">
        <v>994</v>
      </c>
      <c r="AG7" s="134" t="s">
        <v>995</v>
      </c>
      <c r="AH7" s="136" t="s">
        <v>996</v>
      </c>
      <c r="AI7" s="3189" t="s">
        <v>997</v>
      </c>
      <c r="AJ7" s="3193"/>
    </row>
    <row r="8" spans="1:36" ht="22.5">
      <c r="A8" s="3201"/>
      <c r="B8" s="3200"/>
      <c r="C8" s="137"/>
      <c r="D8" s="138" t="s">
        <v>998</v>
      </c>
      <c r="E8" s="139" t="s">
        <v>999</v>
      </c>
      <c r="F8" s="3198" t="s">
        <v>1000</v>
      </c>
      <c r="G8" s="3186"/>
      <c r="H8" s="140" t="s">
        <v>1001</v>
      </c>
      <c r="I8" s="141" t="s">
        <v>1002</v>
      </c>
      <c r="J8" s="3184" t="s">
        <v>1003</v>
      </c>
      <c r="K8" s="3186"/>
      <c r="L8" s="140" t="s">
        <v>1004</v>
      </c>
      <c r="M8" s="140" t="s">
        <v>1005</v>
      </c>
      <c r="N8" s="140" t="s">
        <v>1006</v>
      </c>
      <c r="O8" s="3184" t="s">
        <v>1007</v>
      </c>
      <c r="P8" s="3185"/>
      <c r="Q8" s="3185"/>
      <c r="R8" s="3185"/>
      <c r="S8" s="3185"/>
      <c r="T8" s="3185"/>
      <c r="U8" s="3186"/>
      <c r="V8" s="3184" t="s">
        <v>1008</v>
      </c>
      <c r="W8" s="3185"/>
      <c r="X8" s="3185"/>
      <c r="Y8" s="3185"/>
      <c r="Z8" s="3185"/>
      <c r="AA8" s="3186"/>
      <c r="AB8" s="140" t="s">
        <v>1009</v>
      </c>
      <c r="AC8" s="3184" t="s">
        <v>1010</v>
      </c>
      <c r="AD8" s="3186"/>
      <c r="AE8" s="140" t="s">
        <v>1011</v>
      </c>
      <c r="AF8" s="140" t="s">
        <v>1012</v>
      </c>
      <c r="AG8" s="140" t="s">
        <v>1013</v>
      </c>
      <c r="AH8" s="142" t="s">
        <v>1014</v>
      </c>
      <c r="AI8" s="3184" t="s">
        <v>1015</v>
      </c>
      <c r="AJ8" s="3187"/>
    </row>
    <row r="9" spans="1:36" ht="45">
      <c r="A9" s="3201"/>
      <c r="B9" s="3200"/>
      <c r="C9" s="137"/>
      <c r="D9" s="143" t="s">
        <v>1016</v>
      </c>
      <c r="E9" s="144"/>
      <c r="F9" s="145" t="s">
        <v>1017</v>
      </c>
      <c r="G9" s="146" t="s">
        <v>1018</v>
      </c>
      <c r="H9" s="147" t="s">
        <v>1019</v>
      </c>
      <c r="I9" s="145" t="s">
        <v>1020</v>
      </c>
      <c r="J9" s="145" t="s">
        <v>66</v>
      </c>
      <c r="K9" s="145" t="s">
        <v>1021</v>
      </c>
      <c r="L9" s="145" t="s">
        <v>1022</v>
      </c>
      <c r="M9" s="145" t="s">
        <v>323</v>
      </c>
      <c r="N9" s="145" t="s">
        <v>1023</v>
      </c>
      <c r="O9" s="145" t="s">
        <v>1024</v>
      </c>
      <c r="P9" s="145" t="s">
        <v>425</v>
      </c>
      <c r="Q9" s="145" t="s">
        <v>285</v>
      </c>
      <c r="R9" s="145" t="s">
        <v>1025</v>
      </c>
      <c r="S9" s="145" t="s">
        <v>1026</v>
      </c>
      <c r="T9" s="145" t="s">
        <v>1027</v>
      </c>
      <c r="U9" s="145" t="s">
        <v>271</v>
      </c>
      <c r="V9" s="145" t="s">
        <v>1028</v>
      </c>
      <c r="W9" s="145" t="s">
        <v>1029</v>
      </c>
      <c r="X9" s="145" t="s">
        <v>1030</v>
      </c>
      <c r="Y9" s="145" t="s">
        <v>1031</v>
      </c>
      <c r="Z9" s="145" t="s">
        <v>179</v>
      </c>
      <c r="AA9" s="145" t="s">
        <v>1032</v>
      </c>
      <c r="AB9" s="145" t="s">
        <v>1033</v>
      </c>
      <c r="AC9" s="145" t="s">
        <v>1034</v>
      </c>
      <c r="AD9" s="145" t="s">
        <v>1035</v>
      </c>
      <c r="AE9" s="145" t="s">
        <v>1036</v>
      </c>
      <c r="AF9" s="145" t="s">
        <v>1037</v>
      </c>
      <c r="AG9" s="145" t="s">
        <v>1038</v>
      </c>
      <c r="AH9" s="145" t="s">
        <v>1039</v>
      </c>
      <c r="AI9" s="145" t="s">
        <v>73</v>
      </c>
      <c r="AJ9" s="146" t="s">
        <v>331</v>
      </c>
    </row>
    <row r="10" spans="1:36" ht="27">
      <c r="A10" s="3194"/>
      <c r="B10" s="3195"/>
      <c r="C10" s="148" t="s">
        <v>1040</v>
      </c>
      <c r="D10" s="149"/>
      <c r="E10" s="150" t="s">
        <v>1041</v>
      </c>
      <c r="F10" s="150" t="s">
        <v>1041</v>
      </c>
      <c r="G10" s="150" t="s">
        <v>1041</v>
      </c>
      <c r="H10" s="150" t="s">
        <v>1041</v>
      </c>
      <c r="I10" s="150" t="s">
        <v>1041</v>
      </c>
      <c r="J10" s="150" t="s">
        <v>1041</v>
      </c>
      <c r="K10" s="150" t="s">
        <v>1041</v>
      </c>
      <c r="L10" s="150" t="s">
        <v>1041</v>
      </c>
      <c r="M10" s="150" t="s">
        <v>1041</v>
      </c>
      <c r="N10" s="150" t="s">
        <v>1041</v>
      </c>
      <c r="O10" s="150" t="s">
        <v>1041</v>
      </c>
      <c r="P10" s="150" t="s">
        <v>1041</v>
      </c>
      <c r="Q10" s="150" t="s">
        <v>1041</v>
      </c>
      <c r="R10" s="150" t="s">
        <v>1041</v>
      </c>
      <c r="S10" s="150" t="s">
        <v>1041</v>
      </c>
      <c r="T10" s="150" t="s">
        <v>1041</v>
      </c>
      <c r="U10" s="150" t="s">
        <v>1041</v>
      </c>
      <c r="V10" s="150" t="s">
        <v>1041</v>
      </c>
      <c r="W10" s="150" t="s">
        <v>1041</v>
      </c>
      <c r="X10" s="150" t="s">
        <v>1041</v>
      </c>
      <c r="Y10" s="150" t="s">
        <v>1041</v>
      </c>
      <c r="Z10" s="150" t="s">
        <v>1041</v>
      </c>
      <c r="AA10" s="150" t="s">
        <v>1041</v>
      </c>
      <c r="AB10" s="150" t="s">
        <v>1041</v>
      </c>
      <c r="AC10" s="150" t="s">
        <v>1041</v>
      </c>
      <c r="AD10" s="150" t="s">
        <v>1041</v>
      </c>
      <c r="AE10" s="150" t="s">
        <v>1041</v>
      </c>
      <c r="AF10" s="150" t="s">
        <v>1041</v>
      </c>
      <c r="AG10" s="150" t="s">
        <v>1041</v>
      </c>
      <c r="AH10" s="150" t="s">
        <v>1041</v>
      </c>
      <c r="AI10" s="150" t="s">
        <v>1041</v>
      </c>
      <c r="AJ10" s="150" t="s">
        <v>1041</v>
      </c>
    </row>
    <row r="11" spans="1:36" ht="20.25">
      <c r="A11" s="3196" t="s">
        <v>1042</v>
      </c>
      <c r="B11" s="3197"/>
      <c r="C11" s="151" t="s">
        <v>1043</v>
      </c>
      <c r="D11" s="152"/>
      <c r="E11" s="153">
        <f t="shared" ref="E11:AJ11" si="0">(MIN(E$13:E$88)*8)/E12</f>
        <v>1.1987915766033972</v>
      </c>
      <c r="F11" s="153">
        <f t="shared" si="0"/>
        <v>1.0823735391682334</v>
      </c>
      <c r="G11" s="153">
        <f t="shared" si="0"/>
        <v>0.87029546357622778</v>
      </c>
      <c r="H11" s="153">
        <f t="shared" si="0"/>
        <v>1.1581779343408287</v>
      </c>
      <c r="I11" s="153">
        <f t="shared" si="0"/>
        <v>0.98281423667948131</v>
      </c>
      <c r="J11" s="153">
        <f t="shared" si="0"/>
        <v>1.0586768803484126</v>
      </c>
      <c r="K11" s="153">
        <f t="shared" si="0"/>
        <v>0.90580425202962123</v>
      </c>
      <c r="L11" s="153">
        <f t="shared" si="0"/>
        <v>1.2235729599845009</v>
      </c>
      <c r="M11" s="153">
        <f t="shared" si="0"/>
        <v>1.2311194929925466</v>
      </c>
      <c r="N11" s="153">
        <f t="shared" si="0"/>
        <v>0.93136816750378604</v>
      </c>
      <c r="O11" s="153">
        <f t="shared" si="0"/>
        <v>1.1692640719836518</v>
      </c>
      <c r="P11" s="153">
        <f t="shared" si="0"/>
        <v>1.3340632602793356</v>
      </c>
      <c r="Q11" s="153">
        <f t="shared" si="0"/>
        <v>1.1831637480267396</v>
      </c>
      <c r="R11" s="153">
        <f t="shared" si="0"/>
        <v>1.0932703569233397</v>
      </c>
      <c r="S11" s="153">
        <f t="shared" si="0"/>
        <v>1.2268874696789525</v>
      </c>
      <c r="T11" s="153">
        <f t="shared" si="0"/>
        <v>1.27033463348596</v>
      </c>
      <c r="U11" s="153">
        <f t="shared" si="0"/>
        <v>1.1142959658680505</v>
      </c>
      <c r="V11" s="153">
        <f t="shared" si="0"/>
        <v>1.1271620315096631</v>
      </c>
      <c r="W11" s="153">
        <f t="shared" si="0"/>
        <v>1.2074373258933122</v>
      </c>
      <c r="X11" s="153">
        <f t="shared" si="0"/>
        <v>1.2421243613016832</v>
      </c>
      <c r="Y11" s="153">
        <f t="shared" si="0"/>
        <v>1.2156194130810749</v>
      </c>
      <c r="Z11" s="153">
        <f t="shared" si="0"/>
        <v>1.1899688625879714</v>
      </c>
      <c r="AA11" s="153">
        <f t="shared" si="0"/>
        <v>1.2236468127015363</v>
      </c>
      <c r="AB11" s="153">
        <f t="shared" si="0"/>
        <v>0.50179324095039834</v>
      </c>
      <c r="AC11" s="153">
        <f t="shared" si="0"/>
        <v>1.4412885657790695</v>
      </c>
      <c r="AD11" s="153">
        <f t="shared" si="0"/>
        <v>1.3108288611406727</v>
      </c>
      <c r="AE11" s="153">
        <f t="shared" si="0"/>
        <v>1.348199843666561</v>
      </c>
      <c r="AF11" s="153">
        <f t="shared" si="0"/>
        <v>1.41916299934597</v>
      </c>
      <c r="AG11" s="153">
        <f t="shared" si="0"/>
        <v>0.54390709061381437</v>
      </c>
      <c r="AH11" s="153">
        <f t="shared" si="0"/>
        <v>1.0426080699987044</v>
      </c>
      <c r="AI11" s="153">
        <f t="shared" si="0"/>
        <v>1.2131577396543405</v>
      </c>
      <c r="AJ11" s="153">
        <f t="shared" si="0"/>
        <v>1.3557213111399202</v>
      </c>
    </row>
    <row r="12" spans="1:36" ht="17.25">
      <c r="A12" s="154"/>
      <c r="B12" s="155"/>
      <c r="C12" s="156">
        <f>SUM(E12:AL12)</f>
        <v>154915531</v>
      </c>
      <c r="D12" s="128" t="s">
        <v>952</v>
      </c>
      <c r="E12" s="157">
        <v>4183633</v>
      </c>
      <c r="F12" s="157">
        <v>4564694</v>
      </c>
      <c r="G12" s="157">
        <v>5768156</v>
      </c>
      <c r="H12" s="157">
        <v>4459971</v>
      </c>
      <c r="I12" s="157">
        <v>5427923</v>
      </c>
      <c r="J12" s="157">
        <v>4769289</v>
      </c>
      <c r="K12" s="157">
        <v>5712519</v>
      </c>
      <c r="L12" s="157">
        <v>4666092</v>
      </c>
      <c r="M12" s="157">
        <v>4265815</v>
      </c>
      <c r="N12" s="157">
        <v>6356919</v>
      </c>
      <c r="O12" s="157">
        <v>4457012</v>
      </c>
      <c r="P12" s="157">
        <v>3969347</v>
      </c>
      <c r="Q12" s="157">
        <v>4648398</v>
      </c>
      <c r="R12" s="157">
        <v>4423667</v>
      </c>
      <c r="S12" s="157">
        <v>4428442</v>
      </c>
      <c r="T12" s="157">
        <v>4139514</v>
      </c>
      <c r="U12" s="157">
        <v>5105832</v>
      </c>
      <c r="V12" s="157">
        <v>4650256</v>
      </c>
      <c r="W12" s="157">
        <v>4650166</v>
      </c>
      <c r="X12" s="157">
        <v>5054225</v>
      </c>
      <c r="Y12" s="157">
        <v>4248764</v>
      </c>
      <c r="Z12" s="157">
        <v>4567817</v>
      </c>
      <c r="AA12" s="157">
        <v>4414836</v>
      </c>
      <c r="AB12" s="157">
        <v>3615242</v>
      </c>
      <c r="AC12" s="157">
        <v>4887915</v>
      </c>
      <c r="AD12" s="157">
        <v>4213444</v>
      </c>
      <c r="AE12" s="157">
        <v>4134752</v>
      </c>
      <c r="AF12" s="157">
        <v>3934071</v>
      </c>
      <c r="AG12" s="157">
        <v>11302195</v>
      </c>
      <c r="AH12" s="157">
        <v>4800546</v>
      </c>
      <c r="AI12" s="157">
        <v>4598571</v>
      </c>
      <c r="AJ12" s="157">
        <v>4495508</v>
      </c>
    </row>
    <row r="13" spans="1:36" ht="17.25">
      <c r="A13" s="197" t="s">
        <v>1046</v>
      </c>
      <c r="B13" s="199" t="s">
        <v>1045</v>
      </c>
      <c r="C13" s="189">
        <f>SUM(E13:AL13)</f>
        <v>21647958</v>
      </c>
      <c r="D13" s="200">
        <f>((E13*100/4457012)+(F13*100/4666092)+(G13*100/4564694)+(H13*100/3934071)+(I13*100/4887915)+(J13*100/4213444)+(K13*100/3969347)+(L13*100/4648398)+(M13*100/4423667)+(N13*100/4183633)+(O13*100/4598571)+(P13*100/4650256)+(Q13*100/4428442)+(R13*100/3615242)+(S13*100/5768156)+(T13*100/4495508)+(U13*100/4650166)+(V13*100/4800546)+(W13*100/5054225)+(X13*100/4265815)+(Y13*100/4769289)+(Z13*100/4139514)+(AA13*100/4248764)+(AB13*100/4567817)+(AC13*100/6356919)+(AD13*100/4414836)+(AE13*100/5105832)+(AF13*100/5712519)+(AG13*100/11302195)+(AI13*100/5427923)+(AJ13*100/4134752))/31</f>
        <v>14.420924361537331</v>
      </c>
      <c r="E13" s="191">
        <v>627808</v>
      </c>
      <c r="F13" s="191">
        <v>633055</v>
      </c>
      <c r="G13" s="191">
        <v>627500</v>
      </c>
      <c r="H13" s="191">
        <v>666245</v>
      </c>
      <c r="I13" s="191">
        <v>671477</v>
      </c>
      <c r="J13" s="191">
        <v>631142</v>
      </c>
      <c r="K13" s="191">
        <v>646897</v>
      </c>
      <c r="L13" s="191">
        <v>715638</v>
      </c>
      <c r="M13" s="191">
        <v>658871</v>
      </c>
      <c r="N13" s="191">
        <v>740945</v>
      </c>
      <c r="O13" s="191">
        <v>651925</v>
      </c>
      <c r="P13" s="191">
        <v>664457</v>
      </c>
      <c r="Q13" s="191">
        <v>687477</v>
      </c>
      <c r="R13" s="191">
        <v>617519</v>
      </c>
      <c r="S13" s="191">
        <v>681708</v>
      </c>
      <c r="T13" s="191">
        <v>657987</v>
      </c>
      <c r="U13" s="191">
        <v>717568</v>
      </c>
      <c r="V13" s="191">
        <v>655674</v>
      </c>
      <c r="W13" s="191">
        <v>702203</v>
      </c>
      <c r="X13" s="191">
        <v>785969</v>
      </c>
      <c r="Y13" s="191">
        <v>682920</v>
      </c>
      <c r="Z13" s="201">
        <v>681091</v>
      </c>
      <c r="AA13" s="191">
        <v>677201</v>
      </c>
      <c r="AB13" s="191">
        <v>233753</v>
      </c>
      <c r="AC13" s="191">
        <v>881348</v>
      </c>
      <c r="AD13" s="191">
        <v>731967</v>
      </c>
      <c r="AE13" s="191">
        <v>709296</v>
      </c>
      <c r="AF13" s="191">
        <v>697886</v>
      </c>
      <c r="AG13" s="191">
        <v>784072</v>
      </c>
      <c r="AH13" s="191">
        <v>659309</v>
      </c>
      <c r="AI13" s="191">
        <v>699992</v>
      </c>
      <c r="AJ13" s="191">
        <v>767058</v>
      </c>
    </row>
    <row r="14" spans="1:36" ht="17.25">
      <c r="A14" s="197" t="s">
        <v>1626</v>
      </c>
      <c r="B14" s="199" t="s">
        <v>1045</v>
      </c>
      <c r="C14" s="189">
        <f>SUM(E14:AL14)</f>
        <v>21661167</v>
      </c>
      <c r="D14" s="1334">
        <f>((E14*100/4457012)+(F14*100/4666092)+(G14*100/4564694)+(H14*100/3934071)+(I14*100/4887915)+(J14*100/4213444)+(K14*100/3969347)+(L14*100/4648398)+(M14*100/4423667)+(N14*100/4183633)+(O14*100/4598571)+(P14*100/4650256)+(Q14*100/4428442)+(R14*100/3615242)+(S14*100/5768156)+(T14*100/4495508)+(U14*100/4650166)+(V14*100/4800546)+(W14*100/5054225)+(X14*100/4265815)+(Y14*100/4769289)+(Z14*100/4139514)+(AA14*100/4248764)+(AB14*100/4567817)+(AC14*100/6356919)+(AD14*100/4414836)+(AE14*100/5105832)+(AF14*100/5712519)+(AG14*100/11302195)+(AI14*100/5427923)+(AJ14*100/4134752))/31</f>
        <v>14.4303238220506</v>
      </c>
      <c r="E14" s="1335">
        <v>628240</v>
      </c>
      <c r="F14" s="1335">
        <v>633999</v>
      </c>
      <c r="G14" s="1335">
        <v>627500</v>
      </c>
      <c r="H14" s="1335">
        <v>666572</v>
      </c>
      <c r="I14" s="1335">
        <v>671787</v>
      </c>
      <c r="J14" s="1335">
        <v>631404</v>
      </c>
      <c r="K14" s="1335">
        <v>647578</v>
      </c>
      <c r="L14" s="1335">
        <v>715886</v>
      </c>
      <c r="M14" s="1335">
        <v>659767</v>
      </c>
      <c r="N14" s="1335">
        <v>741874</v>
      </c>
      <c r="O14" s="1335">
        <v>652237</v>
      </c>
      <c r="P14" s="1335">
        <v>665255</v>
      </c>
      <c r="Q14" s="1335">
        <v>687790</v>
      </c>
      <c r="R14" s="1335">
        <v>618190</v>
      </c>
      <c r="S14" s="1335">
        <v>682110</v>
      </c>
      <c r="T14" s="1335">
        <v>658881</v>
      </c>
      <c r="U14" s="1335">
        <v>718752</v>
      </c>
      <c r="V14" s="1335">
        <v>655761</v>
      </c>
      <c r="W14" s="1335">
        <v>702901</v>
      </c>
      <c r="X14" s="1335">
        <v>786310</v>
      </c>
      <c r="Y14" s="1335">
        <v>683619</v>
      </c>
      <c r="Z14" s="1335">
        <v>681473</v>
      </c>
      <c r="AA14" s="1335">
        <v>677988</v>
      </c>
      <c r="AB14" s="1335">
        <v>230646</v>
      </c>
      <c r="AC14" s="1335">
        <v>881923</v>
      </c>
      <c r="AD14" s="1335">
        <v>732970</v>
      </c>
      <c r="AE14" s="1335">
        <v>710002</v>
      </c>
      <c r="AF14" s="1335">
        <v>697886</v>
      </c>
      <c r="AG14" s="1335">
        <v>784072</v>
      </c>
      <c r="AH14" s="1335">
        <v>659288</v>
      </c>
      <c r="AI14" s="1335">
        <v>700871</v>
      </c>
      <c r="AJ14" s="1335">
        <v>767635</v>
      </c>
    </row>
    <row r="15" spans="1:36" ht="17.25">
      <c r="A15" s="197" t="s">
        <v>1622</v>
      </c>
      <c r="B15" s="199" t="s">
        <v>1632</v>
      </c>
      <c r="C15" s="189">
        <f>SUM(E15:AL15)</f>
        <v>21634677</v>
      </c>
      <c r="D15" s="1334">
        <f>((E15*100/4457012)+(F15*100/4666092)+(G15*100/4564694)+(H15*100/3934071)+(I15*100/4887915)+(J15*100/4213444)+(K15*100/3969347)+(L15*100/4648398)+(M15*100/4423667)+(N15*100/4183633)+(O15*100/4598571)+(P15*100/4650256)+(Q15*100/4428442)+(R15*100/3615242)+(S15*100/5768156)+(T15*100/4495508)+(U15*100/4650166)+(V15*100/4800546)+(W15*100/5054225)+(X15*100/4265815)+(Y15*100/4769289)+(Z15*100/4139514)+(AA15*100/4248764)+(AB15*100/4567817)+(AC15*100/6356919)+(AD15*100/4414836)+(AE15*100/5105832)+(AF15*100/5712519)+(AG15*100/11302195)+(AI15*100/5427923)+(AJ15*100/4134752))/31</f>
        <v>14.406771882328243</v>
      </c>
      <c r="E15" s="1335">
        <v>626913</v>
      </c>
      <c r="F15" s="1335">
        <v>639537</v>
      </c>
      <c r="G15" s="1335">
        <v>629373</v>
      </c>
      <c r="H15" s="1335">
        <v>659202</v>
      </c>
      <c r="I15" s="1335">
        <v>666830</v>
      </c>
      <c r="J15" s="1335">
        <v>632596</v>
      </c>
      <c r="K15" s="1335">
        <v>646803</v>
      </c>
      <c r="L15" s="1335">
        <v>713663</v>
      </c>
      <c r="M15" s="1335">
        <v>656466</v>
      </c>
      <c r="N15" s="1335">
        <v>742979</v>
      </c>
      <c r="O15" s="1335">
        <v>651428</v>
      </c>
      <c r="P15" s="1335">
        <v>661920</v>
      </c>
      <c r="Q15" s="1335">
        <v>688055</v>
      </c>
      <c r="R15" s="1335">
        <v>617838</v>
      </c>
      <c r="S15" s="1335">
        <v>679150</v>
      </c>
      <c r="T15" s="1335">
        <v>657321</v>
      </c>
      <c r="U15" s="1335">
        <v>716094</v>
      </c>
      <c r="V15" s="1335">
        <v>655199</v>
      </c>
      <c r="W15" s="1335">
        <v>701848</v>
      </c>
      <c r="X15" s="1335">
        <v>784747</v>
      </c>
      <c r="Y15" s="1335">
        <v>681148</v>
      </c>
      <c r="Z15" s="1335">
        <v>679445</v>
      </c>
      <c r="AA15" s="1335">
        <v>675275</v>
      </c>
      <c r="AB15" s="1335">
        <v>240710</v>
      </c>
      <c r="AC15" s="1335">
        <v>880612</v>
      </c>
      <c r="AD15" s="1335">
        <v>727876</v>
      </c>
      <c r="AE15" s="1335">
        <v>710220</v>
      </c>
      <c r="AF15" s="1335">
        <v>698000</v>
      </c>
      <c r="AG15" s="1335">
        <v>795452</v>
      </c>
      <c r="AH15" s="1335">
        <v>658796</v>
      </c>
      <c r="AI15" s="1335">
        <v>697349</v>
      </c>
      <c r="AJ15" s="1335">
        <v>761832</v>
      </c>
    </row>
    <row r="16" spans="1:36" ht="17.25">
      <c r="A16" s="1336" t="s">
        <v>1044</v>
      </c>
      <c r="B16" s="1339" t="s">
        <v>1045</v>
      </c>
      <c r="C16" s="159">
        <f t="shared" ref="C16:C45" si="1">SUM(E16:AL16)</f>
        <v>22015914</v>
      </c>
      <c r="D16" s="1337">
        <f t="shared" ref="D16:D45" si="2">((E16*100/4457012)+(F16*100/4666092)+(G16*100/4564694)+(H16*100/3934071)+(I16*100/4887915)+(J16*100/4213444)+(K16*100/3969347)+(L16*100/4648398)+(M16*100/4423667)+(N16*100/4183633)+(O16*100/4598571)+(P16*100/4650256)+(Q16*100/4428442)+(R16*100/3615242)+(S16*100/5768156)+(T16*100/4495508)+(U16*100/4650166)+(V16*100/4800546)+(W16*100/5054225)+(X16*100/4265815)+(Y16*100/4769289)+(Z16*100/4139514)+(AA16*100/4248764)+(AB16*100/4567817)+(AC16*100/6356919)+(AD16*100/4414836)+(AE16*100/5105832)+(AF16*100/5712519)+(AG16*100/11302195)+(AI16*100/5427923)+(AJ16*100/4134752))/31</f>
        <v>14.705329837239034</v>
      </c>
      <c r="E16" s="1338">
        <v>641745</v>
      </c>
      <c r="F16" s="1338">
        <v>617588</v>
      </c>
      <c r="G16" s="1338">
        <v>631880</v>
      </c>
      <c r="H16" s="1338">
        <v>645680</v>
      </c>
      <c r="I16" s="1338">
        <v>697860</v>
      </c>
      <c r="J16" s="1338">
        <v>668030</v>
      </c>
      <c r="K16" s="1338">
        <v>673122</v>
      </c>
      <c r="L16" s="1338">
        <v>732720</v>
      </c>
      <c r="M16" s="1338">
        <v>659576</v>
      </c>
      <c r="N16" s="1338">
        <v>741305</v>
      </c>
      <c r="O16" s="1338">
        <v>680717</v>
      </c>
      <c r="P16" s="1338">
        <v>683686</v>
      </c>
      <c r="Q16" s="1338">
        <v>716205</v>
      </c>
      <c r="R16" s="1338">
        <v>647755</v>
      </c>
      <c r="S16" s="1338">
        <v>705720</v>
      </c>
      <c r="T16" s="1338">
        <v>683075</v>
      </c>
      <c r="U16" s="1338">
        <v>738958</v>
      </c>
      <c r="V16" s="1338">
        <v>678688</v>
      </c>
      <c r="W16" s="1338">
        <v>718538</v>
      </c>
      <c r="X16" s="1338">
        <v>801350</v>
      </c>
      <c r="Y16" s="1338">
        <v>703478</v>
      </c>
      <c r="Z16" s="1338">
        <v>697638</v>
      </c>
      <c r="AA16" s="1338">
        <v>699206</v>
      </c>
      <c r="AB16" s="1338">
        <v>226763</v>
      </c>
      <c r="AC16" s="1338">
        <v>896480</v>
      </c>
      <c r="AD16" s="1338">
        <v>735399</v>
      </c>
      <c r="AE16" s="1338">
        <v>704118</v>
      </c>
      <c r="AF16" s="1338">
        <v>700185</v>
      </c>
      <c r="AG16" s="1338">
        <v>783821</v>
      </c>
      <c r="AH16" s="1338">
        <v>625636</v>
      </c>
      <c r="AI16" s="1338">
        <v>711251</v>
      </c>
      <c r="AJ16" s="1338">
        <v>767741</v>
      </c>
    </row>
    <row r="17" spans="1:36" ht="17.25">
      <c r="A17" s="164" t="s">
        <v>821</v>
      </c>
      <c r="B17" s="161" t="s">
        <v>1045</v>
      </c>
      <c r="C17" s="159">
        <f t="shared" si="1"/>
        <v>22167189</v>
      </c>
      <c r="D17" s="1337">
        <f t="shared" si="2"/>
        <v>14.796685945333712</v>
      </c>
      <c r="E17" s="1338">
        <v>644800</v>
      </c>
      <c r="F17" s="1338">
        <v>620860</v>
      </c>
      <c r="G17" s="1338">
        <v>635949</v>
      </c>
      <c r="H17" s="1338">
        <v>649650</v>
      </c>
      <c r="I17" s="1338">
        <v>703170</v>
      </c>
      <c r="J17" s="1338">
        <v>672292</v>
      </c>
      <c r="K17" s="1338">
        <v>677403</v>
      </c>
      <c r="L17" s="1338">
        <v>737793</v>
      </c>
      <c r="M17" s="1338">
        <v>662553</v>
      </c>
      <c r="N17" s="1338">
        <v>748594</v>
      </c>
      <c r="O17" s="1338">
        <v>684689</v>
      </c>
      <c r="P17" s="1338">
        <v>687109</v>
      </c>
      <c r="Q17" s="1338">
        <v>719984</v>
      </c>
      <c r="R17" s="1338">
        <v>651465</v>
      </c>
      <c r="S17" s="1338">
        <v>710025</v>
      </c>
      <c r="T17" s="1338">
        <v>686654</v>
      </c>
      <c r="U17" s="1338">
        <v>742802</v>
      </c>
      <c r="V17" s="1338">
        <v>682218</v>
      </c>
      <c r="W17" s="1338">
        <v>721706</v>
      </c>
      <c r="X17" s="1338">
        <v>804444</v>
      </c>
      <c r="Y17" s="1338">
        <v>706772</v>
      </c>
      <c r="Z17" s="1338">
        <v>701248</v>
      </c>
      <c r="AA17" s="1338">
        <v>702718</v>
      </c>
      <c r="AB17" s="1338">
        <v>231443</v>
      </c>
      <c r="AC17" s="1338">
        <v>899400</v>
      </c>
      <c r="AD17" s="1338">
        <v>738661</v>
      </c>
      <c r="AE17" s="1338">
        <v>707912</v>
      </c>
      <c r="AF17" s="1338">
        <v>703286</v>
      </c>
      <c r="AG17" s="1338">
        <v>814715</v>
      </c>
      <c r="AH17" s="1338">
        <v>629585</v>
      </c>
      <c r="AI17" s="1338">
        <v>715136</v>
      </c>
      <c r="AJ17" s="1338">
        <v>772153</v>
      </c>
    </row>
    <row r="18" spans="1:36" ht="17.25">
      <c r="A18" s="164" t="s">
        <v>1048</v>
      </c>
      <c r="B18" s="161" t="s">
        <v>1049</v>
      </c>
      <c r="C18" s="159">
        <f t="shared" si="1"/>
        <v>22220596</v>
      </c>
      <c r="D18" s="162">
        <f t="shared" si="2"/>
        <v>14.83581759342321</v>
      </c>
      <c r="E18" s="1338">
        <v>649898</v>
      </c>
      <c r="F18" s="1338">
        <v>622272</v>
      </c>
      <c r="G18" s="1338">
        <v>634382</v>
      </c>
      <c r="H18" s="1338">
        <v>652099</v>
      </c>
      <c r="I18" s="1338">
        <v>707466</v>
      </c>
      <c r="J18" s="1338">
        <v>680033</v>
      </c>
      <c r="K18" s="1338">
        <v>683593</v>
      </c>
      <c r="L18" s="1338">
        <v>743384</v>
      </c>
      <c r="M18" s="1338">
        <v>666724</v>
      </c>
      <c r="N18" s="1338">
        <v>740079</v>
      </c>
      <c r="O18" s="1338">
        <v>684061</v>
      </c>
      <c r="P18" s="1338">
        <v>692172</v>
      </c>
      <c r="Q18" s="1338">
        <v>719196</v>
      </c>
      <c r="R18" s="1338">
        <v>628583</v>
      </c>
      <c r="S18" s="1338">
        <v>714265</v>
      </c>
      <c r="T18" s="1338">
        <v>692336</v>
      </c>
      <c r="U18" s="1338">
        <v>750057</v>
      </c>
      <c r="V18" s="1338">
        <v>689088</v>
      </c>
      <c r="W18" s="1338">
        <v>726776</v>
      </c>
      <c r="X18" s="1338">
        <v>809078</v>
      </c>
      <c r="Y18" s="1338">
        <v>710262</v>
      </c>
      <c r="Z18" s="1338">
        <v>705327</v>
      </c>
      <c r="AA18" s="1338">
        <v>705507</v>
      </c>
      <c r="AB18" s="1338">
        <v>232199</v>
      </c>
      <c r="AC18" s="1338">
        <v>903726</v>
      </c>
      <c r="AD18" s="1338">
        <v>742356</v>
      </c>
      <c r="AE18" s="1338">
        <v>709991</v>
      </c>
      <c r="AF18" s="1338">
        <v>705513</v>
      </c>
      <c r="AG18" s="1338">
        <v>791268</v>
      </c>
      <c r="AH18" s="1338">
        <v>633446</v>
      </c>
      <c r="AI18" s="1338">
        <v>719654</v>
      </c>
      <c r="AJ18" s="1338">
        <v>775805</v>
      </c>
    </row>
    <row r="19" spans="1:36" ht="17.25">
      <c r="A19" s="160" t="s">
        <v>1050</v>
      </c>
      <c r="B19" s="161" t="s">
        <v>1045</v>
      </c>
      <c r="C19" s="159">
        <f t="shared" si="1"/>
        <v>22334958</v>
      </c>
      <c r="D19" s="162">
        <f t="shared" si="2"/>
        <v>14.912006388856318</v>
      </c>
      <c r="E19" s="163">
        <v>652213</v>
      </c>
      <c r="F19" s="163">
        <v>623046</v>
      </c>
      <c r="G19" s="163">
        <v>645641</v>
      </c>
      <c r="H19" s="163">
        <v>657681</v>
      </c>
      <c r="I19" s="163">
        <v>710552</v>
      </c>
      <c r="J19" s="163">
        <v>681787</v>
      </c>
      <c r="K19" s="163">
        <v>687731</v>
      </c>
      <c r="L19" s="163">
        <v>745648</v>
      </c>
      <c r="M19" s="163">
        <v>670999</v>
      </c>
      <c r="N19" s="163">
        <v>741918</v>
      </c>
      <c r="O19" s="163">
        <v>692496</v>
      </c>
      <c r="P19" s="163">
        <v>693506</v>
      </c>
      <c r="Q19" s="163">
        <v>727912</v>
      </c>
      <c r="R19" s="163">
        <v>632735</v>
      </c>
      <c r="S19" s="163">
        <v>716162</v>
      </c>
      <c r="T19" s="163">
        <v>692855</v>
      </c>
      <c r="U19" s="163">
        <v>752957</v>
      </c>
      <c r="V19" s="163">
        <v>689714</v>
      </c>
      <c r="W19" s="163">
        <v>728787</v>
      </c>
      <c r="X19" s="163">
        <v>813889</v>
      </c>
      <c r="Y19" s="163">
        <v>713038</v>
      </c>
      <c r="Z19" s="163">
        <v>708596</v>
      </c>
      <c r="AA19" s="163">
        <v>709929</v>
      </c>
      <c r="AB19" s="163">
        <v>230987</v>
      </c>
      <c r="AC19" s="163">
        <v>909189</v>
      </c>
      <c r="AD19" s="163">
        <v>745192</v>
      </c>
      <c r="AE19" s="163">
        <v>714497</v>
      </c>
      <c r="AF19" s="163">
        <v>711185</v>
      </c>
      <c r="AG19" s="163">
        <v>800732</v>
      </c>
      <c r="AH19" s="163">
        <v>634780</v>
      </c>
      <c r="AI19" s="163">
        <v>719993</v>
      </c>
      <c r="AJ19" s="163">
        <v>778611</v>
      </c>
    </row>
    <row r="20" spans="1:36" ht="17.25">
      <c r="A20" s="160" t="s">
        <v>1051</v>
      </c>
      <c r="B20" s="161" t="s">
        <v>1045</v>
      </c>
      <c r="C20" s="159">
        <f t="shared" si="1"/>
        <v>22360825</v>
      </c>
      <c r="D20" s="162">
        <f t="shared" si="2"/>
        <v>14.935227660413373</v>
      </c>
      <c r="E20" s="163">
        <v>652213</v>
      </c>
      <c r="F20" s="163">
        <v>623076</v>
      </c>
      <c r="G20" s="163">
        <v>645641</v>
      </c>
      <c r="H20" s="163">
        <v>657681</v>
      </c>
      <c r="I20" s="163">
        <v>710523</v>
      </c>
      <c r="J20" s="163">
        <v>681787</v>
      </c>
      <c r="K20" s="163">
        <v>687702</v>
      </c>
      <c r="L20" s="163">
        <v>745648</v>
      </c>
      <c r="M20" s="163">
        <v>670999</v>
      </c>
      <c r="N20" s="163">
        <v>741918</v>
      </c>
      <c r="O20" s="163">
        <v>692537</v>
      </c>
      <c r="P20" s="163">
        <v>693506</v>
      </c>
      <c r="Q20" s="163">
        <v>726599</v>
      </c>
      <c r="R20" s="163">
        <v>659607</v>
      </c>
      <c r="S20" s="163">
        <v>716228</v>
      </c>
      <c r="T20" s="163">
        <v>692826</v>
      </c>
      <c r="U20" s="163">
        <v>752957</v>
      </c>
      <c r="V20" s="163">
        <v>689945</v>
      </c>
      <c r="W20" s="163">
        <v>728787</v>
      </c>
      <c r="X20" s="163">
        <v>813889</v>
      </c>
      <c r="Y20" s="163">
        <v>713038</v>
      </c>
      <c r="Z20" s="163">
        <v>708596</v>
      </c>
      <c r="AA20" s="163">
        <v>709929</v>
      </c>
      <c r="AB20" s="163">
        <v>230987</v>
      </c>
      <c r="AC20" s="163">
        <v>909218</v>
      </c>
      <c r="AD20" s="163">
        <v>745192</v>
      </c>
      <c r="AE20" s="163">
        <v>714497</v>
      </c>
      <c r="AF20" s="163">
        <v>711214</v>
      </c>
      <c r="AG20" s="163">
        <v>800701</v>
      </c>
      <c r="AH20" s="163">
        <v>634780</v>
      </c>
      <c r="AI20" s="163">
        <v>719993</v>
      </c>
      <c r="AJ20" s="163">
        <v>778611</v>
      </c>
    </row>
    <row r="21" spans="1:36" ht="17.25">
      <c r="A21" s="160" t="s">
        <v>1052</v>
      </c>
      <c r="B21" s="161" t="s">
        <v>1045</v>
      </c>
      <c r="C21" s="159">
        <f t="shared" si="1"/>
        <v>22479027</v>
      </c>
      <c r="D21" s="162">
        <f t="shared" si="2"/>
        <v>15.009801926714644</v>
      </c>
      <c r="E21" s="163">
        <v>658899</v>
      </c>
      <c r="F21" s="163">
        <v>625916</v>
      </c>
      <c r="G21" s="163">
        <v>652341</v>
      </c>
      <c r="H21" s="163">
        <v>657681</v>
      </c>
      <c r="I21" s="163">
        <v>714865</v>
      </c>
      <c r="J21" s="163">
        <v>687548</v>
      </c>
      <c r="K21" s="163">
        <v>690966</v>
      </c>
      <c r="L21" s="163">
        <v>752289</v>
      </c>
      <c r="M21" s="163">
        <v>678734</v>
      </c>
      <c r="N21" s="163">
        <v>748408</v>
      </c>
      <c r="O21" s="163">
        <v>691803</v>
      </c>
      <c r="P21" s="163">
        <v>702842</v>
      </c>
      <c r="Q21" s="163">
        <v>726056</v>
      </c>
      <c r="R21" s="163">
        <v>641370</v>
      </c>
      <c r="S21" s="163">
        <v>712961</v>
      </c>
      <c r="T21" s="163">
        <v>671466</v>
      </c>
      <c r="U21" s="163">
        <v>757487</v>
      </c>
      <c r="V21" s="163">
        <v>675344</v>
      </c>
      <c r="W21" s="163">
        <v>736634</v>
      </c>
      <c r="X21" s="163">
        <v>821668</v>
      </c>
      <c r="Y21" s="163">
        <v>722598</v>
      </c>
      <c r="Z21" s="163">
        <v>716516</v>
      </c>
      <c r="AA21" s="163">
        <v>720265</v>
      </c>
      <c r="AB21" s="163">
        <v>232064</v>
      </c>
      <c r="AC21" s="163">
        <v>918389</v>
      </c>
      <c r="AD21" s="163">
        <v>765482</v>
      </c>
      <c r="AE21" s="163">
        <v>722918</v>
      </c>
      <c r="AF21" s="163">
        <v>714338</v>
      </c>
      <c r="AG21" s="163">
        <v>807578</v>
      </c>
      <c r="AH21" s="163">
        <v>638184</v>
      </c>
      <c r="AI21" s="163">
        <v>727499</v>
      </c>
      <c r="AJ21" s="163">
        <v>787918</v>
      </c>
    </row>
    <row r="22" spans="1:36" ht="17.25">
      <c r="A22" s="160" t="s">
        <v>613</v>
      </c>
      <c r="B22" s="161" t="s">
        <v>1045</v>
      </c>
      <c r="C22" s="159">
        <f t="shared" si="1"/>
        <v>22604951</v>
      </c>
      <c r="D22" s="162">
        <f t="shared" si="2"/>
        <v>15.071913313085807</v>
      </c>
      <c r="E22" s="163">
        <v>656470</v>
      </c>
      <c r="F22" s="163">
        <v>635581</v>
      </c>
      <c r="G22" s="163">
        <v>668913</v>
      </c>
      <c r="H22" s="163">
        <v>674776</v>
      </c>
      <c r="I22" s="163">
        <v>714740</v>
      </c>
      <c r="J22" s="163">
        <v>680986</v>
      </c>
      <c r="K22" s="163">
        <v>702160</v>
      </c>
      <c r="L22" s="163">
        <v>747311</v>
      </c>
      <c r="M22" s="163">
        <v>690742</v>
      </c>
      <c r="N22" s="163">
        <v>751123</v>
      </c>
      <c r="O22" s="163">
        <v>692892</v>
      </c>
      <c r="P22" s="163">
        <v>693945</v>
      </c>
      <c r="Q22" s="163">
        <v>725717</v>
      </c>
      <c r="R22" s="163">
        <v>661317</v>
      </c>
      <c r="S22" s="163">
        <v>715915</v>
      </c>
      <c r="T22" s="163">
        <v>694760</v>
      </c>
      <c r="U22" s="163">
        <v>711176</v>
      </c>
      <c r="V22" s="163">
        <v>693433</v>
      </c>
      <c r="W22" s="163">
        <v>730940</v>
      </c>
      <c r="X22" s="163">
        <v>835575</v>
      </c>
      <c r="Y22" s="163">
        <v>716458</v>
      </c>
      <c r="Z22" s="163">
        <v>714448</v>
      </c>
      <c r="AA22" s="163">
        <v>711176</v>
      </c>
      <c r="AB22" s="163">
        <v>232966</v>
      </c>
      <c r="AC22" s="163">
        <v>930601</v>
      </c>
      <c r="AD22" s="163">
        <v>752851</v>
      </c>
      <c r="AE22" s="163">
        <v>723697</v>
      </c>
      <c r="AF22" s="163">
        <v>718679</v>
      </c>
      <c r="AG22" s="163">
        <v>868088</v>
      </c>
      <c r="AH22" s="163">
        <v>645977</v>
      </c>
      <c r="AI22" s="163">
        <v>724682</v>
      </c>
      <c r="AJ22" s="163">
        <v>786856</v>
      </c>
    </row>
    <row r="23" spans="1:36" ht="17.25">
      <c r="A23" s="160" t="s">
        <v>1053</v>
      </c>
      <c r="B23" s="158" t="s">
        <v>1045</v>
      </c>
      <c r="C23" s="159">
        <f t="shared" si="1"/>
        <v>22722510</v>
      </c>
      <c r="D23" s="162">
        <f t="shared" si="2"/>
        <v>15.026102181257144</v>
      </c>
      <c r="E23" s="163">
        <v>632796</v>
      </c>
      <c r="F23" s="163">
        <v>697038</v>
      </c>
      <c r="G23" s="163">
        <v>775506</v>
      </c>
      <c r="H23" s="163">
        <v>651242</v>
      </c>
      <c r="I23" s="163">
        <v>725540</v>
      </c>
      <c r="J23" s="163">
        <v>654250</v>
      </c>
      <c r="K23" s="163">
        <v>661098</v>
      </c>
      <c r="L23" s="163">
        <v>730052</v>
      </c>
      <c r="M23" s="163">
        <v>659794</v>
      </c>
      <c r="N23" s="163">
        <v>895365</v>
      </c>
      <c r="O23" s="163">
        <v>666736</v>
      </c>
      <c r="P23" s="163">
        <v>677726</v>
      </c>
      <c r="Q23" s="163">
        <v>702902</v>
      </c>
      <c r="R23" s="163">
        <v>604533</v>
      </c>
      <c r="S23" s="163">
        <v>695926</v>
      </c>
      <c r="T23" s="163">
        <v>675680</v>
      </c>
      <c r="U23" s="163">
        <v>735407</v>
      </c>
      <c r="V23" s="163">
        <v>670768</v>
      </c>
      <c r="W23" s="163">
        <v>707649</v>
      </c>
      <c r="X23" s="163">
        <v>789982</v>
      </c>
      <c r="Y23" s="163">
        <v>694401</v>
      </c>
      <c r="Z23" s="163">
        <v>696587</v>
      </c>
      <c r="AA23" s="163">
        <v>689193</v>
      </c>
      <c r="AB23" s="163">
        <v>302075</v>
      </c>
      <c r="AC23" s="163">
        <v>888653</v>
      </c>
      <c r="AD23" s="163">
        <v>738252</v>
      </c>
      <c r="AE23" s="163">
        <v>696809</v>
      </c>
      <c r="AF23" s="163">
        <v>729371</v>
      </c>
      <c r="AG23" s="163">
        <v>1123109</v>
      </c>
      <c r="AH23" s="163">
        <v>672879</v>
      </c>
      <c r="AI23" s="163">
        <v>709201</v>
      </c>
      <c r="AJ23" s="163">
        <v>771990</v>
      </c>
    </row>
    <row r="24" spans="1:36" ht="17.25">
      <c r="A24" s="160" t="s">
        <v>1054</v>
      </c>
      <c r="B24" s="161" t="s">
        <v>543</v>
      </c>
      <c r="C24" s="159">
        <f t="shared" si="1"/>
        <v>22728246</v>
      </c>
      <c r="D24" s="162">
        <f t="shared" si="2"/>
        <v>15.175267811520204</v>
      </c>
      <c r="E24" s="163">
        <v>661929</v>
      </c>
      <c r="F24" s="163">
        <v>631837</v>
      </c>
      <c r="G24" s="163">
        <v>652540</v>
      </c>
      <c r="H24" s="163">
        <v>661935</v>
      </c>
      <c r="I24" s="163">
        <v>711969</v>
      </c>
      <c r="J24" s="163">
        <v>684428</v>
      </c>
      <c r="K24" s="163">
        <v>691664</v>
      </c>
      <c r="L24" s="163">
        <v>772202</v>
      </c>
      <c r="M24" s="163">
        <v>675793</v>
      </c>
      <c r="N24" s="163">
        <v>754945</v>
      </c>
      <c r="O24" s="163">
        <v>692699</v>
      </c>
      <c r="P24" s="163">
        <v>709101</v>
      </c>
      <c r="Q24" s="163">
        <v>731839</v>
      </c>
      <c r="R24" s="163">
        <v>639005</v>
      </c>
      <c r="S24" s="163">
        <v>727738</v>
      </c>
      <c r="T24" s="163">
        <v>694840</v>
      </c>
      <c r="U24" s="163">
        <v>767872</v>
      </c>
      <c r="V24" s="163">
        <v>711590</v>
      </c>
      <c r="W24" s="163">
        <v>744578</v>
      </c>
      <c r="X24" s="163">
        <v>830103</v>
      </c>
      <c r="Y24" s="163">
        <v>726961</v>
      </c>
      <c r="Z24" s="163">
        <v>736969</v>
      </c>
      <c r="AA24" s="163">
        <v>715881</v>
      </c>
      <c r="AB24" s="163">
        <v>230661</v>
      </c>
      <c r="AC24" s="163">
        <v>932205</v>
      </c>
      <c r="AD24" s="163">
        <v>776793</v>
      </c>
      <c r="AE24" s="163">
        <v>726911</v>
      </c>
      <c r="AF24" s="163">
        <v>722315</v>
      </c>
      <c r="AG24" s="163">
        <v>814739</v>
      </c>
      <c r="AH24" s="163">
        <v>640676</v>
      </c>
      <c r="AI24" s="163">
        <v>742343</v>
      </c>
      <c r="AJ24" s="163">
        <v>813185</v>
      </c>
    </row>
    <row r="25" spans="1:36" ht="17.25">
      <c r="A25" s="160" t="s">
        <v>1055</v>
      </c>
      <c r="B25" s="161" t="s">
        <v>1045</v>
      </c>
      <c r="C25" s="159">
        <f t="shared" si="1"/>
        <v>22793984</v>
      </c>
      <c r="D25" s="162">
        <f t="shared" si="2"/>
        <v>15.07665112838556</v>
      </c>
      <c r="E25" s="163">
        <v>631853</v>
      </c>
      <c r="F25" s="163">
        <v>696480</v>
      </c>
      <c r="G25" s="163">
        <v>774920</v>
      </c>
      <c r="H25" s="163">
        <v>658356</v>
      </c>
      <c r="I25" s="163">
        <v>729664</v>
      </c>
      <c r="J25" s="163">
        <v>658255</v>
      </c>
      <c r="K25" s="163">
        <v>663605</v>
      </c>
      <c r="L25" s="163">
        <v>740480</v>
      </c>
      <c r="M25" s="163">
        <v>664105</v>
      </c>
      <c r="N25" s="163">
        <v>892647</v>
      </c>
      <c r="O25" s="163">
        <v>668840</v>
      </c>
      <c r="P25" s="163">
        <v>677839</v>
      </c>
      <c r="Q25" s="163">
        <v>703705</v>
      </c>
      <c r="R25" s="163">
        <v>607206</v>
      </c>
      <c r="S25" s="163">
        <v>698009</v>
      </c>
      <c r="T25" s="163">
        <v>675365</v>
      </c>
      <c r="U25" s="163">
        <v>740401</v>
      </c>
      <c r="V25" s="163">
        <v>670424</v>
      </c>
      <c r="W25" s="163">
        <v>713893</v>
      </c>
      <c r="X25" s="163">
        <v>794157</v>
      </c>
      <c r="Y25" s="163">
        <v>697136</v>
      </c>
      <c r="Z25" s="163">
        <v>703079</v>
      </c>
      <c r="AA25" s="163">
        <v>690912</v>
      </c>
      <c r="AB25" s="163">
        <v>291107</v>
      </c>
      <c r="AC25" s="163">
        <v>892128</v>
      </c>
      <c r="AD25" s="163">
        <v>743845</v>
      </c>
      <c r="AE25" s="163">
        <v>698194</v>
      </c>
      <c r="AF25" s="163">
        <v>729887</v>
      </c>
      <c r="AG25" s="163">
        <v>1121113</v>
      </c>
      <c r="AH25" s="163">
        <v>674350</v>
      </c>
      <c r="AI25" s="163">
        <v>715232</v>
      </c>
      <c r="AJ25" s="163">
        <v>776797</v>
      </c>
    </row>
    <row r="26" spans="1:36" ht="17.25">
      <c r="A26" s="160" t="s">
        <v>1056</v>
      </c>
      <c r="B26" s="161" t="s">
        <v>1057</v>
      </c>
      <c r="C26" s="159">
        <f t="shared" si="1"/>
        <v>22811359</v>
      </c>
      <c r="D26" s="162">
        <f t="shared" si="2"/>
        <v>15.217024150853465</v>
      </c>
      <c r="E26" s="163">
        <v>657017</v>
      </c>
      <c r="F26" s="163">
        <v>646283</v>
      </c>
      <c r="G26" s="163">
        <v>674984</v>
      </c>
      <c r="H26" s="163">
        <v>669863</v>
      </c>
      <c r="I26" s="163">
        <v>730485</v>
      </c>
      <c r="J26" s="163">
        <v>688533</v>
      </c>
      <c r="K26" s="163">
        <v>695435</v>
      </c>
      <c r="L26" s="163">
        <v>759639</v>
      </c>
      <c r="M26" s="163">
        <v>681230</v>
      </c>
      <c r="N26" s="163">
        <v>787065</v>
      </c>
      <c r="O26" s="163">
        <v>700018</v>
      </c>
      <c r="P26" s="163">
        <v>701763</v>
      </c>
      <c r="Q26" s="163">
        <v>732658</v>
      </c>
      <c r="R26" s="163">
        <v>665442</v>
      </c>
      <c r="S26" s="163">
        <v>724894</v>
      </c>
      <c r="T26" s="163">
        <v>702057</v>
      </c>
      <c r="U26" s="163">
        <v>767182</v>
      </c>
      <c r="V26" s="163">
        <v>701361</v>
      </c>
      <c r="W26" s="163">
        <v>735286</v>
      </c>
      <c r="X26" s="163">
        <v>821510</v>
      </c>
      <c r="Y26" s="163">
        <v>721875</v>
      </c>
      <c r="Z26" s="163">
        <v>723177</v>
      </c>
      <c r="AA26" s="163">
        <v>717330</v>
      </c>
      <c r="AB26" s="163">
        <v>249960</v>
      </c>
      <c r="AC26" s="163">
        <v>922033</v>
      </c>
      <c r="AD26" s="163">
        <v>758340</v>
      </c>
      <c r="AE26" s="163">
        <v>719777</v>
      </c>
      <c r="AF26" s="163">
        <v>719934</v>
      </c>
      <c r="AG26" s="163">
        <v>857205</v>
      </c>
      <c r="AH26" s="163">
        <v>653793</v>
      </c>
      <c r="AI26" s="163">
        <v>731807</v>
      </c>
      <c r="AJ26" s="163">
        <v>793423</v>
      </c>
    </row>
    <row r="27" spans="1:36" ht="17.25">
      <c r="A27" s="197" t="s">
        <v>1047</v>
      </c>
      <c r="B27" s="199" t="s">
        <v>1045</v>
      </c>
      <c r="C27" s="189">
        <f t="shared" si="1"/>
        <v>22890932</v>
      </c>
      <c r="D27" s="190">
        <f t="shared" si="2"/>
        <v>15.30306120604647</v>
      </c>
      <c r="E27" s="191">
        <v>666617</v>
      </c>
      <c r="F27" s="191">
        <v>635538</v>
      </c>
      <c r="G27" s="191">
        <v>656815</v>
      </c>
      <c r="H27" s="191">
        <v>672123</v>
      </c>
      <c r="I27" s="191">
        <v>721795</v>
      </c>
      <c r="J27" s="191">
        <v>698727</v>
      </c>
      <c r="K27" s="191">
        <v>714658</v>
      </c>
      <c r="L27" s="191">
        <v>762812</v>
      </c>
      <c r="M27" s="191">
        <v>695743</v>
      </c>
      <c r="N27" s="191">
        <v>754366</v>
      </c>
      <c r="O27" s="191">
        <v>710737</v>
      </c>
      <c r="P27" s="191">
        <v>710989</v>
      </c>
      <c r="Q27" s="191">
        <v>745117</v>
      </c>
      <c r="R27" s="191">
        <v>675929</v>
      </c>
      <c r="S27" s="191">
        <v>734132</v>
      </c>
      <c r="T27" s="191">
        <v>711401</v>
      </c>
      <c r="U27" s="191">
        <v>784128</v>
      </c>
      <c r="V27" s="191">
        <v>708919</v>
      </c>
      <c r="W27" s="191">
        <v>745887</v>
      </c>
      <c r="X27" s="191">
        <v>842490</v>
      </c>
      <c r="Y27" s="191">
        <v>728937</v>
      </c>
      <c r="Z27" s="191">
        <v>725673</v>
      </c>
      <c r="AA27" s="191">
        <v>724452</v>
      </c>
      <c r="AB27" s="191">
        <v>245317</v>
      </c>
      <c r="AC27" s="191">
        <v>943814</v>
      </c>
      <c r="AD27" s="191">
        <v>758979</v>
      </c>
      <c r="AE27" s="191">
        <v>729982</v>
      </c>
      <c r="AF27" s="191">
        <v>720075</v>
      </c>
      <c r="AG27" s="191">
        <v>792457</v>
      </c>
      <c r="AH27" s="191">
        <v>646157</v>
      </c>
      <c r="AI27" s="191">
        <v>735009</v>
      </c>
      <c r="AJ27" s="191">
        <v>791157</v>
      </c>
    </row>
    <row r="28" spans="1:36" ht="17.25">
      <c r="A28" s="160" t="s">
        <v>1058</v>
      </c>
      <c r="B28" s="161" t="s">
        <v>1045</v>
      </c>
      <c r="C28" s="159">
        <f t="shared" si="1"/>
        <v>22997638</v>
      </c>
      <c r="D28" s="162">
        <f t="shared" si="2"/>
        <v>15.210076580161616</v>
      </c>
      <c r="E28" s="163">
        <v>637593</v>
      </c>
      <c r="F28" s="163">
        <v>704954</v>
      </c>
      <c r="G28" s="163">
        <v>781480</v>
      </c>
      <c r="H28" s="163">
        <v>663477</v>
      </c>
      <c r="I28" s="163">
        <v>737709</v>
      </c>
      <c r="J28" s="163">
        <v>664994</v>
      </c>
      <c r="K28" s="163">
        <v>670531</v>
      </c>
      <c r="L28" s="163">
        <v>747782</v>
      </c>
      <c r="M28" s="163">
        <v>669739</v>
      </c>
      <c r="N28" s="163">
        <v>905832</v>
      </c>
      <c r="O28" s="163">
        <v>674659</v>
      </c>
      <c r="P28" s="163">
        <v>683440</v>
      </c>
      <c r="Q28" s="163">
        <v>708652</v>
      </c>
      <c r="R28" s="163">
        <v>610606</v>
      </c>
      <c r="S28" s="163">
        <v>704561</v>
      </c>
      <c r="T28" s="163">
        <v>681405</v>
      </c>
      <c r="U28" s="163">
        <v>746549</v>
      </c>
      <c r="V28" s="163">
        <v>675646</v>
      </c>
      <c r="W28" s="163">
        <v>720084</v>
      </c>
      <c r="X28" s="163">
        <v>799870</v>
      </c>
      <c r="Y28" s="163">
        <v>702768</v>
      </c>
      <c r="Z28" s="163">
        <v>709635</v>
      </c>
      <c r="AA28" s="163">
        <v>695658</v>
      </c>
      <c r="AB28" s="163">
        <v>293882</v>
      </c>
      <c r="AC28" s="163">
        <v>898766</v>
      </c>
      <c r="AD28" s="163">
        <v>749015</v>
      </c>
      <c r="AE28" s="163">
        <v>703835</v>
      </c>
      <c r="AF28" s="163">
        <v>736198</v>
      </c>
      <c r="AG28" s="163">
        <v>1132721</v>
      </c>
      <c r="AH28" s="163">
        <v>681411</v>
      </c>
      <c r="AI28" s="163">
        <v>720947</v>
      </c>
      <c r="AJ28" s="163">
        <v>783239</v>
      </c>
    </row>
    <row r="29" spans="1:36" ht="17.25">
      <c r="A29" s="164" t="s">
        <v>1059</v>
      </c>
      <c r="B29" s="161" t="s">
        <v>1060</v>
      </c>
      <c r="C29" s="159">
        <f t="shared" si="1"/>
        <v>23228699</v>
      </c>
      <c r="D29" s="162">
        <f t="shared" si="2"/>
        <v>15.32637560987985</v>
      </c>
      <c r="E29" s="163">
        <v>645723</v>
      </c>
      <c r="F29" s="163">
        <v>655714</v>
      </c>
      <c r="G29" s="163">
        <v>667377</v>
      </c>
      <c r="H29" s="163">
        <v>683020</v>
      </c>
      <c r="I29" s="163">
        <v>728343</v>
      </c>
      <c r="J29" s="163">
        <v>697164</v>
      </c>
      <c r="K29" s="163">
        <v>718716</v>
      </c>
      <c r="L29" s="163">
        <v>753817</v>
      </c>
      <c r="M29" s="163">
        <v>723561</v>
      </c>
      <c r="N29" s="163">
        <v>774824</v>
      </c>
      <c r="O29" s="163">
        <v>692573</v>
      </c>
      <c r="P29" s="163">
        <v>708573</v>
      </c>
      <c r="Q29" s="163">
        <v>728651</v>
      </c>
      <c r="R29" s="163">
        <v>647761</v>
      </c>
      <c r="S29" s="163">
        <v>725948</v>
      </c>
      <c r="T29" s="163">
        <v>699018</v>
      </c>
      <c r="U29" s="163">
        <v>780783</v>
      </c>
      <c r="V29" s="163">
        <v>692495</v>
      </c>
      <c r="W29" s="163">
        <v>732642</v>
      </c>
      <c r="X29" s="163">
        <v>842413</v>
      </c>
      <c r="Y29" s="163">
        <v>714956</v>
      </c>
      <c r="Z29" s="163">
        <v>728133</v>
      </c>
      <c r="AA29" s="163">
        <v>711767</v>
      </c>
      <c r="AB29" s="163">
        <v>249105</v>
      </c>
      <c r="AC29" s="163">
        <v>950165</v>
      </c>
      <c r="AD29" s="163">
        <v>780521</v>
      </c>
      <c r="AE29" s="163">
        <v>769037</v>
      </c>
      <c r="AF29" s="163">
        <v>717162</v>
      </c>
      <c r="AG29" s="163">
        <v>768418</v>
      </c>
      <c r="AH29" s="163">
        <v>964033</v>
      </c>
      <c r="AI29" s="163">
        <v>740457</v>
      </c>
      <c r="AJ29" s="163">
        <v>835829</v>
      </c>
    </row>
    <row r="30" spans="1:36" ht="17.25">
      <c r="A30" s="164" t="s">
        <v>1061</v>
      </c>
      <c r="B30" s="161" t="s">
        <v>1045</v>
      </c>
      <c r="C30" s="159">
        <f t="shared" si="1"/>
        <v>23398381</v>
      </c>
      <c r="D30" s="162">
        <f t="shared" si="2"/>
        <v>15.608861998741608</v>
      </c>
      <c r="E30" s="163">
        <v>679000</v>
      </c>
      <c r="F30" s="163">
        <v>649324</v>
      </c>
      <c r="G30" s="163">
        <v>684609</v>
      </c>
      <c r="H30" s="163">
        <v>695103</v>
      </c>
      <c r="I30" s="163">
        <v>736896</v>
      </c>
      <c r="J30" s="163">
        <v>704006</v>
      </c>
      <c r="K30" s="163">
        <v>734826</v>
      </c>
      <c r="L30" s="163">
        <v>770788</v>
      </c>
      <c r="M30" s="163">
        <v>716643</v>
      </c>
      <c r="N30" s="163">
        <v>775143</v>
      </c>
      <c r="O30" s="163">
        <v>717802</v>
      </c>
      <c r="P30" s="163">
        <v>716315</v>
      </c>
      <c r="Q30" s="163">
        <v>750052</v>
      </c>
      <c r="R30" s="163">
        <v>685109</v>
      </c>
      <c r="S30" s="163">
        <v>738888</v>
      </c>
      <c r="T30" s="163">
        <v>717303</v>
      </c>
      <c r="U30" s="163">
        <v>803966</v>
      </c>
      <c r="V30" s="163">
        <v>717054</v>
      </c>
      <c r="W30" s="163">
        <v>754044</v>
      </c>
      <c r="X30" s="163">
        <v>864719</v>
      </c>
      <c r="Y30" s="163">
        <v>736808</v>
      </c>
      <c r="Z30" s="163">
        <v>737001</v>
      </c>
      <c r="AA30" s="163">
        <v>733660</v>
      </c>
      <c r="AB30" s="163">
        <v>250087</v>
      </c>
      <c r="AC30" s="163">
        <v>965761</v>
      </c>
      <c r="AD30" s="163">
        <v>772110</v>
      </c>
      <c r="AE30" s="163">
        <v>745076</v>
      </c>
      <c r="AF30" s="163">
        <v>743338</v>
      </c>
      <c r="AG30" s="163">
        <v>893055</v>
      </c>
      <c r="AH30" s="163">
        <v>660307</v>
      </c>
      <c r="AI30" s="163">
        <v>744937</v>
      </c>
      <c r="AJ30" s="163">
        <v>804651</v>
      </c>
    </row>
    <row r="31" spans="1:36" ht="17.25">
      <c r="A31" s="164" t="s">
        <v>1623</v>
      </c>
      <c r="B31" s="165" t="s">
        <v>1624</v>
      </c>
      <c r="C31" s="159">
        <f t="shared" si="1"/>
        <v>23813357</v>
      </c>
      <c r="D31" s="162">
        <f t="shared" si="2"/>
        <v>15.908082213379918</v>
      </c>
      <c r="E31" s="163">
        <v>690192</v>
      </c>
      <c r="F31" s="163">
        <v>676859</v>
      </c>
      <c r="G31" s="163">
        <v>704746</v>
      </c>
      <c r="H31" s="163">
        <v>700505</v>
      </c>
      <c r="I31" s="163">
        <v>755085</v>
      </c>
      <c r="J31" s="163">
        <v>722106</v>
      </c>
      <c r="K31" s="163">
        <v>739780</v>
      </c>
      <c r="L31" s="163">
        <v>788733</v>
      </c>
      <c r="M31" s="163">
        <v>730560</v>
      </c>
      <c r="N31" s="163">
        <v>810249</v>
      </c>
      <c r="O31" s="163">
        <v>731309</v>
      </c>
      <c r="P31" s="163">
        <v>731342</v>
      </c>
      <c r="Q31" s="163">
        <v>768172</v>
      </c>
      <c r="R31" s="163">
        <v>699374</v>
      </c>
      <c r="S31" s="163">
        <v>754649</v>
      </c>
      <c r="T31" s="163">
        <v>731268</v>
      </c>
      <c r="U31" s="163">
        <v>810821</v>
      </c>
      <c r="V31" s="163">
        <v>732155</v>
      </c>
      <c r="W31" s="163">
        <v>770036</v>
      </c>
      <c r="X31" s="163">
        <v>873997</v>
      </c>
      <c r="Y31" s="163">
        <v>751894</v>
      </c>
      <c r="Z31" s="163">
        <v>750726</v>
      </c>
      <c r="AA31" s="163">
        <v>749516</v>
      </c>
      <c r="AB31" s="163">
        <v>277647</v>
      </c>
      <c r="AC31" s="163">
        <v>978347</v>
      </c>
      <c r="AD31" s="163">
        <v>782617</v>
      </c>
      <c r="AE31" s="163">
        <v>754424</v>
      </c>
      <c r="AF31" s="163">
        <v>742810</v>
      </c>
      <c r="AG31" s="163">
        <v>853998</v>
      </c>
      <c r="AH31" s="163">
        <v>675772</v>
      </c>
      <c r="AI31" s="163">
        <v>759095</v>
      </c>
      <c r="AJ31" s="163">
        <v>814573</v>
      </c>
    </row>
    <row r="32" spans="1:36" ht="17.25">
      <c r="A32" s="164" t="s">
        <v>1062</v>
      </c>
      <c r="B32" s="165" t="s">
        <v>1063</v>
      </c>
      <c r="C32" s="159">
        <f t="shared" si="1"/>
        <v>23821378</v>
      </c>
      <c r="D32" s="162">
        <f t="shared" si="2"/>
        <v>15.913394883029996</v>
      </c>
      <c r="E32" s="163">
        <v>690102</v>
      </c>
      <c r="F32" s="163">
        <v>677078</v>
      </c>
      <c r="G32" s="163">
        <v>705217</v>
      </c>
      <c r="H32" s="163">
        <v>700996</v>
      </c>
      <c r="I32" s="163">
        <v>755483</v>
      </c>
      <c r="J32" s="163">
        <v>722965</v>
      </c>
      <c r="K32" s="163">
        <v>740190</v>
      </c>
      <c r="L32" s="163">
        <v>788801</v>
      </c>
      <c r="M32" s="163">
        <v>730941</v>
      </c>
      <c r="N32" s="163">
        <v>810844</v>
      </c>
      <c r="O32" s="163">
        <v>732259</v>
      </c>
      <c r="P32" s="163">
        <v>731795</v>
      </c>
      <c r="Q32" s="163">
        <v>768349</v>
      </c>
      <c r="R32" s="163">
        <v>699849</v>
      </c>
      <c r="S32" s="163">
        <v>755537</v>
      </c>
      <c r="T32" s="163">
        <v>732434</v>
      </c>
      <c r="U32" s="163">
        <v>811142</v>
      </c>
      <c r="V32" s="163">
        <v>732588</v>
      </c>
      <c r="W32" s="163">
        <v>769759</v>
      </c>
      <c r="X32" s="163">
        <v>874247</v>
      </c>
      <c r="Y32" s="163">
        <v>751723</v>
      </c>
      <c r="Z32" s="163">
        <v>751395</v>
      </c>
      <c r="AA32" s="163">
        <v>748435</v>
      </c>
      <c r="AB32" s="163">
        <v>277912</v>
      </c>
      <c r="AC32" s="163">
        <v>978688</v>
      </c>
      <c r="AD32" s="163">
        <v>782010</v>
      </c>
      <c r="AE32" s="163">
        <v>754587</v>
      </c>
      <c r="AF32" s="163">
        <v>743099</v>
      </c>
      <c r="AG32" s="163">
        <v>854403</v>
      </c>
      <c r="AH32" s="163">
        <v>676043</v>
      </c>
      <c r="AI32" s="163">
        <v>758646</v>
      </c>
      <c r="AJ32" s="163">
        <v>813861</v>
      </c>
    </row>
    <row r="33" spans="1:36" ht="17.25">
      <c r="A33" s="164" t="s">
        <v>1064</v>
      </c>
      <c r="B33" s="161" t="s">
        <v>1065</v>
      </c>
      <c r="C33" s="159">
        <f t="shared" si="1"/>
        <v>23943723</v>
      </c>
      <c r="D33" s="162">
        <f t="shared" si="2"/>
        <v>15.971791280127352</v>
      </c>
      <c r="E33" s="163">
        <v>690726</v>
      </c>
      <c r="F33" s="163">
        <v>667266</v>
      </c>
      <c r="G33" s="163">
        <v>710793</v>
      </c>
      <c r="H33" s="163">
        <v>705115</v>
      </c>
      <c r="I33" s="163">
        <v>758905</v>
      </c>
      <c r="J33" s="163">
        <v>723107</v>
      </c>
      <c r="K33" s="163">
        <v>754020</v>
      </c>
      <c r="L33" s="163">
        <v>791972</v>
      </c>
      <c r="M33" s="163">
        <v>730950</v>
      </c>
      <c r="N33" s="163">
        <v>803610</v>
      </c>
      <c r="O33" s="163">
        <v>732485</v>
      </c>
      <c r="P33" s="163">
        <v>731486</v>
      </c>
      <c r="Q33" s="163">
        <v>770155</v>
      </c>
      <c r="R33" s="163">
        <v>701679</v>
      </c>
      <c r="S33" s="163">
        <v>756092</v>
      </c>
      <c r="T33" s="163">
        <v>732489</v>
      </c>
      <c r="U33" s="163">
        <v>820263</v>
      </c>
      <c r="V33" s="163">
        <v>733796</v>
      </c>
      <c r="W33" s="163">
        <v>772632</v>
      </c>
      <c r="X33" s="163">
        <v>882266</v>
      </c>
      <c r="Y33" s="163">
        <v>750991</v>
      </c>
      <c r="Z33" s="163">
        <v>752821</v>
      </c>
      <c r="AA33" s="163">
        <v>749849</v>
      </c>
      <c r="AB33" s="163">
        <v>264990</v>
      </c>
      <c r="AC33" s="163">
        <v>987046</v>
      </c>
      <c r="AD33" s="163">
        <v>784885</v>
      </c>
      <c r="AE33" s="163">
        <v>759716</v>
      </c>
      <c r="AF33" s="163">
        <v>744515</v>
      </c>
      <c r="AG33" s="163">
        <v>928635</v>
      </c>
      <c r="AH33" s="163">
        <v>670796</v>
      </c>
      <c r="AI33" s="163">
        <v>763098</v>
      </c>
      <c r="AJ33" s="163">
        <v>816574</v>
      </c>
    </row>
    <row r="34" spans="1:36" ht="17.25">
      <c r="A34" s="164" t="s">
        <v>1066</v>
      </c>
      <c r="B34" s="161" t="s">
        <v>1067</v>
      </c>
      <c r="C34" s="159">
        <f t="shared" si="1"/>
        <v>24171369</v>
      </c>
      <c r="D34" s="162">
        <f t="shared" si="2"/>
        <v>16.133838539211347</v>
      </c>
      <c r="E34" s="163">
        <v>695053</v>
      </c>
      <c r="F34" s="163">
        <v>674421</v>
      </c>
      <c r="G34" s="163">
        <v>713701</v>
      </c>
      <c r="H34" s="163">
        <v>714416</v>
      </c>
      <c r="I34" s="163">
        <v>756947</v>
      </c>
      <c r="J34" s="163">
        <v>723309</v>
      </c>
      <c r="K34" s="163">
        <v>772122</v>
      </c>
      <c r="L34" s="163">
        <v>794291</v>
      </c>
      <c r="M34" s="163">
        <v>751089</v>
      </c>
      <c r="N34" s="163">
        <v>816721</v>
      </c>
      <c r="O34" s="163">
        <v>735882</v>
      </c>
      <c r="P34" s="163">
        <v>735972</v>
      </c>
      <c r="Q34" s="163">
        <v>771376</v>
      </c>
      <c r="R34" s="163">
        <v>703979</v>
      </c>
      <c r="S34" s="163">
        <v>759439</v>
      </c>
      <c r="T34" s="163">
        <v>736062</v>
      </c>
      <c r="U34" s="163">
        <v>842643</v>
      </c>
      <c r="V34" s="163">
        <v>738597</v>
      </c>
      <c r="W34" s="163">
        <v>774384</v>
      </c>
      <c r="X34" s="163">
        <v>905860</v>
      </c>
      <c r="Y34" s="163">
        <v>755596</v>
      </c>
      <c r="Z34" s="163">
        <v>759039</v>
      </c>
      <c r="AA34" s="163">
        <v>754176</v>
      </c>
      <c r="AB34" s="163">
        <v>288300</v>
      </c>
      <c r="AC34" s="163">
        <v>1012438</v>
      </c>
      <c r="AD34" s="163">
        <v>791701</v>
      </c>
      <c r="AE34" s="163">
        <v>759268</v>
      </c>
      <c r="AF34" s="163">
        <v>753827</v>
      </c>
      <c r="AG34" s="163">
        <v>914077</v>
      </c>
      <c r="AH34" s="163">
        <v>677040</v>
      </c>
      <c r="AI34" s="163">
        <v>765493</v>
      </c>
      <c r="AJ34" s="163">
        <v>824150</v>
      </c>
    </row>
    <row r="35" spans="1:36" ht="17.25">
      <c r="A35" s="188" t="s">
        <v>1627</v>
      </c>
      <c r="B35" s="199" t="s">
        <v>1628</v>
      </c>
      <c r="C35" s="189">
        <f t="shared" si="1"/>
        <v>24186048</v>
      </c>
      <c r="D35" s="190">
        <f t="shared" si="2"/>
        <v>16.098499254343832</v>
      </c>
      <c r="E35" s="191">
        <v>690890</v>
      </c>
      <c r="F35" s="191">
        <v>684177</v>
      </c>
      <c r="G35" s="191">
        <v>726750</v>
      </c>
      <c r="H35" s="191">
        <v>712901</v>
      </c>
      <c r="I35" s="191">
        <v>759167</v>
      </c>
      <c r="J35" s="191">
        <v>724674</v>
      </c>
      <c r="K35" s="191">
        <v>754159</v>
      </c>
      <c r="L35" s="191">
        <v>795351</v>
      </c>
      <c r="M35" s="191">
        <v>736938</v>
      </c>
      <c r="N35" s="191">
        <v>830414</v>
      </c>
      <c r="O35" s="191">
        <v>735540</v>
      </c>
      <c r="P35" s="191">
        <v>734948</v>
      </c>
      <c r="Q35" s="191">
        <v>767485</v>
      </c>
      <c r="R35" s="191">
        <v>700851</v>
      </c>
      <c r="S35" s="191">
        <v>757182</v>
      </c>
      <c r="T35" s="191">
        <v>736155</v>
      </c>
      <c r="U35" s="191">
        <v>826276</v>
      </c>
      <c r="V35" s="191">
        <v>736314</v>
      </c>
      <c r="W35" s="191">
        <v>770228</v>
      </c>
      <c r="X35" s="191">
        <v>882707</v>
      </c>
      <c r="Y35" s="191">
        <v>752397</v>
      </c>
      <c r="Z35" s="191">
        <v>756747</v>
      </c>
      <c r="AA35" s="191">
        <v>750020</v>
      </c>
      <c r="AB35" s="191">
        <v>285814</v>
      </c>
      <c r="AC35" s="191">
        <v>990614</v>
      </c>
      <c r="AD35" s="191">
        <v>790624</v>
      </c>
      <c r="AE35" s="191">
        <v>751767</v>
      </c>
      <c r="AF35" s="191">
        <v>754158</v>
      </c>
      <c r="AG35" s="191">
        <v>1020205</v>
      </c>
      <c r="AH35" s="191">
        <v>681202</v>
      </c>
      <c r="AI35" s="191">
        <v>765159</v>
      </c>
      <c r="AJ35" s="191">
        <v>824234</v>
      </c>
    </row>
    <row r="36" spans="1:36" ht="17.25">
      <c r="A36" s="164" t="s">
        <v>1068</v>
      </c>
      <c r="B36" s="161" t="s">
        <v>1069</v>
      </c>
      <c r="C36" s="159">
        <f t="shared" si="1"/>
        <v>24269071</v>
      </c>
      <c r="D36" s="162">
        <f t="shared" si="2"/>
        <v>16.206084468775419</v>
      </c>
      <c r="E36" s="163">
        <v>701844</v>
      </c>
      <c r="F36" s="163">
        <v>665104</v>
      </c>
      <c r="G36" s="163">
        <v>688239</v>
      </c>
      <c r="H36" s="163">
        <v>723714</v>
      </c>
      <c r="I36" s="163">
        <v>752623</v>
      </c>
      <c r="J36" s="163">
        <v>721225</v>
      </c>
      <c r="K36" s="163">
        <v>791854</v>
      </c>
      <c r="L36" s="163">
        <v>791989</v>
      </c>
      <c r="M36" s="163">
        <v>776166</v>
      </c>
      <c r="N36" s="163">
        <v>789040</v>
      </c>
      <c r="O36" s="163">
        <v>736233</v>
      </c>
      <c r="P36" s="163">
        <v>741700</v>
      </c>
      <c r="Q36" s="163">
        <v>774170</v>
      </c>
      <c r="R36" s="163">
        <v>709615</v>
      </c>
      <c r="S36" s="163">
        <v>763320</v>
      </c>
      <c r="T36" s="163">
        <v>739839</v>
      </c>
      <c r="U36" s="163">
        <v>860252</v>
      </c>
      <c r="V36" s="163">
        <v>739559</v>
      </c>
      <c r="W36" s="163">
        <v>778676</v>
      </c>
      <c r="X36" s="163">
        <v>938919</v>
      </c>
      <c r="Y36" s="163">
        <v>758621</v>
      </c>
      <c r="Z36" s="163">
        <v>757700</v>
      </c>
      <c r="AA36" s="163">
        <v>758852</v>
      </c>
      <c r="AB36" s="163">
        <v>276314</v>
      </c>
      <c r="AC36" s="163">
        <v>1046788</v>
      </c>
      <c r="AD36" s="163">
        <v>794129</v>
      </c>
      <c r="AE36" s="163">
        <v>768981</v>
      </c>
      <c r="AF36" s="163">
        <v>753680</v>
      </c>
      <c r="AG36" s="163">
        <v>900607</v>
      </c>
      <c r="AH36" s="163">
        <v>675411</v>
      </c>
      <c r="AI36" s="163">
        <v>767559</v>
      </c>
      <c r="AJ36" s="163">
        <v>826348</v>
      </c>
    </row>
    <row r="37" spans="1:36" ht="17.25">
      <c r="A37" s="164" t="s">
        <v>1070</v>
      </c>
      <c r="B37" s="161" t="s">
        <v>1065</v>
      </c>
      <c r="C37" s="159">
        <f t="shared" si="1"/>
        <v>24322976</v>
      </c>
      <c r="D37" s="162">
        <f t="shared" si="2"/>
        <v>16.207451940463809</v>
      </c>
      <c r="E37" s="163">
        <v>690070</v>
      </c>
      <c r="F37" s="163">
        <v>688108</v>
      </c>
      <c r="G37" s="163">
        <v>737244</v>
      </c>
      <c r="H37" s="163">
        <v>716962</v>
      </c>
      <c r="I37" s="163">
        <v>772236</v>
      </c>
      <c r="J37" s="163">
        <v>726401</v>
      </c>
      <c r="K37" s="163">
        <v>759592</v>
      </c>
      <c r="L37" s="163">
        <v>805022</v>
      </c>
      <c r="M37" s="163">
        <v>740776</v>
      </c>
      <c r="N37" s="163">
        <v>851758</v>
      </c>
      <c r="O37" s="163">
        <v>740475</v>
      </c>
      <c r="P37" s="163">
        <v>739918</v>
      </c>
      <c r="Q37" s="163">
        <v>768931</v>
      </c>
      <c r="R37" s="163">
        <v>701403</v>
      </c>
      <c r="S37" s="163">
        <v>764934</v>
      </c>
      <c r="T37" s="163">
        <v>740871</v>
      </c>
      <c r="U37" s="163">
        <v>834268</v>
      </c>
      <c r="V37" s="163">
        <v>742392</v>
      </c>
      <c r="W37" s="163">
        <v>778627</v>
      </c>
      <c r="X37" s="163">
        <v>892018</v>
      </c>
      <c r="Y37" s="163">
        <v>759089</v>
      </c>
      <c r="Z37" s="163">
        <v>764171</v>
      </c>
      <c r="AA37" s="163">
        <v>756468</v>
      </c>
      <c r="AB37" s="163">
        <v>278200</v>
      </c>
      <c r="AC37" s="163">
        <v>999087</v>
      </c>
      <c r="AD37" s="163">
        <v>794680</v>
      </c>
      <c r="AE37" s="163">
        <v>761367</v>
      </c>
      <c r="AF37" s="163">
        <v>750639</v>
      </c>
      <c r="AG37" s="163">
        <v>980561</v>
      </c>
      <c r="AH37" s="163">
        <v>686136</v>
      </c>
      <c r="AI37" s="163">
        <v>770697</v>
      </c>
      <c r="AJ37" s="163">
        <v>829875</v>
      </c>
    </row>
    <row r="38" spans="1:36" ht="17.25">
      <c r="A38" s="164" t="s">
        <v>1071</v>
      </c>
      <c r="B38" s="165" t="s">
        <v>1072</v>
      </c>
      <c r="C38" s="159">
        <f t="shared" si="1"/>
        <v>24779487</v>
      </c>
      <c r="D38" s="162">
        <f t="shared" si="2"/>
        <v>16.563917714161715</v>
      </c>
      <c r="E38" s="163">
        <v>714617</v>
      </c>
      <c r="F38" s="163">
        <v>692598</v>
      </c>
      <c r="G38" s="163">
        <v>732837</v>
      </c>
      <c r="H38" s="163">
        <v>735941</v>
      </c>
      <c r="I38" s="163">
        <v>779769</v>
      </c>
      <c r="J38" s="163">
        <v>752109</v>
      </c>
      <c r="K38" s="163">
        <v>810410</v>
      </c>
      <c r="L38" s="163">
        <v>815548</v>
      </c>
      <c r="M38" s="163">
        <v>773791</v>
      </c>
      <c r="N38" s="163">
        <v>844333</v>
      </c>
      <c r="O38" s="163">
        <v>755251</v>
      </c>
      <c r="P38" s="163">
        <v>750038</v>
      </c>
      <c r="Q38" s="163">
        <v>791483</v>
      </c>
      <c r="R38" s="163">
        <v>724398</v>
      </c>
      <c r="S38" s="163">
        <v>777434</v>
      </c>
      <c r="T38" s="163">
        <v>752678</v>
      </c>
      <c r="U38" s="163">
        <v>871118</v>
      </c>
      <c r="V38" s="163">
        <v>759013</v>
      </c>
      <c r="W38" s="163">
        <v>793543</v>
      </c>
      <c r="X38" s="163">
        <v>931902</v>
      </c>
      <c r="Y38" s="163">
        <v>770990</v>
      </c>
      <c r="Z38" s="163">
        <v>777202</v>
      </c>
      <c r="AA38" s="163">
        <v>770695</v>
      </c>
      <c r="AB38" s="163">
        <v>312028</v>
      </c>
      <c r="AC38" s="163">
        <v>1035036</v>
      </c>
      <c r="AD38" s="163">
        <v>803801</v>
      </c>
      <c r="AE38" s="163">
        <v>779037</v>
      </c>
      <c r="AF38" s="163">
        <v>766871</v>
      </c>
      <c r="AG38" s="163">
        <v>891999</v>
      </c>
      <c r="AH38" s="163">
        <v>693626</v>
      </c>
      <c r="AI38" s="163">
        <v>782539</v>
      </c>
      <c r="AJ38" s="163">
        <v>836852</v>
      </c>
    </row>
    <row r="39" spans="1:36" ht="17.25">
      <c r="A39" s="164" t="s">
        <v>1073</v>
      </c>
      <c r="B39" s="161" t="s">
        <v>1074</v>
      </c>
      <c r="C39" s="159">
        <f t="shared" si="1"/>
        <v>25278052</v>
      </c>
      <c r="D39" s="162">
        <f t="shared" si="2"/>
        <v>16.685741292653617</v>
      </c>
      <c r="E39" s="163">
        <v>694251</v>
      </c>
      <c r="F39" s="163">
        <v>782507</v>
      </c>
      <c r="G39" s="163">
        <v>885490</v>
      </c>
      <c r="H39" s="163">
        <v>727079</v>
      </c>
      <c r="I39" s="163">
        <v>816338</v>
      </c>
      <c r="J39" s="163">
        <v>725587</v>
      </c>
      <c r="K39" s="163">
        <v>753071</v>
      </c>
      <c r="L39" s="163">
        <v>817017</v>
      </c>
      <c r="M39" s="163">
        <v>739602</v>
      </c>
      <c r="N39" s="163">
        <v>1001270</v>
      </c>
      <c r="O39" s="163">
        <v>731497</v>
      </c>
      <c r="P39" s="163">
        <v>742404</v>
      </c>
      <c r="Q39" s="163">
        <v>770721</v>
      </c>
      <c r="R39" s="163">
        <v>668598</v>
      </c>
      <c r="S39" s="163">
        <v>763227</v>
      </c>
      <c r="T39" s="163">
        <v>740377</v>
      </c>
      <c r="U39" s="163">
        <v>831460</v>
      </c>
      <c r="V39" s="163">
        <v>740866</v>
      </c>
      <c r="W39" s="163">
        <v>780290</v>
      </c>
      <c r="X39" s="163">
        <v>882944</v>
      </c>
      <c r="Y39" s="163">
        <v>758920</v>
      </c>
      <c r="Z39" s="163">
        <v>771193</v>
      </c>
      <c r="AA39" s="163">
        <v>755720</v>
      </c>
      <c r="AB39" s="163">
        <v>347874</v>
      </c>
      <c r="AC39" s="163">
        <v>992009</v>
      </c>
      <c r="AD39" s="163">
        <v>804922</v>
      </c>
      <c r="AE39" s="163">
        <v>762003</v>
      </c>
      <c r="AF39" s="163">
        <v>803454</v>
      </c>
      <c r="AG39" s="163">
        <v>1316007</v>
      </c>
      <c r="AH39" s="163">
        <v>756634</v>
      </c>
      <c r="AI39" s="163">
        <v>777454</v>
      </c>
      <c r="AJ39" s="163">
        <v>837266</v>
      </c>
    </row>
    <row r="40" spans="1:36" ht="17.25">
      <c r="A40" s="164" t="s">
        <v>1075</v>
      </c>
      <c r="B40" s="161" t="s">
        <v>1076</v>
      </c>
      <c r="C40" s="159">
        <f t="shared" si="1"/>
        <v>25434976</v>
      </c>
      <c r="D40" s="162">
        <f t="shared" si="2"/>
        <v>16.927389547178812</v>
      </c>
      <c r="E40" s="163">
        <v>722511</v>
      </c>
      <c r="F40" s="163">
        <v>717154</v>
      </c>
      <c r="G40" s="163">
        <v>795281</v>
      </c>
      <c r="H40" s="163">
        <v>740456</v>
      </c>
      <c r="I40" s="163">
        <v>795380</v>
      </c>
      <c r="J40" s="163">
        <v>765244</v>
      </c>
      <c r="K40" s="163">
        <v>810240</v>
      </c>
      <c r="L40" s="163">
        <v>833425</v>
      </c>
      <c r="M40" s="163">
        <v>772499</v>
      </c>
      <c r="N40" s="163">
        <v>910206</v>
      </c>
      <c r="O40" s="163">
        <v>765936</v>
      </c>
      <c r="P40" s="163">
        <v>760509</v>
      </c>
      <c r="Q40" s="163">
        <v>806630</v>
      </c>
      <c r="R40" s="163">
        <v>733684</v>
      </c>
      <c r="S40" s="163">
        <v>791400</v>
      </c>
      <c r="T40" s="163">
        <v>765077</v>
      </c>
      <c r="U40" s="163">
        <v>869407</v>
      </c>
      <c r="V40" s="163">
        <v>771601</v>
      </c>
      <c r="W40" s="163">
        <v>806154</v>
      </c>
      <c r="X40" s="163">
        <v>930891</v>
      </c>
      <c r="Y40" s="163">
        <v>782981</v>
      </c>
      <c r="Z40" s="163">
        <v>792012</v>
      </c>
      <c r="AA40" s="163">
        <v>780706</v>
      </c>
      <c r="AB40" s="163">
        <v>342100</v>
      </c>
      <c r="AC40" s="163">
        <v>1036303</v>
      </c>
      <c r="AD40" s="163">
        <v>814715</v>
      </c>
      <c r="AE40" s="163">
        <v>791491</v>
      </c>
      <c r="AF40" s="163">
        <v>760481</v>
      </c>
      <c r="AG40" s="163">
        <v>1118110</v>
      </c>
      <c r="AH40" s="163">
        <v>704372</v>
      </c>
      <c r="AI40" s="163">
        <v>799234</v>
      </c>
      <c r="AJ40" s="163">
        <v>848786</v>
      </c>
    </row>
    <row r="41" spans="1:36" ht="17.25">
      <c r="A41" s="164" t="s">
        <v>1077</v>
      </c>
      <c r="B41" s="165" t="s">
        <v>1078</v>
      </c>
      <c r="C41" s="159">
        <f t="shared" si="1"/>
        <v>25463734</v>
      </c>
      <c r="D41" s="162">
        <f t="shared" si="2"/>
        <v>17.08404419167255</v>
      </c>
      <c r="E41" s="163">
        <v>695417</v>
      </c>
      <c r="F41" s="163">
        <v>769244</v>
      </c>
      <c r="G41" s="163">
        <v>893595</v>
      </c>
      <c r="H41" s="163">
        <v>775945</v>
      </c>
      <c r="I41" s="163">
        <v>788369</v>
      </c>
      <c r="J41" s="163">
        <v>792767</v>
      </c>
      <c r="K41" s="163">
        <v>829705</v>
      </c>
      <c r="L41" s="163">
        <v>722864</v>
      </c>
      <c r="M41" s="163">
        <v>815331</v>
      </c>
      <c r="N41" s="163">
        <v>965950</v>
      </c>
      <c r="O41" s="163">
        <v>798461</v>
      </c>
      <c r="P41" s="163">
        <v>716359</v>
      </c>
      <c r="Q41" s="163">
        <v>869346</v>
      </c>
      <c r="R41" s="163">
        <v>792487</v>
      </c>
      <c r="S41" s="163">
        <v>736110</v>
      </c>
      <c r="T41" s="163">
        <v>791191</v>
      </c>
      <c r="U41" s="163">
        <v>836610</v>
      </c>
      <c r="V41" s="163">
        <v>720411</v>
      </c>
      <c r="W41" s="163">
        <v>783642</v>
      </c>
      <c r="X41" s="163">
        <v>945244</v>
      </c>
      <c r="Y41" s="163">
        <v>645610</v>
      </c>
      <c r="Z41" s="163">
        <v>824366</v>
      </c>
      <c r="AA41" s="163">
        <v>743989</v>
      </c>
      <c r="AB41" s="163">
        <v>592371</v>
      </c>
      <c r="AC41" s="163">
        <v>1009065</v>
      </c>
      <c r="AD41" s="163">
        <v>690388</v>
      </c>
      <c r="AE41" s="163">
        <v>853582</v>
      </c>
      <c r="AF41" s="163">
        <v>704778</v>
      </c>
      <c r="AG41" s="163">
        <v>873109</v>
      </c>
      <c r="AH41" s="163">
        <v>729455</v>
      </c>
      <c r="AI41" s="163">
        <v>829917</v>
      </c>
      <c r="AJ41" s="163">
        <v>928056</v>
      </c>
    </row>
    <row r="42" spans="1:36" ht="17.25">
      <c r="A42" s="164" t="s">
        <v>1079</v>
      </c>
      <c r="B42" s="161" t="s">
        <v>1080</v>
      </c>
      <c r="C42" s="159">
        <f t="shared" si="1"/>
        <v>25726550</v>
      </c>
      <c r="D42" s="162">
        <f t="shared" si="2"/>
        <v>17.181602551791606</v>
      </c>
      <c r="E42" s="163">
        <v>726381</v>
      </c>
      <c r="F42" s="163">
        <v>813298</v>
      </c>
      <c r="G42" s="163">
        <v>899621</v>
      </c>
      <c r="H42" s="163">
        <v>762468</v>
      </c>
      <c r="I42" s="163">
        <v>823718</v>
      </c>
      <c r="J42" s="163">
        <v>746436</v>
      </c>
      <c r="K42" s="163">
        <v>770453</v>
      </c>
      <c r="L42" s="163">
        <v>848755</v>
      </c>
      <c r="M42" s="163">
        <v>785951</v>
      </c>
      <c r="N42" s="163">
        <v>964317</v>
      </c>
      <c r="O42" s="163">
        <v>758395</v>
      </c>
      <c r="P42" s="163">
        <v>781787</v>
      </c>
      <c r="Q42" s="163">
        <v>793671</v>
      </c>
      <c r="R42" s="163">
        <v>727401</v>
      </c>
      <c r="S42" s="163">
        <v>794323</v>
      </c>
      <c r="T42" s="163">
        <v>766847</v>
      </c>
      <c r="U42" s="163">
        <v>880861</v>
      </c>
      <c r="V42" s="163">
        <v>776776</v>
      </c>
      <c r="W42" s="163">
        <v>808231</v>
      </c>
      <c r="X42" s="163">
        <v>928927</v>
      </c>
      <c r="Y42" s="163">
        <v>784010</v>
      </c>
      <c r="Z42" s="163">
        <v>819052</v>
      </c>
      <c r="AA42" s="163">
        <v>779054</v>
      </c>
      <c r="AB42" s="163">
        <v>430201</v>
      </c>
      <c r="AC42" s="163">
        <v>1046101</v>
      </c>
      <c r="AD42" s="163">
        <v>850101</v>
      </c>
      <c r="AE42" s="163">
        <v>778887</v>
      </c>
      <c r="AF42" s="163">
        <v>754113</v>
      </c>
      <c r="AG42" s="163">
        <v>881402</v>
      </c>
      <c r="AH42" s="163">
        <v>774263</v>
      </c>
      <c r="AI42" s="163">
        <v>808611</v>
      </c>
      <c r="AJ42" s="163">
        <v>862138</v>
      </c>
    </row>
    <row r="43" spans="1:36" ht="17.25">
      <c r="A43" s="188" t="s">
        <v>1160</v>
      </c>
      <c r="B43" s="198" t="s">
        <v>1161</v>
      </c>
      <c r="C43" s="189">
        <f t="shared" si="1"/>
        <v>25770550</v>
      </c>
      <c r="D43" s="190">
        <f t="shared" si="2"/>
        <v>17.120520679083</v>
      </c>
      <c r="E43" s="191">
        <v>719840</v>
      </c>
      <c r="F43" s="191">
        <v>743830</v>
      </c>
      <c r="G43" s="191">
        <v>803198</v>
      </c>
      <c r="H43" s="191">
        <v>774637</v>
      </c>
      <c r="I43" s="191">
        <v>816862</v>
      </c>
      <c r="J43" s="191">
        <v>749680</v>
      </c>
      <c r="K43" s="191">
        <v>795097</v>
      </c>
      <c r="L43" s="191">
        <v>858984</v>
      </c>
      <c r="M43" s="191">
        <v>799165</v>
      </c>
      <c r="N43" s="191">
        <v>931223</v>
      </c>
      <c r="O43" s="191">
        <v>755395</v>
      </c>
      <c r="P43" s="191">
        <v>772595</v>
      </c>
      <c r="Q43" s="191">
        <v>793427</v>
      </c>
      <c r="R43" s="191">
        <v>718965</v>
      </c>
      <c r="S43" s="191">
        <v>790537</v>
      </c>
      <c r="T43" s="191">
        <v>770830</v>
      </c>
      <c r="U43" s="191">
        <v>891849</v>
      </c>
      <c r="V43" s="191">
        <v>766892</v>
      </c>
      <c r="W43" s="191">
        <v>804221</v>
      </c>
      <c r="X43" s="191">
        <v>934340</v>
      </c>
      <c r="Y43" s="191">
        <v>785174</v>
      </c>
      <c r="Z43" s="191">
        <v>817960</v>
      </c>
      <c r="AA43" s="191">
        <v>781730</v>
      </c>
      <c r="AB43" s="191">
        <v>317657</v>
      </c>
      <c r="AC43" s="191">
        <v>1059285</v>
      </c>
      <c r="AD43" s="191">
        <v>841145</v>
      </c>
      <c r="AE43" s="191">
        <v>799183</v>
      </c>
      <c r="AF43" s="191">
        <v>782607</v>
      </c>
      <c r="AG43" s="191">
        <v>1160511</v>
      </c>
      <c r="AH43" s="191">
        <v>731038</v>
      </c>
      <c r="AI43" s="191">
        <v>822411</v>
      </c>
      <c r="AJ43" s="191">
        <v>880282</v>
      </c>
    </row>
    <row r="44" spans="1:36" ht="17.25">
      <c r="A44" s="188" t="s">
        <v>1625</v>
      </c>
      <c r="B44" s="198" t="s">
        <v>1161</v>
      </c>
      <c r="C44" s="189">
        <f t="shared" si="1"/>
        <v>25911912</v>
      </c>
      <c r="D44" s="190">
        <f t="shared" si="2"/>
        <v>17.196275112215076</v>
      </c>
      <c r="E44" s="191">
        <v>716917</v>
      </c>
      <c r="F44" s="191">
        <v>757357</v>
      </c>
      <c r="G44" s="191">
        <v>812096</v>
      </c>
      <c r="H44" s="191">
        <v>786622</v>
      </c>
      <c r="I44" s="191">
        <v>829892</v>
      </c>
      <c r="J44" s="191">
        <v>749117</v>
      </c>
      <c r="K44" s="191">
        <v>798999</v>
      </c>
      <c r="L44" s="191">
        <v>870189</v>
      </c>
      <c r="M44" s="191">
        <v>804146</v>
      </c>
      <c r="N44" s="191">
        <v>956541</v>
      </c>
      <c r="O44" s="191">
        <v>752284</v>
      </c>
      <c r="P44" s="191">
        <v>767919</v>
      </c>
      <c r="Q44" s="191">
        <v>790451</v>
      </c>
      <c r="R44" s="191">
        <v>715739</v>
      </c>
      <c r="S44" s="191">
        <v>787139</v>
      </c>
      <c r="T44" s="191">
        <v>766785</v>
      </c>
      <c r="U44" s="191">
        <v>890423</v>
      </c>
      <c r="V44" s="191">
        <v>763854</v>
      </c>
      <c r="W44" s="191">
        <v>800687</v>
      </c>
      <c r="X44" s="191">
        <v>933530</v>
      </c>
      <c r="Y44" s="191">
        <v>781128</v>
      </c>
      <c r="Z44" s="191">
        <v>813784</v>
      </c>
      <c r="AA44" s="191">
        <v>777964</v>
      </c>
      <c r="AB44" s="191">
        <v>330517</v>
      </c>
      <c r="AC44" s="191">
        <v>1058119</v>
      </c>
      <c r="AD44" s="191">
        <v>852402</v>
      </c>
      <c r="AE44" s="191">
        <v>797814</v>
      </c>
      <c r="AF44" s="191">
        <v>787879</v>
      </c>
      <c r="AG44" s="191">
        <v>1210173</v>
      </c>
      <c r="AH44" s="191">
        <v>740529</v>
      </c>
      <c r="AI44" s="191">
        <v>818424</v>
      </c>
      <c r="AJ44" s="191">
        <v>892492</v>
      </c>
    </row>
    <row r="45" spans="1:36" ht="17.25">
      <c r="A45" s="164" t="s">
        <v>1081</v>
      </c>
      <c r="B45" s="161" t="s">
        <v>1082</v>
      </c>
      <c r="C45" s="159">
        <f t="shared" si="1"/>
        <v>25985223</v>
      </c>
      <c r="D45" s="162">
        <f t="shared" si="2"/>
        <v>17.305498893663525</v>
      </c>
      <c r="E45" s="163">
        <v>736718</v>
      </c>
      <c r="F45" s="163">
        <v>723095</v>
      </c>
      <c r="G45" s="163">
        <v>802552</v>
      </c>
      <c r="H45" s="163">
        <v>776258</v>
      </c>
      <c r="I45" s="163">
        <v>810512</v>
      </c>
      <c r="J45" s="163">
        <v>775403</v>
      </c>
      <c r="K45" s="163">
        <v>828264</v>
      </c>
      <c r="L45" s="163">
        <v>849592</v>
      </c>
      <c r="M45" s="163">
        <v>801520</v>
      </c>
      <c r="N45" s="163">
        <v>915858</v>
      </c>
      <c r="O45" s="163">
        <v>779604</v>
      </c>
      <c r="P45" s="163">
        <v>781925</v>
      </c>
      <c r="Q45" s="163">
        <v>818944</v>
      </c>
      <c r="R45" s="163">
        <v>749775</v>
      </c>
      <c r="S45" s="163">
        <v>808021</v>
      </c>
      <c r="T45" s="163">
        <v>783133</v>
      </c>
      <c r="U45" s="163">
        <v>897781</v>
      </c>
      <c r="V45" s="163">
        <v>789724</v>
      </c>
      <c r="W45" s="163">
        <v>824841</v>
      </c>
      <c r="X45" s="163">
        <v>961965</v>
      </c>
      <c r="Y45" s="163">
        <v>800967</v>
      </c>
      <c r="Z45" s="163">
        <v>810048</v>
      </c>
      <c r="AA45" s="163">
        <v>798130</v>
      </c>
      <c r="AB45" s="163">
        <v>327831</v>
      </c>
      <c r="AC45" s="163">
        <v>1072462</v>
      </c>
      <c r="AD45" s="163">
        <v>840863</v>
      </c>
      <c r="AE45" s="163">
        <v>809331</v>
      </c>
      <c r="AF45" s="163">
        <v>794837</v>
      </c>
      <c r="AG45" s="163">
        <v>1093728</v>
      </c>
      <c r="AH45" s="163">
        <v>727893</v>
      </c>
      <c r="AI45" s="163">
        <v>817378</v>
      </c>
      <c r="AJ45" s="163">
        <v>876270</v>
      </c>
    </row>
    <row r="46" spans="1:36" ht="17.25">
      <c r="A46" s="164" t="s">
        <v>1083</v>
      </c>
      <c r="B46" s="161" t="s">
        <v>1084</v>
      </c>
      <c r="C46" s="159">
        <f>SUM(E46:AL46)</f>
        <v>26036728</v>
      </c>
      <c r="D46" s="162">
        <f>((E46*100/4457012)+(F46*100/4666092)+(G46*100/4564694)+(H46*100/3934071)+(I46*100/4887915)+(J46*100/4213444)+(K46*100/3969347)+(L46*100/4648398)+(M46*100/4423667)+(N46*100/4183633)+(O46*100/4598571)+(P46*100/4650256)+(Q46*100/4428442)+(R46*100/3615242)+(S46*100/5768156)+(T46*100/4495508)+(U46*100/4650166)+(V46*100/4800546)+(W46*100/5054225)+(X46*100/4265815)+(Y46*100/4769289)+(Z46*100/4139514)+(AA46*100/4248764)+(AB46*100/4567817)+(AC46*100/6356919)+(AD46*100/4414836)+(AE46*100/5105832)+(AF46*100/5712519)+(AG46*100/11302195)+(AI46*100/5427923)+(AJ46*100/4134752))/31</f>
        <v>17.359387143405677</v>
      </c>
      <c r="E46" s="163">
        <v>738593</v>
      </c>
      <c r="F46" s="163">
        <v>754287</v>
      </c>
      <c r="G46" s="163">
        <v>772517</v>
      </c>
      <c r="H46" s="163">
        <v>772503</v>
      </c>
      <c r="I46" s="163">
        <v>815298</v>
      </c>
      <c r="J46" s="163">
        <v>820110</v>
      </c>
      <c r="K46" s="163">
        <v>852502</v>
      </c>
      <c r="L46" s="163">
        <v>846025</v>
      </c>
      <c r="M46" s="163">
        <v>808065</v>
      </c>
      <c r="N46" s="163">
        <v>892291</v>
      </c>
      <c r="O46" s="163">
        <v>782288</v>
      </c>
      <c r="P46" s="163">
        <v>785048</v>
      </c>
      <c r="Q46" s="163">
        <v>823438</v>
      </c>
      <c r="R46" s="163">
        <v>751421</v>
      </c>
      <c r="S46" s="163">
        <v>807016</v>
      </c>
      <c r="T46" s="163">
        <v>786399</v>
      </c>
      <c r="U46" s="163">
        <v>894633</v>
      </c>
      <c r="V46" s="163">
        <v>790294</v>
      </c>
      <c r="W46" s="163">
        <v>829687</v>
      </c>
      <c r="X46" s="163">
        <v>967708</v>
      </c>
      <c r="Y46" s="163">
        <v>805648</v>
      </c>
      <c r="Z46" s="163">
        <v>814176</v>
      </c>
      <c r="AA46" s="163">
        <v>804254</v>
      </c>
      <c r="AB46" s="163">
        <v>303458</v>
      </c>
      <c r="AC46" s="163">
        <v>1079473</v>
      </c>
      <c r="AD46" s="163">
        <v>847079</v>
      </c>
      <c r="AE46" s="163">
        <v>810923</v>
      </c>
      <c r="AF46" s="163">
        <v>802636</v>
      </c>
      <c r="AG46" s="163">
        <v>1041326</v>
      </c>
      <c r="AH46" s="163">
        <v>736266</v>
      </c>
      <c r="AI46" s="163">
        <v>820288</v>
      </c>
      <c r="AJ46" s="163">
        <v>881078</v>
      </c>
    </row>
    <row r="47" spans="1:36" ht="17.25">
      <c r="A47" s="164" t="s">
        <v>1085</v>
      </c>
      <c r="B47" s="161" t="s">
        <v>1086</v>
      </c>
      <c r="C47" s="159">
        <f>SUM(E47:AL47)</f>
        <v>26047200</v>
      </c>
      <c r="D47" s="162">
        <f>((E47*100/4457012)+(F47*100/4666092)+(G47*100/4564694)+(H47*100/3934071)+(I47*100/4887915)+(J47*100/4213444)+(K47*100/3969347)+(L47*100/4648398)+(M47*100/4423667)+(N47*100/4183633)+(O47*100/4598571)+(P47*100/4650256)+(Q47*100/4428442)+(R47*100/3615242)+(S47*100/5768156)+(T47*100/4495508)+(U47*100/4650166)+(V47*100/4800546)+(W47*100/5054225)+(X47*100/4265815)+(Y47*100/4769289)+(Z47*100/4139514)+(AA47*100/4248764)+(AB47*100/4567817)+(AC47*100/6356919)+(AD47*100/4414836)+(AE47*100/5105832)+(AF47*100/5712519)+(AG47*100/11302195)+(AI47*100/5427923)+(AJ47*100/4134752))/31</f>
        <v>17.346471957596584</v>
      </c>
      <c r="E47" s="163">
        <v>738127</v>
      </c>
      <c r="F47" s="163">
        <v>724111</v>
      </c>
      <c r="G47" s="163">
        <v>803659</v>
      </c>
      <c r="H47" s="163">
        <v>778425</v>
      </c>
      <c r="I47" s="163">
        <v>811056</v>
      </c>
      <c r="J47" s="163">
        <v>775950</v>
      </c>
      <c r="K47" s="163">
        <v>829755</v>
      </c>
      <c r="L47" s="163">
        <v>851605</v>
      </c>
      <c r="M47" s="163">
        <v>804276</v>
      </c>
      <c r="N47" s="163">
        <v>918628</v>
      </c>
      <c r="O47" s="163">
        <v>781010</v>
      </c>
      <c r="P47" s="163">
        <v>783580</v>
      </c>
      <c r="Q47" s="163">
        <v>820152</v>
      </c>
      <c r="R47" s="163">
        <v>751479</v>
      </c>
      <c r="S47" s="163">
        <v>809841</v>
      </c>
      <c r="T47" s="163">
        <v>784561</v>
      </c>
      <c r="U47" s="163">
        <v>900175</v>
      </c>
      <c r="V47" s="163">
        <v>791791</v>
      </c>
      <c r="W47" s="163">
        <v>826749</v>
      </c>
      <c r="X47" s="163">
        <v>965358</v>
      </c>
      <c r="Y47" s="163">
        <v>802824</v>
      </c>
      <c r="Z47" s="163">
        <v>812312</v>
      </c>
      <c r="AA47" s="163">
        <v>799747</v>
      </c>
      <c r="AB47" s="163">
        <v>329333</v>
      </c>
      <c r="AC47" s="163">
        <v>1076326</v>
      </c>
      <c r="AD47" s="163">
        <v>843515</v>
      </c>
      <c r="AE47" s="163">
        <v>811223</v>
      </c>
      <c r="AF47" s="163">
        <v>797111</v>
      </c>
      <c r="AG47" s="163">
        <v>1097692</v>
      </c>
      <c r="AH47" s="163">
        <v>729009</v>
      </c>
      <c r="AI47" s="163">
        <v>819119</v>
      </c>
      <c r="AJ47" s="163">
        <v>878701</v>
      </c>
    </row>
    <row r="48" spans="1:36" ht="17.25">
      <c r="A48" s="164" t="s">
        <v>1087</v>
      </c>
      <c r="B48" s="161" t="s">
        <v>1065</v>
      </c>
      <c r="C48" s="159">
        <f>SUM(E48:AL48)</f>
        <v>26058262</v>
      </c>
      <c r="D48" s="162">
        <f>((E48*100/4457012)+(F48*100/4666092)+(G48*100/4564694)+(H48*100/3934071)+(I48*100/4887915)+(J48*100/4213444)+(K48*100/3969347)+(L48*100/4648398)+(M48*100/4423667)+(N48*100/4183633)+(O48*100/4598571)+(P48*100/4650256)+(Q48*100/4428442)+(R48*100/3615242)+(S48*100/5768156)+(T48*100/4495508)+(U48*100/4650166)+(V48*100/4800546)+(W48*100/5054225)+(X48*100/4265815)+(Y48*100/4769289)+(Z48*100/4139514)+(AA48*100/4248764)+(AB48*100/4567817)+(AC48*100/6356919)+(AD48*100/4414836)+(AE48*100/5105832)+(AF48*100/5712519)+(AG48*100/11302195)+(AI48*100/5427923)+(AJ48*100/4134752))/31</f>
        <v>17.363514953290959</v>
      </c>
      <c r="E48" s="163">
        <v>739547</v>
      </c>
      <c r="F48" s="163">
        <v>731494</v>
      </c>
      <c r="G48" s="163">
        <v>804494</v>
      </c>
      <c r="H48" s="163">
        <v>777888</v>
      </c>
      <c r="I48" s="163">
        <v>817146</v>
      </c>
      <c r="J48" s="163">
        <v>779506</v>
      </c>
      <c r="K48" s="163">
        <v>834509</v>
      </c>
      <c r="L48" s="163">
        <v>854389</v>
      </c>
      <c r="M48" s="163">
        <v>807275</v>
      </c>
      <c r="N48" s="163">
        <v>926468</v>
      </c>
      <c r="O48" s="163">
        <v>782711</v>
      </c>
      <c r="P48" s="163">
        <v>784783</v>
      </c>
      <c r="Q48" s="163">
        <v>822126</v>
      </c>
      <c r="R48" s="163">
        <v>752694</v>
      </c>
      <c r="S48" s="163">
        <v>812003</v>
      </c>
      <c r="T48" s="163">
        <v>786055</v>
      </c>
      <c r="U48" s="163">
        <v>903232</v>
      </c>
      <c r="V48" s="163">
        <v>792680</v>
      </c>
      <c r="W48" s="163">
        <v>828340</v>
      </c>
      <c r="X48" s="163">
        <v>968045</v>
      </c>
      <c r="Y48" s="163">
        <v>804488</v>
      </c>
      <c r="Z48" s="163">
        <v>814188</v>
      </c>
      <c r="AA48" s="163">
        <v>801892</v>
      </c>
      <c r="AB48" s="163">
        <v>328638</v>
      </c>
      <c r="AC48" s="163">
        <v>1078971</v>
      </c>
      <c r="AD48" s="163">
        <v>844978</v>
      </c>
      <c r="AE48" s="163">
        <v>812539</v>
      </c>
      <c r="AF48" s="163">
        <v>796681</v>
      </c>
      <c r="AG48" s="163">
        <v>1118110</v>
      </c>
      <c r="AH48" s="163">
        <v>704372</v>
      </c>
      <c r="AI48" s="163">
        <v>799234</v>
      </c>
      <c r="AJ48" s="163">
        <v>848786</v>
      </c>
    </row>
    <row r="49" spans="1:36" ht="17.25">
      <c r="A49" s="164" t="s">
        <v>1088</v>
      </c>
      <c r="B49" s="161" t="s">
        <v>1089</v>
      </c>
      <c r="C49" s="159">
        <f t="shared" ref="C49:C69" si="3">SUM(E49:AL49)</f>
        <v>26230716</v>
      </c>
      <c r="D49" s="162">
        <f t="shared" ref="D49:D84" si="4">((E49*100/4457012)+(F49*100/4666092)+(G49*100/4564694)+(H49*100/3934071)+(I49*100/4887915)+(J49*100/4213444)+(K49*100/3969347)+(L49*100/4648398)+(M49*100/4423667)+(N49*100/4183633)+(O49*100/4598571)+(P49*100/4650256)+(Q49*100/4428442)+(R49*100/3615242)+(S49*100/5768156)+(T49*100/4495508)+(U49*100/4650166)+(V49*100/4800546)+(W49*100/5054225)+(X49*100/4265815)+(Y49*100/4769289)+(Z49*100/4139514)+(AA49*100/4248764)+(AB49*100/4567817)+(AC49*100/6356919)+(AD49*100/4414836)+(AE49*100/5105832)+(AF49*100/5712519)+(AG49*100/11302195)+(AI49*100/5427923)+(AJ49*100/4134752))/31</f>
        <v>17.432415786133667</v>
      </c>
      <c r="E49" s="163">
        <v>734810</v>
      </c>
      <c r="F49" s="163">
        <v>741625</v>
      </c>
      <c r="G49" s="163">
        <v>780091</v>
      </c>
      <c r="H49" s="163">
        <v>777389</v>
      </c>
      <c r="I49" s="163">
        <v>818721</v>
      </c>
      <c r="J49" s="163">
        <v>763632</v>
      </c>
      <c r="K49" s="163">
        <v>858478</v>
      </c>
      <c r="L49" s="163">
        <v>841540</v>
      </c>
      <c r="M49" s="163">
        <v>829138</v>
      </c>
      <c r="N49" s="163">
        <v>919929</v>
      </c>
      <c r="O49" s="163">
        <v>779564</v>
      </c>
      <c r="P49" s="163">
        <v>779241</v>
      </c>
      <c r="Q49" s="163">
        <v>815665</v>
      </c>
      <c r="R49" s="163">
        <v>749277</v>
      </c>
      <c r="S49" s="163">
        <v>803821</v>
      </c>
      <c r="T49" s="163">
        <v>781108</v>
      </c>
      <c r="U49" s="163">
        <v>932466</v>
      </c>
      <c r="V49" s="163">
        <v>785895</v>
      </c>
      <c r="W49" s="163">
        <v>817712</v>
      </c>
      <c r="X49" s="163">
        <v>998322</v>
      </c>
      <c r="Y49" s="163">
        <v>795607</v>
      </c>
      <c r="Z49" s="163">
        <v>808550</v>
      </c>
      <c r="AA49" s="163">
        <v>794478</v>
      </c>
      <c r="AB49" s="163">
        <v>360145</v>
      </c>
      <c r="AC49" s="163">
        <v>1105584</v>
      </c>
      <c r="AD49" s="163">
        <v>837762</v>
      </c>
      <c r="AE49" s="163">
        <v>802093</v>
      </c>
      <c r="AF49" s="163">
        <v>815886</v>
      </c>
      <c r="AG49" s="163">
        <v>1191956</v>
      </c>
      <c r="AH49" s="163">
        <v>730282</v>
      </c>
      <c r="AI49" s="163">
        <v>809750</v>
      </c>
      <c r="AJ49" s="163">
        <v>870199</v>
      </c>
    </row>
    <row r="50" spans="1:36" ht="17.25">
      <c r="A50" s="164" t="s">
        <v>1090</v>
      </c>
      <c r="B50" s="165" t="s">
        <v>1091</v>
      </c>
      <c r="C50" s="159">
        <f t="shared" si="3"/>
        <v>26327525</v>
      </c>
      <c r="D50" s="162">
        <f t="shared" si="4"/>
        <v>17.628200331299027</v>
      </c>
      <c r="E50" s="163">
        <v>753212</v>
      </c>
      <c r="F50" s="163">
        <v>716201</v>
      </c>
      <c r="G50" s="163">
        <v>726228</v>
      </c>
      <c r="H50" s="163">
        <v>767273</v>
      </c>
      <c r="I50" s="163">
        <v>789744</v>
      </c>
      <c r="J50" s="163">
        <v>802306</v>
      </c>
      <c r="K50" s="163">
        <v>818553</v>
      </c>
      <c r="L50" s="163">
        <v>824272</v>
      </c>
      <c r="M50" s="163">
        <v>862574</v>
      </c>
      <c r="N50" s="163">
        <v>844585</v>
      </c>
      <c r="O50" s="163">
        <v>820686</v>
      </c>
      <c r="P50" s="163">
        <v>771079</v>
      </c>
      <c r="Q50" s="163">
        <v>855173</v>
      </c>
      <c r="R50" s="163">
        <v>736507</v>
      </c>
      <c r="S50" s="163">
        <v>849328</v>
      </c>
      <c r="T50" s="163">
        <v>793732</v>
      </c>
      <c r="U50" s="163">
        <v>959629</v>
      </c>
      <c r="V50" s="163">
        <v>842895</v>
      </c>
      <c r="W50" s="163">
        <v>880863</v>
      </c>
      <c r="X50" s="163">
        <v>1102390</v>
      </c>
      <c r="Y50" s="163">
        <v>835106</v>
      </c>
      <c r="Z50" s="163">
        <v>860124</v>
      </c>
      <c r="AA50" s="163">
        <v>826828</v>
      </c>
      <c r="AB50" s="163">
        <v>290267</v>
      </c>
      <c r="AC50" s="163">
        <v>1139106</v>
      </c>
      <c r="AD50" s="163">
        <v>874652</v>
      </c>
      <c r="AE50" s="163">
        <v>807812</v>
      </c>
      <c r="AF50" s="163">
        <v>788403</v>
      </c>
      <c r="AG50" s="163">
        <v>875402</v>
      </c>
      <c r="AH50" s="163">
        <v>717855</v>
      </c>
      <c r="AI50" s="163">
        <v>866517</v>
      </c>
      <c r="AJ50" s="163">
        <v>928223</v>
      </c>
    </row>
    <row r="51" spans="1:36" ht="17.25">
      <c r="A51" s="164" t="s">
        <v>1092</v>
      </c>
      <c r="B51" s="161" t="s">
        <v>1093</v>
      </c>
      <c r="C51" s="159">
        <f t="shared" si="3"/>
        <v>26381116</v>
      </c>
      <c r="D51" s="162">
        <f t="shared" si="4"/>
        <v>17.669096380486202</v>
      </c>
      <c r="E51" s="163">
        <v>758199</v>
      </c>
      <c r="F51" s="163">
        <v>713768</v>
      </c>
      <c r="G51" s="163">
        <v>730916</v>
      </c>
      <c r="H51" s="163">
        <v>806076</v>
      </c>
      <c r="I51" s="163">
        <v>808809</v>
      </c>
      <c r="J51" s="163">
        <v>772772</v>
      </c>
      <c r="K51" s="163">
        <v>916982</v>
      </c>
      <c r="L51" s="163">
        <v>845120</v>
      </c>
      <c r="M51" s="163">
        <v>896383</v>
      </c>
      <c r="N51" s="163">
        <v>842120</v>
      </c>
      <c r="O51" s="163">
        <v>791050</v>
      </c>
      <c r="P51" s="163">
        <v>793526</v>
      </c>
      <c r="Q51" s="163">
        <v>829476</v>
      </c>
      <c r="R51" s="163">
        <v>766484</v>
      </c>
      <c r="S51" s="163">
        <v>814853</v>
      </c>
      <c r="T51" s="163">
        <v>892827</v>
      </c>
      <c r="U51" s="163">
        <v>983107</v>
      </c>
      <c r="V51" s="163">
        <v>794221</v>
      </c>
      <c r="W51" s="163">
        <v>834433</v>
      </c>
      <c r="X51" s="163">
        <v>1080891</v>
      </c>
      <c r="Y51" s="163">
        <v>810145</v>
      </c>
      <c r="Z51" s="163">
        <v>811154</v>
      </c>
      <c r="AA51" s="163">
        <v>812370</v>
      </c>
      <c r="AB51" s="163">
        <v>298666</v>
      </c>
      <c r="AC51" s="163">
        <v>1185274</v>
      </c>
      <c r="AD51" s="163">
        <v>848217</v>
      </c>
      <c r="AE51" s="163">
        <v>822874</v>
      </c>
      <c r="AF51" s="163">
        <v>809902</v>
      </c>
      <c r="AG51" s="163">
        <v>877263</v>
      </c>
      <c r="AH51" s="163">
        <v>728318</v>
      </c>
      <c r="AI51" s="163">
        <v>822438</v>
      </c>
      <c r="AJ51" s="163">
        <v>882482</v>
      </c>
    </row>
    <row r="52" spans="1:36" ht="17.25">
      <c r="A52" s="164" t="s">
        <v>1094</v>
      </c>
      <c r="B52" s="161" t="s">
        <v>1095</v>
      </c>
      <c r="C52" s="159">
        <f t="shared" si="3"/>
        <v>26639764</v>
      </c>
      <c r="D52" s="162">
        <f t="shared" si="4"/>
        <v>17.715450367450831</v>
      </c>
      <c r="E52" s="163">
        <v>754171</v>
      </c>
      <c r="F52" s="163">
        <v>763833</v>
      </c>
      <c r="G52" s="163">
        <v>845715</v>
      </c>
      <c r="H52" s="163">
        <v>754068</v>
      </c>
      <c r="I52" s="163">
        <v>826450</v>
      </c>
      <c r="J52" s="163">
        <v>792261</v>
      </c>
      <c r="K52" s="163">
        <v>859868</v>
      </c>
      <c r="L52" s="163">
        <v>856488</v>
      </c>
      <c r="M52" s="163">
        <v>812148</v>
      </c>
      <c r="N52" s="163">
        <v>985635</v>
      </c>
      <c r="O52" s="163">
        <v>795922</v>
      </c>
      <c r="P52" s="163">
        <v>793294</v>
      </c>
      <c r="Q52" s="163">
        <v>838695</v>
      </c>
      <c r="R52" s="163">
        <v>765106</v>
      </c>
      <c r="S52" s="163">
        <v>815705</v>
      </c>
      <c r="T52" s="163">
        <v>800181</v>
      </c>
      <c r="U52" s="163">
        <v>925038</v>
      </c>
      <c r="V52" s="163">
        <v>807809</v>
      </c>
      <c r="W52" s="163">
        <v>837629</v>
      </c>
      <c r="X52" s="163">
        <v>984811</v>
      </c>
      <c r="Y52" s="163">
        <v>808638</v>
      </c>
      <c r="Z52" s="163">
        <v>824643</v>
      </c>
      <c r="AA52" s="163">
        <v>801519</v>
      </c>
      <c r="AB52" s="163">
        <v>416972</v>
      </c>
      <c r="AC52" s="163">
        <v>1094225</v>
      </c>
      <c r="AD52" s="163">
        <v>837554</v>
      </c>
      <c r="AE52" s="163">
        <v>820144</v>
      </c>
      <c r="AF52" s="163">
        <v>772113</v>
      </c>
      <c r="AG52" s="163">
        <v>1237520</v>
      </c>
      <c r="AH52" s="163">
        <v>722499</v>
      </c>
      <c r="AI52" s="163">
        <v>824039</v>
      </c>
      <c r="AJ52" s="163">
        <v>865071</v>
      </c>
    </row>
    <row r="53" spans="1:36" ht="17.25">
      <c r="A53" s="164" t="s">
        <v>1096</v>
      </c>
      <c r="B53" s="161" t="s">
        <v>1097</v>
      </c>
      <c r="C53" s="159">
        <f t="shared" si="3"/>
        <v>26946119</v>
      </c>
      <c r="D53" s="162">
        <f t="shared" si="4"/>
        <v>18.065182157884539</v>
      </c>
      <c r="E53" s="163">
        <v>780844</v>
      </c>
      <c r="F53" s="163">
        <v>755267</v>
      </c>
      <c r="G53" s="163">
        <v>770895</v>
      </c>
      <c r="H53" s="163">
        <v>824906</v>
      </c>
      <c r="I53" s="163">
        <v>818663</v>
      </c>
      <c r="J53" s="163">
        <v>801564</v>
      </c>
      <c r="K53" s="163">
        <v>946635</v>
      </c>
      <c r="L53" s="163">
        <v>859346</v>
      </c>
      <c r="M53" s="163">
        <v>916187</v>
      </c>
      <c r="N53" s="163">
        <v>876352</v>
      </c>
      <c r="O53" s="163">
        <v>817062</v>
      </c>
      <c r="P53" s="163">
        <v>813425</v>
      </c>
      <c r="Q53" s="163">
        <v>854480</v>
      </c>
      <c r="R53" s="163">
        <v>788941</v>
      </c>
      <c r="S53" s="163">
        <v>830719</v>
      </c>
      <c r="T53" s="163">
        <v>817479</v>
      </c>
      <c r="U53" s="163">
        <v>1009039</v>
      </c>
      <c r="V53" s="163">
        <v>820745</v>
      </c>
      <c r="W53" s="163">
        <v>857572</v>
      </c>
      <c r="X53" s="163">
        <v>1107337</v>
      </c>
      <c r="Y53" s="163">
        <v>830619</v>
      </c>
      <c r="Z53" s="163">
        <v>829037</v>
      </c>
      <c r="AA53" s="163">
        <v>830903</v>
      </c>
      <c r="AB53" s="163">
        <v>314901</v>
      </c>
      <c r="AC53" s="163">
        <v>1208992</v>
      </c>
      <c r="AD53" s="163">
        <v>863805</v>
      </c>
      <c r="AE53" s="163">
        <v>836414</v>
      </c>
      <c r="AF53" s="163">
        <v>824569</v>
      </c>
      <c r="AG53" s="163">
        <v>850644</v>
      </c>
      <c r="AH53" s="163">
        <v>751008</v>
      </c>
      <c r="AI53" s="163">
        <v>840398</v>
      </c>
      <c r="AJ53" s="163">
        <v>897371</v>
      </c>
    </row>
    <row r="54" spans="1:36" ht="17.25">
      <c r="A54" s="164" t="s">
        <v>1098</v>
      </c>
      <c r="B54" s="161" t="s">
        <v>1086</v>
      </c>
      <c r="C54" s="159">
        <f t="shared" si="3"/>
        <v>27310134</v>
      </c>
      <c r="D54" s="162">
        <f t="shared" si="4"/>
        <v>18.161763013391337</v>
      </c>
      <c r="E54" s="163">
        <v>763782</v>
      </c>
      <c r="F54" s="163">
        <v>772140</v>
      </c>
      <c r="G54" s="163">
        <v>858986</v>
      </c>
      <c r="H54" s="163">
        <v>813439</v>
      </c>
      <c r="I54" s="163">
        <v>847520</v>
      </c>
      <c r="J54" s="163">
        <v>824102</v>
      </c>
      <c r="K54" s="163">
        <v>880210</v>
      </c>
      <c r="L54" s="163">
        <v>894456</v>
      </c>
      <c r="M54" s="163">
        <v>830563</v>
      </c>
      <c r="N54" s="163">
        <v>988200</v>
      </c>
      <c r="O54" s="163">
        <v>811443</v>
      </c>
      <c r="P54" s="163">
        <v>811313</v>
      </c>
      <c r="Q54" s="163">
        <v>857535</v>
      </c>
      <c r="R54" s="163">
        <v>782638</v>
      </c>
      <c r="S54" s="163">
        <v>842509</v>
      </c>
      <c r="T54" s="163">
        <v>814515</v>
      </c>
      <c r="U54" s="163">
        <v>932947</v>
      </c>
      <c r="V54" s="163">
        <v>828521</v>
      </c>
      <c r="W54" s="163">
        <v>867493</v>
      </c>
      <c r="X54" s="163">
        <v>998419</v>
      </c>
      <c r="Y54" s="163">
        <v>838683</v>
      </c>
      <c r="Z54" s="163">
        <v>850680</v>
      </c>
      <c r="AA54" s="163">
        <v>834140</v>
      </c>
      <c r="AB54" s="163">
        <v>347052</v>
      </c>
      <c r="AC54" s="163">
        <v>1108895</v>
      </c>
      <c r="AD54" s="163">
        <v>876307</v>
      </c>
      <c r="AE54" s="163">
        <v>851829</v>
      </c>
      <c r="AF54" s="163">
        <v>814713</v>
      </c>
      <c r="AG54" s="163">
        <v>1225444</v>
      </c>
      <c r="AH54" s="163">
        <v>768424</v>
      </c>
      <c r="AI54" s="163">
        <v>855357</v>
      </c>
      <c r="AJ54" s="163">
        <v>917879</v>
      </c>
    </row>
    <row r="55" spans="1:36" ht="17.25">
      <c r="A55" s="164" t="s">
        <v>1099</v>
      </c>
      <c r="B55" s="161" t="s">
        <v>1100</v>
      </c>
      <c r="C55" s="159">
        <f t="shared" si="3"/>
        <v>27685720</v>
      </c>
      <c r="D55" s="162">
        <f t="shared" si="4"/>
        <v>18.550898742013789</v>
      </c>
      <c r="E55" s="163">
        <v>809411</v>
      </c>
      <c r="F55" s="163">
        <v>759916</v>
      </c>
      <c r="G55" s="163">
        <v>781426</v>
      </c>
      <c r="H55" s="163">
        <v>851144</v>
      </c>
      <c r="I55" s="163">
        <v>848596</v>
      </c>
      <c r="J55" s="163">
        <v>815118</v>
      </c>
      <c r="K55" s="163">
        <v>928804</v>
      </c>
      <c r="L55" s="163">
        <v>894858</v>
      </c>
      <c r="M55" s="163">
        <v>914475</v>
      </c>
      <c r="N55" s="163">
        <v>889004</v>
      </c>
      <c r="O55" s="163">
        <v>847902</v>
      </c>
      <c r="P55" s="163">
        <v>851839</v>
      </c>
      <c r="Q55" s="163">
        <v>886187</v>
      </c>
      <c r="R55" s="163">
        <v>818763</v>
      </c>
      <c r="S55" s="163">
        <v>862354</v>
      </c>
      <c r="T55" s="163">
        <v>853726</v>
      </c>
      <c r="U55" s="163">
        <v>1013905</v>
      </c>
      <c r="V55" s="163">
        <v>854195</v>
      </c>
      <c r="W55" s="163">
        <v>892106</v>
      </c>
      <c r="X55" s="163">
        <v>1102619</v>
      </c>
      <c r="Y55" s="163">
        <v>864143</v>
      </c>
      <c r="Z55" s="163">
        <v>865460</v>
      </c>
      <c r="AA55" s="163">
        <v>860745</v>
      </c>
      <c r="AB55" s="163">
        <v>312511</v>
      </c>
      <c r="AC55" s="163">
        <v>1213495</v>
      </c>
      <c r="AD55" s="163">
        <v>900293</v>
      </c>
      <c r="AE55" s="163">
        <v>871994</v>
      </c>
      <c r="AF55" s="163">
        <v>861187</v>
      </c>
      <c r="AG55" s="163">
        <v>881410</v>
      </c>
      <c r="AH55" s="163">
        <v>775183</v>
      </c>
      <c r="AI55" s="163">
        <v>871058</v>
      </c>
      <c r="AJ55" s="163">
        <v>931893</v>
      </c>
    </row>
    <row r="56" spans="1:36" ht="17.25">
      <c r="A56" s="164" t="s">
        <v>1101</v>
      </c>
      <c r="B56" s="161" t="s">
        <v>1102</v>
      </c>
      <c r="C56" s="159">
        <f t="shared" si="3"/>
        <v>27815986</v>
      </c>
      <c r="D56" s="162">
        <f t="shared" si="4"/>
        <v>18.635406672518187</v>
      </c>
      <c r="E56" s="163">
        <v>809930</v>
      </c>
      <c r="F56" s="163">
        <v>763103</v>
      </c>
      <c r="G56" s="163">
        <v>784563</v>
      </c>
      <c r="H56" s="163">
        <v>855514</v>
      </c>
      <c r="I56" s="163">
        <v>852523</v>
      </c>
      <c r="J56" s="163">
        <v>814038</v>
      </c>
      <c r="K56" s="163">
        <v>941081</v>
      </c>
      <c r="L56" s="163">
        <v>897387</v>
      </c>
      <c r="M56" s="163">
        <v>927541</v>
      </c>
      <c r="N56" s="163">
        <v>890614</v>
      </c>
      <c r="O56" s="163">
        <v>848304</v>
      </c>
      <c r="P56" s="163">
        <v>853038</v>
      </c>
      <c r="Q56" s="163">
        <v>887404</v>
      </c>
      <c r="R56" s="163">
        <v>819903</v>
      </c>
      <c r="S56" s="163">
        <v>862375</v>
      </c>
      <c r="T56" s="163">
        <v>853942</v>
      </c>
      <c r="U56" s="163">
        <v>1026822</v>
      </c>
      <c r="V56" s="163">
        <v>854649</v>
      </c>
      <c r="W56" s="163">
        <v>893001</v>
      </c>
      <c r="X56" s="163">
        <v>1115224</v>
      </c>
      <c r="Y56" s="163">
        <v>864844</v>
      </c>
      <c r="Z56" s="163">
        <v>867021</v>
      </c>
      <c r="AA56" s="163">
        <v>861968</v>
      </c>
      <c r="AB56" s="163">
        <v>322848</v>
      </c>
      <c r="AC56" s="163">
        <v>1226646</v>
      </c>
      <c r="AD56" s="163">
        <v>903044</v>
      </c>
      <c r="AE56" s="163">
        <v>873908</v>
      </c>
      <c r="AF56" s="163">
        <v>871069</v>
      </c>
      <c r="AG56" s="163">
        <v>889633</v>
      </c>
      <c r="AH56" s="163">
        <v>778897</v>
      </c>
      <c r="AI56" s="163">
        <v>871847</v>
      </c>
      <c r="AJ56" s="163">
        <v>933305</v>
      </c>
    </row>
    <row r="57" spans="1:36" ht="17.25">
      <c r="A57" s="164" t="s">
        <v>1103</v>
      </c>
      <c r="B57" s="165" t="s">
        <v>1104</v>
      </c>
      <c r="C57" s="159">
        <f t="shared" si="3"/>
        <v>27988750</v>
      </c>
      <c r="D57" s="162">
        <f t="shared" si="4"/>
        <v>18.746026420431718</v>
      </c>
      <c r="E57" s="163">
        <v>804732</v>
      </c>
      <c r="F57" s="163">
        <v>777848</v>
      </c>
      <c r="G57" s="163">
        <v>802467</v>
      </c>
      <c r="H57" s="163">
        <v>860619</v>
      </c>
      <c r="I57" s="163">
        <v>855335</v>
      </c>
      <c r="J57" s="163">
        <v>829657</v>
      </c>
      <c r="K57" s="163">
        <v>977827</v>
      </c>
      <c r="L57" s="163">
        <v>896512</v>
      </c>
      <c r="M57" s="163">
        <v>944522</v>
      </c>
      <c r="N57" s="163">
        <v>927401</v>
      </c>
      <c r="O57" s="163">
        <v>840913</v>
      </c>
      <c r="P57" s="163">
        <v>838020</v>
      </c>
      <c r="Q57" s="163">
        <v>882592</v>
      </c>
      <c r="R57" s="163">
        <v>811950</v>
      </c>
      <c r="S57" s="163">
        <v>867826</v>
      </c>
      <c r="T57" s="163">
        <v>843742</v>
      </c>
      <c r="U57" s="163">
        <v>1040107</v>
      </c>
      <c r="V57" s="163">
        <v>848498</v>
      </c>
      <c r="W57" s="163">
        <v>888874</v>
      </c>
      <c r="X57" s="163">
        <v>1147641</v>
      </c>
      <c r="Y57" s="163">
        <v>862460</v>
      </c>
      <c r="Z57" s="163">
        <v>863129</v>
      </c>
      <c r="AA57" s="163">
        <v>861075</v>
      </c>
      <c r="AB57" s="163">
        <v>314887</v>
      </c>
      <c r="AC57" s="163">
        <v>1251968</v>
      </c>
      <c r="AD57" s="163">
        <v>898074</v>
      </c>
      <c r="AE57" s="163">
        <v>876056</v>
      </c>
      <c r="AF57" s="163">
        <v>854150</v>
      </c>
      <c r="AG57" s="163">
        <v>915886</v>
      </c>
      <c r="AH57" s="163">
        <v>784506</v>
      </c>
      <c r="AI57" s="163">
        <v>880985</v>
      </c>
      <c r="AJ57" s="163">
        <v>938491</v>
      </c>
    </row>
    <row r="58" spans="1:36" ht="17.25">
      <c r="A58" s="164" t="s">
        <v>1105</v>
      </c>
      <c r="B58" s="165" t="s">
        <v>1104</v>
      </c>
      <c r="C58" s="159">
        <f t="shared" si="3"/>
        <v>27988570</v>
      </c>
      <c r="D58" s="162">
        <f t="shared" si="4"/>
        <v>18.745890304552038</v>
      </c>
      <c r="E58" s="163">
        <v>804732</v>
      </c>
      <c r="F58" s="163">
        <v>777848</v>
      </c>
      <c r="G58" s="163">
        <v>802467</v>
      </c>
      <c r="H58" s="163">
        <v>860619</v>
      </c>
      <c r="I58" s="163">
        <v>855335</v>
      </c>
      <c r="J58" s="163">
        <v>829657</v>
      </c>
      <c r="K58" s="163">
        <v>977827</v>
      </c>
      <c r="L58" s="163">
        <v>896512</v>
      </c>
      <c r="M58" s="163">
        <v>944522</v>
      </c>
      <c r="N58" s="163">
        <v>927401</v>
      </c>
      <c r="O58" s="163">
        <v>840913</v>
      </c>
      <c r="P58" s="163">
        <v>838020</v>
      </c>
      <c r="Q58" s="163">
        <v>882592</v>
      </c>
      <c r="R58" s="163">
        <v>811950</v>
      </c>
      <c r="S58" s="163">
        <v>867826</v>
      </c>
      <c r="T58" s="163">
        <v>843742</v>
      </c>
      <c r="U58" s="163">
        <v>1040107</v>
      </c>
      <c r="V58" s="163">
        <v>848498</v>
      </c>
      <c r="W58" s="163">
        <v>888874</v>
      </c>
      <c r="X58" s="163">
        <v>1147461</v>
      </c>
      <c r="Y58" s="163">
        <v>862460</v>
      </c>
      <c r="Z58" s="163">
        <v>863129</v>
      </c>
      <c r="AA58" s="163">
        <v>861075</v>
      </c>
      <c r="AB58" s="163">
        <v>314887</v>
      </c>
      <c r="AC58" s="163">
        <v>1251968</v>
      </c>
      <c r="AD58" s="163">
        <v>898074</v>
      </c>
      <c r="AE58" s="163">
        <v>876056</v>
      </c>
      <c r="AF58" s="163">
        <v>854150</v>
      </c>
      <c r="AG58" s="163">
        <v>915886</v>
      </c>
      <c r="AH58" s="163">
        <v>784506</v>
      </c>
      <c r="AI58" s="163">
        <v>880985</v>
      </c>
      <c r="AJ58" s="163">
        <v>938491</v>
      </c>
    </row>
    <row r="59" spans="1:36" ht="17.25">
      <c r="A59" s="164" t="s">
        <v>1106</v>
      </c>
      <c r="B59" s="161" t="s">
        <v>1107</v>
      </c>
      <c r="C59" s="159">
        <f t="shared" si="3"/>
        <v>28042125</v>
      </c>
      <c r="D59" s="162">
        <f t="shared" si="4"/>
        <v>18.721960708610158</v>
      </c>
      <c r="E59" s="163">
        <v>804762</v>
      </c>
      <c r="F59" s="163">
        <v>763126</v>
      </c>
      <c r="G59" s="163">
        <v>797160</v>
      </c>
      <c r="H59" s="163">
        <v>856228</v>
      </c>
      <c r="I59" s="163">
        <v>862074</v>
      </c>
      <c r="J59" s="163">
        <v>807616</v>
      </c>
      <c r="K59" s="163">
        <v>934484</v>
      </c>
      <c r="L59" s="163">
        <v>903608</v>
      </c>
      <c r="M59" s="163">
        <v>921681</v>
      </c>
      <c r="N59" s="163">
        <v>907916</v>
      </c>
      <c r="O59" s="163">
        <v>850068</v>
      </c>
      <c r="P59" s="163">
        <v>855953</v>
      </c>
      <c r="Q59" s="163">
        <v>889867</v>
      </c>
      <c r="R59" s="163">
        <v>815808</v>
      </c>
      <c r="S59" s="163">
        <v>864674</v>
      </c>
      <c r="T59" s="163">
        <v>859986</v>
      </c>
      <c r="U59" s="163">
        <v>1031088</v>
      </c>
      <c r="V59" s="163">
        <v>856354</v>
      </c>
      <c r="W59" s="163">
        <v>890129</v>
      </c>
      <c r="X59" s="163">
        <v>1105304</v>
      </c>
      <c r="Y59" s="163">
        <v>864108</v>
      </c>
      <c r="Z59" s="163">
        <v>872506</v>
      </c>
      <c r="AA59" s="163">
        <v>858183</v>
      </c>
      <c r="AB59" s="163">
        <v>338942</v>
      </c>
      <c r="AC59" s="163">
        <v>1224731</v>
      </c>
      <c r="AD59" s="163">
        <v>904168</v>
      </c>
      <c r="AE59" s="163">
        <v>874796</v>
      </c>
      <c r="AF59" s="163">
        <v>885513</v>
      </c>
      <c r="AG59" s="163">
        <v>1056930</v>
      </c>
      <c r="AH59" s="163">
        <v>779011</v>
      </c>
      <c r="AI59" s="163">
        <v>867282</v>
      </c>
      <c r="AJ59" s="163">
        <v>938069</v>
      </c>
    </row>
    <row r="60" spans="1:36" ht="17.25">
      <c r="A60" s="164" t="s">
        <v>1108</v>
      </c>
      <c r="B60" s="161" t="s">
        <v>1109</v>
      </c>
      <c r="C60" s="159">
        <f t="shared" si="3"/>
        <v>28242217</v>
      </c>
      <c r="D60" s="162">
        <f t="shared" si="4"/>
        <v>18.898708903352262</v>
      </c>
      <c r="E60" s="163">
        <v>820258</v>
      </c>
      <c r="F60" s="163">
        <v>773851</v>
      </c>
      <c r="G60" s="163">
        <v>798157</v>
      </c>
      <c r="H60" s="163">
        <v>866081</v>
      </c>
      <c r="I60" s="163">
        <v>872469</v>
      </c>
      <c r="J60" s="163">
        <v>822431</v>
      </c>
      <c r="K60" s="163">
        <v>951733</v>
      </c>
      <c r="L60" s="163">
        <v>911312</v>
      </c>
      <c r="M60" s="163">
        <v>939038</v>
      </c>
      <c r="N60" s="163">
        <v>908866</v>
      </c>
      <c r="O60" s="163">
        <v>859945</v>
      </c>
      <c r="P60" s="163">
        <v>860408</v>
      </c>
      <c r="Q60" s="163">
        <v>892834</v>
      </c>
      <c r="R60" s="163">
        <v>817556</v>
      </c>
      <c r="S60" s="163">
        <v>873851</v>
      </c>
      <c r="T60" s="163">
        <v>861372</v>
      </c>
      <c r="U60" s="163">
        <v>1036973</v>
      </c>
      <c r="V60" s="163">
        <v>867284</v>
      </c>
      <c r="W60" s="163">
        <v>906302</v>
      </c>
      <c r="X60" s="163">
        <v>1128369</v>
      </c>
      <c r="Y60" s="163">
        <v>876246</v>
      </c>
      <c r="Z60" s="163">
        <v>880206</v>
      </c>
      <c r="AA60" s="163">
        <v>875686</v>
      </c>
      <c r="AB60" s="163">
        <v>346689</v>
      </c>
      <c r="AC60" s="163">
        <v>1238742</v>
      </c>
      <c r="AD60" s="163">
        <v>913985</v>
      </c>
      <c r="AE60" s="163">
        <v>890711</v>
      </c>
      <c r="AF60" s="163">
        <v>877496</v>
      </c>
      <c r="AG60" s="163">
        <v>948227</v>
      </c>
      <c r="AH60" s="163">
        <v>792835</v>
      </c>
      <c r="AI60" s="163">
        <v>885910</v>
      </c>
      <c r="AJ60" s="163">
        <v>946394</v>
      </c>
    </row>
    <row r="61" spans="1:36" ht="17.25">
      <c r="A61" s="164" t="s">
        <v>1110</v>
      </c>
      <c r="B61" s="161" t="s">
        <v>1111</v>
      </c>
      <c r="C61" s="159">
        <f t="shared" si="3"/>
        <v>28332495</v>
      </c>
      <c r="D61" s="162">
        <f t="shared" si="4"/>
        <v>18.804222762049669</v>
      </c>
      <c r="E61" s="163">
        <v>759194</v>
      </c>
      <c r="F61" s="163">
        <v>832449</v>
      </c>
      <c r="G61" s="163">
        <v>928001</v>
      </c>
      <c r="H61" s="163">
        <v>875574</v>
      </c>
      <c r="I61" s="163">
        <v>926800</v>
      </c>
      <c r="J61" s="163">
        <v>825493</v>
      </c>
      <c r="K61" s="163">
        <v>860987</v>
      </c>
      <c r="L61" s="163">
        <v>949576</v>
      </c>
      <c r="M61" s="163">
        <v>860276</v>
      </c>
      <c r="N61" s="163">
        <v>1089935</v>
      </c>
      <c r="O61" s="163">
        <v>804484</v>
      </c>
      <c r="P61" s="163">
        <v>843070</v>
      </c>
      <c r="Q61" s="163">
        <v>839825</v>
      </c>
      <c r="R61" s="163">
        <v>749541</v>
      </c>
      <c r="S61" s="163">
        <v>847971</v>
      </c>
      <c r="T61" s="163">
        <v>854681</v>
      </c>
      <c r="U61" s="163">
        <v>975689</v>
      </c>
      <c r="V61" s="163">
        <v>873223</v>
      </c>
      <c r="W61" s="163">
        <v>920029</v>
      </c>
      <c r="X61" s="163">
        <v>986914</v>
      </c>
      <c r="Y61" s="163">
        <v>880871</v>
      </c>
      <c r="Z61" s="163">
        <v>904706</v>
      </c>
      <c r="AA61" s="163">
        <v>878112</v>
      </c>
      <c r="AB61" s="163">
        <v>369713</v>
      </c>
      <c r="AC61" s="163">
        <v>1146419</v>
      </c>
      <c r="AD61" s="163">
        <v>909446</v>
      </c>
      <c r="AE61" s="163">
        <v>844382</v>
      </c>
      <c r="AF61" s="163">
        <v>808685</v>
      </c>
      <c r="AG61" s="163">
        <v>1342769</v>
      </c>
      <c r="AH61" s="163">
        <v>797874</v>
      </c>
      <c r="AI61" s="163">
        <v>899167</v>
      </c>
      <c r="AJ61" s="163">
        <v>946639</v>
      </c>
    </row>
    <row r="62" spans="1:36" ht="17.25">
      <c r="A62" s="164" t="s">
        <v>1112</v>
      </c>
      <c r="B62" s="165" t="s">
        <v>1113</v>
      </c>
      <c r="C62" s="159">
        <f t="shared" si="3"/>
        <v>28394445</v>
      </c>
      <c r="D62" s="162">
        <f t="shared" si="4"/>
        <v>19.023884472672442</v>
      </c>
      <c r="E62" s="163">
        <v>818018</v>
      </c>
      <c r="F62" s="163">
        <v>786928</v>
      </c>
      <c r="G62" s="163">
        <v>790739</v>
      </c>
      <c r="H62" s="163">
        <v>877675</v>
      </c>
      <c r="I62" s="163">
        <v>871563</v>
      </c>
      <c r="J62" s="163">
        <v>838815</v>
      </c>
      <c r="K62" s="163">
        <v>1000160</v>
      </c>
      <c r="L62" s="163">
        <v>909752</v>
      </c>
      <c r="M62" s="163">
        <v>970945</v>
      </c>
      <c r="N62" s="163">
        <v>938344</v>
      </c>
      <c r="O62" s="163">
        <v>850145</v>
      </c>
      <c r="P62" s="163">
        <v>855102</v>
      </c>
      <c r="Q62" s="163">
        <v>897101</v>
      </c>
      <c r="R62" s="163">
        <v>801531</v>
      </c>
      <c r="S62" s="163">
        <v>883323</v>
      </c>
      <c r="T62" s="163">
        <v>853547</v>
      </c>
      <c r="U62" s="163">
        <v>1069196</v>
      </c>
      <c r="V62" s="163">
        <v>862201</v>
      </c>
      <c r="W62" s="163">
        <v>905748</v>
      </c>
      <c r="X62" s="163">
        <v>1183129</v>
      </c>
      <c r="Y62" s="163">
        <v>870546</v>
      </c>
      <c r="Z62" s="163">
        <v>876623</v>
      </c>
      <c r="AA62" s="163">
        <v>871427</v>
      </c>
      <c r="AB62" s="163">
        <v>320800</v>
      </c>
      <c r="AC62" s="163">
        <v>1287993</v>
      </c>
      <c r="AD62" s="163">
        <v>910202</v>
      </c>
      <c r="AE62" s="163">
        <v>880722</v>
      </c>
      <c r="AF62" s="163">
        <v>854367</v>
      </c>
      <c r="AG62" s="163">
        <v>918930</v>
      </c>
      <c r="AH62" s="163">
        <v>788128</v>
      </c>
      <c r="AI62" s="163">
        <v>893285</v>
      </c>
      <c r="AJ62" s="163">
        <v>957460</v>
      </c>
    </row>
    <row r="63" spans="1:36" ht="17.25">
      <c r="A63" s="177" t="s">
        <v>1114</v>
      </c>
      <c r="B63" s="178" t="s">
        <v>1115</v>
      </c>
      <c r="C63" s="179">
        <f t="shared" si="3"/>
        <v>28575726</v>
      </c>
      <c r="D63" s="180">
        <f t="shared" si="4"/>
        <v>19.017751523106586</v>
      </c>
      <c r="E63" s="181">
        <v>812388</v>
      </c>
      <c r="F63" s="181">
        <v>778288</v>
      </c>
      <c r="G63" s="181">
        <v>784608</v>
      </c>
      <c r="H63" s="181">
        <v>852470</v>
      </c>
      <c r="I63" s="181">
        <v>862559</v>
      </c>
      <c r="J63" s="181">
        <v>846138</v>
      </c>
      <c r="K63" s="181">
        <v>974189</v>
      </c>
      <c r="L63" s="181">
        <v>921780</v>
      </c>
      <c r="M63" s="181">
        <v>948932</v>
      </c>
      <c r="N63" s="181">
        <v>918304</v>
      </c>
      <c r="O63" s="181">
        <v>836253</v>
      </c>
      <c r="P63" s="181">
        <v>878682</v>
      </c>
      <c r="Q63" s="181">
        <v>918722</v>
      </c>
      <c r="R63" s="181">
        <v>833302</v>
      </c>
      <c r="S63" s="181">
        <v>890873</v>
      </c>
      <c r="T63" s="181">
        <v>854163</v>
      </c>
      <c r="U63" s="181">
        <v>1076570</v>
      </c>
      <c r="V63" s="181">
        <v>874938</v>
      </c>
      <c r="W63" s="181">
        <v>878384</v>
      </c>
      <c r="X63" s="181">
        <v>1142320</v>
      </c>
      <c r="Y63" s="181">
        <v>885762</v>
      </c>
      <c r="Z63" s="181">
        <v>888496</v>
      </c>
      <c r="AA63" s="181">
        <v>854384</v>
      </c>
      <c r="AB63" s="181">
        <v>315974</v>
      </c>
      <c r="AC63" s="181">
        <v>1252624</v>
      </c>
      <c r="AD63" s="181">
        <v>888682</v>
      </c>
      <c r="AE63" s="181">
        <v>874024</v>
      </c>
      <c r="AF63" s="181">
        <v>865610</v>
      </c>
      <c r="AG63" s="181">
        <v>1246985</v>
      </c>
      <c r="AH63" s="181">
        <v>781254</v>
      </c>
      <c r="AI63" s="181">
        <v>907234</v>
      </c>
      <c r="AJ63" s="181">
        <v>930834</v>
      </c>
    </row>
    <row r="64" spans="1:36" ht="17.25">
      <c r="A64" s="177" t="s">
        <v>1116</v>
      </c>
      <c r="B64" s="178" t="s">
        <v>1117</v>
      </c>
      <c r="C64" s="179">
        <f t="shared" si="3"/>
        <v>28677962</v>
      </c>
      <c r="D64" s="180">
        <f t="shared" si="4"/>
        <v>19.124946544884136</v>
      </c>
      <c r="E64" s="181">
        <v>815253</v>
      </c>
      <c r="F64" s="181">
        <v>794052</v>
      </c>
      <c r="G64" s="181">
        <v>822464</v>
      </c>
      <c r="H64" s="181">
        <v>1021935</v>
      </c>
      <c r="I64" s="181">
        <v>862415</v>
      </c>
      <c r="J64" s="181">
        <v>832089</v>
      </c>
      <c r="K64" s="181">
        <v>974086</v>
      </c>
      <c r="L64" s="181">
        <v>901774</v>
      </c>
      <c r="M64" s="181">
        <v>948769</v>
      </c>
      <c r="N64" s="181">
        <v>963723</v>
      </c>
      <c r="O64" s="181">
        <v>849768</v>
      </c>
      <c r="P64" s="181">
        <v>852352</v>
      </c>
      <c r="Q64" s="181">
        <v>888261</v>
      </c>
      <c r="R64" s="181">
        <v>814731</v>
      </c>
      <c r="S64" s="181">
        <v>867950</v>
      </c>
      <c r="T64" s="181">
        <v>854367</v>
      </c>
      <c r="U64" s="181">
        <v>1054008</v>
      </c>
      <c r="V64" s="181">
        <v>856172</v>
      </c>
      <c r="W64" s="181">
        <v>891080</v>
      </c>
      <c r="X64" s="181">
        <v>1146186</v>
      </c>
      <c r="Y64" s="181">
        <v>862177</v>
      </c>
      <c r="Z64" s="181">
        <v>869095</v>
      </c>
      <c r="AA64" s="181">
        <v>856403</v>
      </c>
      <c r="AB64" s="181">
        <v>384548</v>
      </c>
      <c r="AC64" s="181">
        <v>1253341</v>
      </c>
      <c r="AD64" s="181">
        <v>897697</v>
      </c>
      <c r="AE64" s="181">
        <v>873856</v>
      </c>
      <c r="AF64" s="181">
        <v>841206</v>
      </c>
      <c r="AG64" s="181">
        <v>1250682</v>
      </c>
      <c r="AH64" s="181">
        <v>768184</v>
      </c>
      <c r="AI64" s="181">
        <v>878779</v>
      </c>
      <c r="AJ64" s="181">
        <v>930559</v>
      </c>
    </row>
    <row r="65" spans="1:36" ht="17.25">
      <c r="A65" s="177" t="s">
        <v>1118</v>
      </c>
      <c r="B65" s="182" t="s">
        <v>1119</v>
      </c>
      <c r="C65" s="179">
        <f t="shared" si="3"/>
        <v>28737632</v>
      </c>
      <c r="D65" s="180">
        <f t="shared" si="4"/>
        <v>19.241155201729661</v>
      </c>
      <c r="E65" s="181">
        <v>832800</v>
      </c>
      <c r="F65" s="181">
        <v>786688</v>
      </c>
      <c r="G65" s="181">
        <v>818864</v>
      </c>
      <c r="H65" s="181">
        <v>884144</v>
      </c>
      <c r="I65" s="181">
        <v>886112</v>
      </c>
      <c r="J65" s="181">
        <v>848016</v>
      </c>
      <c r="K65" s="181">
        <v>952048</v>
      </c>
      <c r="L65" s="181">
        <v>932368</v>
      </c>
      <c r="M65" s="181">
        <v>932960</v>
      </c>
      <c r="N65" s="181">
        <v>935344</v>
      </c>
      <c r="O65" s="181">
        <v>882160</v>
      </c>
      <c r="P65" s="181">
        <v>880224</v>
      </c>
      <c r="Q65" s="181">
        <v>920272</v>
      </c>
      <c r="R65" s="181">
        <v>849952</v>
      </c>
      <c r="S65" s="181">
        <v>898640</v>
      </c>
      <c r="T65" s="181">
        <v>879376</v>
      </c>
      <c r="U65" s="181">
        <v>1049264</v>
      </c>
      <c r="V65" s="181">
        <v>889680</v>
      </c>
      <c r="W65" s="181">
        <v>928208</v>
      </c>
      <c r="X65" s="181">
        <v>1132992</v>
      </c>
      <c r="Y65" s="181">
        <v>896336</v>
      </c>
      <c r="Z65" s="181">
        <v>904864</v>
      </c>
      <c r="AA65" s="181">
        <v>897536</v>
      </c>
      <c r="AB65" s="181">
        <v>320032</v>
      </c>
      <c r="AC65" s="181">
        <v>1247904</v>
      </c>
      <c r="AD65" s="181">
        <v>932128</v>
      </c>
      <c r="AE65" s="181">
        <v>892128</v>
      </c>
      <c r="AF65" s="181">
        <v>888096</v>
      </c>
      <c r="AG65" s="181">
        <v>950288</v>
      </c>
      <c r="AH65" s="181">
        <v>807264</v>
      </c>
      <c r="AI65" s="181">
        <v>909264</v>
      </c>
      <c r="AJ65" s="181">
        <v>971680</v>
      </c>
    </row>
    <row r="66" spans="1:36" ht="17.25">
      <c r="A66" s="177" t="s">
        <v>1120</v>
      </c>
      <c r="B66" s="182" t="s">
        <v>1121</v>
      </c>
      <c r="C66" s="179">
        <f t="shared" si="3"/>
        <v>28786790</v>
      </c>
      <c r="D66" s="180">
        <f t="shared" si="4"/>
        <v>19.313096604348548</v>
      </c>
      <c r="E66" s="181">
        <v>824341</v>
      </c>
      <c r="F66" s="181">
        <v>822840</v>
      </c>
      <c r="G66" s="181">
        <v>895317</v>
      </c>
      <c r="H66" s="181">
        <v>867030</v>
      </c>
      <c r="I66" s="181">
        <v>865096</v>
      </c>
      <c r="J66" s="181">
        <v>848878</v>
      </c>
      <c r="K66" s="181">
        <v>986778</v>
      </c>
      <c r="L66" s="181">
        <v>922060</v>
      </c>
      <c r="M66" s="181">
        <v>955979</v>
      </c>
      <c r="N66" s="181">
        <v>1051891</v>
      </c>
      <c r="O66" s="181">
        <v>862571</v>
      </c>
      <c r="P66" s="181">
        <v>865340</v>
      </c>
      <c r="Q66" s="181">
        <v>906050</v>
      </c>
      <c r="R66" s="181">
        <v>828413</v>
      </c>
      <c r="S66" s="181">
        <v>880609</v>
      </c>
      <c r="T66" s="181">
        <v>857136</v>
      </c>
      <c r="U66" s="181">
        <v>1073029</v>
      </c>
      <c r="V66" s="181">
        <v>878292</v>
      </c>
      <c r="W66" s="181">
        <v>907707</v>
      </c>
      <c r="X66" s="181">
        <v>1146251</v>
      </c>
      <c r="Y66" s="181">
        <v>876151</v>
      </c>
      <c r="Z66" s="181">
        <v>891966</v>
      </c>
      <c r="AA66" s="181">
        <v>862862</v>
      </c>
      <c r="AB66" s="181">
        <v>443692</v>
      </c>
      <c r="AC66" s="181">
        <v>1269950</v>
      </c>
      <c r="AD66" s="181">
        <v>904993</v>
      </c>
      <c r="AE66" s="181">
        <v>890604</v>
      </c>
      <c r="AF66" s="181">
        <v>845367</v>
      </c>
      <c r="AG66" s="181">
        <v>935580</v>
      </c>
      <c r="AH66" s="181">
        <v>778874</v>
      </c>
      <c r="AI66" s="181">
        <v>886901</v>
      </c>
      <c r="AJ66" s="181">
        <v>954242</v>
      </c>
    </row>
    <row r="67" spans="1:36" ht="17.25">
      <c r="A67" s="177" t="s">
        <v>1122</v>
      </c>
      <c r="B67" s="178" t="s">
        <v>1123</v>
      </c>
      <c r="C67" s="179">
        <f t="shared" si="3"/>
        <v>28895695</v>
      </c>
      <c r="D67" s="180">
        <f t="shared" si="4"/>
        <v>19.347276446205019</v>
      </c>
      <c r="E67" s="181">
        <v>828009</v>
      </c>
      <c r="F67" s="181">
        <v>826439</v>
      </c>
      <c r="G67" s="181">
        <v>896579</v>
      </c>
      <c r="H67" s="181">
        <v>873011</v>
      </c>
      <c r="I67" s="181">
        <v>897101</v>
      </c>
      <c r="J67" s="181">
        <v>851255</v>
      </c>
      <c r="K67" s="181">
        <v>1000000</v>
      </c>
      <c r="L67" s="181">
        <v>925751</v>
      </c>
      <c r="M67" s="181">
        <v>959224</v>
      </c>
      <c r="N67" s="181">
        <v>942173</v>
      </c>
      <c r="O67" s="181">
        <v>866317</v>
      </c>
      <c r="P67" s="181">
        <v>869490</v>
      </c>
      <c r="Q67" s="181">
        <v>909913</v>
      </c>
      <c r="R67" s="181">
        <v>831840</v>
      </c>
      <c r="S67" s="181">
        <v>884632</v>
      </c>
      <c r="T67" s="181">
        <v>875816</v>
      </c>
      <c r="U67" s="181">
        <v>1080498</v>
      </c>
      <c r="V67" s="181">
        <v>882005</v>
      </c>
      <c r="W67" s="181">
        <v>911690</v>
      </c>
      <c r="X67" s="181">
        <v>1154119</v>
      </c>
      <c r="Y67" s="181">
        <v>880079</v>
      </c>
      <c r="Z67" s="181">
        <v>895820</v>
      </c>
      <c r="AA67" s="181">
        <v>866453</v>
      </c>
      <c r="AB67" s="181">
        <v>445719</v>
      </c>
      <c r="AC67" s="181">
        <v>1268916</v>
      </c>
      <c r="AD67" s="181">
        <v>909126</v>
      </c>
      <c r="AE67" s="181">
        <v>894956</v>
      </c>
      <c r="AF67" s="181">
        <v>840037</v>
      </c>
      <c r="AG67" s="181">
        <v>1015710</v>
      </c>
      <c r="AH67" s="181">
        <v>782441</v>
      </c>
      <c r="AI67" s="181">
        <v>890423</v>
      </c>
      <c r="AJ67" s="181">
        <v>940153</v>
      </c>
    </row>
    <row r="68" spans="1:36" ht="17.25">
      <c r="A68" s="192" t="s">
        <v>1124</v>
      </c>
      <c r="B68" s="193" t="s">
        <v>1072</v>
      </c>
      <c r="C68" s="194">
        <f t="shared" si="3"/>
        <v>28930204</v>
      </c>
      <c r="D68" s="195">
        <f t="shared" si="4"/>
        <v>19.352840634437715</v>
      </c>
      <c r="E68" s="196">
        <v>850115</v>
      </c>
      <c r="F68" s="196">
        <v>780777</v>
      </c>
      <c r="G68" s="196">
        <v>827348</v>
      </c>
      <c r="H68" s="196">
        <v>880339</v>
      </c>
      <c r="I68" s="196">
        <v>905894</v>
      </c>
      <c r="J68" s="196">
        <v>875309</v>
      </c>
      <c r="K68" s="196">
        <v>939288</v>
      </c>
      <c r="L68" s="196">
        <v>961429</v>
      </c>
      <c r="M68" s="196">
        <v>887801</v>
      </c>
      <c r="N68" s="196">
        <v>944496</v>
      </c>
      <c r="O68" s="196">
        <v>892027</v>
      </c>
      <c r="P68" s="196">
        <v>886263</v>
      </c>
      <c r="Q68" s="196">
        <v>936386</v>
      </c>
      <c r="R68" s="196">
        <v>869243</v>
      </c>
      <c r="S68" s="196">
        <v>921682</v>
      </c>
      <c r="T68" s="196">
        <v>888501</v>
      </c>
      <c r="U68" s="196">
        <v>995656</v>
      </c>
      <c r="V68" s="196">
        <v>898135</v>
      </c>
      <c r="W68" s="196">
        <v>944011</v>
      </c>
      <c r="X68" s="196">
        <v>1083344</v>
      </c>
      <c r="Y68" s="196">
        <v>914856</v>
      </c>
      <c r="Z68" s="196">
        <v>923141</v>
      </c>
      <c r="AA68" s="196">
        <v>916006</v>
      </c>
      <c r="AB68" s="196">
        <v>323848</v>
      </c>
      <c r="AC68" s="196">
        <v>1187923</v>
      </c>
      <c r="AD68" s="196">
        <v>954630</v>
      </c>
      <c r="AE68" s="196">
        <v>911363</v>
      </c>
      <c r="AF68" s="196">
        <v>865286</v>
      </c>
      <c r="AG68" s="196">
        <v>995066</v>
      </c>
      <c r="AH68" s="196">
        <v>831176</v>
      </c>
      <c r="AI68" s="196">
        <v>934943</v>
      </c>
      <c r="AJ68" s="196">
        <v>1003922</v>
      </c>
    </row>
    <row r="69" spans="1:36" ht="17.25">
      <c r="A69" s="177" t="s">
        <v>1125</v>
      </c>
      <c r="B69" s="178" t="s">
        <v>1126</v>
      </c>
      <c r="C69" s="179">
        <f t="shared" si="3"/>
        <v>29022331</v>
      </c>
      <c r="D69" s="180">
        <f t="shared" si="4"/>
        <v>19.342546543941538</v>
      </c>
      <c r="E69" s="181">
        <v>854792</v>
      </c>
      <c r="F69" s="181">
        <v>781832</v>
      </c>
      <c r="G69" s="181">
        <v>802520</v>
      </c>
      <c r="H69" s="181">
        <v>851067</v>
      </c>
      <c r="I69" s="181">
        <v>905876</v>
      </c>
      <c r="J69" s="181">
        <v>861056</v>
      </c>
      <c r="K69" s="181">
        <v>989648</v>
      </c>
      <c r="L69" s="181">
        <v>908472</v>
      </c>
      <c r="M69" s="181">
        <v>979380</v>
      </c>
      <c r="N69" s="181">
        <v>918520</v>
      </c>
      <c r="O69" s="181">
        <v>831480</v>
      </c>
      <c r="P69" s="181">
        <v>857100</v>
      </c>
      <c r="Q69" s="181">
        <v>923908</v>
      </c>
      <c r="R69" s="181">
        <v>866512</v>
      </c>
      <c r="S69" s="181">
        <v>896864</v>
      </c>
      <c r="T69" s="181">
        <v>920668</v>
      </c>
      <c r="U69" s="181">
        <v>1076872</v>
      </c>
      <c r="V69" s="181">
        <v>861652</v>
      </c>
      <c r="W69" s="181">
        <v>877616</v>
      </c>
      <c r="X69" s="181">
        <v>1193216</v>
      </c>
      <c r="Y69" s="181">
        <v>876548</v>
      </c>
      <c r="Z69" s="181">
        <v>878996</v>
      </c>
      <c r="AA69" s="181">
        <v>909392</v>
      </c>
      <c r="AB69" s="181">
        <v>324524</v>
      </c>
      <c r="AC69" s="181">
        <v>1247988</v>
      </c>
      <c r="AD69" s="181">
        <v>937920</v>
      </c>
      <c r="AE69" s="181">
        <v>949940</v>
      </c>
      <c r="AF69" s="181">
        <v>850940</v>
      </c>
      <c r="AG69" s="181">
        <v>1266540</v>
      </c>
      <c r="AH69" s="181">
        <v>783684</v>
      </c>
      <c r="AI69" s="181">
        <v>869948</v>
      </c>
      <c r="AJ69" s="181">
        <v>966860</v>
      </c>
    </row>
    <row r="70" spans="1:36" ht="17.25">
      <c r="A70" s="177" t="s">
        <v>1054</v>
      </c>
      <c r="B70" s="178" t="s">
        <v>1127</v>
      </c>
      <c r="C70" s="179">
        <f>SUM(E70:AL70)</f>
        <v>29036300</v>
      </c>
      <c r="D70" s="180">
        <f t="shared" si="4"/>
        <v>19.354177322308107</v>
      </c>
      <c r="E70" s="181">
        <v>829469</v>
      </c>
      <c r="F70" s="181">
        <v>820629</v>
      </c>
      <c r="G70" s="181">
        <v>876388</v>
      </c>
      <c r="H70" s="181">
        <v>913076</v>
      </c>
      <c r="I70" s="181">
        <v>956554</v>
      </c>
      <c r="J70" s="181">
        <v>839894</v>
      </c>
      <c r="K70" s="181">
        <v>941189</v>
      </c>
      <c r="L70" s="181">
        <v>887295</v>
      </c>
      <c r="M70" s="181">
        <v>975421</v>
      </c>
      <c r="N70" s="181">
        <v>999899</v>
      </c>
      <c r="O70" s="181">
        <v>892087</v>
      </c>
      <c r="P70" s="181">
        <v>839113</v>
      </c>
      <c r="Q70" s="181">
        <v>910892</v>
      </c>
      <c r="R70" s="181">
        <v>792786</v>
      </c>
      <c r="S70" s="181">
        <v>898288</v>
      </c>
      <c r="T70" s="181">
        <v>863914</v>
      </c>
      <c r="U70" s="181">
        <v>1044029</v>
      </c>
      <c r="V70" s="181">
        <v>845928</v>
      </c>
      <c r="W70" s="181">
        <v>939411</v>
      </c>
      <c r="X70" s="181">
        <v>1194949</v>
      </c>
      <c r="Y70" s="181">
        <v>922872</v>
      </c>
      <c r="Z70" s="181">
        <v>862443</v>
      </c>
      <c r="AA70" s="181">
        <v>866009</v>
      </c>
      <c r="AB70" s="181">
        <v>345036</v>
      </c>
      <c r="AC70" s="181">
        <v>1269790</v>
      </c>
      <c r="AD70" s="181">
        <v>943459</v>
      </c>
      <c r="AE70" s="181">
        <v>879177</v>
      </c>
      <c r="AF70" s="181">
        <v>924564</v>
      </c>
      <c r="AG70" s="181">
        <v>1044421</v>
      </c>
      <c r="AH70" s="181">
        <v>865632</v>
      </c>
      <c r="AI70" s="181">
        <v>898741</v>
      </c>
      <c r="AJ70" s="181">
        <v>952945</v>
      </c>
    </row>
    <row r="71" spans="1:36" ht="17.25">
      <c r="A71" s="177" t="s">
        <v>1054</v>
      </c>
      <c r="B71" s="178" t="s">
        <v>1128</v>
      </c>
      <c r="C71" s="179">
        <f>SUM(E71:AL71)</f>
        <v>29096223</v>
      </c>
      <c r="D71" s="180">
        <f t="shared" si="4"/>
        <v>19.41707156225435</v>
      </c>
      <c r="E71" s="181">
        <v>852754</v>
      </c>
      <c r="F71" s="181">
        <v>808744</v>
      </c>
      <c r="G71" s="181">
        <v>870180</v>
      </c>
      <c r="H71" s="181">
        <v>913152</v>
      </c>
      <c r="I71" s="181">
        <v>941923</v>
      </c>
      <c r="J71" s="181">
        <v>855182</v>
      </c>
      <c r="K71" s="181">
        <v>997945</v>
      </c>
      <c r="L71" s="181">
        <v>911760</v>
      </c>
      <c r="M71" s="181">
        <v>950656</v>
      </c>
      <c r="N71" s="181">
        <v>988789</v>
      </c>
      <c r="O71" s="181">
        <v>881243</v>
      </c>
      <c r="P71" s="181">
        <v>844543</v>
      </c>
      <c r="Q71" s="181">
        <v>910633</v>
      </c>
      <c r="R71" s="181">
        <v>788445</v>
      </c>
      <c r="S71" s="181">
        <v>913459</v>
      </c>
      <c r="T71" s="181">
        <v>864014</v>
      </c>
      <c r="U71" s="181">
        <v>1054723</v>
      </c>
      <c r="V71" s="181">
        <v>904228</v>
      </c>
      <c r="W71" s="181">
        <v>939523</v>
      </c>
      <c r="X71" s="181">
        <v>1077270</v>
      </c>
      <c r="Y71" s="181">
        <v>892824</v>
      </c>
      <c r="Z71" s="181">
        <v>890235</v>
      </c>
      <c r="AA71" s="181">
        <v>907215</v>
      </c>
      <c r="AB71" s="181">
        <v>339572</v>
      </c>
      <c r="AC71" s="181">
        <v>1238983</v>
      </c>
      <c r="AD71" s="181">
        <v>970591</v>
      </c>
      <c r="AE71" s="181">
        <v>883054</v>
      </c>
      <c r="AF71" s="181">
        <v>911353</v>
      </c>
      <c r="AG71" s="181">
        <v>1036366</v>
      </c>
      <c r="AH71" s="181">
        <v>853685</v>
      </c>
      <c r="AI71" s="181">
        <v>920739</v>
      </c>
      <c r="AJ71" s="181">
        <v>982440</v>
      </c>
    </row>
    <row r="72" spans="1:36" ht="17.25">
      <c r="A72" s="177" t="s">
        <v>1129</v>
      </c>
      <c r="B72" s="182" t="s">
        <v>1130</v>
      </c>
      <c r="C72" s="179">
        <f>SUM(E72:AL72)</f>
        <v>29204642</v>
      </c>
      <c r="D72" s="180">
        <f t="shared" si="4"/>
        <v>19.568664293920936</v>
      </c>
      <c r="E72" s="181">
        <v>852302</v>
      </c>
      <c r="F72" s="181">
        <v>799618</v>
      </c>
      <c r="G72" s="181">
        <v>821668</v>
      </c>
      <c r="H72" s="181">
        <v>898111</v>
      </c>
      <c r="I72" s="181">
        <v>894150</v>
      </c>
      <c r="J72" s="181">
        <v>858635</v>
      </c>
      <c r="K72" s="181">
        <v>990220</v>
      </c>
      <c r="L72" s="181">
        <v>944102</v>
      </c>
      <c r="M72" s="181">
        <v>974405</v>
      </c>
      <c r="N72" s="181">
        <v>934006</v>
      </c>
      <c r="O72" s="181">
        <v>892132</v>
      </c>
      <c r="P72" s="181">
        <v>898580</v>
      </c>
      <c r="Q72" s="181">
        <v>934683</v>
      </c>
      <c r="R72" s="181">
        <v>853171</v>
      </c>
      <c r="S72" s="181">
        <v>908635</v>
      </c>
      <c r="T72" s="181">
        <v>896163</v>
      </c>
      <c r="U72" s="181">
        <v>1078447</v>
      </c>
      <c r="V72" s="181">
        <v>899942</v>
      </c>
      <c r="W72" s="181">
        <v>937517</v>
      </c>
      <c r="X72" s="181">
        <v>1176449</v>
      </c>
      <c r="Y72" s="181">
        <v>912159</v>
      </c>
      <c r="Z72" s="181">
        <v>911170</v>
      </c>
      <c r="AA72" s="181">
        <v>908911</v>
      </c>
      <c r="AB72" s="181">
        <v>328966</v>
      </c>
      <c r="AC72" s="181">
        <v>1302009</v>
      </c>
      <c r="AD72" s="181">
        <v>943631</v>
      </c>
      <c r="AE72" s="181">
        <v>916277</v>
      </c>
      <c r="AF72" s="181">
        <v>897437</v>
      </c>
      <c r="AG72" s="181">
        <v>929268</v>
      </c>
      <c r="AH72" s="181">
        <v>813710</v>
      </c>
      <c r="AI72" s="181">
        <v>919150</v>
      </c>
      <c r="AJ72" s="181">
        <v>979018</v>
      </c>
    </row>
    <row r="73" spans="1:36" ht="17.25">
      <c r="A73" s="177" t="s">
        <v>1131</v>
      </c>
      <c r="B73" s="182" t="s">
        <v>1132</v>
      </c>
      <c r="C73" s="179">
        <f>SUM(E73:AL73)</f>
        <v>29251410</v>
      </c>
      <c r="D73" s="180">
        <f t="shared" si="4"/>
        <v>19.546944288578402</v>
      </c>
      <c r="E73" s="181">
        <v>855633</v>
      </c>
      <c r="F73" s="181">
        <v>798595</v>
      </c>
      <c r="G73" s="181">
        <v>860620</v>
      </c>
      <c r="H73" s="181">
        <v>868831</v>
      </c>
      <c r="I73" s="181">
        <v>918168</v>
      </c>
      <c r="J73" s="181">
        <v>881798</v>
      </c>
      <c r="K73" s="181">
        <v>954953</v>
      </c>
      <c r="L73" s="181">
        <v>963731</v>
      </c>
      <c r="M73" s="181">
        <v>903771</v>
      </c>
      <c r="N73" s="181">
        <v>973360</v>
      </c>
      <c r="O73" s="181">
        <v>896889</v>
      </c>
      <c r="P73" s="181">
        <v>889456</v>
      </c>
      <c r="Q73" s="181">
        <v>940322</v>
      </c>
      <c r="R73" s="181">
        <v>873588</v>
      </c>
      <c r="S73" s="181">
        <v>927064</v>
      </c>
      <c r="T73" s="181">
        <v>889982</v>
      </c>
      <c r="U73" s="181">
        <v>1004734</v>
      </c>
      <c r="V73" s="181">
        <v>903777</v>
      </c>
      <c r="W73" s="181">
        <v>948226</v>
      </c>
      <c r="X73" s="181">
        <v>1092267</v>
      </c>
      <c r="Y73" s="181">
        <v>913374</v>
      </c>
      <c r="Z73" s="181">
        <v>924898</v>
      </c>
      <c r="AA73" s="181">
        <v>922780</v>
      </c>
      <c r="AB73" s="181">
        <v>337356</v>
      </c>
      <c r="AC73" s="181">
        <v>1192570</v>
      </c>
      <c r="AD73" s="181">
        <v>960387</v>
      </c>
      <c r="AE73" s="181">
        <v>912952</v>
      </c>
      <c r="AF73" s="181">
        <v>910435</v>
      </c>
      <c r="AG73" s="181">
        <v>1034007</v>
      </c>
      <c r="AH73" s="181">
        <v>846802</v>
      </c>
      <c r="AI73" s="181">
        <v>943180</v>
      </c>
      <c r="AJ73" s="181">
        <v>1006904</v>
      </c>
    </row>
    <row r="74" spans="1:36" ht="17.25">
      <c r="A74" s="177" t="s">
        <v>1133</v>
      </c>
      <c r="B74" s="182" t="s">
        <v>1134</v>
      </c>
      <c r="C74" s="179">
        <f>SUM(E74:AL74)</f>
        <v>29452203</v>
      </c>
      <c r="D74" s="180">
        <f t="shared" si="4"/>
        <v>19.419999592637105</v>
      </c>
      <c r="E74" s="181">
        <v>786035</v>
      </c>
      <c r="F74" s="181">
        <v>875710</v>
      </c>
      <c r="G74" s="181">
        <v>1127165</v>
      </c>
      <c r="H74" s="181">
        <v>844893</v>
      </c>
      <c r="I74" s="181">
        <v>848277</v>
      </c>
      <c r="J74" s="181">
        <v>812072</v>
      </c>
      <c r="K74" s="181">
        <v>954502</v>
      </c>
      <c r="L74" s="181">
        <v>880087</v>
      </c>
      <c r="M74" s="181">
        <v>934554</v>
      </c>
      <c r="N74" s="181">
        <v>916004</v>
      </c>
      <c r="O74" s="181">
        <v>816800</v>
      </c>
      <c r="P74" s="181">
        <v>823055</v>
      </c>
      <c r="Q74" s="181">
        <v>854384</v>
      </c>
      <c r="R74" s="181">
        <v>780315</v>
      </c>
      <c r="S74" s="181">
        <v>840360</v>
      </c>
      <c r="T74" s="181">
        <v>818729</v>
      </c>
      <c r="U74" s="181">
        <v>1036359</v>
      </c>
      <c r="V74" s="181">
        <v>820353</v>
      </c>
      <c r="W74" s="181">
        <v>859798</v>
      </c>
      <c r="X74" s="181">
        <v>1122748</v>
      </c>
      <c r="Y74" s="181">
        <v>839672</v>
      </c>
      <c r="Z74" s="181">
        <v>846152</v>
      </c>
      <c r="AA74" s="181">
        <v>840020</v>
      </c>
      <c r="AB74" s="181">
        <v>318144</v>
      </c>
      <c r="AC74" s="181">
        <v>1257861</v>
      </c>
      <c r="AD74" s="181">
        <v>883003</v>
      </c>
      <c r="AE74" s="181">
        <v>862533</v>
      </c>
      <c r="AF74" s="181">
        <v>1873617</v>
      </c>
      <c r="AG74" s="181">
        <v>1427234</v>
      </c>
      <c r="AH74" s="181">
        <v>772093</v>
      </c>
      <c r="AI74" s="181">
        <v>857276</v>
      </c>
      <c r="AJ74" s="181">
        <v>922398</v>
      </c>
    </row>
    <row r="75" spans="1:36" ht="17.25">
      <c r="A75" s="177" t="s">
        <v>1135</v>
      </c>
      <c r="B75" s="178" t="s">
        <v>1113</v>
      </c>
      <c r="C75" s="179">
        <f t="shared" ref="C75:C88" si="5">SUM(E75:AL75)</f>
        <v>29671833</v>
      </c>
      <c r="D75" s="180">
        <f t="shared" si="4"/>
        <v>19.900935898904887</v>
      </c>
      <c r="E75" s="181">
        <v>849553</v>
      </c>
      <c r="F75" s="181">
        <v>805333</v>
      </c>
      <c r="G75" s="181">
        <v>849909</v>
      </c>
      <c r="H75" s="181">
        <v>1063970</v>
      </c>
      <c r="I75" s="181">
        <v>892090</v>
      </c>
      <c r="J75" s="181">
        <v>865598</v>
      </c>
      <c r="K75" s="181">
        <v>1022495</v>
      </c>
      <c r="L75" s="181">
        <v>950978</v>
      </c>
      <c r="M75" s="181">
        <v>1003584</v>
      </c>
      <c r="N75" s="181">
        <v>980198</v>
      </c>
      <c r="O75" s="181">
        <v>886913</v>
      </c>
      <c r="P75" s="181">
        <v>885253</v>
      </c>
      <c r="Q75" s="181">
        <v>927300</v>
      </c>
      <c r="R75" s="181">
        <v>823623</v>
      </c>
      <c r="S75" s="181">
        <v>922947</v>
      </c>
      <c r="T75" s="181">
        <v>895711</v>
      </c>
      <c r="U75" s="181">
        <v>1109540</v>
      </c>
      <c r="V75" s="181">
        <v>908612</v>
      </c>
      <c r="W75" s="181">
        <v>945318</v>
      </c>
      <c r="X75" s="181">
        <v>1205591</v>
      </c>
      <c r="Y75" s="181">
        <v>916649</v>
      </c>
      <c r="Z75" s="181">
        <v>924792</v>
      </c>
      <c r="AA75" s="181">
        <v>914405</v>
      </c>
      <c r="AB75" s="181">
        <v>335682</v>
      </c>
      <c r="AC75" s="181">
        <v>1312302</v>
      </c>
      <c r="AD75" s="181">
        <v>958870</v>
      </c>
      <c r="AE75" s="181">
        <v>913401</v>
      </c>
      <c r="AF75" s="181">
        <v>895805</v>
      </c>
      <c r="AG75" s="181">
        <v>960441</v>
      </c>
      <c r="AH75" s="181">
        <v>818875</v>
      </c>
      <c r="AI75" s="181">
        <v>928969</v>
      </c>
      <c r="AJ75" s="181">
        <v>997126</v>
      </c>
    </row>
    <row r="76" spans="1:36" ht="17.25">
      <c r="A76" s="177" t="s">
        <v>1136</v>
      </c>
      <c r="B76" s="182" t="s">
        <v>1137</v>
      </c>
      <c r="C76" s="179">
        <f t="shared" si="5"/>
        <v>30934482</v>
      </c>
      <c r="D76" s="180">
        <f t="shared" si="4"/>
        <v>20.629680613022021</v>
      </c>
      <c r="E76" s="181">
        <v>821973</v>
      </c>
      <c r="F76" s="181">
        <v>1207977</v>
      </c>
      <c r="G76" s="181">
        <v>1746344</v>
      </c>
      <c r="H76" s="181">
        <v>867726</v>
      </c>
      <c r="I76" s="181">
        <v>872659</v>
      </c>
      <c r="J76" s="181">
        <v>828329</v>
      </c>
      <c r="K76" s="181">
        <v>957442</v>
      </c>
      <c r="L76" s="181">
        <v>912207</v>
      </c>
      <c r="M76" s="181">
        <v>939233</v>
      </c>
      <c r="N76" s="181">
        <v>1496607</v>
      </c>
      <c r="O76" s="181">
        <v>861007</v>
      </c>
      <c r="P76" s="181">
        <v>864655</v>
      </c>
      <c r="Q76" s="181">
        <v>900861</v>
      </c>
      <c r="R76" s="181">
        <v>838870</v>
      </c>
      <c r="S76" s="181">
        <v>875302</v>
      </c>
      <c r="T76" s="181">
        <v>865541</v>
      </c>
      <c r="U76" s="181">
        <v>1040701</v>
      </c>
      <c r="V76" s="181">
        <v>868487</v>
      </c>
      <c r="W76" s="181">
        <v>906970</v>
      </c>
      <c r="X76" s="181">
        <v>1129183</v>
      </c>
      <c r="Y76" s="181">
        <v>877606</v>
      </c>
      <c r="Z76" s="181">
        <v>881362</v>
      </c>
      <c r="AA76" s="181">
        <v>875492</v>
      </c>
      <c r="AB76" s="181">
        <v>511318</v>
      </c>
      <c r="AC76" s="181">
        <v>1240439</v>
      </c>
      <c r="AD76" s="181">
        <v>920109</v>
      </c>
      <c r="AE76" s="181">
        <v>885503</v>
      </c>
      <c r="AF76" s="181">
        <v>870470</v>
      </c>
      <c r="AG76" s="181">
        <v>1443115</v>
      </c>
      <c r="AH76" s="181">
        <v>793646</v>
      </c>
      <c r="AI76" s="181">
        <v>885414</v>
      </c>
      <c r="AJ76" s="181">
        <v>947934</v>
      </c>
    </row>
    <row r="77" spans="1:36" ht="17.25">
      <c r="A77" s="177" t="s">
        <v>1138</v>
      </c>
      <c r="B77" s="178" t="s">
        <v>1139</v>
      </c>
      <c r="C77" s="179">
        <f t="shared" si="5"/>
        <v>33176584</v>
      </c>
      <c r="D77" s="180">
        <f t="shared" si="4"/>
        <v>22.175395621311285</v>
      </c>
      <c r="E77" s="181">
        <v>966131</v>
      </c>
      <c r="F77" s="181">
        <v>901509</v>
      </c>
      <c r="G77" s="181">
        <v>990112</v>
      </c>
      <c r="H77" s="181">
        <v>1021919</v>
      </c>
      <c r="I77" s="181">
        <v>1065383</v>
      </c>
      <c r="J77" s="181">
        <v>987286</v>
      </c>
      <c r="K77" s="181">
        <v>1090288</v>
      </c>
      <c r="L77" s="181">
        <v>1083454</v>
      </c>
      <c r="M77" s="181">
        <v>1046207</v>
      </c>
      <c r="N77" s="181">
        <v>1111422</v>
      </c>
      <c r="O77" s="181">
        <v>1012375</v>
      </c>
      <c r="P77" s="181">
        <v>998184</v>
      </c>
      <c r="Q77" s="181">
        <v>1061028</v>
      </c>
      <c r="R77" s="181">
        <v>982993</v>
      </c>
      <c r="S77" s="181">
        <v>1046517</v>
      </c>
      <c r="T77" s="181">
        <v>998430</v>
      </c>
      <c r="U77" s="181">
        <v>1156843</v>
      </c>
      <c r="V77" s="181">
        <v>1025184</v>
      </c>
      <c r="W77" s="181">
        <v>1068939</v>
      </c>
      <c r="X77" s="181">
        <v>1256169</v>
      </c>
      <c r="Y77" s="181">
        <v>1023675</v>
      </c>
      <c r="Z77" s="181">
        <v>1049571</v>
      </c>
      <c r="AA77" s="181">
        <v>1036188</v>
      </c>
      <c r="AB77" s="181">
        <v>427211</v>
      </c>
      <c r="AC77" s="181">
        <v>1341380</v>
      </c>
      <c r="AD77" s="181">
        <v>1084360</v>
      </c>
      <c r="AE77" s="181">
        <v>1024516</v>
      </c>
      <c r="AF77" s="181">
        <v>980999</v>
      </c>
      <c r="AG77" s="181">
        <v>1172128</v>
      </c>
      <c r="AH77" s="181">
        <v>972634</v>
      </c>
      <c r="AI77" s="181">
        <v>1065898</v>
      </c>
      <c r="AJ77" s="181">
        <v>1127651</v>
      </c>
    </row>
    <row r="78" spans="1:36" ht="17.25">
      <c r="A78" s="177" t="s">
        <v>1140</v>
      </c>
      <c r="B78" s="182" t="s">
        <v>1141</v>
      </c>
      <c r="C78" s="179">
        <f t="shared" si="5"/>
        <v>34304455</v>
      </c>
      <c r="D78" s="180">
        <f t="shared" si="4"/>
        <v>22.71799375572008</v>
      </c>
      <c r="E78" s="181">
        <v>938859</v>
      </c>
      <c r="F78" s="181">
        <v>964572</v>
      </c>
      <c r="G78" s="181">
        <v>1057797</v>
      </c>
      <c r="H78" s="181">
        <v>1018620</v>
      </c>
      <c r="I78" s="181">
        <v>1044975</v>
      </c>
      <c r="J78" s="181">
        <v>968770</v>
      </c>
      <c r="K78" s="181">
        <v>1137165</v>
      </c>
      <c r="L78" s="181">
        <v>1092910</v>
      </c>
      <c r="M78" s="181">
        <v>1059130</v>
      </c>
      <c r="N78" s="181">
        <v>1288136</v>
      </c>
      <c r="O78" s="181">
        <v>991734</v>
      </c>
      <c r="P78" s="181">
        <v>994705</v>
      </c>
      <c r="Q78" s="181">
        <v>1053051</v>
      </c>
      <c r="R78" s="181">
        <v>973397</v>
      </c>
      <c r="S78" s="181">
        <v>1022871</v>
      </c>
      <c r="T78" s="181">
        <v>1002783</v>
      </c>
      <c r="U78" s="181">
        <v>1197998</v>
      </c>
      <c r="V78" s="181">
        <v>1041970</v>
      </c>
      <c r="W78" s="181">
        <v>1078521</v>
      </c>
      <c r="X78" s="181">
        <v>1255544</v>
      </c>
      <c r="Y78" s="181">
        <v>1028002</v>
      </c>
      <c r="Z78" s="181">
        <v>1073184</v>
      </c>
      <c r="AA78" s="181">
        <v>1012713</v>
      </c>
      <c r="AB78" s="181">
        <v>555985</v>
      </c>
      <c r="AC78" s="181">
        <v>1375941</v>
      </c>
      <c r="AD78" s="181">
        <v>1080740</v>
      </c>
      <c r="AE78" s="181">
        <v>1062393</v>
      </c>
      <c r="AF78" s="181">
        <v>984672</v>
      </c>
      <c r="AG78" s="181">
        <v>1863561</v>
      </c>
      <c r="AH78" s="181">
        <v>932441</v>
      </c>
      <c r="AI78" s="181">
        <v>1027832</v>
      </c>
      <c r="AJ78" s="181">
        <v>1123483</v>
      </c>
    </row>
    <row r="79" spans="1:36" ht="17.25">
      <c r="A79" s="177" t="s">
        <v>1142</v>
      </c>
      <c r="B79" s="182" t="s">
        <v>1143</v>
      </c>
      <c r="C79" s="179">
        <f t="shared" si="5"/>
        <v>34414800</v>
      </c>
      <c r="D79" s="180">
        <f t="shared" si="4"/>
        <v>22.999489279305266</v>
      </c>
      <c r="E79" s="181">
        <v>990352</v>
      </c>
      <c r="F79" s="181">
        <v>923953</v>
      </c>
      <c r="G79" s="181">
        <v>1031396</v>
      </c>
      <c r="H79" s="181">
        <v>1072437</v>
      </c>
      <c r="I79" s="181">
        <v>1094132</v>
      </c>
      <c r="J79" s="181">
        <v>1009008</v>
      </c>
      <c r="K79" s="181">
        <v>1179470</v>
      </c>
      <c r="L79" s="181">
        <v>1109772</v>
      </c>
      <c r="M79" s="181">
        <v>1133260</v>
      </c>
      <c r="N79" s="181">
        <v>1140122</v>
      </c>
      <c r="O79" s="181">
        <v>1034415</v>
      </c>
      <c r="P79" s="181">
        <v>1022000</v>
      </c>
      <c r="Q79" s="181">
        <v>1083908</v>
      </c>
      <c r="R79" s="181">
        <v>1006674</v>
      </c>
      <c r="S79" s="181">
        <v>1071616</v>
      </c>
      <c r="T79" s="181">
        <v>1024238</v>
      </c>
      <c r="U79" s="181">
        <v>1243640</v>
      </c>
      <c r="V79" s="181">
        <v>1051420</v>
      </c>
      <c r="W79" s="181">
        <v>1097292</v>
      </c>
      <c r="X79" s="181">
        <v>1363450</v>
      </c>
      <c r="Y79" s="181">
        <v>1050258</v>
      </c>
      <c r="Z79" s="181">
        <v>1074684</v>
      </c>
      <c r="AA79" s="181">
        <v>1063140</v>
      </c>
      <c r="AB79" s="181">
        <v>432506</v>
      </c>
      <c r="AC79" s="181">
        <v>1453616</v>
      </c>
      <c r="AD79" s="181">
        <v>1109882</v>
      </c>
      <c r="AE79" s="181">
        <v>1054392</v>
      </c>
      <c r="AF79" s="181">
        <v>1012388</v>
      </c>
      <c r="AG79" s="181">
        <v>1242477</v>
      </c>
      <c r="AH79" s="181">
        <v>994638</v>
      </c>
      <c r="AI79" s="181">
        <v>1090102</v>
      </c>
      <c r="AJ79" s="181">
        <v>1154162</v>
      </c>
    </row>
    <row r="80" spans="1:36" ht="17.25">
      <c r="A80" s="166" t="s">
        <v>1144</v>
      </c>
      <c r="B80" s="183" t="s">
        <v>1145</v>
      </c>
      <c r="C80" s="184">
        <f t="shared" si="5"/>
        <v>37202956</v>
      </c>
      <c r="D80" s="185">
        <f t="shared" si="4"/>
        <v>24.84395482784813</v>
      </c>
      <c r="E80" s="186">
        <v>1065712</v>
      </c>
      <c r="F80" s="186">
        <v>1010272</v>
      </c>
      <c r="G80" s="186">
        <v>1109512</v>
      </c>
      <c r="H80" s="186">
        <v>1149760</v>
      </c>
      <c r="I80" s="186">
        <v>1203240</v>
      </c>
      <c r="J80" s="186">
        <v>1095216</v>
      </c>
      <c r="K80" s="186">
        <v>1310616</v>
      </c>
      <c r="L80" s="186">
        <v>1183452</v>
      </c>
      <c r="M80" s="186">
        <v>1234352</v>
      </c>
      <c r="N80" s="186">
        <v>1230780</v>
      </c>
      <c r="O80" s="186">
        <v>1113204</v>
      </c>
      <c r="P80" s="186">
        <v>1098176</v>
      </c>
      <c r="Q80" s="186">
        <v>1171300</v>
      </c>
      <c r="R80" s="186">
        <v>1083316</v>
      </c>
      <c r="S80" s="186">
        <v>1150928</v>
      </c>
      <c r="T80" s="186">
        <v>1111268</v>
      </c>
      <c r="U80" s="186">
        <v>1347696</v>
      </c>
      <c r="V80" s="186">
        <v>1127728</v>
      </c>
      <c r="W80" s="186">
        <v>1176428</v>
      </c>
      <c r="X80" s="186">
        <v>1464512</v>
      </c>
      <c r="Y80" s="186">
        <v>1126272</v>
      </c>
      <c r="Z80" s="186">
        <v>1147336</v>
      </c>
      <c r="AA80" s="186">
        <v>1139628</v>
      </c>
      <c r="AB80" s="186">
        <v>468864</v>
      </c>
      <c r="AC80" s="186">
        <v>1566824</v>
      </c>
      <c r="AD80" s="186">
        <v>1191404</v>
      </c>
      <c r="AE80" s="186">
        <v>1129196</v>
      </c>
      <c r="AF80" s="186">
        <v>1125448</v>
      </c>
      <c r="AG80" s="186">
        <v>1374900</v>
      </c>
      <c r="AH80" s="186">
        <v>1082272</v>
      </c>
      <c r="AI80" s="186">
        <v>1168908</v>
      </c>
      <c r="AJ80" s="186">
        <v>1244436</v>
      </c>
    </row>
    <row r="81" spans="1:36" ht="17.25">
      <c r="A81" s="166" t="s">
        <v>1146</v>
      </c>
      <c r="B81" s="187" t="s">
        <v>1147</v>
      </c>
      <c r="C81" s="184">
        <f t="shared" si="5"/>
        <v>42391667</v>
      </c>
      <c r="D81" s="185">
        <f t="shared" si="4"/>
        <v>28.3386811629044</v>
      </c>
      <c r="E81" s="186">
        <v>1232989</v>
      </c>
      <c r="F81" s="186">
        <v>1160115</v>
      </c>
      <c r="G81" s="186">
        <v>1380703</v>
      </c>
      <c r="H81" s="186">
        <v>1206306</v>
      </c>
      <c r="I81" s="186">
        <v>1236551</v>
      </c>
      <c r="J81" s="186">
        <v>1248924</v>
      </c>
      <c r="K81" s="186">
        <v>1384131</v>
      </c>
      <c r="L81" s="186">
        <v>1392405</v>
      </c>
      <c r="M81" s="186">
        <v>1296467</v>
      </c>
      <c r="N81" s="186">
        <v>1497013</v>
      </c>
      <c r="O81" s="186">
        <v>1307100</v>
      </c>
      <c r="P81" s="186">
        <v>1280921</v>
      </c>
      <c r="Q81" s="186">
        <v>1361368</v>
      </c>
      <c r="R81" s="186">
        <v>1269624</v>
      </c>
      <c r="S81" s="186">
        <v>1353080</v>
      </c>
      <c r="T81" s="186">
        <v>1139364</v>
      </c>
      <c r="U81" s="186">
        <v>1624095</v>
      </c>
      <c r="V81" s="186">
        <v>1353863</v>
      </c>
      <c r="W81" s="186">
        <v>1384645</v>
      </c>
      <c r="X81" s="186">
        <v>1710951</v>
      </c>
      <c r="Y81" s="186">
        <v>1316159</v>
      </c>
      <c r="Z81" s="186">
        <v>1373722</v>
      </c>
      <c r="AA81" s="186">
        <v>1328595</v>
      </c>
      <c r="AB81" s="186">
        <v>675560</v>
      </c>
      <c r="AC81" s="186">
        <v>1639118</v>
      </c>
      <c r="AD81" s="186">
        <v>1400277</v>
      </c>
      <c r="AE81" s="186">
        <v>1157710</v>
      </c>
      <c r="AF81" s="186">
        <v>1349050</v>
      </c>
      <c r="AG81" s="186">
        <v>1411673</v>
      </c>
      <c r="AH81" s="186">
        <v>1288173</v>
      </c>
      <c r="AI81" s="186">
        <v>1355857</v>
      </c>
      <c r="AJ81" s="186">
        <v>1275158</v>
      </c>
    </row>
    <row r="82" spans="1:36" ht="17.25">
      <c r="A82" s="166" t="s">
        <v>1148</v>
      </c>
      <c r="B82" s="183" t="s">
        <v>1149</v>
      </c>
      <c r="C82" s="184">
        <f t="shared" si="5"/>
        <v>43397340</v>
      </c>
      <c r="D82" s="185">
        <f t="shared" si="4"/>
        <v>28.94016365604805</v>
      </c>
      <c r="E82" s="186">
        <v>1223891</v>
      </c>
      <c r="F82" s="186">
        <v>1149257</v>
      </c>
      <c r="G82" s="186">
        <v>1373841</v>
      </c>
      <c r="H82" s="186">
        <v>1350281</v>
      </c>
      <c r="I82" s="186">
        <v>1381566</v>
      </c>
      <c r="J82" s="186">
        <v>1239550</v>
      </c>
      <c r="K82" s="186">
        <v>1514638</v>
      </c>
      <c r="L82" s="186">
        <v>1375600</v>
      </c>
      <c r="M82" s="186">
        <v>1431040</v>
      </c>
      <c r="N82" s="186">
        <v>1477783</v>
      </c>
      <c r="O82" s="186">
        <v>1295015</v>
      </c>
      <c r="P82" s="186">
        <v>1262891</v>
      </c>
      <c r="Q82" s="186">
        <v>1349358</v>
      </c>
      <c r="R82" s="186">
        <v>1258899</v>
      </c>
      <c r="S82" s="186">
        <v>1335359</v>
      </c>
      <c r="T82" s="186">
        <v>1271456</v>
      </c>
      <c r="U82" s="186">
        <v>1596335</v>
      </c>
      <c r="V82" s="186">
        <v>1336017</v>
      </c>
      <c r="W82" s="186">
        <v>1369972</v>
      </c>
      <c r="X82" s="186">
        <v>1690161</v>
      </c>
      <c r="Y82" s="186">
        <v>1300940</v>
      </c>
      <c r="Z82" s="186">
        <v>1352062</v>
      </c>
      <c r="AA82" s="186">
        <v>1313038</v>
      </c>
      <c r="AB82" s="186">
        <v>661378</v>
      </c>
      <c r="AC82" s="186">
        <v>1774515</v>
      </c>
      <c r="AD82" s="186">
        <v>1372494</v>
      </c>
      <c r="AE82" s="186">
        <v>1282322</v>
      </c>
      <c r="AF82" s="186">
        <v>1310511</v>
      </c>
      <c r="AG82" s="186">
        <v>1716677</v>
      </c>
      <c r="AH82" s="186">
        <v>1269406</v>
      </c>
      <c r="AI82" s="186">
        <v>1345106</v>
      </c>
      <c r="AJ82" s="186">
        <v>1415981</v>
      </c>
    </row>
    <row r="83" spans="1:36" ht="17.25">
      <c r="A83" s="167" t="s">
        <v>1150</v>
      </c>
      <c r="B83" s="168" t="s">
        <v>1151</v>
      </c>
      <c r="C83" s="169">
        <f t="shared" si="5"/>
        <v>45071521</v>
      </c>
      <c r="D83" s="170">
        <f t="shared" si="4"/>
        <v>30.055485670128686</v>
      </c>
      <c r="E83" s="171">
        <v>1266066</v>
      </c>
      <c r="F83" s="171">
        <v>1183514</v>
      </c>
      <c r="G83" s="171">
        <v>1430304</v>
      </c>
      <c r="H83" s="171">
        <v>1405919</v>
      </c>
      <c r="I83" s="171">
        <v>1441275</v>
      </c>
      <c r="J83" s="171">
        <v>1277016</v>
      </c>
      <c r="K83" s="171">
        <v>1566658</v>
      </c>
      <c r="L83" s="171">
        <v>1431013</v>
      </c>
      <c r="M83" s="171">
        <v>1479010</v>
      </c>
      <c r="N83" s="171">
        <v>1542811</v>
      </c>
      <c r="O83" s="171">
        <v>1344444</v>
      </c>
      <c r="P83" s="171">
        <v>1309448</v>
      </c>
      <c r="Q83" s="171">
        <v>1398418</v>
      </c>
      <c r="R83" s="171">
        <v>1310272</v>
      </c>
      <c r="S83" s="171">
        <v>1387413</v>
      </c>
      <c r="T83" s="171">
        <v>1316703</v>
      </c>
      <c r="U83" s="171">
        <v>1649410</v>
      </c>
      <c r="V83" s="171">
        <v>1397536</v>
      </c>
      <c r="W83" s="171">
        <v>1425648</v>
      </c>
      <c r="X83" s="171">
        <v>1737859</v>
      </c>
      <c r="Y83" s="171">
        <v>1352563</v>
      </c>
      <c r="Z83" s="171">
        <v>1413040</v>
      </c>
      <c r="AA83" s="171">
        <v>1364296</v>
      </c>
      <c r="AB83" s="171">
        <v>717916</v>
      </c>
      <c r="AC83" s="171">
        <v>1818923</v>
      </c>
      <c r="AD83" s="171">
        <v>1430790</v>
      </c>
      <c r="AE83" s="171">
        <v>1331508</v>
      </c>
      <c r="AF83" s="171">
        <v>1368435</v>
      </c>
      <c r="AG83" s="171">
        <v>1781024</v>
      </c>
      <c r="AH83" s="171">
        <v>1325867</v>
      </c>
      <c r="AI83" s="171">
        <v>1393366</v>
      </c>
      <c r="AJ83" s="171">
        <v>1473056</v>
      </c>
    </row>
    <row r="84" spans="1:36" ht="17.25">
      <c r="A84" s="167" t="s">
        <v>1152</v>
      </c>
      <c r="B84" s="172" t="s">
        <v>1153</v>
      </c>
      <c r="C84" s="169">
        <f t="shared" si="5"/>
        <v>55085644</v>
      </c>
      <c r="D84" s="170">
        <f t="shared" si="4"/>
        <v>36.624900395002662</v>
      </c>
      <c r="E84" s="171">
        <v>1503012</v>
      </c>
      <c r="F84" s="171">
        <v>1614596</v>
      </c>
      <c r="G84" s="171">
        <v>1986964</v>
      </c>
      <c r="H84" s="171">
        <v>1653664</v>
      </c>
      <c r="I84" s="171">
        <v>1759088</v>
      </c>
      <c r="J84" s="171">
        <v>1690788</v>
      </c>
      <c r="K84" s="171">
        <v>1893664</v>
      </c>
      <c r="L84" s="171">
        <v>1699124</v>
      </c>
      <c r="M84" s="171">
        <v>1694064</v>
      </c>
      <c r="N84" s="171">
        <v>2220244</v>
      </c>
      <c r="O84" s="171">
        <v>1551748</v>
      </c>
      <c r="P84" s="171">
        <v>1518772</v>
      </c>
      <c r="Q84" s="171">
        <v>1673652</v>
      </c>
      <c r="R84" s="171">
        <v>1542900</v>
      </c>
      <c r="S84" s="171">
        <v>1631812</v>
      </c>
      <c r="T84" s="171">
        <v>1558304</v>
      </c>
      <c r="U84" s="171">
        <v>1875364</v>
      </c>
      <c r="V84" s="171">
        <v>1689988</v>
      </c>
      <c r="W84" s="171">
        <v>1783780</v>
      </c>
      <c r="X84" s="171">
        <v>2010836</v>
      </c>
      <c r="Y84" s="171">
        <v>1675396</v>
      </c>
      <c r="Z84" s="171">
        <v>1677396</v>
      </c>
      <c r="AA84" s="171">
        <v>1618660</v>
      </c>
      <c r="AB84" s="171">
        <v>987604</v>
      </c>
      <c r="AC84" s="171">
        <v>2149296</v>
      </c>
      <c r="AD84" s="171">
        <v>1699940</v>
      </c>
      <c r="AE84" s="171">
        <v>1582576</v>
      </c>
      <c r="AF84" s="171">
        <v>1482772</v>
      </c>
      <c r="AG84" s="171">
        <v>2623152</v>
      </c>
      <c r="AH84" s="171">
        <v>1566276</v>
      </c>
      <c r="AI84" s="171">
        <v>1705124</v>
      </c>
      <c r="AJ84" s="171">
        <v>1765088</v>
      </c>
    </row>
    <row r="85" spans="1:36" ht="17.25">
      <c r="A85" s="167" t="s">
        <v>1154</v>
      </c>
      <c r="B85" s="172" t="s">
        <v>1155</v>
      </c>
      <c r="C85" s="169">
        <f t="shared" si="5"/>
        <v>56120724</v>
      </c>
      <c r="D85" s="170">
        <f>((E85*100/4457012)+(F85*100/4666092)+(G85*100/4564694)+(H85*100/3934071)+(I85*100/4887915)+(J85*100/4213444)+(K85*100/3969347)+(L85*100/4648398)+(M85*100/4423667)+(N85*100/4183633)+(O85*100/4598571)+(P85*100/4650256)+(Q85*100/4428442)+(R85*100/3615242)+(S85*100/5768156)+(T85*100/4495508)+(U85*100/4650166)+(V85*100/4800546)+(W85*100/5054225)+(X85*100/4265815)+(Y85*100/4769289)+(Z85*100/4139514)+(AA85*100/4248764)+(AB85*100/4567817)+(AC85*100/6356919)+(AD85*100/4414836)+(AE85*100/5105832)+(AF85*100/5712519)+(AG85*100/11302195)+(AI85*100/5427923)+(AJ85*100/4134752))/31</f>
        <v>37.323686226465085</v>
      </c>
      <c r="E85" s="171">
        <v>1524764</v>
      </c>
      <c r="F85" s="171">
        <v>1476583</v>
      </c>
      <c r="G85" s="171">
        <v>1872516</v>
      </c>
      <c r="H85" s="171">
        <v>1794012</v>
      </c>
      <c r="I85" s="171">
        <v>1836419</v>
      </c>
      <c r="J85" s="171">
        <v>1547517</v>
      </c>
      <c r="K85" s="171">
        <v>1897268</v>
      </c>
      <c r="L85" s="171">
        <v>1831842</v>
      </c>
      <c r="M85" s="171">
        <v>1827431</v>
      </c>
      <c r="N85" s="171">
        <v>2005595</v>
      </c>
      <c r="O85" s="171">
        <v>1624587</v>
      </c>
      <c r="P85" s="171">
        <v>1570974</v>
      </c>
      <c r="Q85" s="171">
        <v>1695483</v>
      </c>
      <c r="R85" s="171">
        <v>1598857</v>
      </c>
      <c r="S85" s="171">
        <v>1684677</v>
      </c>
      <c r="T85" s="171">
        <v>1577092</v>
      </c>
      <c r="U85" s="171">
        <v>2053352</v>
      </c>
      <c r="V85" s="171">
        <v>1726618</v>
      </c>
      <c r="W85" s="171">
        <v>1745341</v>
      </c>
      <c r="X85" s="171">
        <v>2052012</v>
      </c>
      <c r="Y85" s="171">
        <v>1650440</v>
      </c>
      <c r="Z85" s="171">
        <v>1818102</v>
      </c>
      <c r="AA85" s="171">
        <v>1664701</v>
      </c>
      <c r="AB85" s="171">
        <v>1071434</v>
      </c>
      <c r="AC85" s="171">
        <v>2114233</v>
      </c>
      <c r="AD85" s="171">
        <v>1820881</v>
      </c>
      <c r="AE85" s="171">
        <v>1600525</v>
      </c>
      <c r="AF85" s="171">
        <v>1711447</v>
      </c>
      <c r="AG85" s="171">
        <v>2487170</v>
      </c>
      <c r="AH85" s="171">
        <v>1686385</v>
      </c>
      <c r="AI85" s="171">
        <v>1694774</v>
      </c>
      <c r="AJ85" s="171">
        <v>1857692</v>
      </c>
    </row>
    <row r="86" spans="1:36" ht="17.25">
      <c r="A86" s="167" t="s">
        <v>1156</v>
      </c>
      <c r="B86" s="172" t="s">
        <v>1121</v>
      </c>
      <c r="C86" s="169">
        <f t="shared" si="5"/>
        <v>58186647</v>
      </c>
      <c r="D86" s="170">
        <f>((E86*100/4457012)+(F86*100/4666092)+(G86*100/4564694)+(H86*100/3934071)+(I86*100/4887915)+(J86*100/4213444)+(K86*100/3969347)+(L86*100/4648398)+(M86*100/4423667)+(N86*100/4183633)+(O86*100/4598571)+(P86*100/4650256)+(Q86*100/4428442)+(R86*100/3615242)+(S86*100/5768156)+(T86*100/4495508)+(U86*100/4650166)+(V86*100/4800546)+(W86*100/5054225)+(X86*100/4265815)+(Y86*100/4769289)+(Z86*100/4139514)+(AA86*100/4248764)+(AB86*100/4567817)+(AC86*100/6356919)+(AD86*100/4414836)+(AE86*100/5105832)+(AF86*100/5712519)+(AG86*100/11302195)+(AI86*100/5427923)+(AJ86*100/4134752))/31</f>
        <v>38.769208417811669</v>
      </c>
      <c r="E86" s="171">
        <v>1591458</v>
      </c>
      <c r="F86" s="171">
        <v>1476612</v>
      </c>
      <c r="G86" s="171">
        <v>1872545</v>
      </c>
      <c r="H86" s="171">
        <v>1794037</v>
      </c>
      <c r="I86" s="171">
        <v>1836403</v>
      </c>
      <c r="J86" s="171">
        <v>1607387</v>
      </c>
      <c r="K86" s="171">
        <v>1979393</v>
      </c>
      <c r="L86" s="171">
        <v>1831871</v>
      </c>
      <c r="M86" s="171">
        <v>1827415</v>
      </c>
      <c r="N86" s="171">
        <v>2005624</v>
      </c>
      <c r="O86" s="171">
        <v>1691743</v>
      </c>
      <c r="P86" s="171">
        <v>1639369</v>
      </c>
      <c r="Q86" s="171">
        <v>1768433</v>
      </c>
      <c r="R86" s="171">
        <v>1680567</v>
      </c>
      <c r="S86" s="171">
        <v>1757381</v>
      </c>
      <c r="T86" s="171">
        <v>1647210</v>
      </c>
      <c r="U86" s="171">
        <v>2053381</v>
      </c>
      <c r="V86" s="171">
        <v>1799415</v>
      </c>
      <c r="W86" s="171">
        <v>1827018</v>
      </c>
      <c r="X86" s="171">
        <v>2150148</v>
      </c>
      <c r="Y86" s="171">
        <v>1720923</v>
      </c>
      <c r="Z86" s="171">
        <v>1818131</v>
      </c>
      <c r="AA86" s="171">
        <v>1735126</v>
      </c>
      <c r="AB86" s="171">
        <v>1872545</v>
      </c>
      <c r="AC86" s="171">
        <v>2205029</v>
      </c>
      <c r="AD86" s="171">
        <v>1820910</v>
      </c>
      <c r="AE86" s="171">
        <v>1664380</v>
      </c>
      <c r="AF86" s="171">
        <v>1711476</v>
      </c>
      <c r="AG86" s="171">
        <v>2487155</v>
      </c>
      <c r="AH86" s="171">
        <v>1686414</v>
      </c>
      <c r="AI86" s="171">
        <v>1769472</v>
      </c>
      <c r="AJ86" s="171">
        <v>1857676</v>
      </c>
    </row>
    <row r="87" spans="1:36" ht="17.25">
      <c r="A87" s="167" t="s">
        <v>1157</v>
      </c>
      <c r="B87" s="168" t="s">
        <v>1072</v>
      </c>
      <c r="C87" s="169">
        <f t="shared" si="5"/>
        <v>62260043</v>
      </c>
      <c r="D87" s="170">
        <f>((E87*100/4457012)+(F87*100/4666092)+(G87*100/4564694)+(H87*100/3934071)+(I87*100/4887915)+(J87*100/4213444)+(K87*100/3969347)+(L87*100/4648398)+(M87*100/4423667)+(N87*100/4183633)+(O87*100/4598571)+(P87*100/4650256)+(Q87*100/4428442)+(R87*100/3615242)+(S87*100/5768156)+(T87*100/4495508)+(U87*100/4650166)+(V87*100/4800546)+(W87*100/5054225)+(X87*100/4265815)+(Y87*100/4769289)+(Z87*100/4139514)+(AA87*100/4248764)+(AB87*100/4567817)+(AC87*100/6356919)+(AD87*100/4414836)+(AE87*100/5105832)+(AF87*100/5712519)+(AG87*100/11302195)+(AI87*100/5427923)+(AJ87*100/4134752))/31</f>
        <v>41.365442917544406</v>
      </c>
      <c r="E87" s="171">
        <v>1728056</v>
      </c>
      <c r="F87" s="171">
        <v>1561044</v>
      </c>
      <c r="G87" s="171">
        <v>1992256</v>
      </c>
      <c r="H87" s="171">
        <v>1941797</v>
      </c>
      <c r="I87" s="171">
        <v>1987816</v>
      </c>
      <c r="J87" s="171">
        <v>1702898</v>
      </c>
      <c r="K87" s="171">
        <v>2120524</v>
      </c>
      <c r="L87" s="171">
        <v>1975311</v>
      </c>
      <c r="M87" s="171">
        <v>1991288</v>
      </c>
      <c r="N87" s="171">
        <v>2139870</v>
      </c>
      <c r="O87" s="171">
        <v>1833342</v>
      </c>
      <c r="P87" s="171">
        <v>1779753</v>
      </c>
      <c r="Q87" s="171">
        <v>1911900</v>
      </c>
      <c r="R87" s="171">
        <v>1815475</v>
      </c>
      <c r="S87" s="171">
        <v>1895451</v>
      </c>
      <c r="T87" s="171">
        <v>1788197</v>
      </c>
      <c r="U87" s="171">
        <v>2232477</v>
      </c>
      <c r="V87" s="171">
        <v>1952560</v>
      </c>
      <c r="W87" s="171">
        <v>1986123</v>
      </c>
      <c r="X87" s="171">
        <v>2331409</v>
      </c>
      <c r="Y87" s="171">
        <v>1865454</v>
      </c>
      <c r="Z87" s="171">
        <v>1980547</v>
      </c>
      <c r="AA87" s="171">
        <v>1878798</v>
      </c>
      <c r="AB87" s="171">
        <v>1186578</v>
      </c>
      <c r="AC87" s="171">
        <v>2408443</v>
      </c>
      <c r="AD87" s="171">
        <v>1986487</v>
      </c>
      <c r="AE87" s="171">
        <v>1815568</v>
      </c>
      <c r="AF87" s="171">
        <v>1832552</v>
      </c>
      <c r="AG87" s="171">
        <v>2890121</v>
      </c>
      <c r="AH87" s="171">
        <v>1825532</v>
      </c>
      <c r="AI87" s="171">
        <v>1905184</v>
      </c>
      <c r="AJ87" s="171">
        <v>2017232</v>
      </c>
    </row>
    <row r="88" spans="1:36" ht="17.25">
      <c r="A88" s="167" t="s">
        <v>1158</v>
      </c>
      <c r="B88" s="173" t="s">
        <v>1159</v>
      </c>
      <c r="C88" s="174">
        <f t="shared" si="5"/>
        <v>68116490</v>
      </c>
      <c r="D88" s="175">
        <f>((E88*100/4457012)+(F88*100/4666092)+(G88*100/4564694)+(H88*100/3934071)+(I88*100/4887915)+(J88*100/4213444)+(K88*100/3969347)+(L88*100/4648398)+(M88*100/4423667)+(N88*100/4183633)+(O88*100/4598571)+(P88*100/4650256)+(Q88*100/4428442)+(R88*100/3615242)+(S88*100/5768156)+(T88*100/4495508)+(U88*100/4650166)+(V88*100/4800546)+(W88*100/5054225)+(X88*100/4265815)+(Y88*100/4769289)+(Z88*100/4139514)+(AA88*100/4248764)+(AB88*100/4567817)+(AC88*100/6356919)+(AD88*100/4414836)+(AE88*100/5105832)+(AF88*100/5712519)+(AG88*100/11302195)+(AI88*100/5427923)+(AJ88*100/4134752))/31</f>
        <v>45.265076845614104</v>
      </c>
      <c r="E88" s="176">
        <v>1876918</v>
      </c>
      <c r="F88" s="176">
        <v>1719462</v>
      </c>
      <c r="G88" s="176">
        <v>2243616</v>
      </c>
      <c r="H88" s="176">
        <v>2136251</v>
      </c>
      <c r="I88" s="176">
        <v>2252477</v>
      </c>
      <c r="J88" s="176">
        <v>1877605</v>
      </c>
      <c r="K88" s="176">
        <v>2332626</v>
      </c>
      <c r="L88" s="176">
        <v>2159219</v>
      </c>
      <c r="M88" s="176">
        <v>2133007</v>
      </c>
      <c r="N88" s="176">
        <v>2394868</v>
      </c>
      <c r="O88" s="176">
        <v>1994744</v>
      </c>
      <c r="P88" s="176">
        <v>1929090</v>
      </c>
      <c r="Q88" s="176">
        <v>2091600</v>
      </c>
      <c r="R88" s="176">
        <v>1998192</v>
      </c>
      <c r="S88" s="176">
        <v>2075167</v>
      </c>
      <c r="T88" s="176">
        <v>1937319</v>
      </c>
      <c r="U88" s="176">
        <v>2413151</v>
      </c>
      <c r="V88" s="176">
        <v>2145459</v>
      </c>
      <c r="W88" s="176">
        <v>2177758</v>
      </c>
      <c r="X88" s="176">
        <v>2494287</v>
      </c>
      <c r="Y88" s="176">
        <v>2033579</v>
      </c>
      <c r="Z88" s="176">
        <v>2157074</v>
      </c>
      <c r="AA88" s="176">
        <v>2060888</v>
      </c>
      <c r="AB88" s="176">
        <v>1381005</v>
      </c>
      <c r="AC88" s="176">
        <v>2527496</v>
      </c>
      <c r="AD88" s="176">
        <v>2154999</v>
      </c>
      <c r="AE88" s="176">
        <v>1948412</v>
      </c>
      <c r="AF88" s="176">
        <v>2025078</v>
      </c>
      <c r="AG88" s="176">
        <v>3113445</v>
      </c>
      <c r="AH88" s="176">
        <v>2042869</v>
      </c>
      <c r="AI88" s="176">
        <v>2090210</v>
      </c>
      <c r="AJ88" s="176">
        <v>2198619</v>
      </c>
    </row>
  </sheetData>
  <sortState ref="A16:AJ40">
    <sortCondition ref="C16:C40"/>
  </sortState>
  <mergeCells count="18">
    <mergeCell ref="A10:B10"/>
    <mergeCell ref="A11:B11"/>
    <mergeCell ref="F8:G8"/>
    <mergeCell ref="J8:K8"/>
    <mergeCell ref="O8:U8"/>
    <mergeCell ref="A7:B9"/>
    <mergeCell ref="V8:AA8"/>
    <mergeCell ref="AC8:AD8"/>
    <mergeCell ref="AI8:AJ8"/>
    <mergeCell ref="C1:S5"/>
    <mergeCell ref="T1:AJ5"/>
    <mergeCell ref="F7:G7"/>
    <mergeCell ref="J7:K7"/>
    <mergeCell ref="L7:N7"/>
    <mergeCell ref="O7:U7"/>
    <mergeCell ref="V7:AA7"/>
    <mergeCell ref="AC7:AD7"/>
    <mergeCell ref="AI7:AJ7"/>
  </mergeCells>
  <conditionalFormatting sqref="Z13:Z88">
    <cfRule type="cellIs" dxfId="4" priority="8" stopIfTrue="1" operator="equal">
      <formula>MIN(Z$13:Z$88)</formula>
    </cfRule>
  </conditionalFormatting>
  <conditionalFormatting sqref="E13:H88 U13:W88 Y13:Y88 AA13:AE88 J13:S88">
    <cfRule type="cellIs" dxfId="3" priority="5" stopIfTrue="1" operator="equal">
      <formula>MIN(#REF!)</formula>
    </cfRule>
    <cfRule type="cellIs" priority="6" stopIfTrue="1" operator="lessThan">
      <formula>MIN(#REF!)*1.1</formula>
    </cfRule>
    <cfRule type="cellIs" dxfId="2" priority="7" stopIfTrue="1" operator="equal">
      <formula>MIN(E$13:E$88)</formula>
    </cfRule>
  </conditionalFormatting>
  <conditionalFormatting sqref="I13:I88 T13:T88 AF13:AJ88">
    <cfRule type="cellIs" priority="3" stopIfTrue="1" operator="lessThan">
      <formula>MIN(#REF!)*1.1</formula>
    </cfRule>
    <cfRule type="cellIs" dxfId="1" priority="4" stopIfTrue="1" operator="equal">
      <formula>MIN(I$13:I$88)</formula>
    </cfRule>
  </conditionalFormatting>
  <conditionalFormatting sqref="X13:X88">
    <cfRule type="cellIs" dxfId="0" priority="1" stopIfTrue="1" operator="equal">
      <formula>MIN(X$13:X$88)</formula>
    </cfRule>
    <cfRule type="cellIs" priority="2" stopIfTrue="1" operator="lessThan">
      <formula>MIN(#REF!)*1.1</formula>
    </cfRule>
  </conditionalFormatting>
  <hyperlinks>
    <hyperlink ref="A11" r:id="rId1"/>
    <hyperlink ref="E8" r:id="rId2"/>
  </hyperlinks>
  <pageMargins left="0.7" right="0.7" top="0.75" bottom="0.75" header="0.3" footer="0.3"/>
  <pageSetup paperSize="9" orientation="portrait" r:id="rId3"/>
  <drawing r:id="rId4"/>
  <legacy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67"/>
  <sheetViews>
    <sheetView showGridLines="0" workbookViewId="0">
      <selection activeCell="A13" sqref="A13"/>
    </sheetView>
  </sheetViews>
  <sheetFormatPr baseColWidth="10" defaultColWidth="9.140625" defaultRowHeight="12.75"/>
  <cols>
    <col min="1" max="1" width="24.7109375" style="1" customWidth="1"/>
    <col min="2" max="2" width="55.28515625" style="1" customWidth="1"/>
    <col min="3" max="3" width="18.7109375" style="1" customWidth="1"/>
    <col min="4" max="4" width="80.7109375" style="1" customWidth="1"/>
    <col min="5" max="16384" width="9.140625" style="1"/>
  </cols>
  <sheetData>
    <row r="1" spans="1:4">
      <c r="A1" s="3118" t="s">
        <v>27</v>
      </c>
      <c r="B1" s="3118"/>
      <c r="C1" s="3118"/>
      <c r="D1" s="3118"/>
    </row>
    <row r="2" spans="1:4">
      <c r="A2" s="3118"/>
      <c r="B2" s="3118"/>
      <c r="C2" s="3118"/>
      <c r="D2" s="3118"/>
    </row>
    <row r="3" spans="1:4">
      <c r="A3" s="3118"/>
      <c r="B3" s="3118"/>
      <c r="C3" s="3118"/>
      <c r="D3" s="3118"/>
    </row>
    <row r="4" spans="1:4">
      <c r="A4" s="3118"/>
      <c r="B4" s="3118"/>
      <c r="C4" s="3118"/>
      <c r="D4" s="3118"/>
    </row>
    <row r="5" spans="1:4">
      <c r="A5" s="3118"/>
      <c r="B5" s="3118"/>
      <c r="C5" s="3118"/>
      <c r="D5" s="3118"/>
    </row>
    <row r="6" spans="1:4" ht="67.5">
      <c r="A6" s="119"/>
      <c r="B6" s="3119" t="s">
        <v>849</v>
      </c>
      <c r="C6" s="3120"/>
      <c r="D6" s="3120"/>
    </row>
    <row r="7" spans="1:4" ht="17.25">
      <c r="A7" s="8"/>
      <c r="B7" s="9"/>
      <c r="C7" s="9"/>
      <c r="D7" s="9"/>
    </row>
    <row r="8" spans="1:4" ht="20.25" customHeight="1">
      <c r="A8" s="10" t="s">
        <v>2073</v>
      </c>
      <c r="B8" s="2639" t="s">
        <v>2069</v>
      </c>
      <c r="C8" s="9"/>
      <c r="D8" s="9"/>
    </row>
    <row r="9" spans="1:4" ht="20.25" customHeight="1">
      <c r="A9" s="8"/>
      <c r="B9" s="2641" t="s">
        <v>2070</v>
      </c>
      <c r="C9" s="9"/>
      <c r="D9" s="9"/>
    </row>
    <row r="10" spans="1:4" ht="20.25" customHeight="1">
      <c r="A10" s="8"/>
      <c r="B10" s="2642" t="s">
        <v>2071</v>
      </c>
      <c r="C10" s="9"/>
      <c r="D10" s="9"/>
    </row>
    <row r="11" spans="1:4" ht="20.25" customHeight="1">
      <c r="A11" s="8"/>
      <c r="B11" s="2640" t="s">
        <v>2072</v>
      </c>
      <c r="C11" s="9"/>
      <c r="D11" s="9"/>
    </row>
    <row r="12" spans="1:4" ht="20.25" customHeight="1">
      <c r="A12" s="8"/>
      <c r="B12" s="2643"/>
      <c r="C12" s="9"/>
      <c r="D12" s="9"/>
    </row>
    <row r="13" spans="1:4" ht="20.25" customHeight="1">
      <c r="A13" s="10" t="s">
        <v>2074</v>
      </c>
      <c r="B13" s="2644" t="s">
        <v>2077</v>
      </c>
      <c r="C13" s="9"/>
      <c r="D13" s="9"/>
    </row>
    <row r="14" spans="1:4" ht="20.25" customHeight="1">
      <c r="A14" s="10" t="s">
        <v>2075</v>
      </c>
      <c r="B14" s="2645" t="s">
        <v>2076</v>
      </c>
      <c r="C14" s="9"/>
      <c r="D14" s="9"/>
    </row>
    <row r="15" spans="1:4" ht="20.25" customHeight="1">
      <c r="A15" s="8"/>
      <c r="B15" s="2646" t="s">
        <v>2078</v>
      </c>
      <c r="C15" s="9"/>
      <c r="D15" s="9"/>
    </row>
    <row r="16" spans="1:4" ht="20.25" customHeight="1">
      <c r="A16" s="8"/>
      <c r="B16" s="2643"/>
      <c r="C16" s="9"/>
      <c r="D16" s="9"/>
    </row>
    <row r="17" spans="1:4" ht="20.25">
      <c r="A17" s="10" t="s">
        <v>28</v>
      </c>
      <c r="B17" s="10"/>
      <c r="C17" s="11"/>
      <c r="D17" s="11"/>
    </row>
    <row r="18" spans="1:4" ht="20.25">
      <c r="A18" s="10"/>
      <c r="B18" s="10"/>
      <c r="C18" s="11"/>
      <c r="D18" s="10"/>
    </row>
    <row r="19" spans="1:4" ht="20.25">
      <c r="A19" s="12" t="s">
        <v>772</v>
      </c>
      <c r="B19" s="115" t="s">
        <v>1601</v>
      </c>
      <c r="C19" s="11"/>
      <c r="D19" s="11"/>
    </row>
    <row r="20" spans="1:4" ht="17.25" customHeight="1">
      <c r="B20" s="9" t="s">
        <v>1566</v>
      </c>
      <c r="C20" s="11"/>
      <c r="D20" s="11"/>
    </row>
    <row r="21" spans="1:4" ht="12.75" customHeight="1">
      <c r="A21" s="13"/>
      <c r="B21" s="13"/>
      <c r="C21" s="13"/>
      <c r="D21" s="13"/>
    </row>
    <row r="22" spans="1:4" ht="12.75" customHeight="1">
      <c r="A22" s="11"/>
      <c r="B22" s="11"/>
      <c r="C22" s="11"/>
      <c r="D22" s="11"/>
    </row>
    <row r="23" spans="1:4" ht="20.25">
      <c r="A23" s="12" t="s">
        <v>1562</v>
      </c>
      <c r="B23" s="115" t="s">
        <v>1602</v>
      </c>
    </row>
    <row r="24" spans="1:4" ht="17.25">
      <c r="B24" s="9" t="s">
        <v>1565</v>
      </c>
    </row>
    <row r="25" spans="1:4">
      <c r="A25" s="116"/>
      <c r="B25" s="116"/>
      <c r="C25" s="116"/>
      <c r="D25" s="116"/>
    </row>
    <row r="27" spans="1:4" ht="20.25">
      <c r="A27" s="12" t="s">
        <v>1563</v>
      </c>
      <c r="B27" s="115" t="s">
        <v>1603</v>
      </c>
    </row>
    <row r="28" spans="1:4" ht="17.25">
      <c r="B28" s="117" t="s">
        <v>1564</v>
      </c>
    </row>
    <row r="29" spans="1:4">
      <c r="A29" s="116"/>
      <c r="B29" s="116"/>
      <c r="C29" s="116"/>
      <c r="D29" s="116"/>
    </row>
    <row r="31" spans="1:4" ht="20.25">
      <c r="A31" s="12" t="s">
        <v>26</v>
      </c>
      <c r="B31" s="115" t="s">
        <v>1604</v>
      </c>
    </row>
    <row r="32" spans="1:4" ht="17.25">
      <c r="B32" s="117" t="s">
        <v>815</v>
      </c>
    </row>
    <row r="33" spans="1:4" ht="17.25">
      <c r="B33" s="9" t="s">
        <v>845</v>
      </c>
    </row>
    <row r="34" spans="1:4">
      <c r="A34" s="116"/>
      <c r="B34" s="116"/>
      <c r="C34" s="116"/>
      <c r="D34" s="116"/>
    </row>
    <row r="36" spans="1:4" ht="20.25">
      <c r="A36" s="12" t="s">
        <v>49</v>
      </c>
      <c r="B36" s="115" t="s">
        <v>1605</v>
      </c>
    </row>
    <row r="37" spans="1:4" ht="17.25">
      <c r="B37" s="9" t="s">
        <v>39</v>
      </c>
    </row>
    <row r="38" spans="1:4" ht="17.25">
      <c r="B38" s="9" t="s">
        <v>40</v>
      </c>
    </row>
    <row r="39" spans="1:4">
      <c r="A39" s="116"/>
      <c r="B39" s="116"/>
      <c r="C39" s="116"/>
      <c r="D39" s="116"/>
    </row>
    <row r="41" spans="1:4" ht="20.25">
      <c r="A41" s="12" t="s">
        <v>50</v>
      </c>
      <c r="B41" s="115" t="s">
        <v>1606</v>
      </c>
    </row>
    <row r="42" spans="1:4" ht="17.25">
      <c r="B42" s="118" t="s">
        <v>846</v>
      </c>
    </row>
    <row r="43" spans="1:4" ht="17.25">
      <c r="B43" s="118" t="s">
        <v>816</v>
      </c>
    </row>
    <row r="44" spans="1:4">
      <c r="A44" s="116"/>
      <c r="B44" s="116"/>
      <c r="C44" s="116"/>
      <c r="D44" s="116"/>
    </row>
    <row r="46" spans="1:4" ht="20.25">
      <c r="A46" s="12" t="s">
        <v>817</v>
      </c>
      <c r="B46" s="115" t="s">
        <v>1607</v>
      </c>
    </row>
    <row r="47" spans="1:4" ht="17.25">
      <c r="B47" s="117" t="s">
        <v>818</v>
      </c>
    </row>
    <row r="48" spans="1:4">
      <c r="A48" s="116"/>
      <c r="B48" s="116"/>
      <c r="C48" s="116"/>
      <c r="D48" s="116"/>
    </row>
    <row r="50" spans="1:4" ht="20.25">
      <c r="A50" s="12" t="s">
        <v>51</v>
      </c>
      <c r="B50" s="115" t="s">
        <v>1608</v>
      </c>
    </row>
    <row r="51" spans="1:4" ht="17.25">
      <c r="B51" s="117" t="s">
        <v>820</v>
      </c>
    </row>
    <row r="52" spans="1:4" ht="17.25">
      <c r="B52" s="117" t="s">
        <v>847</v>
      </c>
    </row>
    <row r="53" spans="1:4">
      <c r="A53" s="116"/>
      <c r="B53" s="116"/>
      <c r="C53" s="116"/>
      <c r="D53" s="116"/>
    </row>
    <row r="55" spans="1:4" ht="20.25">
      <c r="A55" s="12" t="s">
        <v>773</v>
      </c>
      <c r="B55" s="115" t="s">
        <v>1609</v>
      </c>
      <c r="C55" s="115"/>
    </row>
    <row r="56" spans="1:4" ht="17.25">
      <c r="B56" s="117" t="s">
        <v>819</v>
      </c>
    </row>
    <row r="58" spans="1:4" ht="17.25">
      <c r="B58" s="118" t="s">
        <v>29</v>
      </c>
    </row>
    <row r="59" spans="1:4" ht="17.25">
      <c r="B59" s="118" t="s">
        <v>30</v>
      </c>
    </row>
    <row r="60" spans="1:4" ht="17.25">
      <c r="B60" s="118" t="s">
        <v>31</v>
      </c>
    </row>
    <row r="61" spans="1:4" ht="17.25">
      <c r="B61" s="118" t="s">
        <v>32</v>
      </c>
    </row>
    <row r="62" spans="1:4" ht="17.25">
      <c r="B62" s="118" t="s">
        <v>33</v>
      </c>
    </row>
    <row r="63" spans="1:4" ht="17.25">
      <c r="B63" s="118" t="s">
        <v>34</v>
      </c>
    </row>
    <row r="64" spans="1:4" ht="17.25">
      <c r="B64" s="118" t="s">
        <v>35</v>
      </c>
    </row>
    <row r="65" spans="2:2" ht="17.25">
      <c r="B65" s="118" t="s">
        <v>36</v>
      </c>
    </row>
    <row r="66" spans="2:2" ht="17.25">
      <c r="B66" s="118" t="s">
        <v>37</v>
      </c>
    </row>
    <row r="67" spans="2:2" ht="17.25">
      <c r="B67" s="118" t="s">
        <v>38</v>
      </c>
    </row>
  </sheetData>
  <sortState ref="B54:D56">
    <sortCondition ref="C54:C56"/>
  </sortState>
  <mergeCells count="2">
    <mergeCell ref="A1:D5"/>
    <mergeCell ref="B6:D6"/>
  </mergeCells>
  <conditionalFormatting sqref="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9" r:id="rId1"/>
    <hyperlink ref="B23" r:id="rId2"/>
    <hyperlink ref="B27" r:id="rId3"/>
    <hyperlink ref="B31" r:id="rId4"/>
    <hyperlink ref="B36" r:id="rId5"/>
    <hyperlink ref="B41" r:id="rId6"/>
    <hyperlink ref="B46" r:id="rId7"/>
    <hyperlink ref="B50" r:id="rId8"/>
    <hyperlink ref="B55" r:id="rId9"/>
  </hyperlinks>
  <pageMargins left="0.7" right="0.7" top="0.75" bottom="0.75" header="0.3" footer="0.3"/>
  <pageSetup paperSize="9" orientation="portrait" r:id="rId10"/>
  <picture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WI529"/>
  <sheetViews>
    <sheetView showGridLines="0" tabSelected="1" zoomScaleNormal="100" workbookViewId="0">
      <pane xSplit="7" ySplit="12" topLeftCell="H410" activePane="bottomRight" state="frozen"/>
      <selection pane="topRight" activeCell="K1" sqref="K1"/>
      <selection pane="bottomLeft" activeCell="A11" sqref="A11"/>
      <selection pane="bottomRight" activeCell="A420" sqref="A420"/>
    </sheetView>
  </sheetViews>
  <sheetFormatPr baseColWidth="10" defaultColWidth="0" defaultRowHeight="0" customHeight="1" zeroHeight="1"/>
  <cols>
    <col min="1" max="2" width="3.28515625" style="1" customWidth="1"/>
    <col min="3" max="3" width="36.7109375" style="1" customWidth="1"/>
    <col min="4" max="4" width="2.7109375" style="1" customWidth="1"/>
    <col min="5" max="5" width="10.5703125" style="1" customWidth="1"/>
    <col min="6" max="7" width="9.5703125" style="1" customWidth="1"/>
    <col min="8" max="9" width="12.7109375" style="99" customWidth="1"/>
    <col min="10" max="10" width="13.85546875" style="99" customWidth="1"/>
    <col min="11" max="11" width="14.28515625" style="99" customWidth="1"/>
    <col min="12" max="15" width="12.7109375" style="99" customWidth="1"/>
    <col min="16" max="16" width="14.28515625" style="99" customWidth="1"/>
    <col min="17" max="17" width="9.5703125" style="99" customWidth="1"/>
    <col min="18" max="18" width="6.85546875" style="99" customWidth="1"/>
    <col min="19" max="19" width="4" style="99" customWidth="1"/>
    <col min="20" max="20" width="11.85546875" style="1" customWidth="1"/>
    <col min="21" max="21" width="20.28515625" style="1" customWidth="1"/>
    <col min="22" max="22" width="36.85546875" style="1" customWidth="1"/>
    <col min="23" max="23" width="7.7109375" style="1" customWidth="1"/>
    <col min="24" max="24" width="3.28515625" style="1" customWidth="1"/>
    <col min="25" max="248" width="0" style="1" hidden="1"/>
    <col min="249" max="250" width="3.28515625" style="1" hidden="1" customWidth="1"/>
    <col min="251" max="251" width="30.7109375" style="1" hidden="1" customWidth="1"/>
    <col min="252" max="252" width="2.7109375" style="1" hidden="1" customWidth="1"/>
    <col min="253" max="253" width="12.85546875" style="1" hidden="1" customWidth="1"/>
    <col min="254" max="255" width="9.5703125" style="1" hidden="1" customWidth="1"/>
    <col min="256" max="256" width="7.42578125" style="1" hidden="1" customWidth="1"/>
    <col min="257" max="257" width="11.140625" style="1" hidden="1" customWidth="1"/>
    <col min="258" max="258" width="11.28515625" style="1" hidden="1" customWidth="1"/>
    <col min="259" max="259" width="11.7109375" style="1" hidden="1" customWidth="1"/>
    <col min="260" max="260" width="11.28515625" style="1" hidden="1" customWidth="1"/>
    <col min="261" max="261" width="10.7109375" style="1" hidden="1" customWidth="1"/>
    <col min="262" max="262" width="11.28515625" style="1" hidden="1" customWidth="1"/>
    <col min="263" max="263" width="11.42578125" style="1" hidden="1" customWidth="1"/>
    <col min="264" max="264" width="10.42578125" style="1" hidden="1" customWidth="1"/>
    <col min="265" max="265" width="11.28515625" style="1" hidden="1" customWidth="1"/>
    <col min="266" max="266" width="11.42578125" style="1" hidden="1" customWidth="1"/>
    <col min="267" max="267" width="10.7109375" style="1" hidden="1" customWidth="1"/>
    <col min="268" max="268" width="10.28515625" style="1" hidden="1" customWidth="1"/>
    <col min="269" max="269" width="11.5703125" style="1" hidden="1" customWidth="1"/>
    <col min="270" max="271" width="11.42578125" style="1" hidden="1" customWidth="1"/>
    <col min="272" max="272" width="10.85546875" style="1" hidden="1" customWidth="1"/>
    <col min="273" max="273" width="8.7109375" style="1" hidden="1" customWidth="1"/>
    <col min="274" max="274" width="6.28515625" style="1" hidden="1" customWidth="1"/>
    <col min="275" max="275" width="4" style="1" hidden="1" customWidth="1"/>
    <col min="276" max="276" width="8.7109375" style="1" hidden="1" customWidth="1"/>
    <col min="277" max="277" width="13.7109375" style="1" hidden="1" customWidth="1"/>
    <col min="278" max="278" width="20.7109375" style="1" hidden="1" customWidth="1"/>
    <col min="279" max="279" width="9.42578125" style="1" hidden="1" customWidth="1"/>
    <col min="280" max="280" width="3.28515625" style="1" hidden="1" customWidth="1"/>
    <col min="281" max="504" width="0" style="1" hidden="1"/>
    <col min="505" max="506" width="3.28515625" style="1" hidden="1" customWidth="1"/>
    <col min="507" max="507" width="30.7109375" style="1" hidden="1" customWidth="1"/>
    <col min="508" max="508" width="2.7109375" style="1" hidden="1" customWidth="1"/>
    <col min="509" max="509" width="12.85546875" style="1" hidden="1" customWidth="1"/>
    <col min="510" max="511" width="9.5703125" style="1" hidden="1" customWidth="1"/>
    <col min="512" max="512" width="7.42578125" style="1" hidden="1" customWidth="1"/>
    <col min="513" max="513" width="11.140625" style="1" hidden="1" customWidth="1"/>
    <col min="514" max="514" width="11.28515625" style="1" hidden="1" customWidth="1"/>
    <col min="515" max="515" width="11.7109375" style="1" hidden="1" customWidth="1"/>
    <col min="516" max="516" width="11.28515625" style="1" hidden="1" customWidth="1"/>
    <col min="517" max="517" width="10.7109375" style="1" hidden="1" customWidth="1"/>
    <col min="518" max="518" width="11.28515625" style="1" hidden="1" customWidth="1"/>
    <col min="519" max="519" width="11.42578125" style="1" hidden="1" customWidth="1"/>
    <col min="520" max="520" width="10.42578125" style="1" hidden="1" customWidth="1"/>
    <col min="521" max="521" width="11.28515625" style="1" hidden="1" customWidth="1"/>
    <col min="522" max="522" width="11.42578125" style="1" hidden="1" customWidth="1"/>
    <col min="523" max="523" width="10.7109375" style="1" hidden="1" customWidth="1"/>
    <col min="524" max="524" width="10.28515625" style="1" hidden="1" customWidth="1"/>
    <col min="525" max="525" width="11.5703125" style="1" hidden="1" customWidth="1"/>
    <col min="526" max="527" width="11.42578125" style="1" hidden="1" customWidth="1"/>
    <col min="528" max="528" width="10.85546875" style="1" hidden="1" customWidth="1"/>
    <col min="529" max="529" width="8.7109375" style="1" hidden="1" customWidth="1"/>
    <col min="530" max="530" width="6.28515625" style="1" hidden="1" customWidth="1"/>
    <col min="531" max="531" width="4" style="1" hidden="1" customWidth="1"/>
    <col min="532" max="532" width="8.7109375" style="1" hidden="1" customWidth="1"/>
    <col min="533" max="533" width="13.7109375" style="1" hidden="1" customWidth="1"/>
    <col min="534" max="534" width="20.7109375" style="1" hidden="1" customWidth="1"/>
    <col min="535" max="535" width="9.42578125" style="1" hidden="1" customWidth="1"/>
    <col min="536" max="536" width="3.28515625" style="1" hidden="1" customWidth="1"/>
    <col min="537" max="760" width="0" style="1" hidden="1"/>
    <col min="761" max="762" width="3.28515625" style="1" hidden="1" customWidth="1"/>
    <col min="763" max="763" width="30.7109375" style="1" hidden="1" customWidth="1"/>
    <col min="764" max="764" width="2.7109375" style="1" hidden="1" customWidth="1"/>
    <col min="765" max="765" width="12.85546875" style="1" hidden="1" customWidth="1"/>
    <col min="766" max="767" width="9.5703125" style="1" hidden="1" customWidth="1"/>
    <col min="768" max="768" width="7.42578125" style="1" hidden="1" customWidth="1"/>
    <col min="769" max="769" width="11.140625" style="1" hidden="1" customWidth="1"/>
    <col min="770" max="770" width="11.28515625" style="1" hidden="1" customWidth="1"/>
    <col min="771" max="771" width="11.7109375" style="1" hidden="1" customWidth="1"/>
    <col min="772" max="772" width="11.28515625" style="1" hidden="1" customWidth="1"/>
    <col min="773" max="773" width="10.7109375" style="1" hidden="1" customWidth="1"/>
    <col min="774" max="774" width="11.28515625" style="1" hidden="1" customWidth="1"/>
    <col min="775" max="775" width="11.42578125" style="1" hidden="1" customWidth="1"/>
    <col min="776" max="776" width="10.42578125" style="1" hidden="1" customWidth="1"/>
    <col min="777" max="777" width="11.28515625" style="1" hidden="1" customWidth="1"/>
    <col min="778" max="778" width="11.42578125" style="1" hidden="1" customWidth="1"/>
    <col min="779" max="779" width="10.7109375" style="1" hidden="1" customWidth="1"/>
    <col min="780" max="780" width="10.28515625" style="1" hidden="1" customWidth="1"/>
    <col min="781" max="781" width="11.5703125" style="1" hidden="1" customWidth="1"/>
    <col min="782" max="783" width="11.42578125" style="1" hidden="1" customWidth="1"/>
    <col min="784" max="784" width="10.85546875" style="1" hidden="1" customWidth="1"/>
    <col min="785" max="785" width="8.7109375" style="1" hidden="1" customWidth="1"/>
    <col min="786" max="786" width="6.28515625" style="1" hidden="1" customWidth="1"/>
    <col min="787" max="787" width="4" style="1" hidden="1" customWidth="1"/>
    <col min="788" max="788" width="8.7109375" style="1" hidden="1" customWidth="1"/>
    <col min="789" max="789" width="13.7109375" style="1" hidden="1" customWidth="1"/>
    <col min="790" max="790" width="20.7109375" style="1" hidden="1" customWidth="1"/>
    <col min="791" max="791" width="9.42578125" style="1" hidden="1" customWidth="1"/>
    <col min="792" max="792" width="3.28515625" style="1" hidden="1" customWidth="1"/>
    <col min="793" max="1016" width="0" style="1" hidden="1"/>
    <col min="1017" max="1018" width="3.28515625" style="1" hidden="1" customWidth="1"/>
    <col min="1019" max="1019" width="30.7109375" style="1" hidden="1" customWidth="1"/>
    <col min="1020" max="1020" width="2.7109375" style="1" hidden="1" customWidth="1"/>
    <col min="1021" max="1021" width="12.85546875" style="1" hidden="1" customWidth="1"/>
    <col min="1022" max="1023" width="9.5703125" style="1" hidden="1" customWidth="1"/>
    <col min="1024" max="1024" width="7.42578125" style="1" hidden="1" customWidth="1"/>
    <col min="1025" max="1025" width="11.140625" style="1" hidden="1" customWidth="1"/>
    <col min="1026" max="1026" width="11.28515625" style="1" hidden="1" customWidth="1"/>
    <col min="1027" max="1027" width="11.7109375" style="1" hidden="1" customWidth="1"/>
    <col min="1028" max="1028" width="11.28515625" style="1" hidden="1" customWidth="1"/>
    <col min="1029" max="1029" width="10.7109375" style="1" hidden="1" customWidth="1"/>
    <col min="1030" max="1030" width="11.28515625" style="1" hidden="1" customWidth="1"/>
    <col min="1031" max="1031" width="11.42578125" style="1" hidden="1" customWidth="1"/>
    <col min="1032" max="1032" width="10.42578125" style="1" hidden="1" customWidth="1"/>
    <col min="1033" max="1033" width="11.28515625" style="1" hidden="1" customWidth="1"/>
    <col min="1034" max="1034" width="11.42578125" style="1" hidden="1" customWidth="1"/>
    <col min="1035" max="1035" width="10.7109375" style="1" hidden="1" customWidth="1"/>
    <col min="1036" max="1036" width="10.28515625" style="1" hidden="1" customWidth="1"/>
    <col min="1037" max="1037" width="11.5703125" style="1" hidden="1" customWidth="1"/>
    <col min="1038" max="1039" width="11.42578125" style="1" hidden="1" customWidth="1"/>
    <col min="1040" max="1040" width="10.85546875" style="1" hidden="1" customWidth="1"/>
    <col min="1041" max="1041" width="8.7109375" style="1" hidden="1" customWidth="1"/>
    <col min="1042" max="1042" width="6.28515625" style="1" hidden="1" customWidth="1"/>
    <col min="1043" max="1043" width="4" style="1" hidden="1" customWidth="1"/>
    <col min="1044" max="1044" width="8.7109375" style="1" hidden="1" customWidth="1"/>
    <col min="1045" max="1045" width="13.7109375" style="1" hidden="1" customWidth="1"/>
    <col min="1046" max="1046" width="20.7109375" style="1" hidden="1" customWidth="1"/>
    <col min="1047" max="1047" width="9.42578125" style="1" hidden="1" customWidth="1"/>
    <col min="1048" max="1048" width="3.28515625" style="1" hidden="1" customWidth="1"/>
    <col min="1049" max="1272" width="0" style="1" hidden="1"/>
    <col min="1273" max="1274" width="3.28515625" style="1" hidden="1" customWidth="1"/>
    <col min="1275" max="1275" width="30.7109375" style="1" hidden="1" customWidth="1"/>
    <col min="1276" max="1276" width="2.7109375" style="1" hidden="1" customWidth="1"/>
    <col min="1277" max="1277" width="12.85546875" style="1" hidden="1" customWidth="1"/>
    <col min="1278" max="1279" width="9.5703125" style="1" hidden="1" customWidth="1"/>
    <col min="1280" max="1280" width="7.42578125" style="1" hidden="1" customWidth="1"/>
    <col min="1281" max="1281" width="11.140625" style="1" hidden="1" customWidth="1"/>
    <col min="1282" max="1282" width="11.28515625" style="1" hidden="1" customWidth="1"/>
    <col min="1283" max="1283" width="11.7109375" style="1" hidden="1" customWidth="1"/>
    <col min="1284" max="1284" width="11.28515625" style="1" hidden="1" customWidth="1"/>
    <col min="1285" max="1285" width="10.7109375" style="1" hidden="1" customWidth="1"/>
    <col min="1286" max="1286" width="11.28515625" style="1" hidden="1" customWidth="1"/>
    <col min="1287" max="1287" width="11.42578125" style="1" hidden="1" customWidth="1"/>
    <col min="1288" max="1288" width="10.42578125" style="1" hidden="1" customWidth="1"/>
    <col min="1289" max="1289" width="11.28515625" style="1" hidden="1" customWidth="1"/>
    <col min="1290" max="1290" width="11.42578125" style="1" hidden="1" customWidth="1"/>
    <col min="1291" max="1291" width="10.7109375" style="1" hidden="1" customWidth="1"/>
    <col min="1292" max="1292" width="10.28515625" style="1" hidden="1" customWidth="1"/>
    <col min="1293" max="1293" width="11.5703125" style="1" hidden="1" customWidth="1"/>
    <col min="1294" max="1295" width="11.42578125" style="1" hidden="1" customWidth="1"/>
    <col min="1296" max="1296" width="10.85546875" style="1" hidden="1" customWidth="1"/>
    <col min="1297" max="1297" width="8.7109375" style="1" hidden="1" customWidth="1"/>
    <col min="1298" max="1298" width="6.28515625" style="1" hidden="1" customWidth="1"/>
    <col min="1299" max="1299" width="4" style="1" hidden="1" customWidth="1"/>
    <col min="1300" max="1300" width="8.7109375" style="1" hidden="1" customWidth="1"/>
    <col min="1301" max="1301" width="13.7109375" style="1" hidden="1" customWidth="1"/>
    <col min="1302" max="1302" width="20.7109375" style="1" hidden="1" customWidth="1"/>
    <col min="1303" max="1303" width="9.42578125" style="1" hidden="1" customWidth="1"/>
    <col min="1304" max="1304" width="3.28515625" style="1" hidden="1" customWidth="1"/>
    <col min="1305" max="1528" width="0" style="1" hidden="1"/>
    <col min="1529" max="1530" width="3.28515625" style="1" hidden="1" customWidth="1"/>
    <col min="1531" max="1531" width="30.7109375" style="1" hidden="1" customWidth="1"/>
    <col min="1532" max="1532" width="2.7109375" style="1" hidden="1" customWidth="1"/>
    <col min="1533" max="1533" width="12.85546875" style="1" hidden="1" customWidth="1"/>
    <col min="1534" max="1535" width="9.5703125" style="1" hidden="1" customWidth="1"/>
    <col min="1536" max="1536" width="7.42578125" style="1" hidden="1" customWidth="1"/>
    <col min="1537" max="1537" width="11.140625" style="1" hidden="1" customWidth="1"/>
    <col min="1538" max="1538" width="11.28515625" style="1" hidden="1" customWidth="1"/>
    <col min="1539" max="1539" width="11.7109375" style="1" hidden="1" customWidth="1"/>
    <col min="1540" max="1540" width="11.28515625" style="1" hidden="1" customWidth="1"/>
    <col min="1541" max="1541" width="10.7109375" style="1" hidden="1" customWidth="1"/>
    <col min="1542" max="1542" width="11.28515625" style="1" hidden="1" customWidth="1"/>
    <col min="1543" max="1543" width="11.42578125" style="1" hidden="1" customWidth="1"/>
    <col min="1544" max="1544" width="10.42578125" style="1" hidden="1" customWidth="1"/>
    <col min="1545" max="1545" width="11.28515625" style="1" hidden="1" customWidth="1"/>
    <col min="1546" max="1546" width="11.42578125" style="1" hidden="1" customWidth="1"/>
    <col min="1547" max="1547" width="10.7109375" style="1" hidden="1" customWidth="1"/>
    <col min="1548" max="1548" width="10.28515625" style="1" hidden="1" customWidth="1"/>
    <col min="1549" max="1549" width="11.5703125" style="1" hidden="1" customWidth="1"/>
    <col min="1550" max="1551" width="11.42578125" style="1" hidden="1" customWidth="1"/>
    <col min="1552" max="1552" width="10.85546875" style="1" hidden="1" customWidth="1"/>
    <col min="1553" max="1553" width="8.7109375" style="1" hidden="1" customWidth="1"/>
    <col min="1554" max="1554" width="6.28515625" style="1" hidden="1" customWidth="1"/>
    <col min="1555" max="1555" width="4" style="1" hidden="1" customWidth="1"/>
    <col min="1556" max="1556" width="8.7109375" style="1" hidden="1" customWidth="1"/>
    <col min="1557" max="1557" width="13.7109375" style="1" hidden="1" customWidth="1"/>
    <col min="1558" max="1558" width="20.7109375" style="1" hidden="1" customWidth="1"/>
    <col min="1559" max="1559" width="9.42578125" style="1" hidden="1" customWidth="1"/>
    <col min="1560" max="1560" width="3.28515625" style="1" hidden="1" customWidth="1"/>
    <col min="1561" max="1784" width="0" style="1" hidden="1"/>
    <col min="1785" max="1786" width="3.28515625" style="1" hidden="1" customWidth="1"/>
    <col min="1787" max="1787" width="30.7109375" style="1" hidden="1" customWidth="1"/>
    <col min="1788" max="1788" width="2.7109375" style="1" hidden="1" customWidth="1"/>
    <col min="1789" max="1789" width="12.85546875" style="1" hidden="1" customWidth="1"/>
    <col min="1790" max="1791" width="9.5703125" style="1" hidden="1" customWidth="1"/>
    <col min="1792" max="1792" width="7.42578125" style="1" hidden="1" customWidth="1"/>
    <col min="1793" max="1793" width="11.140625" style="1" hidden="1" customWidth="1"/>
    <col min="1794" max="1794" width="11.28515625" style="1" hidden="1" customWidth="1"/>
    <col min="1795" max="1795" width="11.7109375" style="1" hidden="1" customWidth="1"/>
    <col min="1796" max="1796" width="11.28515625" style="1" hidden="1" customWidth="1"/>
    <col min="1797" max="1797" width="10.7109375" style="1" hidden="1" customWidth="1"/>
    <col min="1798" max="1798" width="11.28515625" style="1" hidden="1" customWidth="1"/>
    <col min="1799" max="1799" width="11.42578125" style="1" hidden="1" customWidth="1"/>
    <col min="1800" max="1800" width="10.42578125" style="1" hidden="1" customWidth="1"/>
    <col min="1801" max="1801" width="11.28515625" style="1" hidden="1" customWidth="1"/>
    <col min="1802" max="1802" width="11.42578125" style="1" hidden="1" customWidth="1"/>
    <col min="1803" max="1803" width="10.7109375" style="1" hidden="1" customWidth="1"/>
    <col min="1804" max="1804" width="10.28515625" style="1" hidden="1" customWidth="1"/>
    <col min="1805" max="1805" width="11.5703125" style="1" hidden="1" customWidth="1"/>
    <col min="1806" max="1807" width="11.42578125" style="1" hidden="1" customWidth="1"/>
    <col min="1808" max="1808" width="10.85546875" style="1" hidden="1" customWidth="1"/>
    <col min="1809" max="1809" width="8.7109375" style="1" hidden="1" customWidth="1"/>
    <col min="1810" max="1810" width="6.28515625" style="1" hidden="1" customWidth="1"/>
    <col min="1811" max="1811" width="4" style="1" hidden="1" customWidth="1"/>
    <col min="1812" max="1812" width="8.7109375" style="1" hidden="1" customWidth="1"/>
    <col min="1813" max="1813" width="13.7109375" style="1" hidden="1" customWidth="1"/>
    <col min="1814" max="1814" width="20.7109375" style="1" hidden="1" customWidth="1"/>
    <col min="1815" max="1815" width="9.42578125" style="1" hidden="1" customWidth="1"/>
    <col min="1816" max="1816" width="3.28515625" style="1" hidden="1" customWidth="1"/>
    <col min="1817" max="2040" width="0" style="1" hidden="1"/>
    <col min="2041" max="2042" width="3.28515625" style="1" hidden="1" customWidth="1"/>
    <col min="2043" max="2043" width="30.7109375" style="1" hidden="1" customWidth="1"/>
    <col min="2044" max="2044" width="2.7109375" style="1" hidden="1" customWidth="1"/>
    <col min="2045" max="2045" width="12.85546875" style="1" hidden="1" customWidth="1"/>
    <col min="2046" max="2047" width="9.5703125" style="1" hidden="1" customWidth="1"/>
    <col min="2048" max="2048" width="7.42578125" style="1" hidden="1" customWidth="1"/>
    <col min="2049" max="2049" width="11.140625" style="1" hidden="1" customWidth="1"/>
    <col min="2050" max="2050" width="11.28515625" style="1" hidden="1" customWidth="1"/>
    <col min="2051" max="2051" width="11.7109375" style="1" hidden="1" customWidth="1"/>
    <col min="2052" max="2052" width="11.28515625" style="1" hidden="1" customWidth="1"/>
    <col min="2053" max="2053" width="10.7109375" style="1" hidden="1" customWidth="1"/>
    <col min="2054" max="2054" width="11.28515625" style="1" hidden="1" customWidth="1"/>
    <col min="2055" max="2055" width="11.42578125" style="1" hidden="1" customWidth="1"/>
    <col min="2056" max="2056" width="10.42578125" style="1" hidden="1" customWidth="1"/>
    <col min="2057" max="2057" width="11.28515625" style="1" hidden="1" customWidth="1"/>
    <col min="2058" max="2058" width="11.42578125" style="1" hidden="1" customWidth="1"/>
    <col min="2059" max="2059" width="10.7109375" style="1" hidden="1" customWidth="1"/>
    <col min="2060" max="2060" width="10.28515625" style="1" hidden="1" customWidth="1"/>
    <col min="2061" max="2061" width="11.5703125" style="1" hidden="1" customWidth="1"/>
    <col min="2062" max="2063" width="11.42578125" style="1" hidden="1" customWidth="1"/>
    <col min="2064" max="2064" width="10.85546875" style="1" hidden="1" customWidth="1"/>
    <col min="2065" max="2065" width="8.7109375" style="1" hidden="1" customWidth="1"/>
    <col min="2066" max="2066" width="6.28515625" style="1" hidden="1" customWidth="1"/>
    <col min="2067" max="2067" width="4" style="1" hidden="1" customWidth="1"/>
    <col min="2068" max="2068" width="8.7109375" style="1" hidden="1" customWidth="1"/>
    <col min="2069" max="2069" width="13.7109375" style="1" hidden="1" customWidth="1"/>
    <col min="2070" max="2070" width="20.7109375" style="1" hidden="1" customWidth="1"/>
    <col min="2071" max="2071" width="9.42578125" style="1" hidden="1" customWidth="1"/>
    <col min="2072" max="2072" width="3.28515625" style="1" hidden="1" customWidth="1"/>
    <col min="2073" max="2296" width="0" style="1" hidden="1"/>
    <col min="2297" max="2298" width="3.28515625" style="1" hidden="1" customWidth="1"/>
    <col min="2299" max="2299" width="30.7109375" style="1" hidden="1" customWidth="1"/>
    <col min="2300" max="2300" width="2.7109375" style="1" hidden="1" customWidth="1"/>
    <col min="2301" max="2301" width="12.85546875" style="1" hidden="1" customWidth="1"/>
    <col min="2302" max="2303" width="9.5703125" style="1" hidden="1" customWidth="1"/>
    <col min="2304" max="2304" width="7.42578125" style="1" hidden="1" customWidth="1"/>
    <col min="2305" max="2305" width="11.140625" style="1" hidden="1" customWidth="1"/>
    <col min="2306" max="2306" width="11.28515625" style="1" hidden="1" customWidth="1"/>
    <col min="2307" max="2307" width="11.7109375" style="1" hidden="1" customWidth="1"/>
    <col min="2308" max="2308" width="11.28515625" style="1" hidden="1" customWidth="1"/>
    <col min="2309" max="2309" width="10.7109375" style="1" hidden="1" customWidth="1"/>
    <col min="2310" max="2310" width="11.28515625" style="1" hidden="1" customWidth="1"/>
    <col min="2311" max="2311" width="11.42578125" style="1" hidden="1" customWidth="1"/>
    <col min="2312" max="2312" width="10.42578125" style="1" hidden="1" customWidth="1"/>
    <col min="2313" max="2313" width="11.28515625" style="1" hidden="1" customWidth="1"/>
    <col min="2314" max="2314" width="11.42578125" style="1" hidden="1" customWidth="1"/>
    <col min="2315" max="2315" width="10.7109375" style="1" hidden="1" customWidth="1"/>
    <col min="2316" max="2316" width="10.28515625" style="1" hidden="1" customWidth="1"/>
    <col min="2317" max="2317" width="11.5703125" style="1" hidden="1" customWidth="1"/>
    <col min="2318" max="2319" width="11.42578125" style="1" hidden="1" customWidth="1"/>
    <col min="2320" max="2320" width="10.85546875" style="1" hidden="1" customWidth="1"/>
    <col min="2321" max="2321" width="8.7109375" style="1" hidden="1" customWidth="1"/>
    <col min="2322" max="2322" width="6.28515625" style="1" hidden="1" customWidth="1"/>
    <col min="2323" max="2323" width="4" style="1" hidden="1" customWidth="1"/>
    <col min="2324" max="2324" width="8.7109375" style="1" hidden="1" customWidth="1"/>
    <col min="2325" max="2325" width="13.7109375" style="1" hidden="1" customWidth="1"/>
    <col min="2326" max="2326" width="20.7109375" style="1" hidden="1" customWidth="1"/>
    <col min="2327" max="2327" width="9.42578125" style="1" hidden="1" customWidth="1"/>
    <col min="2328" max="2328" width="3.28515625" style="1" hidden="1" customWidth="1"/>
    <col min="2329" max="2552" width="0" style="1" hidden="1"/>
    <col min="2553" max="2554" width="3.28515625" style="1" hidden="1" customWidth="1"/>
    <col min="2555" max="2555" width="30.7109375" style="1" hidden="1" customWidth="1"/>
    <col min="2556" max="2556" width="2.7109375" style="1" hidden="1" customWidth="1"/>
    <col min="2557" max="2557" width="12.85546875" style="1" hidden="1" customWidth="1"/>
    <col min="2558" max="2559" width="9.5703125" style="1" hidden="1" customWidth="1"/>
    <col min="2560" max="2560" width="7.42578125" style="1" hidden="1" customWidth="1"/>
    <col min="2561" max="2561" width="11.140625" style="1" hidden="1" customWidth="1"/>
    <col min="2562" max="2562" width="11.28515625" style="1" hidden="1" customWidth="1"/>
    <col min="2563" max="2563" width="11.7109375" style="1" hidden="1" customWidth="1"/>
    <col min="2564" max="2564" width="11.28515625" style="1" hidden="1" customWidth="1"/>
    <col min="2565" max="2565" width="10.7109375" style="1" hidden="1" customWidth="1"/>
    <col min="2566" max="2566" width="11.28515625" style="1" hidden="1" customWidth="1"/>
    <col min="2567" max="2567" width="11.42578125" style="1" hidden="1" customWidth="1"/>
    <col min="2568" max="2568" width="10.42578125" style="1" hidden="1" customWidth="1"/>
    <col min="2569" max="2569" width="11.28515625" style="1" hidden="1" customWidth="1"/>
    <col min="2570" max="2570" width="11.42578125" style="1" hidden="1" customWidth="1"/>
    <col min="2571" max="2571" width="10.7109375" style="1" hidden="1" customWidth="1"/>
    <col min="2572" max="2572" width="10.28515625" style="1" hidden="1" customWidth="1"/>
    <col min="2573" max="2573" width="11.5703125" style="1" hidden="1" customWidth="1"/>
    <col min="2574" max="2575" width="11.42578125" style="1" hidden="1" customWidth="1"/>
    <col min="2576" max="2576" width="10.85546875" style="1" hidden="1" customWidth="1"/>
    <col min="2577" max="2577" width="8.7109375" style="1" hidden="1" customWidth="1"/>
    <col min="2578" max="2578" width="6.28515625" style="1" hidden="1" customWidth="1"/>
    <col min="2579" max="2579" width="4" style="1" hidden="1" customWidth="1"/>
    <col min="2580" max="2580" width="8.7109375" style="1" hidden="1" customWidth="1"/>
    <col min="2581" max="2581" width="13.7109375" style="1" hidden="1" customWidth="1"/>
    <col min="2582" max="2582" width="20.7109375" style="1" hidden="1" customWidth="1"/>
    <col min="2583" max="2583" width="9.42578125" style="1" hidden="1" customWidth="1"/>
    <col min="2584" max="2584" width="3.28515625" style="1" hidden="1" customWidth="1"/>
    <col min="2585" max="2808" width="0" style="1" hidden="1"/>
    <col min="2809" max="2810" width="3.28515625" style="1" hidden="1" customWidth="1"/>
    <col min="2811" max="2811" width="30.7109375" style="1" hidden="1" customWidth="1"/>
    <col min="2812" max="2812" width="2.7109375" style="1" hidden="1" customWidth="1"/>
    <col min="2813" max="2813" width="12.85546875" style="1" hidden="1" customWidth="1"/>
    <col min="2814" max="2815" width="9.5703125" style="1" hidden="1" customWidth="1"/>
    <col min="2816" max="2816" width="7.42578125" style="1" hidden="1" customWidth="1"/>
    <col min="2817" max="2817" width="11.140625" style="1" hidden="1" customWidth="1"/>
    <col min="2818" max="2818" width="11.28515625" style="1" hidden="1" customWidth="1"/>
    <col min="2819" max="2819" width="11.7109375" style="1" hidden="1" customWidth="1"/>
    <col min="2820" max="2820" width="11.28515625" style="1" hidden="1" customWidth="1"/>
    <col min="2821" max="2821" width="10.7109375" style="1" hidden="1" customWidth="1"/>
    <col min="2822" max="2822" width="11.28515625" style="1" hidden="1" customWidth="1"/>
    <col min="2823" max="2823" width="11.42578125" style="1" hidden="1" customWidth="1"/>
    <col min="2824" max="2824" width="10.42578125" style="1" hidden="1" customWidth="1"/>
    <col min="2825" max="2825" width="11.28515625" style="1" hidden="1" customWidth="1"/>
    <col min="2826" max="2826" width="11.42578125" style="1" hidden="1" customWidth="1"/>
    <col min="2827" max="2827" width="10.7109375" style="1" hidden="1" customWidth="1"/>
    <col min="2828" max="2828" width="10.28515625" style="1" hidden="1" customWidth="1"/>
    <col min="2829" max="2829" width="11.5703125" style="1" hidden="1" customWidth="1"/>
    <col min="2830" max="2831" width="11.42578125" style="1" hidden="1" customWidth="1"/>
    <col min="2832" max="2832" width="10.85546875" style="1" hidden="1" customWidth="1"/>
    <col min="2833" max="2833" width="8.7109375" style="1" hidden="1" customWidth="1"/>
    <col min="2834" max="2834" width="6.28515625" style="1" hidden="1" customWidth="1"/>
    <col min="2835" max="2835" width="4" style="1" hidden="1" customWidth="1"/>
    <col min="2836" max="2836" width="8.7109375" style="1" hidden="1" customWidth="1"/>
    <col min="2837" max="2837" width="13.7109375" style="1" hidden="1" customWidth="1"/>
    <col min="2838" max="2838" width="20.7109375" style="1" hidden="1" customWidth="1"/>
    <col min="2839" max="2839" width="9.42578125" style="1" hidden="1" customWidth="1"/>
    <col min="2840" max="2840" width="3.28515625" style="1" hidden="1" customWidth="1"/>
    <col min="2841" max="3064" width="0" style="1" hidden="1"/>
    <col min="3065" max="3066" width="3.28515625" style="1" hidden="1" customWidth="1"/>
    <col min="3067" max="3067" width="30.7109375" style="1" hidden="1" customWidth="1"/>
    <col min="3068" max="3068" width="2.7109375" style="1" hidden="1" customWidth="1"/>
    <col min="3069" max="3069" width="12.85546875" style="1" hidden="1" customWidth="1"/>
    <col min="3070" max="3071" width="9.5703125" style="1" hidden="1" customWidth="1"/>
    <col min="3072" max="3072" width="7.42578125" style="1" hidden="1" customWidth="1"/>
    <col min="3073" max="3073" width="11.140625" style="1" hidden="1" customWidth="1"/>
    <col min="3074" max="3074" width="11.28515625" style="1" hidden="1" customWidth="1"/>
    <col min="3075" max="3075" width="11.7109375" style="1" hidden="1" customWidth="1"/>
    <col min="3076" max="3076" width="11.28515625" style="1" hidden="1" customWidth="1"/>
    <col min="3077" max="3077" width="10.7109375" style="1" hidden="1" customWidth="1"/>
    <col min="3078" max="3078" width="11.28515625" style="1" hidden="1" customWidth="1"/>
    <col min="3079" max="3079" width="11.42578125" style="1" hidden="1" customWidth="1"/>
    <col min="3080" max="3080" width="10.42578125" style="1" hidden="1" customWidth="1"/>
    <col min="3081" max="3081" width="11.28515625" style="1" hidden="1" customWidth="1"/>
    <col min="3082" max="3082" width="11.42578125" style="1" hidden="1" customWidth="1"/>
    <col min="3083" max="3083" width="10.7109375" style="1" hidden="1" customWidth="1"/>
    <col min="3084" max="3084" width="10.28515625" style="1" hidden="1" customWidth="1"/>
    <col min="3085" max="3085" width="11.5703125" style="1" hidden="1" customWidth="1"/>
    <col min="3086" max="3087" width="11.42578125" style="1" hidden="1" customWidth="1"/>
    <col min="3088" max="3088" width="10.85546875" style="1" hidden="1" customWidth="1"/>
    <col min="3089" max="3089" width="8.7109375" style="1" hidden="1" customWidth="1"/>
    <col min="3090" max="3090" width="6.28515625" style="1" hidden="1" customWidth="1"/>
    <col min="3091" max="3091" width="4" style="1" hidden="1" customWidth="1"/>
    <col min="3092" max="3092" width="8.7109375" style="1" hidden="1" customWidth="1"/>
    <col min="3093" max="3093" width="13.7109375" style="1" hidden="1" customWidth="1"/>
    <col min="3094" max="3094" width="20.7109375" style="1" hidden="1" customWidth="1"/>
    <col min="3095" max="3095" width="9.42578125" style="1" hidden="1" customWidth="1"/>
    <col min="3096" max="3096" width="3.28515625" style="1" hidden="1" customWidth="1"/>
    <col min="3097" max="3320" width="0" style="1" hidden="1"/>
    <col min="3321" max="3322" width="3.28515625" style="1" hidden="1" customWidth="1"/>
    <col min="3323" max="3323" width="30.7109375" style="1" hidden="1" customWidth="1"/>
    <col min="3324" max="3324" width="2.7109375" style="1" hidden="1" customWidth="1"/>
    <col min="3325" max="3325" width="12.85546875" style="1" hidden="1" customWidth="1"/>
    <col min="3326" max="3327" width="9.5703125" style="1" hidden="1" customWidth="1"/>
    <col min="3328" max="3328" width="7.42578125" style="1" hidden="1" customWidth="1"/>
    <col min="3329" max="3329" width="11.140625" style="1" hidden="1" customWidth="1"/>
    <col min="3330" max="3330" width="11.28515625" style="1" hidden="1" customWidth="1"/>
    <col min="3331" max="3331" width="11.7109375" style="1" hidden="1" customWidth="1"/>
    <col min="3332" max="3332" width="11.28515625" style="1" hidden="1" customWidth="1"/>
    <col min="3333" max="3333" width="10.7109375" style="1" hidden="1" customWidth="1"/>
    <col min="3334" max="3334" width="11.28515625" style="1" hidden="1" customWidth="1"/>
    <col min="3335" max="3335" width="11.42578125" style="1" hidden="1" customWidth="1"/>
    <col min="3336" max="3336" width="10.42578125" style="1" hidden="1" customWidth="1"/>
    <col min="3337" max="3337" width="11.28515625" style="1" hidden="1" customWidth="1"/>
    <col min="3338" max="3338" width="11.42578125" style="1" hidden="1" customWidth="1"/>
    <col min="3339" max="3339" width="10.7109375" style="1" hidden="1" customWidth="1"/>
    <col min="3340" max="3340" width="10.28515625" style="1" hidden="1" customWidth="1"/>
    <col min="3341" max="3341" width="11.5703125" style="1" hidden="1" customWidth="1"/>
    <col min="3342" max="3343" width="11.42578125" style="1" hidden="1" customWidth="1"/>
    <col min="3344" max="3344" width="10.85546875" style="1" hidden="1" customWidth="1"/>
    <col min="3345" max="3345" width="8.7109375" style="1" hidden="1" customWidth="1"/>
    <col min="3346" max="3346" width="6.28515625" style="1" hidden="1" customWidth="1"/>
    <col min="3347" max="3347" width="4" style="1" hidden="1" customWidth="1"/>
    <col min="3348" max="3348" width="8.7109375" style="1" hidden="1" customWidth="1"/>
    <col min="3349" max="3349" width="13.7109375" style="1" hidden="1" customWidth="1"/>
    <col min="3350" max="3350" width="20.7109375" style="1" hidden="1" customWidth="1"/>
    <col min="3351" max="3351" width="9.42578125" style="1" hidden="1" customWidth="1"/>
    <col min="3352" max="3352" width="3.28515625" style="1" hidden="1" customWidth="1"/>
    <col min="3353" max="3576" width="0" style="1" hidden="1"/>
    <col min="3577" max="3578" width="3.28515625" style="1" hidden="1" customWidth="1"/>
    <col min="3579" max="3579" width="30.7109375" style="1" hidden="1" customWidth="1"/>
    <col min="3580" max="3580" width="2.7109375" style="1" hidden="1" customWidth="1"/>
    <col min="3581" max="3581" width="12.85546875" style="1" hidden="1" customWidth="1"/>
    <col min="3582" max="3583" width="9.5703125" style="1" hidden="1" customWidth="1"/>
    <col min="3584" max="3584" width="7.42578125" style="1" hidden="1" customWidth="1"/>
    <col min="3585" max="3585" width="11.140625" style="1" hidden="1" customWidth="1"/>
    <col min="3586" max="3586" width="11.28515625" style="1" hidden="1" customWidth="1"/>
    <col min="3587" max="3587" width="11.7109375" style="1" hidden="1" customWidth="1"/>
    <col min="3588" max="3588" width="11.28515625" style="1" hidden="1" customWidth="1"/>
    <col min="3589" max="3589" width="10.7109375" style="1" hidden="1" customWidth="1"/>
    <col min="3590" max="3590" width="11.28515625" style="1" hidden="1" customWidth="1"/>
    <col min="3591" max="3591" width="11.42578125" style="1" hidden="1" customWidth="1"/>
    <col min="3592" max="3592" width="10.42578125" style="1" hidden="1" customWidth="1"/>
    <col min="3593" max="3593" width="11.28515625" style="1" hidden="1" customWidth="1"/>
    <col min="3594" max="3594" width="11.42578125" style="1" hidden="1" customWidth="1"/>
    <col min="3595" max="3595" width="10.7109375" style="1" hidden="1" customWidth="1"/>
    <col min="3596" max="3596" width="10.28515625" style="1" hidden="1" customWidth="1"/>
    <col min="3597" max="3597" width="11.5703125" style="1" hidden="1" customWidth="1"/>
    <col min="3598" max="3599" width="11.42578125" style="1" hidden="1" customWidth="1"/>
    <col min="3600" max="3600" width="10.85546875" style="1" hidden="1" customWidth="1"/>
    <col min="3601" max="3601" width="8.7109375" style="1" hidden="1" customWidth="1"/>
    <col min="3602" max="3602" width="6.28515625" style="1" hidden="1" customWidth="1"/>
    <col min="3603" max="3603" width="4" style="1" hidden="1" customWidth="1"/>
    <col min="3604" max="3604" width="8.7109375" style="1" hidden="1" customWidth="1"/>
    <col min="3605" max="3605" width="13.7109375" style="1" hidden="1" customWidth="1"/>
    <col min="3606" max="3606" width="20.7109375" style="1" hidden="1" customWidth="1"/>
    <col min="3607" max="3607" width="9.42578125" style="1" hidden="1" customWidth="1"/>
    <col min="3608" max="3608" width="3.28515625" style="1" hidden="1" customWidth="1"/>
    <col min="3609" max="3832" width="0" style="1" hidden="1"/>
    <col min="3833" max="3834" width="3.28515625" style="1" hidden="1" customWidth="1"/>
    <col min="3835" max="3835" width="30.7109375" style="1" hidden="1" customWidth="1"/>
    <col min="3836" max="3836" width="2.7109375" style="1" hidden="1" customWidth="1"/>
    <col min="3837" max="3837" width="12.85546875" style="1" hidden="1" customWidth="1"/>
    <col min="3838" max="3839" width="9.5703125" style="1" hidden="1" customWidth="1"/>
    <col min="3840" max="3840" width="7.42578125" style="1" hidden="1" customWidth="1"/>
    <col min="3841" max="3841" width="11.140625" style="1" hidden="1" customWidth="1"/>
    <col min="3842" max="3842" width="11.28515625" style="1" hidden="1" customWidth="1"/>
    <col min="3843" max="3843" width="11.7109375" style="1" hidden="1" customWidth="1"/>
    <col min="3844" max="3844" width="11.28515625" style="1" hidden="1" customWidth="1"/>
    <col min="3845" max="3845" width="10.7109375" style="1" hidden="1" customWidth="1"/>
    <col min="3846" max="3846" width="11.28515625" style="1" hidden="1" customWidth="1"/>
    <col min="3847" max="3847" width="11.42578125" style="1" hidden="1" customWidth="1"/>
    <col min="3848" max="3848" width="10.42578125" style="1" hidden="1" customWidth="1"/>
    <col min="3849" max="3849" width="11.28515625" style="1" hidden="1" customWidth="1"/>
    <col min="3850" max="3850" width="11.42578125" style="1" hidden="1" customWidth="1"/>
    <col min="3851" max="3851" width="10.7109375" style="1" hidden="1" customWidth="1"/>
    <col min="3852" max="3852" width="10.28515625" style="1" hidden="1" customWidth="1"/>
    <col min="3853" max="3853" width="11.5703125" style="1" hidden="1" customWidth="1"/>
    <col min="3854" max="3855" width="11.42578125" style="1" hidden="1" customWidth="1"/>
    <col min="3856" max="3856" width="10.85546875" style="1" hidden="1" customWidth="1"/>
    <col min="3857" max="3857" width="8.7109375" style="1" hidden="1" customWidth="1"/>
    <col min="3858" max="3858" width="6.28515625" style="1" hidden="1" customWidth="1"/>
    <col min="3859" max="3859" width="4" style="1" hidden="1" customWidth="1"/>
    <col min="3860" max="3860" width="8.7109375" style="1" hidden="1" customWidth="1"/>
    <col min="3861" max="3861" width="13.7109375" style="1" hidden="1" customWidth="1"/>
    <col min="3862" max="3862" width="20.7109375" style="1" hidden="1" customWidth="1"/>
    <col min="3863" max="3863" width="9.42578125" style="1" hidden="1" customWidth="1"/>
    <col min="3864" max="3864" width="3.28515625" style="1" hidden="1" customWidth="1"/>
    <col min="3865" max="4088" width="0" style="1" hidden="1"/>
    <col min="4089" max="4090" width="3.28515625" style="1" hidden="1" customWidth="1"/>
    <col min="4091" max="4091" width="30.7109375" style="1" hidden="1" customWidth="1"/>
    <col min="4092" max="4092" width="2.7109375" style="1" hidden="1" customWidth="1"/>
    <col min="4093" max="4093" width="12.85546875" style="1" hidden="1" customWidth="1"/>
    <col min="4094" max="4095" width="9.5703125" style="1" hidden="1" customWidth="1"/>
    <col min="4096" max="4096" width="7.42578125" style="1" hidden="1" customWidth="1"/>
    <col min="4097" max="4097" width="11.140625" style="1" hidden="1" customWidth="1"/>
    <col min="4098" max="4098" width="11.28515625" style="1" hidden="1" customWidth="1"/>
    <col min="4099" max="4099" width="11.7109375" style="1" hidden="1" customWidth="1"/>
    <col min="4100" max="4100" width="11.28515625" style="1" hidden="1" customWidth="1"/>
    <col min="4101" max="4101" width="10.7109375" style="1" hidden="1" customWidth="1"/>
    <col min="4102" max="4102" width="11.28515625" style="1" hidden="1" customWidth="1"/>
    <col min="4103" max="4103" width="11.42578125" style="1" hidden="1" customWidth="1"/>
    <col min="4104" max="4104" width="10.42578125" style="1" hidden="1" customWidth="1"/>
    <col min="4105" max="4105" width="11.28515625" style="1" hidden="1" customWidth="1"/>
    <col min="4106" max="4106" width="11.42578125" style="1" hidden="1" customWidth="1"/>
    <col min="4107" max="4107" width="10.7109375" style="1" hidden="1" customWidth="1"/>
    <col min="4108" max="4108" width="10.28515625" style="1" hidden="1" customWidth="1"/>
    <col min="4109" max="4109" width="11.5703125" style="1" hidden="1" customWidth="1"/>
    <col min="4110" max="4111" width="11.42578125" style="1" hidden="1" customWidth="1"/>
    <col min="4112" max="4112" width="10.85546875" style="1" hidden="1" customWidth="1"/>
    <col min="4113" max="4113" width="8.7109375" style="1" hidden="1" customWidth="1"/>
    <col min="4114" max="4114" width="6.28515625" style="1" hidden="1" customWidth="1"/>
    <col min="4115" max="4115" width="4" style="1" hidden="1" customWidth="1"/>
    <col min="4116" max="4116" width="8.7109375" style="1" hidden="1" customWidth="1"/>
    <col min="4117" max="4117" width="13.7109375" style="1" hidden="1" customWidth="1"/>
    <col min="4118" max="4118" width="20.7109375" style="1" hidden="1" customWidth="1"/>
    <col min="4119" max="4119" width="9.42578125" style="1" hidden="1" customWidth="1"/>
    <col min="4120" max="4120" width="3.28515625" style="1" hidden="1" customWidth="1"/>
    <col min="4121" max="4344" width="0" style="1" hidden="1"/>
    <col min="4345" max="4346" width="3.28515625" style="1" hidden="1" customWidth="1"/>
    <col min="4347" max="4347" width="30.7109375" style="1" hidden="1" customWidth="1"/>
    <col min="4348" max="4348" width="2.7109375" style="1" hidden="1" customWidth="1"/>
    <col min="4349" max="4349" width="12.85546875" style="1" hidden="1" customWidth="1"/>
    <col min="4350" max="4351" width="9.5703125" style="1" hidden="1" customWidth="1"/>
    <col min="4352" max="4352" width="7.42578125" style="1" hidden="1" customWidth="1"/>
    <col min="4353" max="4353" width="11.140625" style="1" hidden="1" customWidth="1"/>
    <col min="4354" max="4354" width="11.28515625" style="1" hidden="1" customWidth="1"/>
    <col min="4355" max="4355" width="11.7109375" style="1" hidden="1" customWidth="1"/>
    <col min="4356" max="4356" width="11.28515625" style="1" hidden="1" customWidth="1"/>
    <col min="4357" max="4357" width="10.7109375" style="1" hidden="1" customWidth="1"/>
    <col min="4358" max="4358" width="11.28515625" style="1" hidden="1" customWidth="1"/>
    <col min="4359" max="4359" width="11.42578125" style="1" hidden="1" customWidth="1"/>
    <col min="4360" max="4360" width="10.42578125" style="1" hidden="1" customWidth="1"/>
    <col min="4361" max="4361" width="11.28515625" style="1" hidden="1" customWidth="1"/>
    <col min="4362" max="4362" width="11.42578125" style="1" hidden="1" customWidth="1"/>
    <col min="4363" max="4363" width="10.7109375" style="1" hidden="1" customWidth="1"/>
    <col min="4364" max="4364" width="10.28515625" style="1" hidden="1" customWidth="1"/>
    <col min="4365" max="4365" width="11.5703125" style="1" hidden="1" customWidth="1"/>
    <col min="4366" max="4367" width="11.42578125" style="1" hidden="1" customWidth="1"/>
    <col min="4368" max="4368" width="10.85546875" style="1" hidden="1" customWidth="1"/>
    <col min="4369" max="4369" width="8.7109375" style="1" hidden="1" customWidth="1"/>
    <col min="4370" max="4370" width="6.28515625" style="1" hidden="1" customWidth="1"/>
    <col min="4371" max="4371" width="4" style="1" hidden="1" customWidth="1"/>
    <col min="4372" max="4372" width="8.7109375" style="1" hidden="1" customWidth="1"/>
    <col min="4373" max="4373" width="13.7109375" style="1" hidden="1" customWidth="1"/>
    <col min="4374" max="4374" width="20.7109375" style="1" hidden="1" customWidth="1"/>
    <col min="4375" max="4375" width="9.42578125" style="1" hidden="1" customWidth="1"/>
    <col min="4376" max="4376" width="3.28515625" style="1" hidden="1" customWidth="1"/>
    <col min="4377" max="4600" width="0" style="1" hidden="1"/>
    <col min="4601" max="4602" width="3.28515625" style="1" hidden="1" customWidth="1"/>
    <col min="4603" max="4603" width="30.7109375" style="1" hidden="1" customWidth="1"/>
    <col min="4604" max="4604" width="2.7109375" style="1" hidden="1" customWidth="1"/>
    <col min="4605" max="4605" width="12.85546875" style="1" hidden="1" customWidth="1"/>
    <col min="4606" max="4607" width="9.5703125" style="1" hidden="1" customWidth="1"/>
    <col min="4608" max="4608" width="7.42578125" style="1" hidden="1" customWidth="1"/>
    <col min="4609" max="4609" width="11.140625" style="1" hidden="1" customWidth="1"/>
    <col min="4610" max="4610" width="11.28515625" style="1" hidden="1" customWidth="1"/>
    <col min="4611" max="4611" width="11.7109375" style="1" hidden="1" customWidth="1"/>
    <col min="4612" max="4612" width="11.28515625" style="1" hidden="1" customWidth="1"/>
    <col min="4613" max="4613" width="10.7109375" style="1" hidden="1" customWidth="1"/>
    <col min="4614" max="4614" width="11.28515625" style="1" hidden="1" customWidth="1"/>
    <col min="4615" max="4615" width="11.42578125" style="1" hidden="1" customWidth="1"/>
    <col min="4616" max="4616" width="10.42578125" style="1" hidden="1" customWidth="1"/>
    <col min="4617" max="4617" width="11.28515625" style="1" hidden="1" customWidth="1"/>
    <col min="4618" max="4618" width="11.42578125" style="1" hidden="1" customWidth="1"/>
    <col min="4619" max="4619" width="10.7109375" style="1" hidden="1" customWidth="1"/>
    <col min="4620" max="4620" width="10.28515625" style="1" hidden="1" customWidth="1"/>
    <col min="4621" max="4621" width="11.5703125" style="1" hidden="1" customWidth="1"/>
    <col min="4622" max="4623" width="11.42578125" style="1" hidden="1" customWidth="1"/>
    <col min="4624" max="4624" width="10.85546875" style="1" hidden="1" customWidth="1"/>
    <col min="4625" max="4625" width="8.7109375" style="1" hidden="1" customWidth="1"/>
    <col min="4626" max="4626" width="6.28515625" style="1" hidden="1" customWidth="1"/>
    <col min="4627" max="4627" width="4" style="1" hidden="1" customWidth="1"/>
    <col min="4628" max="4628" width="8.7109375" style="1" hidden="1" customWidth="1"/>
    <col min="4629" max="4629" width="13.7109375" style="1" hidden="1" customWidth="1"/>
    <col min="4630" max="4630" width="20.7109375" style="1" hidden="1" customWidth="1"/>
    <col min="4631" max="4631" width="9.42578125" style="1" hidden="1" customWidth="1"/>
    <col min="4632" max="4632" width="3.28515625" style="1" hidden="1" customWidth="1"/>
    <col min="4633" max="4856" width="0" style="1" hidden="1"/>
    <col min="4857" max="4858" width="3.28515625" style="1" hidden="1" customWidth="1"/>
    <col min="4859" max="4859" width="30.7109375" style="1" hidden="1" customWidth="1"/>
    <col min="4860" max="4860" width="2.7109375" style="1" hidden="1" customWidth="1"/>
    <col min="4861" max="4861" width="12.85546875" style="1" hidden="1" customWidth="1"/>
    <col min="4862" max="4863" width="9.5703125" style="1" hidden="1" customWidth="1"/>
    <col min="4864" max="4864" width="7.42578125" style="1" hidden="1" customWidth="1"/>
    <col min="4865" max="4865" width="11.140625" style="1" hidden="1" customWidth="1"/>
    <col min="4866" max="4866" width="11.28515625" style="1" hidden="1" customWidth="1"/>
    <col min="4867" max="4867" width="11.7109375" style="1" hidden="1" customWidth="1"/>
    <col min="4868" max="4868" width="11.28515625" style="1" hidden="1" customWidth="1"/>
    <col min="4869" max="4869" width="10.7109375" style="1" hidden="1" customWidth="1"/>
    <col min="4870" max="4870" width="11.28515625" style="1" hidden="1" customWidth="1"/>
    <col min="4871" max="4871" width="11.42578125" style="1" hidden="1" customWidth="1"/>
    <col min="4872" max="4872" width="10.42578125" style="1" hidden="1" customWidth="1"/>
    <col min="4873" max="4873" width="11.28515625" style="1" hidden="1" customWidth="1"/>
    <col min="4874" max="4874" width="11.42578125" style="1" hidden="1" customWidth="1"/>
    <col min="4875" max="4875" width="10.7109375" style="1" hidden="1" customWidth="1"/>
    <col min="4876" max="4876" width="10.28515625" style="1" hidden="1" customWidth="1"/>
    <col min="4877" max="4877" width="11.5703125" style="1" hidden="1" customWidth="1"/>
    <col min="4878" max="4879" width="11.42578125" style="1" hidden="1" customWidth="1"/>
    <col min="4880" max="4880" width="10.85546875" style="1" hidden="1" customWidth="1"/>
    <col min="4881" max="4881" width="8.7109375" style="1" hidden="1" customWidth="1"/>
    <col min="4882" max="4882" width="6.28515625" style="1" hidden="1" customWidth="1"/>
    <col min="4883" max="4883" width="4" style="1" hidden="1" customWidth="1"/>
    <col min="4884" max="4884" width="8.7109375" style="1" hidden="1" customWidth="1"/>
    <col min="4885" max="4885" width="13.7109375" style="1" hidden="1" customWidth="1"/>
    <col min="4886" max="4886" width="20.7109375" style="1" hidden="1" customWidth="1"/>
    <col min="4887" max="4887" width="9.42578125" style="1" hidden="1" customWidth="1"/>
    <col min="4888" max="4888" width="3.28515625" style="1" hidden="1" customWidth="1"/>
    <col min="4889" max="5112" width="0" style="1" hidden="1"/>
    <col min="5113" max="5114" width="3.28515625" style="1" hidden="1" customWidth="1"/>
    <col min="5115" max="5115" width="30.7109375" style="1" hidden="1" customWidth="1"/>
    <col min="5116" max="5116" width="2.7109375" style="1" hidden="1" customWidth="1"/>
    <col min="5117" max="5117" width="12.85546875" style="1" hidden="1" customWidth="1"/>
    <col min="5118" max="5119" width="9.5703125" style="1" hidden="1" customWidth="1"/>
    <col min="5120" max="5120" width="7.42578125" style="1" hidden="1" customWidth="1"/>
    <col min="5121" max="5121" width="11.140625" style="1" hidden="1" customWidth="1"/>
    <col min="5122" max="5122" width="11.28515625" style="1" hidden="1" customWidth="1"/>
    <col min="5123" max="5123" width="11.7109375" style="1" hidden="1" customWidth="1"/>
    <col min="5124" max="5124" width="11.28515625" style="1" hidden="1" customWidth="1"/>
    <col min="5125" max="5125" width="10.7109375" style="1" hidden="1" customWidth="1"/>
    <col min="5126" max="5126" width="11.28515625" style="1" hidden="1" customWidth="1"/>
    <col min="5127" max="5127" width="11.42578125" style="1" hidden="1" customWidth="1"/>
    <col min="5128" max="5128" width="10.42578125" style="1" hidden="1" customWidth="1"/>
    <col min="5129" max="5129" width="11.28515625" style="1" hidden="1" customWidth="1"/>
    <col min="5130" max="5130" width="11.42578125" style="1" hidden="1" customWidth="1"/>
    <col min="5131" max="5131" width="10.7109375" style="1" hidden="1" customWidth="1"/>
    <col min="5132" max="5132" width="10.28515625" style="1" hidden="1" customWidth="1"/>
    <col min="5133" max="5133" width="11.5703125" style="1" hidden="1" customWidth="1"/>
    <col min="5134" max="5135" width="11.42578125" style="1" hidden="1" customWidth="1"/>
    <col min="5136" max="5136" width="10.85546875" style="1" hidden="1" customWidth="1"/>
    <col min="5137" max="5137" width="8.7109375" style="1" hidden="1" customWidth="1"/>
    <col min="5138" max="5138" width="6.28515625" style="1" hidden="1" customWidth="1"/>
    <col min="5139" max="5139" width="4" style="1" hidden="1" customWidth="1"/>
    <col min="5140" max="5140" width="8.7109375" style="1" hidden="1" customWidth="1"/>
    <col min="5141" max="5141" width="13.7109375" style="1" hidden="1" customWidth="1"/>
    <col min="5142" max="5142" width="20.7109375" style="1" hidden="1" customWidth="1"/>
    <col min="5143" max="5143" width="9.42578125" style="1" hidden="1" customWidth="1"/>
    <col min="5144" max="5144" width="3.28515625" style="1" hidden="1" customWidth="1"/>
    <col min="5145" max="5368" width="0" style="1" hidden="1"/>
    <col min="5369" max="5370" width="3.28515625" style="1" hidden="1" customWidth="1"/>
    <col min="5371" max="5371" width="30.7109375" style="1" hidden="1" customWidth="1"/>
    <col min="5372" max="5372" width="2.7109375" style="1" hidden="1" customWidth="1"/>
    <col min="5373" max="5373" width="12.85546875" style="1" hidden="1" customWidth="1"/>
    <col min="5374" max="5375" width="9.5703125" style="1" hidden="1" customWidth="1"/>
    <col min="5376" max="5376" width="7.42578125" style="1" hidden="1" customWidth="1"/>
    <col min="5377" max="5377" width="11.140625" style="1" hidden="1" customWidth="1"/>
    <col min="5378" max="5378" width="11.28515625" style="1" hidden="1" customWidth="1"/>
    <col min="5379" max="5379" width="11.7109375" style="1" hidden="1" customWidth="1"/>
    <col min="5380" max="5380" width="11.28515625" style="1" hidden="1" customWidth="1"/>
    <col min="5381" max="5381" width="10.7109375" style="1" hidden="1" customWidth="1"/>
    <col min="5382" max="5382" width="11.28515625" style="1" hidden="1" customWidth="1"/>
    <col min="5383" max="5383" width="11.42578125" style="1" hidden="1" customWidth="1"/>
    <col min="5384" max="5384" width="10.42578125" style="1" hidden="1" customWidth="1"/>
    <col min="5385" max="5385" width="11.28515625" style="1" hidden="1" customWidth="1"/>
    <col min="5386" max="5386" width="11.42578125" style="1" hidden="1" customWidth="1"/>
    <col min="5387" max="5387" width="10.7109375" style="1" hidden="1" customWidth="1"/>
    <col min="5388" max="5388" width="10.28515625" style="1" hidden="1" customWidth="1"/>
    <col min="5389" max="5389" width="11.5703125" style="1" hidden="1" customWidth="1"/>
    <col min="5390" max="5391" width="11.42578125" style="1" hidden="1" customWidth="1"/>
    <col min="5392" max="5392" width="10.85546875" style="1" hidden="1" customWidth="1"/>
    <col min="5393" max="5393" width="8.7109375" style="1" hidden="1" customWidth="1"/>
    <col min="5394" max="5394" width="6.28515625" style="1" hidden="1" customWidth="1"/>
    <col min="5395" max="5395" width="4" style="1" hidden="1" customWidth="1"/>
    <col min="5396" max="5396" width="8.7109375" style="1" hidden="1" customWidth="1"/>
    <col min="5397" max="5397" width="13.7109375" style="1" hidden="1" customWidth="1"/>
    <col min="5398" max="5398" width="20.7109375" style="1" hidden="1" customWidth="1"/>
    <col min="5399" max="5399" width="9.42578125" style="1" hidden="1" customWidth="1"/>
    <col min="5400" max="5400" width="3.28515625" style="1" hidden="1" customWidth="1"/>
    <col min="5401" max="5624" width="0" style="1" hidden="1"/>
    <col min="5625" max="5626" width="3.28515625" style="1" hidden="1" customWidth="1"/>
    <col min="5627" max="5627" width="30.7109375" style="1" hidden="1" customWidth="1"/>
    <col min="5628" max="5628" width="2.7109375" style="1" hidden="1" customWidth="1"/>
    <col min="5629" max="5629" width="12.85546875" style="1" hidden="1" customWidth="1"/>
    <col min="5630" max="5631" width="9.5703125" style="1" hidden="1" customWidth="1"/>
    <col min="5632" max="5632" width="7.42578125" style="1" hidden="1" customWidth="1"/>
    <col min="5633" max="5633" width="11.140625" style="1" hidden="1" customWidth="1"/>
    <col min="5634" max="5634" width="11.28515625" style="1" hidden="1" customWidth="1"/>
    <col min="5635" max="5635" width="11.7109375" style="1" hidden="1" customWidth="1"/>
    <col min="5636" max="5636" width="11.28515625" style="1" hidden="1" customWidth="1"/>
    <col min="5637" max="5637" width="10.7109375" style="1" hidden="1" customWidth="1"/>
    <col min="5638" max="5638" width="11.28515625" style="1" hidden="1" customWidth="1"/>
    <col min="5639" max="5639" width="11.42578125" style="1" hidden="1" customWidth="1"/>
    <col min="5640" max="5640" width="10.42578125" style="1" hidden="1" customWidth="1"/>
    <col min="5641" max="5641" width="11.28515625" style="1" hidden="1" customWidth="1"/>
    <col min="5642" max="5642" width="11.42578125" style="1" hidden="1" customWidth="1"/>
    <col min="5643" max="5643" width="10.7109375" style="1" hidden="1" customWidth="1"/>
    <col min="5644" max="5644" width="10.28515625" style="1" hidden="1" customWidth="1"/>
    <col min="5645" max="5645" width="11.5703125" style="1" hidden="1" customWidth="1"/>
    <col min="5646" max="5647" width="11.42578125" style="1" hidden="1" customWidth="1"/>
    <col min="5648" max="5648" width="10.85546875" style="1" hidden="1" customWidth="1"/>
    <col min="5649" max="5649" width="8.7109375" style="1" hidden="1" customWidth="1"/>
    <col min="5650" max="5650" width="6.28515625" style="1" hidden="1" customWidth="1"/>
    <col min="5651" max="5651" width="4" style="1" hidden="1" customWidth="1"/>
    <col min="5652" max="5652" width="8.7109375" style="1" hidden="1" customWidth="1"/>
    <col min="5653" max="5653" width="13.7109375" style="1" hidden="1" customWidth="1"/>
    <col min="5654" max="5654" width="20.7109375" style="1" hidden="1" customWidth="1"/>
    <col min="5655" max="5655" width="9.42578125" style="1" hidden="1" customWidth="1"/>
    <col min="5656" max="5656" width="3.28515625" style="1" hidden="1" customWidth="1"/>
    <col min="5657" max="5880" width="0" style="1" hidden="1"/>
    <col min="5881" max="5882" width="3.28515625" style="1" hidden="1" customWidth="1"/>
    <col min="5883" max="5883" width="30.7109375" style="1" hidden="1" customWidth="1"/>
    <col min="5884" max="5884" width="2.7109375" style="1" hidden="1" customWidth="1"/>
    <col min="5885" max="5885" width="12.85546875" style="1" hidden="1" customWidth="1"/>
    <col min="5886" max="5887" width="9.5703125" style="1" hidden="1" customWidth="1"/>
    <col min="5888" max="5888" width="7.42578125" style="1" hidden="1" customWidth="1"/>
    <col min="5889" max="5889" width="11.140625" style="1" hidden="1" customWidth="1"/>
    <col min="5890" max="5890" width="11.28515625" style="1" hidden="1" customWidth="1"/>
    <col min="5891" max="5891" width="11.7109375" style="1" hidden="1" customWidth="1"/>
    <col min="5892" max="5892" width="11.28515625" style="1" hidden="1" customWidth="1"/>
    <col min="5893" max="5893" width="10.7109375" style="1" hidden="1" customWidth="1"/>
    <col min="5894" max="5894" width="11.28515625" style="1" hidden="1" customWidth="1"/>
    <col min="5895" max="5895" width="11.42578125" style="1" hidden="1" customWidth="1"/>
    <col min="5896" max="5896" width="10.42578125" style="1" hidden="1" customWidth="1"/>
    <col min="5897" max="5897" width="11.28515625" style="1" hidden="1" customWidth="1"/>
    <col min="5898" max="5898" width="11.42578125" style="1" hidden="1" customWidth="1"/>
    <col min="5899" max="5899" width="10.7109375" style="1" hidden="1" customWidth="1"/>
    <col min="5900" max="5900" width="10.28515625" style="1" hidden="1" customWidth="1"/>
    <col min="5901" max="5901" width="11.5703125" style="1" hidden="1" customWidth="1"/>
    <col min="5902" max="5903" width="11.42578125" style="1" hidden="1" customWidth="1"/>
    <col min="5904" max="5904" width="10.85546875" style="1" hidden="1" customWidth="1"/>
    <col min="5905" max="5905" width="8.7109375" style="1" hidden="1" customWidth="1"/>
    <col min="5906" max="5906" width="6.28515625" style="1" hidden="1" customWidth="1"/>
    <col min="5907" max="5907" width="4" style="1" hidden="1" customWidth="1"/>
    <col min="5908" max="5908" width="8.7109375" style="1" hidden="1" customWidth="1"/>
    <col min="5909" max="5909" width="13.7109375" style="1" hidden="1" customWidth="1"/>
    <col min="5910" max="5910" width="20.7109375" style="1" hidden="1" customWidth="1"/>
    <col min="5911" max="5911" width="9.42578125" style="1" hidden="1" customWidth="1"/>
    <col min="5912" max="5912" width="3.28515625" style="1" hidden="1" customWidth="1"/>
    <col min="5913" max="6136" width="0" style="1" hidden="1"/>
    <col min="6137" max="6138" width="3.28515625" style="1" hidden="1" customWidth="1"/>
    <col min="6139" max="6139" width="30.7109375" style="1" hidden="1" customWidth="1"/>
    <col min="6140" max="6140" width="2.7109375" style="1" hidden="1" customWidth="1"/>
    <col min="6141" max="6141" width="12.85546875" style="1" hidden="1" customWidth="1"/>
    <col min="6142" max="6143" width="9.5703125" style="1" hidden="1" customWidth="1"/>
    <col min="6144" max="6144" width="7.42578125" style="1" hidden="1" customWidth="1"/>
    <col min="6145" max="6145" width="11.140625" style="1" hidden="1" customWidth="1"/>
    <col min="6146" max="6146" width="11.28515625" style="1" hidden="1" customWidth="1"/>
    <col min="6147" max="6147" width="11.7109375" style="1" hidden="1" customWidth="1"/>
    <col min="6148" max="6148" width="11.28515625" style="1" hidden="1" customWidth="1"/>
    <col min="6149" max="6149" width="10.7109375" style="1" hidden="1" customWidth="1"/>
    <col min="6150" max="6150" width="11.28515625" style="1" hidden="1" customWidth="1"/>
    <col min="6151" max="6151" width="11.42578125" style="1" hidden="1" customWidth="1"/>
    <col min="6152" max="6152" width="10.42578125" style="1" hidden="1" customWidth="1"/>
    <col min="6153" max="6153" width="11.28515625" style="1" hidden="1" customWidth="1"/>
    <col min="6154" max="6154" width="11.42578125" style="1" hidden="1" customWidth="1"/>
    <col min="6155" max="6155" width="10.7109375" style="1" hidden="1" customWidth="1"/>
    <col min="6156" max="6156" width="10.28515625" style="1" hidden="1" customWidth="1"/>
    <col min="6157" max="6157" width="11.5703125" style="1" hidden="1" customWidth="1"/>
    <col min="6158" max="6159" width="11.42578125" style="1" hidden="1" customWidth="1"/>
    <col min="6160" max="6160" width="10.85546875" style="1" hidden="1" customWidth="1"/>
    <col min="6161" max="6161" width="8.7109375" style="1" hidden="1" customWidth="1"/>
    <col min="6162" max="6162" width="6.28515625" style="1" hidden="1" customWidth="1"/>
    <col min="6163" max="6163" width="4" style="1" hidden="1" customWidth="1"/>
    <col min="6164" max="6164" width="8.7109375" style="1" hidden="1" customWidth="1"/>
    <col min="6165" max="6165" width="13.7109375" style="1" hidden="1" customWidth="1"/>
    <col min="6166" max="6166" width="20.7109375" style="1" hidden="1" customWidth="1"/>
    <col min="6167" max="6167" width="9.42578125" style="1" hidden="1" customWidth="1"/>
    <col min="6168" max="6168" width="3.28515625" style="1" hidden="1" customWidth="1"/>
    <col min="6169" max="6392" width="0" style="1" hidden="1"/>
    <col min="6393" max="6394" width="3.28515625" style="1" hidden="1" customWidth="1"/>
    <col min="6395" max="6395" width="30.7109375" style="1" hidden="1" customWidth="1"/>
    <col min="6396" max="6396" width="2.7109375" style="1" hidden="1" customWidth="1"/>
    <col min="6397" max="6397" width="12.85546875" style="1" hidden="1" customWidth="1"/>
    <col min="6398" max="6399" width="9.5703125" style="1" hidden="1" customWidth="1"/>
    <col min="6400" max="6400" width="7.42578125" style="1" hidden="1" customWidth="1"/>
    <col min="6401" max="6401" width="11.140625" style="1" hidden="1" customWidth="1"/>
    <col min="6402" max="6402" width="11.28515625" style="1" hidden="1" customWidth="1"/>
    <col min="6403" max="6403" width="11.7109375" style="1" hidden="1" customWidth="1"/>
    <col min="6404" max="6404" width="11.28515625" style="1" hidden="1" customWidth="1"/>
    <col min="6405" max="6405" width="10.7109375" style="1" hidden="1" customWidth="1"/>
    <col min="6406" max="6406" width="11.28515625" style="1" hidden="1" customWidth="1"/>
    <col min="6407" max="6407" width="11.42578125" style="1" hidden="1" customWidth="1"/>
    <col min="6408" max="6408" width="10.42578125" style="1" hidden="1" customWidth="1"/>
    <col min="6409" max="6409" width="11.28515625" style="1" hidden="1" customWidth="1"/>
    <col min="6410" max="6410" width="11.42578125" style="1" hidden="1" customWidth="1"/>
    <col min="6411" max="6411" width="10.7109375" style="1" hidden="1" customWidth="1"/>
    <col min="6412" max="6412" width="10.28515625" style="1" hidden="1" customWidth="1"/>
    <col min="6413" max="6413" width="11.5703125" style="1" hidden="1" customWidth="1"/>
    <col min="6414" max="6415" width="11.42578125" style="1" hidden="1" customWidth="1"/>
    <col min="6416" max="6416" width="10.85546875" style="1" hidden="1" customWidth="1"/>
    <col min="6417" max="6417" width="8.7109375" style="1" hidden="1" customWidth="1"/>
    <col min="6418" max="6418" width="6.28515625" style="1" hidden="1" customWidth="1"/>
    <col min="6419" max="6419" width="4" style="1" hidden="1" customWidth="1"/>
    <col min="6420" max="6420" width="8.7109375" style="1" hidden="1" customWidth="1"/>
    <col min="6421" max="6421" width="13.7109375" style="1" hidden="1" customWidth="1"/>
    <col min="6422" max="6422" width="20.7109375" style="1" hidden="1" customWidth="1"/>
    <col min="6423" max="6423" width="9.42578125" style="1" hidden="1" customWidth="1"/>
    <col min="6424" max="6424" width="3.28515625" style="1" hidden="1" customWidth="1"/>
    <col min="6425" max="6648" width="0" style="1" hidden="1"/>
    <col min="6649" max="6650" width="3.28515625" style="1" hidden="1" customWidth="1"/>
    <col min="6651" max="6651" width="30.7109375" style="1" hidden="1" customWidth="1"/>
    <col min="6652" max="6652" width="2.7109375" style="1" hidden="1" customWidth="1"/>
    <col min="6653" max="6653" width="12.85546875" style="1" hidden="1" customWidth="1"/>
    <col min="6654" max="6655" width="9.5703125" style="1" hidden="1" customWidth="1"/>
    <col min="6656" max="6656" width="7.42578125" style="1" hidden="1" customWidth="1"/>
    <col min="6657" max="6657" width="11.140625" style="1" hidden="1" customWidth="1"/>
    <col min="6658" max="6658" width="11.28515625" style="1" hidden="1" customWidth="1"/>
    <col min="6659" max="6659" width="11.7109375" style="1" hidden="1" customWidth="1"/>
    <col min="6660" max="6660" width="11.28515625" style="1" hidden="1" customWidth="1"/>
    <col min="6661" max="6661" width="10.7109375" style="1" hidden="1" customWidth="1"/>
    <col min="6662" max="6662" width="11.28515625" style="1" hidden="1" customWidth="1"/>
    <col min="6663" max="6663" width="11.42578125" style="1" hidden="1" customWidth="1"/>
    <col min="6664" max="6664" width="10.42578125" style="1" hidden="1" customWidth="1"/>
    <col min="6665" max="6665" width="11.28515625" style="1" hidden="1" customWidth="1"/>
    <col min="6666" max="6666" width="11.42578125" style="1" hidden="1" customWidth="1"/>
    <col min="6667" max="6667" width="10.7109375" style="1" hidden="1" customWidth="1"/>
    <col min="6668" max="6668" width="10.28515625" style="1" hidden="1" customWidth="1"/>
    <col min="6669" max="6669" width="11.5703125" style="1" hidden="1" customWidth="1"/>
    <col min="6670" max="6671" width="11.42578125" style="1" hidden="1" customWidth="1"/>
    <col min="6672" max="6672" width="10.85546875" style="1" hidden="1" customWidth="1"/>
    <col min="6673" max="6673" width="8.7109375" style="1" hidden="1" customWidth="1"/>
    <col min="6674" max="6674" width="6.28515625" style="1" hidden="1" customWidth="1"/>
    <col min="6675" max="6675" width="4" style="1" hidden="1" customWidth="1"/>
    <col min="6676" max="6676" width="8.7109375" style="1" hidden="1" customWidth="1"/>
    <col min="6677" max="6677" width="13.7109375" style="1" hidden="1" customWidth="1"/>
    <col min="6678" max="6678" width="20.7109375" style="1" hidden="1" customWidth="1"/>
    <col min="6679" max="6679" width="9.42578125" style="1" hidden="1" customWidth="1"/>
    <col min="6680" max="6680" width="3.28515625" style="1" hidden="1" customWidth="1"/>
    <col min="6681" max="6904" width="0" style="1" hidden="1"/>
    <col min="6905" max="6906" width="3.28515625" style="1" hidden="1" customWidth="1"/>
    <col min="6907" max="6907" width="30.7109375" style="1" hidden="1" customWidth="1"/>
    <col min="6908" max="6908" width="2.7109375" style="1" hidden="1" customWidth="1"/>
    <col min="6909" max="6909" width="12.85546875" style="1" hidden="1" customWidth="1"/>
    <col min="6910" max="6911" width="9.5703125" style="1" hidden="1" customWidth="1"/>
    <col min="6912" max="6912" width="7.42578125" style="1" hidden="1" customWidth="1"/>
    <col min="6913" max="6913" width="11.140625" style="1" hidden="1" customWidth="1"/>
    <col min="6914" max="6914" width="11.28515625" style="1" hidden="1" customWidth="1"/>
    <col min="6915" max="6915" width="11.7109375" style="1" hidden="1" customWidth="1"/>
    <col min="6916" max="6916" width="11.28515625" style="1" hidden="1" customWidth="1"/>
    <col min="6917" max="6917" width="10.7109375" style="1" hidden="1" customWidth="1"/>
    <col min="6918" max="6918" width="11.28515625" style="1" hidden="1" customWidth="1"/>
    <col min="6919" max="6919" width="11.42578125" style="1" hidden="1" customWidth="1"/>
    <col min="6920" max="6920" width="10.42578125" style="1" hidden="1" customWidth="1"/>
    <col min="6921" max="6921" width="11.28515625" style="1" hidden="1" customWidth="1"/>
    <col min="6922" max="6922" width="11.42578125" style="1" hidden="1" customWidth="1"/>
    <col min="6923" max="6923" width="10.7109375" style="1" hidden="1" customWidth="1"/>
    <col min="6924" max="6924" width="10.28515625" style="1" hidden="1" customWidth="1"/>
    <col min="6925" max="6925" width="11.5703125" style="1" hidden="1" customWidth="1"/>
    <col min="6926" max="6927" width="11.42578125" style="1" hidden="1" customWidth="1"/>
    <col min="6928" max="6928" width="10.85546875" style="1" hidden="1" customWidth="1"/>
    <col min="6929" max="6929" width="8.7109375" style="1" hidden="1" customWidth="1"/>
    <col min="6930" max="6930" width="6.28515625" style="1" hidden="1" customWidth="1"/>
    <col min="6931" max="6931" width="4" style="1" hidden="1" customWidth="1"/>
    <col min="6932" max="6932" width="8.7109375" style="1" hidden="1" customWidth="1"/>
    <col min="6933" max="6933" width="13.7109375" style="1" hidden="1" customWidth="1"/>
    <col min="6934" max="6934" width="20.7109375" style="1" hidden="1" customWidth="1"/>
    <col min="6935" max="6935" width="9.42578125" style="1" hidden="1" customWidth="1"/>
    <col min="6936" max="6936" width="3.28515625" style="1" hidden="1" customWidth="1"/>
    <col min="6937" max="7160" width="0" style="1" hidden="1"/>
    <col min="7161" max="7162" width="3.28515625" style="1" hidden="1" customWidth="1"/>
    <col min="7163" max="7163" width="30.7109375" style="1" hidden="1" customWidth="1"/>
    <col min="7164" max="7164" width="2.7109375" style="1" hidden="1" customWidth="1"/>
    <col min="7165" max="7165" width="12.85546875" style="1" hidden="1" customWidth="1"/>
    <col min="7166" max="7167" width="9.5703125" style="1" hidden="1" customWidth="1"/>
    <col min="7168" max="7168" width="7.42578125" style="1" hidden="1" customWidth="1"/>
    <col min="7169" max="7169" width="11.140625" style="1" hidden="1" customWidth="1"/>
    <col min="7170" max="7170" width="11.28515625" style="1" hidden="1" customWidth="1"/>
    <col min="7171" max="7171" width="11.7109375" style="1" hidden="1" customWidth="1"/>
    <col min="7172" max="7172" width="11.28515625" style="1" hidden="1" customWidth="1"/>
    <col min="7173" max="7173" width="10.7109375" style="1" hidden="1" customWidth="1"/>
    <col min="7174" max="7174" width="11.28515625" style="1" hidden="1" customWidth="1"/>
    <col min="7175" max="7175" width="11.42578125" style="1" hidden="1" customWidth="1"/>
    <col min="7176" max="7176" width="10.42578125" style="1" hidden="1" customWidth="1"/>
    <col min="7177" max="7177" width="11.28515625" style="1" hidden="1" customWidth="1"/>
    <col min="7178" max="7178" width="11.42578125" style="1" hidden="1" customWidth="1"/>
    <col min="7179" max="7179" width="10.7109375" style="1" hidden="1" customWidth="1"/>
    <col min="7180" max="7180" width="10.28515625" style="1" hidden="1" customWidth="1"/>
    <col min="7181" max="7181" width="11.5703125" style="1" hidden="1" customWidth="1"/>
    <col min="7182" max="7183" width="11.42578125" style="1" hidden="1" customWidth="1"/>
    <col min="7184" max="7184" width="10.85546875" style="1" hidden="1" customWidth="1"/>
    <col min="7185" max="7185" width="8.7109375" style="1" hidden="1" customWidth="1"/>
    <col min="7186" max="7186" width="6.28515625" style="1" hidden="1" customWidth="1"/>
    <col min="7187" max="7187" width="4" style="1" hidden="1" customWidth="1"/>
    <col min="7188" max="7188" width="8.7109375" style="1" hidden="1" customWidth="1"/>
    <col min="7189" max="7189" width="13.7109375" style="1" hidden="1" customWidth="1"/>
    <col min="7190" max="7190" width="20.7109375" style="1" hidden="1" customWidth="1"/>
    <col min="7191" max="7191" width="9.42578125" style="1" hidden="1" customWidth="1"/>
    <col min="7192" max="7192" width="3.28515625" style="1" hidden="1" customWidth="1"/>
    <col min="7193" max="7416" width="0" style="1" hidden="1"/>
    <col min="7417" max="7418" width="3.28515625" style="1" hidden="1" customWidth="1"/>
    <col min="7419" max="7419" width="30.7109375" style="1" hidden="1" customWidth="1"/>
    <col min="7420" max="7420" width="2.7109375" style="1" hidden="1" customWidth="1"/>
    <col min="7421" max="7421" width="12.85546875" style="1" hidden="1" customWidth="1"/>
    <col min="7422" max="7423" width="9.5703125" style="1" hidden="1" customWidth="1"/>
    <col min="7424" max="7424" width="7.42578125" style="1" hidden="1" customWidth="1"/>
    <col min="7425" max="7425" width="11.140625" style="1" hidden="1" customWidth="1"/>
    <col min="7426" max="7426" width="11.28515625" style="1" hidden="1" customWidth="1"/>
    <col min="7427" max="7427" width="11.7109375" style="1" hidden="1" customWidth="1"/>
    <col min="7428" max="7428" width="11.28515625" style="1" hidden="1" customWidth="1"/>
    <col min="7429" max="7429" width="10.7109375" style="1" hidden="1" customWidth="1"/>
    <col min="7430" max="7430" width="11.28515625" style="1" hidden="1" customWidth="1"/>
    <col min="7431" max="7431" width="11.42578125" style="1" hidden="1" customWidth="1"/>
    <col min="7432" max="7432" width="10.42578125" style="1" hidden="1" customWidth="1"/>
    <col min="7433" max="7433" width="11.28515625" style="1" hidden="1" customWidth="1"/>
    <col min="7434" max="7434" width="11.42578125" style="1" hidden="1" customWidth="1"/>
    <col min="7435" max="7435" width="10.7109375" style="1" hidden="1" customWidth="1"/>
    <col min="7436" max="7436" width="10.28515625" style="1" hidden="1" customWidth="1"/>
    <col min="7437" max="7437" width="11.5703125" style="1" hidden="1" customWidth="1"/>
    <col min="7438" max="7439" width="11.42578125" style="1" hidden="1" customWidth="1"/>
    <col min="7440" max="7440" width="10.85546875" style="1" hidden="1" customWidth="1"/>
    <col min="7441" max="7441" width="8.7109375" style="1" hidden="1" customWidth="1"/>
    <col min="7442" max="7442" width="6.28515625" style="1" hidden="1" customWidth="1"/>
    <col min="7443" max="7443" width="4" style="1" hidden="1" customWidth="1"/>
    <col min="7444" max="7444" width="8.7109375" style="1" hidden="1" customWidth="1"/>
    <col min="7445" max="7445" width="13.7109375" style="1" hidden="1" customWidth="1"/>
    <col min="7446" max="7446" width="20.7109375" style="1" hidden="1" customWidth="1"/>
    <col min="7447" max="7447" width="9.42578125" style="1" hidden="1" customWidth="1"/>
    <col min="7448" max="7448" width="3.28515625" style="1" hidden="1" customWidth="1"/>
    <col min="7449" max="7672" width="0" style="1" hidden="1"/>
    <col min="7673" max="7674" width="3.28515625" style="1" hidden="1" customWidth="1"/>
    <col min="7675" max="7675" width="30.7109375" style="1" hidden="1" customWidth="1"/>
    <col min="7676" max="7676" width="2.7109375" style="1" hidden="1" customWidth="1"/>
    <col min="7677" max="7677" width="12.85546875" style="1" hidden="1" customWidth="1"/>
    <col min="7678" max="7679" width="9.5703125" style="1" hidden="1" customWidth="1"/>
    <col min="7680" max="7680" width="7.42578125" style="1" hidden="1" customWidth="1"/>
    <col min="7681" max="7681" width="11.140625" style="1" hidden="1" customWidth="1"/>
    <col min="7682" max="7682" width="11.28515625" style="1" hidden="1" customWidth="1"/>
    <col min="7683" max="7683" width="11.7109375" style="1" hidden="1" customWidth="1"/>
    <col min="7684" max="7684" width="11.28515625" style="1" hidden="1" customWidth="1"/>
    <col min="7685" max="7685" width="10.7109375" style="1" hidden="1" customWidth="1"/>
    <col min="7686" max="7686" width="11.28515625" style="1" hidden="1" customWidth="1"/>
    <col min="7687" max="7687" width="11.42578125" style="1" hidden="1" customWidth="1"/>
    <col min="7688" max="7688" width="10.42578125" style="1" hidden="1" customWidth="1"/>
    <col min="7689" max="7689" width="11.28515625" style="1" hidden="1" customWidth="1"/>
    <col min="7690" max="7690" width="11.42578125" style="1" hidden="1" customWidth="1"/>
    <col min="7691" max="7691" width="10.7109375" style="1" hidden="1" customWidth="1"/>
    <col min="7692" max="7692" width="10.28515625" style="1" hidden="1" customWidth="1"/>
    <col min="7693" max="7693" width="11.5703125" style="1" hidden="1" customWidth="1"/>
    <col min="7694" max="7695" width="11.42578125" style="1" hidden="1" customWidth="1"/>
    <col min="7696" max="7696" width="10.85546875" style="1" hidden="1" customWidth="1"/>
    <col min="7697" max="7697" width="8.7109375" style="1" hidden="1" customWidth="1"/>
    <col min="7698" max="7698" width="6.28515625" style="1" hidden="1" customWidth="1"/>
    <col min="7699" max="7699" width="4" style="1" hidden="1" customWidth="1"/>
    <col min="7700" max="7700" width="8.7109375" style="1" hidden="1" customWidth="1"/>
    <col min="7701" max="7701" width="13.7109375" style="1" hidden="1" customWidth="1"/>
    <col min="7702" max="7702" width="20.7109375" style="1" hidden="1" customWidth="1"/>
    <col min="7703" max="7703" width="9.42578125" style="1" hidden="1" customWidth="1"/>
    <col min="7704" max="7704" width="3.28515625" style="1" hidden="1" customWidth="1"/>
    <col min="7705" max="7928" width="0" style="1" hidden="1"/>
    <col min="7929" max="7930" width="3.28515625" style="1" hidden="1" customWidth="1"/>
    <col min="7931" max="7931" width="30.7109375" style="1" hidden="1" customWidth="1"/>
    <col min="7932" max="7932" width="2.7109375" style="1" hidden="1" customWidth="1"/>
    <col min="7933" max="7933" width="12.85546875" style="1" hidden="1" customWidth="1"/>
    <col min="7934" max="7935" width="9.5703125" style="1" hidden="1" customWidth="1"/>
    <col min="7936" max="7936" width="7.42578125" style="1" hidden="1" customWidth="1"/>
    <col min="7937" max="7937" width="11.140625" style="1" hidden="1" customWidth="1"/>
    <col min="7938" max="7938" width="11.28515625" style="1" hidden="1" customWidth="1"/>
    <col min="7939" max="7939" width="11.7109375" style="1" hidden="1" customWidth="1"/>
    <col min="7940" max="7940" width="11.28515625" style="1" hidden="1" customWidth="1"/>
    <col min="7941" max="7941" width="10.7109375" style="1" hidden="1" customWidth="1"/>
    <col min="7942" max="7942" width="11.28515625" style="1" hidden="1" customWidth="1"/>
    <col min="7943" max="7943" width="11.42578125" style="1" hidden="1" customWidth="1"/>
    <col min="7944" max="7944" width="10.42578125" style="1" hidden="1" customWidth="1"/>
    <col min="7945" max="7945" width="11.28515625" style="1" hidden="1" customWidth="1"/>
    <col min="7946" max="7946" width="11.42578125" style="1" hidden="1" customWidth="1"/>
    <col min="7947" max="7947" width="10.7109375" style="1" hidden="1" customWidth="1"/>
    <col min="7948" max="7948" width="10.28515625" style="1" hidden="1" customWidth="1"/>
    <col min="7949" max="7949" width="11.5703125" style="1" hidden="1" customWidth="1"/>
    <col min="7950" max="7951" width="11.42578125" style="1" hidden="1" customWidth="1"/>
    <col min="7952" max="7952" width="10.85546875" style="1" hidden="1" customWidth="1"/>
    <col min="7953" max="7953" width="8.7109375" style="1" hidden="1" customWidth="1"/>
    <col min="7954" max="7954" width="6.28515625" style="1" hidden="1" customWidth="1"/>
    <col min="7955" max="7955" width="4" style="1" hidden="1" customWidth="1"/>
    <col min="7956" max="7956" width="8.7109375" style="1" hidden="1" customWidth="1"/>
    <col min="7957" max="7957" width="13.7109375" style="1" hidden="1" customWidth="1"/>
    <col min="7958" max="7958" width="20.7109375" style="1" hidden="1" customWidth="1"/>
    <col min="7959" max="7959" width="9.42578125" style="1" hidden="1" customWidth="1"/>
    <col min="7960" max="7960" width="3.28515625" style="1" hidden="1" customWidth="1"/>
    <col min="7961" max="8184" width="0" style="1" hidden="1"/>
    <col min="8185" max="8186" width="3.28515625" style="1" hidden="1" customWidth="1"/>
    <col min="8187" max="8187" width="30.7109375" style="1" hidden="1" customWidth="1"/>
    <col min="8188" max="8188" width="2.7109375" style="1" hidden="1" customWidth="1"/>
    <col min="8189" max="8189" width="12.85546875" style="1" hidden="1" customWidth="1"/>
    <col min="8190" max="8191" width="9.5703125" style="1" hidden="1" customWidth="1"/>
    <col min="8192" max="8192" width="7.42578125" style="1" hidden="1" customWidth="1"/>
    <col min="8193" max="8193" width="11.140625" style="1" hidden="1" customWidth="1"/>
    <col min="8194" max="8194" width="11.28515625" style="1" hidden="1" customWidth="1"/>
    <col min="8195" max="8195" width="11.7109375" style="1" hidden="1" customWidth="1"/>
    <col min="8196" max="8196" width="11.28515625" style="1" hidden="1" customWidth="1"/>
    <col min="8197" max="8197" width="10.7109375" style="1" hidden="1" customWidth="1"/>
    <col min="8198" max="8198" width="11.28515625" style="1" hidden="1" customWidth="1"/>
    <col min="8199" max="8199" width="11.42578125" style="1" hidden="1" customWidth="1"/>
    <col min="8200" max="8200" width="10.42578125" style="1" hidden="1" customWidth="1"/>
    <col min="8201" max="8201" width="11.28515625" style="1" hidden="1" customWidth="1"/>
    <col min="8202" max="8202" width="11.42578125" style="1" hidden="1" customWidth="1"/>
    <col min="8203" max="8203" width="10.7109375" style="1" hidden="1" customWidth="1"/>
    <col min="8204" max="8204" width="10.28515625" style="1" hidden="1" customWidth="1"/>
    <col min="8205" max="8205" width="11.5703125" style="1" hidden="1" customWidth="1"/>
    <col min="8206" max="8207" width="11.42578125" style="1" hidden="1" customWidth="1"/>
    <col min="8208" max="8208" width="10.85546875" style="1" hidden="1" customWidth="1"/>
    <col min="8209" max="8209" width="8.7109375" style="1" hidden="1" customWidth="1"/>
    <col min="8210" max="8210" width="6.28515625" style="1" hidden="1" customWidth="1"/>
    <col min="8211" max="8211" width="4" style="1" hidden="1" customWidth="1"/>
    <col min="8212" max="8212" width="8.7109375" style="1" hidden="1" customWidth="1"/>
    <col min="8213" max="8213" width="13.7109375" style="1" hidden="1" customWidth="1"/>
    <col min="8214" max="8214" width="20.7109375" style="1" hidden="1" customWidth="1"/>
    <col min="8215" max="8215" width="9.42578125" style="1" hidden="1" customWidth="1"/>
    <col min="8216" max="8216" width="3.28515625" style="1" hidden="1" customWidth="1"/>
    <col min="8217" max="8440" width="0" style="1" hidden="1"/>
    <col min="8441" max="8442" width="3.28515625" style="1" hidden="1" customWidth="1"/>
    <col min="8443" max="8443" width="30.7109375" style="1" hidden="1" customWidth="1"/>
    <col min="8444" max="8444" width="2.7109375" style="1" hidden="1" customWidth="1"/>
    <col min="8445" max="8445" width="12.85546875" style="1" hidden="1" customWidth="1"/>
    <col min="8446" max="8447" width="9.5703125" style="1" hidden="1" customWidth="1"/>
    <col min="8448" max="8448" width="7.42578125" style="1" hidden="1" customWidth="1"/>
    <col min="8449" max="8449" width="11.140625" style="1" hidden="1" customWidth="1"/>
    <col min="8450" max="8450" width="11.28515625" style="1" hidden="1" customWidth="1"/>
    <col min="8451" max="8451" width="11.7109375" style="1" hidden="1" customWidth="1"/>
    <col min="8452" max="8452" width="11.28515625" style="1" hidden="1" customWidth="1"/>
    <col min="8453" max="8453" width="10.7109375" style="1" hidden="1" customWidth="1"/>
    <col min="8454" max="8454" width="11.28515625" style="1" hidden="1" customWidth="1"/>
    <col min="8455" max="8455" width="11.42578125" style="1" hidden="1" customWidth="1"/>
    <col min="8456" max="8456" width="10.42578125" style="1" hidden="1" customWidth="1"/>
    <col min="8457" max="8457" width="11.28515625" style="1" hidden="1" customWidth="1"/>
    <col min="8458" max="8458" width="11.42578125" style="1" hidden="1" customWidth="1"/>
    <col min="8459" max="8459" width="10.7109375" style="1" hidden="1" customWidth="1"/>
    <col min="8460" max="8460" width="10.28515625" style="1" hidden="1" customWidth="1"/>
    <col min="8461" max="8461" width="11.5703125" style="1" hidden="1" customWidth="1"/>
    <col min="8462" max="8463" width="11.42578125" style="1" hidden="1" customWidth="1"/>
    <col min="8464" max="8464" width="10.85546875" style="1" hidden="1" customWidth="1"/>
    <col min="8465" max="8465" width="8.7109375" style="1" hidden="1" customWidth="1"/>
    <col min="8466" max="8466" width="6.28515625" style="1" hidden="1" customWidth="1"/>
    <col min="8467" max="8467" width="4" style="1" hidden="1" customWidth="1"/>
    <col min="8468" max="8468" width="8.7109375" style="1" hidden="1" customWidth="1"/>
    <col min="8469" max="8469" width="13.7109375" style="1" hidden="1" customWidth="1"/>
    <col min="8470" max="8470" width="20.7109375" style="1" hidden="1" customWidth="1"/>
    <col min="8471" max="8471" width="9.42578125" style="1" hidden="1" customWidth="1"/>
    <col min="8472" max="8472" width="3.28515625" style="1" hidden="1" customWidth="1"/>
    <col min="8473" max="8696" width="0" style="1" hidden="1"/>
    <col min="8697" max="8698" width="3.28515625" style="1" hidden="1" customWidth="1"/>
    <col min="8699" max="8699" width="30.7109375" style="1" hidden="1" customWidth="1"/>
    <col min="8700" max="8700" width="2.7109375" style="1" hidden="1" customWidth="1"/>
    <col min="8701" max="8701" width="12.85546875" style="1" hidden="1" customWidth="1"/>
    <col min="8702" max="8703" width="9.5703125" style="1" hidden="1" customWidth="1"/>
    <col min="8704" max="8704" width="7.42578125" style="1" hidden="1" customWidth="1"/>
    <col min="8705" max="8705" width="11.140625" style="1" hidden="1" customWidth="1"/>
    <col min="8706" max="8706" width="11.28515625" style="1" hidden="1" customWidth="1"/>
    <col min="8707" max="8707" width="11.7109375" style="1" hidden="1" customWidth="1"/>
    <col min="8708" max="8708" width="11.28515625" style="1" hidden="1" customWidth="1"/>
    <col min="8709" max="8709" width="10.7109375" style="1" hidden="1" customWidth="1"/>
    <col min="8710" max="8710" width="11.28515625" style="1" hidden="1" customWidth="1"/>
    <col min="8711" max="8711" width="11.42578125" style="1" hidden="1" customWidth="1"/>
    <col min="8712" max="8712" width="10.42578125" style="1" hidden="1" customWidth="1"/>
    <col min="8713" max="8713" width="11.28515625" style="1" hidden="1" customWidth="1"/>
    <col min="8714" max="8714" width="11.42578125" style="1" hidden="1" customWidth="1"/>
    <col min="8715" max="8715" width="10.7109375" style="1" hidden="1" customWidth="1"/>
    <col min="8716" max="8716" width="10.28515625" style="1" hidden="1" customWidth="1"/>
    <col min="8717" max="8717" width="11.5703125" style="1" hidden="1" customWidth="1"/>
    <col min="8718" max="8719" width="11.42578125" style="1" hidden="1" customWidth="1"/>
    <col min="8720" max="8720" width="10.85546875" style="1" hidden="1" customWidth="1"/>
    <col min="8721" max="8721" width="8.7109375" style="1" hidden="1" customWidth="1"/>
    <col min="8722" max="8722" width="6.28515625" style="1" hidden="1" customWidth="1"/>
    <col min="8723" max="8723" width="4" style="1" hidden="1" customWidth="1"/>
    <col min="8724" max="8724" width="8.7109375" style="1" hidden="1" customWidth="1"/>
    <col min="8725" max="8725" width="13.7109375" style="1" hidden="1" customWidth="1"/>
    <col min="8726" max="8726" width="20.7109375" style="1" hidden="1" customWidth="1"/>
    <col min="8727" max="8727" width="9.42578125" style="1" hidden="1" customWidth="1"/>
    <col min="8728" max="8728" width="3.28515625" style="1" hidden="1" customWidth="1"/>
    <col min="8729" max="8952" width="0" style="1" hidden="1"/>
    <col min="8953" max="8954" width="3.28515625" style="1" hidden="1" customWidth="1"/>
    <col min="8955" max="8955" width="30.7109375" style="1" hidden="1" customWidth="1"/>
    <col min="8956" max="8956" width="2.7109375" style="1" hidden="1" customWidth="1"/>
    <col min="8957" max="8957" width="12.85546875" style="1" hidden="1" customWidth="1"/>
    <col min="8958" max="8959" width="9.5703125" style="1" hidden="1" customWidth="1"/>
    <col min="8960" max="8960" width="7.42578125" style="1" hidden="1" customWidth="1"/>
    <col min="8961" max="8961" width="11.140625" style="1" hidden="1" customWidth="1"/>
    <col min="8962" max="8962" width="11.28515625" style="1" hidden="1" customWidth="1"/>
    <col min="8963" max="8963" width="11.7109375" style="1" hidden="1" customWidth="1"/>
    <col min="8964" max="8964" width="11.28515625" style="1" hidden="1" customWidth="1"/>
    <col min="8965" max="8965" width="10.7109375" style="1" hidden="1" customWidth="1"/>
    <col min="8966" max="8966" width="11.28515625" style="1" hidden="1" customWidth="1"/>
    <col min="8967" max="8967" width="11.42578125" style="1" hidden="1" customWidth="1"/>
    <col min="8968" max="8968" width="10.42578125" style="1" hidden="1" customWidth="1"/>
    <col min="8969" max="8969" width="11.28515625" style="1" hidden="1" customWidth="1"/>
    <col min="8970" max="8970" width="11.42578125" style="1" hidden="1" customWidth="1"/>
    <col min="8971" max="8971" width="10.7109375" style="1" hidden="1" customWidth="1"/>
    <col min="8972" max="8972" width="10.28515625" style="1" hidden="1" customWidth="1"/>
    <col min="8973" max="8973" width="11.5703125" style="1" hidden="1" customWidth="1"/>
    <col min="8974" max="8975" width="11.42578125" style="1" hidden="1" customWidth="1"/>
    <col min="8976" max="8976" width="10.85546875" style="1" hidden="1" customWidth="1"/>
    <col min="8977" max="8977" width="8.7109375" style="1" hidden="1" customWidth="1"/>
    <col min="8978" max="8978" width="6.28515625" style="1" hidden="1" customWidth="1"/>
    <col min="8979" max="8979" width="4" style="1" hidden="1" customWidth="1"/>
    <col min="8980" max="8980" width="8.7109375" style="1" hidden="1" customWidth="1"/>
    <col min="8981" max="8981" width="13.7109375" style="1" hidden="1" customWidth="1"/>
    <col min="8982" max="8982" width="20.7109375" style="1" hidden="1" customWidth="1"/>
    <col min="8983" max="8983" width="9.42578125" style="1" hidden="1" customWidth="1"/>
    <col min="8984" max="8984" width="3.28515625" style="1" hidden="1" customWidth="1"/>
    <col min="8985" max="9208" width="0" style="1" hidden="1"/>
    <col min="9209" max="9210" width="3.28515625" style="1" hidden="1" customWidth="1"/>
    <col min="9211" max="9211" width="30.7109375" style="1" hidden="1" customWidth="1"/>
    <col min="9212" max="9212" width="2.7109375" style="1" hidden="1" customWidth="1"/>
    <col min="9213" max="9213" width="12.85546875" style="1" hidden="1" customWidth="1"/>
    <col min="9214" max="9215" width="9.5703125" style="1" hidden="1" customWidth="1"/>
    <col min="9216" max="9216" width="7.42578125" style="1" hidden="1" customWidth="1"/>
    <col min="9217" max="9217" width="11.140625" style="1" hidden="1" customWidth="1"/>
    <col min="9218" max="9218" width="11.28515625" style="1" hidden="1" customWidth="1"/>
    <col min="9219" max="9219" width="11.7109375" style="1" hidden="1" customWidth="1"/>
    <col min="9220" max="9220" width="11.28515625" style="1" hidden="1" customWidth="1"/>
    <col min="9221" max="9221" width="10.7109375" style="1" hidden="1" customWidth="1"/>
    <col min="9222" max="9222" width="11.28515625" style="1" hidden="1" customWidth="1"/>
    <col min="9223" max="9223" width="11.42578125" style="1" hidden="1" customWidth="1"/>
    <col min="9224" max="9224" width="10.42578125" style="1" hidden="1" customWidth="1"/>
    <col min="9225" max="9225" width="11.28515625" style="1" hidden="1" customWidth="1"/>
    <col min="9226" max="9226" width="11.42578125" style="1" hidden="1" customWidth="1"/>
    <col min="9227" max="9227" width="10.7109375" style="1" hidden="1" customWidth="1"/>
    <col min="9228" max="9228" width="10.28515625" style="1" hidden="1" customWidth="1"/>
    <col min="9229" max="9229" width="11.5703125" style="1" hidden="1" customWidth="1"/>
    <col min="9230" max="9231" width="11.42578125" style="1" hidden="1" customWidth="1"/>
    <col min="9232" max="9232" width="10.85546875" style="1" hidden="1" customWidth="1"/>
    <col min="9233" max="9233" width="8.7109375" style="1" hidden="1" customWidth="1"/>
    <col min="9234" max="9234" width="6.28515625" style="1" hidden="1" customWidth="1"/>
    <col min="9235" max="9235" width="4" style="1" hidden="1" customWidth="1"/>
    <col min="9236" max="9236" width="8.7109375" style="1" hidden="1" customWidth="1"/>
    <col min="9237" max="9237" width="13.7109375" style="1" hidden="1" customWidth="1"/>
    <col min="9238" max="9238" width="20.7109375" style="1" hidden="1" customWidth="1"/>
    <col min="9239" max="9239" width="9.42578125" style="1" hidden="1" customWidth="1"/>
    <col min="9240" max="9240" width="3.28515625" style="1" hidden="1" customWidth="1"/>
    <col min="9241" max="9464" width="0" style="1" hidden="1"/>
    <col min="9465" max="9466" width="3.28515625" style="1" hidden="1" customWidth="1"/>
    <col min="9467" max="9467" width="30.7109375" style="1" hidden="1" customWidth="1"/>
    <col min="9468" max="9468" width="2.7109375" style="1" hidden="1" customWidth="1"/>
    <col min="9469" max="9469" width="12.85546875" style="1" hidden="1" customWidth="1"/>
    <col min="9470" max="9471" width="9.5703125" style="1" hidden="1" customWidth="1"/>
    <col min="9472" max="9472" width="7.42578125" style="1" hidden="1" customWidth="1"/>
    <col min="9473" max="9473" width="11.140625" style="1" hidden="1" customWidth="1"/>
    <col min="9474" max="9474" width="11.28515625" style="1" hidden="1" customWidth="1"/>
    <col min="9475" max="9475" width="11.7109375" style="1" hidden="1" customWidth="1"/>
    <col min="9476" max="9476" width="11.28515625" style="1" hidden="1" customWidth="1"/>
    <col min="9477" max="9477" width="10.7109375" style="1" hidden="1" customWidth="1"/>
    <col min="9478" max="9478" width="11.28515625" style="1" hidden="1" customWidth="1"/>
    <col min="9479" max="9479" width="11.42578125" style="1" hidden="1" customWidth="1"/>
    <col min="9480" max="9480" width="10.42578125" style="1" hidden="1" customWidth="1"/>
    <col min="9481" max="9481" width="11.28515625" style="1" hidden="1" customWidth="1"/>
    <col min="9482" max="9482" width="11.42578125" style="1" hidden="1" customWidth="1"/>
    <col min="9483" max="9483" width="10.7109375" style="1" hidden="1" customWidth="1"/>
    <col min="9484" max="9484" width="10.28515625" style="1" hidden="1" customWidth="1"/>
    <col min="9485" max="9485" width="11.5703125" style="1" hidden="1" customWidth="1"/>
    <col min="9486" max="9487" width="11.42578125" style="1" hidden="1" customWidth="1"/>
    <col min="9488" max="9488" width="10.85546875" style="1" hidden="1" customWidth="1"/>
    <col min="9489" max="9489" width="8.7109375" style="1" hidden="1" customWidth="1"/>
    <col min="9490" max="9490" width="6.28515625" style="1" hidden="1" customWidth="1"/>
    <col min="9491" max="9491" width="4" style="1" hidden="1" customWidth="1"/>
    <col min="9492" max="9492" width="8.7109375" style="1" hidden="1" customWidth="1"/>
    <col min="9493" max="9493" width="13.7109375" style="1" hidden="1" customWidth="1"/>
    <col min="9494" max="9494" width="20.7109375" style="1" hidden="1" customWidth="1"/>
    <col min="9495" max="9495" width="9.42578125" style="1" hidden="1" customWidth="1"/>
    <col min="9496" max="9496" width="3.28515625" style="1" hidden="1" customWidth="1"/>
    <col min="9497" max="9720" width="0" style="1" hidden="1"/>
    <col min="9721" max="9722" width="3.28515625" style="1" hidden="1" customWidth="1"/>
    <col min="9723" max="9723" width="30.7109375" style="1" hidden="1" customWidth="1"/>
    <col min="9724" max="9724" width="2.7109375" style="1" hidden="1" customWidth="1"/>
    <col min="9725" max="9725" width="12.85546875" style="1" hidden="1" customWidth="1"/>
    <col min="9726" max="9727" width="9.5703125" style="1" hidden="1" customWidth="1"/>
    <col min="9728" max="9728" width="7.42578125" style="1" hidden="1" customWidth="1"/>
    <col min="9729" max="9729" width="11.140625" style="1" hidden="1" customWidth="1"/>
    <col min="9730" max="9730" width="11.28515625" style="1" hidden="1" customWidth="1"/>
    <col min="9731" max="9731" width="11.7109375" style="1" hidden="1" customWidth="1"/>
    <col min="9732" max="9732" width="11.28515625" style="1" hidden="1" customWidth="1"/>
    <col min="9733" max="9733" width="10.7109375" style="1" hidden="1" customWidth="1"/>
    <col min="9734" max="9734" width="11.28515625" style="1" hidden="1" customWidth="1"/>
    <col min="9735" max="9735" width="11.42578125" style="1" hidden="1" customWidth="1"/>
    <col min="9736" max="9736" width="10.42578125" style="1" hidden="1" customWidth="1"/>
    <col min="9737" max="9737" width="11.28515625" style="1" hidden="1" customWidth="1"/>
    <col min="9738" max="9738" width="11.42578125" style="1" hidden="1" customWidth="1"/>
    <col min="9739" max="9739" width="10.7109375" style="1" hidden="1" customWidth="1"/>
    <col min="9740" max="9740" width="10.28515625" style="1" hidden="1" customWidth="1"/>
    <col min="9741" max="9741" width="11.5703125" style="1" hidden="1" customWidth="1"/>
    <col min="9742" max="9743" width="11.42578125" style="1" hidden="1" customWidth="1"/>
    <col min="9744" max="9744" width="10.85546875" style="1" hidden="1" customWidth="1"/>
    <col min="9745" max="9745" width="8.7109375" style="1" hidden="1" customWidth="1"/>
    <col min="9746" max="9746" width="6.28515625" style="1" hidden="1" customWidth="1"/>
    <col min="9747" max="9747" width="4" style="1" hidden="1" customWidth="1"/>
    <col min="9748" max="9748" width="8.7109375" style="1" hidden="1" customWidth="1"/>
    <col min="9749" max="9749" width="13.7109375" style="1" hidden="1" customWidth="1"/>
    <col min="9750" max="9750" width="20.7109375" style="1" hidden="1" customWidth="1"/>
    <col min="9751" max="9751" width="9.42578125" style="1" hidden="1" customWidth="1"/>
    <col min="9752" max="9752" width="3.28515625" style="1" hidden="1" customWidth="1"/>
    <col min="9753" max="9976" width="0" style="1" hidden="1"/>
    <col min="9977" max="9978" width="3.28515625" style="1" hidden="1" customWidth="1"/>
    <col min="9979" max="9979" width="30.7109375" style="1" hidden="1" customWidth="1"/>
    <col min="9980" max="9980" width="2.7109375" style="1" hidden="1" customWidth="1"/>
    <col min="9981" max="9981" width="12.85546875" style="1" hidden="1" customWidth="1"/>
    <col min="9982" max="9983" width="9.5703125" style="1" hidden="1" customWidth="1"/>
    <col min="9984" max="9984" width="7.42578125" style="1" hidden="1" customWidth="1"/>
    <col min="9985" max="9985" width="11.140625" style="1" hidden="1" customWidth="1"/>
    <col min="9986" max="9986" width="11.28515625" style="1" hidden="1" customWidth="1"/>
    <col min="9987" max="9987" width="11.7109375" style="1" hidden="1" customWidth="1"/>
    <col min="9988" max="9988" width="11.28515625" style="1" hidden="1" customWidth="1"/>
    <col min="9989" max="9989" width="10.7109375" style="1" hidden="1" customWidth="1"/>
    <col min="9990" max="9990" width="11.28515625" style="1" hidden="1" customWidth="1"/>
    <col min="9991" max="9991" width="11.42578125" style="1" hidden="1" customWidth="1"/>
    <col min="9992" max="9992" width="10.42578125" style="1" hidden="1" customWidth="1"/>
    <col min="9993" max="9993" width="11.28515625" style="1" hidden="1" customWidth="1"/>
    <col min="9994" max="9994" width="11.42578125" style="1" hidden="1" customWidth="1"/>
    <col min="9995" max="9995" width="10.7109375" style="1" hidden="1" customWidth="1"/>
    <col min="9996" max="9996" width="10.28515625" style="1" hidden="1" customWidth="1"/>
    <col min="9997" max="9997" width="11.5703125" style="1" hidden="1" customWidth="1"/>
    <col min="9998" max="9999" width="11.42578125" style="1" hidden="1" customWidth="1"/>
    <col min="10000" max="10000" width="10.85546875" style="1" hidden="1" customWidth="1"/>
    <col min="10001" max="10001" width="8.7109375" style="1" hidden="1" customWidth="1"/>
    <col min="10002" max="10002" width="6.28515625" style="1" hidden="1" customWidth="1"/>
    <col min="10003" max="10003" width="4" style="1" hidden="1" customWidth="1"/>
    <col min="10004" max="10004" width="8.7109375" style="1" hidden="1" customWidth="1"/>
    <col min="10005" max="10005" width="13.7109375" style="1" hidden="1" customWidth="1"/>
    <col min="10006" max="10006" width="20.7109375" style="1" hidden="1" customWidth="1"/>
    <col min="10007" max="10007" width="9.42578125" style="1" hidden="1" customWidth="1"/>
    <col min="10008" max="10008" width="3.28515625" style="1" hidden="1" customWidth="1"/>
    <col min="10009" max="10232" width="0" style="1" hidden="1"/>
    <col min="10233" max="10234" width="3.28515625" style="1" hidden="1" customWidth="1"/>
    <col min="10235" max="10235" width="30.7109375" style="1" hidden="1" customWidth="1"/>
    <col min="10236" max="10236" width="2.7109375" style="1" hidden="1" customWidth="1"/>
    <col min="10237" max="10237" width="12.85546875" style="1" hidden="1" customWidth="1"/>
    <col min="10238" max="10239" width="9.5703125" style="1" hidden="1" customWidth="1"/>
    <col min="10240" max="10240" width="7.42578125" style="1" hidden="1" customWidth="1"/>
    <col min="10241" max="10241" width="11.140625" style="1" hidden="1" customWidth="1"/>
    <col min="10242" max="10242" width="11.28515625" style="1" hidden="1" customWidth="1"/>
    <col min="10243" max="10243" width="11.7109375" style="1" hidden="1" customWidth="1"/>
    <col min="10244" max="10244" width="11.28515625" style="1" hidden="1" customWidth="1"/>
    <col min="10245" max="10245" width="10.7109375" style="1" hidden="1" customWidth="1"/>
    <col min="10246" max="10246" width="11.28515625" style="1" hidden="1" customWidth="1"/>
    <col min="10247" max="10247" width="11.42578125" style="1" hidden="1" customWidth="1"/>
    <col min="10248" max="10248" width="10.42578125" style="1" hidden="1" customWidth="1"/>
    <col min="10249" max="10249" width="11.28515625" style="1" hidden="1" customWidth="1"/>
    <col min="10250" max="10250" width="11.42578125" style="1" hidden="1" customWidth="1"/>
    <col min="10251" max="10251" width="10.7109375" style="1" hidden="1" customWidth="1"/>
    <col min="10252" max="10252" width="10.28515625" style="1" hidden="1" customWidth="1"/>
    <col min="10253" max="10253" width="11.5703125" style="1" hidden="1" customWidth="1"/>
    <col min="10254" max="10255" width="11.42578125" style="1" hidden="1" customWidth="1"/>
    <col min="10256" max="10256" width="10.85546875" style="1" hidden="1" customWidth="1"/>
    <col min="10257" max="10257" width="8.7109375" style="1" hidden="1" customWidth="1"/>
    <col min="10258" max="10258" width="6.28515625" style="1" hidden="1" customWidth="1"/>
    <col min="10259" max="10259" width="4" style="1" hidden="1" customWidth="1"/>
    <col min="10260" max="10260" width="8.7109375" style="1" hidden="1" customWidth="1"/>
    <col min="10261" max="10261" width="13.7109375" style="1" hidden="1" customWidth="1"/>
    <col min="10262" max="10262" width="20.7109375" style="1" hidden="1" customWidth="1"/>
    <col min="10263" max="10263" width="9.42578125" style="1" hidden="1" customWidth="1"/>
    <col min="10264" max="10264" width="3.28515625" style="1" hidden="1" customWidth="1"/>
    <col min="10265" max="10488" width="0" style="1" hidden="1"/>
    <col min="10489" max="10490" width="3.28515625" style="1" hidden="1" customWidth="1"/>
    <col min="10491" max="10491" width="30.7109375" style="1" hidden="1" customWidth="1"/>
    <col min="10492" max="10492" width="2.7109375" style="1" hidden="1" customWidth="1"/>
    <col min="10493" max="10493" width="12.85546875" style="1" hidden="1" customWidth="1"/>
    <col min="10494" max="10495" width="9.5703125" style="1" hidden="1" customWidth="1"/>
    <col min="10496" max="10496" width="7.42578125" style="1" hidden="1" customWidth="1"/>
    <col min="10497" max="10497" width="11.140625" style="1" hidden="1" customWidth="1"/>
    <col min="10498" max="10498" width="11.28515625" style="1" hidden="1" customWidth="1"/>
    <col min="10499" max="10499" width="11.7109375" style="1" hidden="1" customWidth="1"/>
    <col min="10500" max="10500" width="11.28515625" style="1" hidden="1" customWidth="1"/>
    <col min="10501" max="10501" width="10.7109375" style="1" hidden="1" customWidth="1"/>
    <col min="10502" max="10502" width="11.28515625" style="1" hidden="1" customWidth="1"/>
    <col min="10503" max="10503" width="11.42578125" style="1" hidden="1" customWidth="1"/>
    <col min="10504" max="10504" width="10.42578125" style="1" hidden="1" customWidth="1"/>
    <col min="10505" max="10505" width="11.28515625" style="1" hidden="1" customWidth="1"/>
    <col min="10506" max="10506" width="11.42578125" style="1" hidden="1" customWidth="1"/>
    <col min="10507" max="10507" width="10.7109375" style="1" hidden="1" customWidth="1"/>
    <col min="10508" max="10508" width="10.28515625" style="1" hidden="1" customWidth="1"/>
    <col min="10509" max="10509" width="11.5703125" style="1" hidden="1" customWidth="1"/>
    <col min="10510" max="10511" width="11.42578125" style="1" hidden="1" customWidth="1"/>
    <col min="10512" max="10512" width="10.85546875" style="1" hidden="1" customWidth="1"/>
    <col min="10513" max="10513" width="8.7109375" style="1" hidden="1" customWidth="1"/>
    <col min="10514" max="10514" width="6.28515625" style="1" hidden="1" customWidth="1"/>
    <col min="10515" max="10515" width="4" style="1" hidden="1" customWidth="1"/>
    <col min="10516" max="10516" width="8.7109375" style="1" hidden="1" customWidth="1"/>
    <col min="10517" max="10517" width="13.7109375" style="1" hidden="1" customWidth="1"/>
    <col min="10518" max="10518" width="20.7109375" style="1" hidden="1" customWidth="1"/>
    <col min="10519" max="10519" width="9.42578125" style="1" hidden="1" customWidth="1"/>
    <col min="10520" max="10520" width="3.28515625" style="1" hidden="1" customWidth="1"/>
    <col min="10521" max="10744" width="0" style="1" hidden="1"/>
    <col min="10745" max="10746" width="3.28515625" style="1" hidden="1" customWidth="1"/>
    <col min="10747" max="10747" width="30.7109375" style="1" hidden="1" customWidth="1"/>
    <col min="10748" max="10748" width="2.7109375" style="1" hidden="1" customWidth="1"/>
    <col min="10749" max="10749" width="12.85546875" style="1" hidden="1" customWidth="1"/>
    <col min="10750" max="10751" width="9.5703125" style="1" hidden="1" customWidth="1"/>
    <col min="10752" max="10752" width="7.42578125" style="1" hidden="1" customWidth="1"/>
    <col min="10753" max="10753" width="11.140625" style="1" hidden="1" customWidth="1"/>
    <col min="10754" max="10754" width="11.28515625" style="1" hidden="1" customWidth="1"/>
    <col min="10755" max="10755" width="11.7109375" style="1" hidden="1" customWidth="1"/>
    <col min="10756" max="10756" width="11.28515625" style="1" hidden="1" customWidth="1"/>
    <col min="10757" max="10757" width="10.7109375" style="1" hidden="1" customWidth="1"/>
    <col min="10758" max="10758" width="11.28515625" style="1" hidden="1" customWidth="1"/>
    <col min="10759" max="10759" width="11.42578125" style="1" hidden="1" customWidth="1"/>
    <col min="10760" max="10760" width="10.42578125" style="1" hidden="1" customWidth="1"/>
    <col min="10761" max="10761" width="11.28515625" style="1" hidden="1" customWidth="1"/>
    <col min="10762" max="10762" width="11.42578125" style="1" hidden="1" customWidth="1"/>
    <col min="10763" max="10763" width="10.7109375" style="1" hidden="1" customWidth="1"/>
    <col min="10764" max="10764" width="10.28515625" style="1" hidden="1" customWidth="1"/>
    <col min="10765" max="10765" width="11.5703125" style="1" hidden="1" customWidth="1"/>
    <col min="10766" max="10767" width="11.42578125" style="1" hidden="1" customWidth="1"/>
    <col min="10768" max="10768" width="10.85546875" style="1" hidden="1" customWidth="1"/>
    <col min="10769" max="10769" width="8.7109375" style="1" hidden="1" customWidth="1"/>
    <col min="10770" max="10770" width="6.28515625" style="1" hidden="1" customWidth="1"/>
    <col min="10771" max="10771" width="4" style="1" hidden="1" customWidth="1"/>
    <col min="10772" max="10772" width="8.7109375" style="1" hidden="1" customWidth="1"/>
    <col min="10773" max="10773" width="13.7109375" style="1" hidden="1" customWidth="1"/>
    <col min="10774" max="10774" width="20.7109375" style="1" hidden="1" customWidth="1"/>
    <col min="10775" max="10775" width="9.42578125" style="1" hidden="1" customWidth="1"/>
    <col min="10776" max="10776" width="3.28515625" style="1" hidden="1" customWidth="1"/>
    <col min="10777" max="11000" width="0" style="1" hidden="1"/>
    <col min="11001" max="11002" width="3.28515625" style="1" hidden="1" customWidth="1"/>
    <col min="11003" max="11003" width="30.7109375" style="1" hidden="1" customWidth="1"/>
    <col min="11004" max="11004" width="2.7109375" style="1" hidden="1" customWidth="1"/>
    <col min="11005" max="11005" width="12.85546875" style="1" hidden="1" customWidth="1"/>
    <col min="11006" max="11007" width="9.5703125" style="1" hidden="1" customWidth="1"/>
    <col min="11008" max="11008" width="7.42578125" style="1" hidden="1" customWidth="1"/>
    <col min="11009" max="11009" width="11.140625" style="1" hidden="1" customWidth="1"/>
    <col min="11010" max="11010" width="11.28515625" style="1" hidden="1" customWidth="1"/>
    <col min="11011" max="11011" width="11.7109375" style="1" hidden="1" customWidth="1"/>
    <col min="11012" max="11012" width="11.28515625" style="1" hidden="1" customWidth="1"/>
    <col min="11013" max="11013" width="10.7109375" style="1" hidden="1" customWidth="1"/>
    <col min="11014" max="11014" width="11.28515625" style="1" hidden="1" customWidth="1"/>
    <col min="11015" max="11015" width="11.42578125" style="1" hidden="1" customWidth="1"/>
    <col min="11016" max="11016" width="10.42578125" style="1" hidden="1" customWidth="1"/>
    <col min="11017" max="11017" width="11.28515625" style="1" hidden="1" customWidth="1"/>
    <col min="11018" max="11018" width="11.42578125" style="1" hidden="1" customWidth="1"/>
    <col min="11019" max="11019" width="10.7109375" style="1" hidden="1" customWidth="1"/>
    <col min="11020" max="11020" width="10.28515625" style="1" hidden="1" customWidth="1"/>
    <col min="11021" max="11021" width="11.5703125" style="1" hidden="1" customWidth="1"/>
    <col min="11022" max="11023" width="11.42578125" style="1" hidden="1" customWidth="1"/>
    <col min="11024" max="11024" width="10.85546875" style="1" hidden="1" customWidth="1"/>
    <col min="11025" max="11025" width="8.7109375" style="1" hidden="1" customWidth="1"/>
    <col min="11026" max="11026" width="6.28515625" style="1" hidden="1" customWidth="1"/>
    <col min="11027" max="11027" width="4" style="1" hidden="1" customWidth="1"/>
    <col min="11028" max="11028" width="8.7109375" style="1" hidden="1" customWidth="1"/>
    <col min="11029" max="11029" width="13.7109375" style="1" hidden="1" customWidth="1"/>
    <col min="11030" max="11030" width="20.7109375" style="1" hidden="1" customWidth="1"/>
    <col min="11031" max="11031" width="9.42578125" style="1" hidden="1" customWidth="1"/>
    <col min="11032" max="11032" width="3.28515625" style="1" hidden="1" customWidth="1"/>
    <col min="11033" max="11256" width="0" style="1" hidden="1"/>
    <col min="11257" max="11258" width="3.28515625" style="1" hidden="1" customWidth="1"/>
    <col min="11259" max="11259" width="30.7109375" style="1" hidden="1" customWidth="1"/>
    <col min="11260" max="11260" width="2.7109375" style="1" hidden="1" customWidth="1"/>
    <col min="11261" max="11261" width="12.85546875" style="1" hidden="1" customWidth="1"/>
    <col min="11262" max="11263" width="9.5703125" style="1" hidden="1" customWidth="1"/>
    <col min="11264" max="11264" width="7.42578125" style="1" hidden="1" customWidth="1"/>
    <col min="11265" max="11265" width="11.140625" style="1" hidden="1" customWidth="1"/>
    <col min="11266" max="11266" width="11.28515625" style="1" hidden="1" customWidth="1"/>
    <col min="11267" max="11267" width="11.7109375" style="1" hidden="1" customWidth="1"/>
    <col min="11268" max="11268" width="11.28515625" style="1" hidden="1" customWidth="1"/>
    <col min="11269" max="11269" width="10.7109375" style="1" hidden="1" customWidth="1"/>
    <col min="11270" max="11270" width="11.28515625" style="1" hidden="1" customWidth="1"/>
    <col min="11271" max="11271" width="11.42578125" style="1" hidden="1" customWidth="1"/>
    <col min="11272" max="11272" width="10.42578125" style="1" hidden="1" customWidth="1"/>
    <col min="11273" max="11273" width="11.28515625" style="1" hidden="1" customWidth="1"/>
    <col min="11274" max="11274" width="11.42578125" style="1" hidden="1" customWidth="1"/>
    <col min="11275" max="11275" width="10.7109375" style="1" hidden="1" customWidth="1"/>
    <col min="11276" max="11276" width="10.28515625" style="1" hidden="1" customWidth="1"/>
    <col min="11277" max="11277" width="11.5703125" style="1" hidden="1" customWidth="1"/>
    <col min="11278" max="11279" width="11.42578125" style="1" hidden="1" customWidth="1"/>
    <col min="11280" max="11280" width="10.85546875" style="1" hidden="1" customWidth="1"/>
    <col min="11281" max="11281" width="8.7109375" style="1" hidden="1" customWidth="1"/>
    <col min="11282" max="11282" width="6.28515625" style="1" hidden="1" customWidth="1"/>
    <col min="11283" max="11283" width="4" style="1" hidden="1" customWidth="1"/>
    <col min="11284" max="11284" width="8.7109375" style="1" hidden="1" customWidth="1"/>
    <col min="11285" max="11285" width="13.7109375" style="1" hidden="1" customWidth="1"/>
    <col min="11286" max="11286" width="20.7109375" style="1" hidden="1" customWidth="1"/>
    <col min="11287" max="11287" width="9.42578125" style="1" hidden="1" customWidth="1"/>
    <col min="11288" max="11288" width="3.28515625" style="1" hidden="1" customWidth="1"/>
    <col min="11289" max="11512" width="0" style="1" hidden="1"/>
    <col min="11513" max="11514" width="3.28515625" style="1" hidden="1" customWidth="1"/>
    <col min="11515" max="11515" width="30.7109375" style="1" hidden="1" customWidth="1"/>
    <col min="11516" max="11516" width="2.7109375" style="1" hidden="1" customWidth="1"/>
    <col min="11517" max="11517" width="12.85546875" style="1" hidden="1" customWidth="1"/>
    <col min="11518" max="11519" width="9.5703125" style="1" hidden="1" customWidth="1"/>
    <col min="11520" max="11520" width="7.42578125" style="1" hidden="1" customWidth="1"/>
    <col min="11521" max="11521" width="11.140625" style="1" hidden="1" customWidth="1"/>
    <col min="11522" max="11522" width="11.28515625" style="1" hidden="1" customWidth="1"/>
    <col min="11523" max="11523" width="11.7109375" style="1" hidden="1" customWidth="1"/>
    <col min="11524" max="11524" width="11.28515625" style="1" hidden="1" customWidth="1"/>
    <col min="11525" max="11525" width="10.7109375" style="1" hidden="1" customWidth="1"/>
    <col min="11526" max="11526" width="11.28515625" style="1" hidden="1" customWidth="1"/>
    <col min="11527" max="11527" width="11.42578125" style="1" hidden="1" customWidth="1"/>
    <col min="11528" max="11528" width="10.42578125" style="1" hidden="1" customWidth="1"/>
    <col min="11529" max="11529" width="11.28515625" style="1" hidden="1" customWidth="1"/>
    <col min="11530" max="11530" width="11.42578125" style="1" hidden="1" customWidth="1"/>
    <col min="11531" max="11531" width="10.7109375" style="1" hidden="1" customWidth="1"/>
    <col min="11532" max="11532" width="10.28515625" style="1" hidden="1" customWidth="1"/>
    <col min="11533" max="11533" width="11.5703125" style="1" hidden="1" customWidth="1"/>
    <col min="11534" max="11535" width="11.42578125" style="1" hidden="1" customWidth="1"/>
    <col min="11536" max="11536" width="10.85546875" style="1" hidden="1" customWidth="1"/>
    <col min="11537" max="11537" width="8.7109375" style="1" hidden="1" customWidth="1"/>
    <col min="11538" max="11538" width="6.28515625" style="1" hidden="1" customWidth="1"/>
    <col min="11539" max="11539" width="4" style="1" hidden="1" customWidth="1"/>
    <col min="11540" max="11540" width="8.7109375" style="1" hidden="1" customWidth="1"/>
    <col min="11541" max="11541" width="13.7109375" style="1" hidden="1" customWidth="1"/>
    <col min="11542" max="11542" width="20.7109375" style="1" hidden="1" customWidth="1"/>
    <col min="11543" max="11543" width="9.42578125" style="1" hidden="1" customWidth="1"/>
    <col min="11544" max="11544" width="3.28515625" style="1" hidden="1" customWidth="1"/>
    <col min="11545" max="11768" width="0" style="1" hidden="1"/>
    <col min="11769" max="11770" width="3.28515625" style="1" hidden="1" customWidth="1"/>
    <col min="11771" max="11771" width="30.7109375" style="1" hidden="1" customWidth="1"/>
    <col min="11772" max="11772" width="2.7109375" style="1" hidden="1" customWidth="1"/>
    <col min="11773" max="11773" width="12.85546875" style="1" hidden="1" customWidth="1"/>
    <col min="11774" max="11775" width="9.5703125" style="1" hidden="1" customWidth="1"/>
    <col min="11776" max="11776" width="7.42578125" style="1" hidden="1" customWidth="1"/>
    <col min="11777" max="11777" width="11.140625" style="1" hidden="1" customWidth="1"/>
    <col min="11778" max="11778" width="11.28515625" style="1" hidden="1" customWidth="1"/>
    <col min="11779" max="11779" width="11.7109375" style="1" hidden="1" customWidth="1"/>
    <col min="11780" max="11780" width="11.28515625" style="1" hidden="1" customWidth="1"/>
    <col min="11781" max="11781" width="10.7109375" style="1" hidden="1" customWidth="1"/>
    <col min="11782" max="11782" width="11.28515625" style="1" hidden="1" customWidth="1"/>
    <col min="11783" max="11783" width="11.42578125" style="1" hidden="1" customWidth="1"/>
    <col min="11784" max="11784" width="10.42578125" style="1" hidden="1" customWidth="1"/>
    <col min="11785" max="11785" width="11.28515625" style="1" hidden="1" customWidth="1"/>
    <col min="11786" max="11786" width="11.42578125" style="1" hidden="1" customWidth="1"/>
    <col min="11787" max="11787" width="10.7109375" style="1" hidden="1" customWidth="1"/>
    <col min="11788" max="11788" width="10.28515625" style="1" hidden="1" customWidth="1"/>
    <col min="11789" max="11789" width="11.5703125" style="1" hidden="1" customWidth="1"/>
    <col min="11790" max="11791" width="11.42578125" style="1" hidden="1" customWidth="1"/>
    <col min="11792" max="11792" width="10.85546875" style="1" hidden="1" customWidth="1"/>
    <col min="11793" max="11793" width="8.7109375" style="1" hidden="1" customWidth="1"/>
    <col min="11794" max="11794" width="6.28515625" style="1" hidden="1" customWidth="1"/>
    <col min="11795" max="11795" width="4" style="1" hidden="1" customWidth="1"/>
    <col min="11796" max="11796" width="8.7109375" style="1" hidden="1" customWidth="1"/>
    <col min="11797" max="11797" width="13.7109375" style="1" hidden="1" customWidth="1"/>
    <col min="11798" max="11798" width="20.7109375" style="1" hidden="1" customWidth="1"/>
    <col min="11799" max="11799" width="9.42578125" style="1" hidden="1" customWidth="1"/>
    <col min="11800" max="11800" width="3.28515625" style="1" hidden="1" customWidth="1"/>
    <col min="11801" max="12024" width="0" style="1" hidden="1"/>
    <col min="12025" max="12026" width="3.28515625" style="1" hidden="1" customWidth="1"/>
    <col min="12027" max="12027" width="30.7109375" style="1" hidden="1" customWidth="1"/>
    <col min="12028" max="12028" width="2.7109375" style="1" hidden="1" customWidth="1"/>
    <col min="12029" max="12029" width="12.85546875" style="1" hidden="1" customWidth="1"/>
    <col min="12030" max="12031" width="9.5703125" style="1" hidden="1" customWidth="1"/>
    <col min="12032" max="12032" width="7.42578125" style="1" hidden="1" customWidth="1"/>
    <col min="12033" max="12033" width="11.140625" style="1" hidden="1" customWidth="1"/>
    <col min="12034" max="12034" width="11.28515625" style="1" hidden="1" customWidth="1"/>
    <col min="12035" max="12035" width="11.7109375" style="1" hidden="1" customWidth="1"/>
    <col min="12036" max="12036" width="11.28515625" style="1" hidden="1" customWidth="1"/>
    <col min="12037" max="12037" width="10.7109375" style="1" hidden="1" customWidth="1"/>
    <col min="12038" max="12038" width="11.28515625" style="1" hidden="1" customWidth="1"/>
    <col min="12039" max="12039" width="11.42578125" style="1" hidden="1" customWidth="1"/>
    <col min="12040" max="12040" width="10.42578125" style="1" hidden="1" customWidth="1"/>
    <col min="12041" max="12041" width="11.28515625" style="1" hidden="1" customWidth="1"/>
    <col min="12042" max="12042" width="11.42578125" style="1" hidden="1" customWidth="1"/>
    <col min="12043" max="12043" width="10.7109375" style="1" hidden="1" customWidth="1"/>
    <col min="12044" max="12044" width="10.28515625" style="1" hidden="1" customWidth="1"/>
    <col min="12045" max="12045" width="11.5703125" style="1" hidden="1" customWidth="1"/>
    <col min="12046" max="12047" width="11.42578125" style="1" hidden="1" customWidth="1"/>
    <col min="12048" max="12048" width="10.85546875" style="1" hidden="1" customWidth="1"/>
    <col min="12049" max="12049" width="8.7109375" style="1" hidden="1" customWidth="1"/>
    <col min="12050" max="12050" width="6.28515625" style="1" hidden="1" customWidth="1"/>
    <col min="12051" max="12051" width="4" style="1" hidden="1" customWidth="1"/>
    <col min="12052" max="12052" width="8.7109375" style="1" hidden="1" customWidth="1"/>
    <col min="12053" max="12053" width="13.7109375" style="1" hidden="1" customWidth="1"/>
    <col min="12054" max="12054" width="20.7109375" style="1" hidden="1" customWidth="1"/>
    <col min="12055" max="12055" width="9.42578125" style="1" hidden="1" customWidth="1"/>
    <col min="12056" max="12056" width="3.28515625" style="1" hidden="1" customWidth="1"/>
    <col min="12057" max="12280" width="0" style="1" hidden="1"/>
    <col min="12281" max="12282" width="3.28515625" style="1" hidden="1" customWidth="1"/>
    <col min="12283" max="12283" width="30.7109375" style="1" hidden="1" customWidth="1"/>
    <col min="12284" max="12284" width="2.7109375" style="1" hidden="1" customWidth="1"/>
    <col min="12285" max="12285" width="12.85546875" style="1" hidden="1" customWidth="1"/>
    <col min="12286" max="12287" width="9.5703125" style="1" hidden="1" customWidth="1"/>
    <col min="12288" max="12288" width="7.42578125" style="1" hidden="1" customWidth="1"/>
    <col min="12289" max="12289" width="11.140625" style="1" hidden="1" customWidth="1"/>
    <col min="12290" max="12290" width="11.28515625" style="1" hidden="1" customWidth="1"/>
    <col min="12291" max="12291" width="11.7109375" style="1" hidden="1" customWidth="1"/>
    <col min="12292" max="12292" width="11.28515625" style="1" hidden="1" customWidth="1"/>
    <col min="12293" max="12293" width="10.7109375" style="1" hidden="1" customWidth="1"/>
    <col min="12294" max="12294" width="11.28515625" style="1" hidden="1" customWidth="1"/>
    <col min="12295" max="12295" width="11.42578125" style="1" hidden="1" customWidth="1"/>
    <col min="12296" max="12296" width="10.42578125" style="1" hidden="1" customWidth="1"/>
    <col min="12297" max="12297" width="11.28515625" style="1" hidden="1" customWidth="1"/>
    <col min="12298" max="12298" width="11.42578125" style="1" hidden="1" customWidth="1"/>
    <col min="12299" max="12299" width="10.7109375" style="1" hidden="1" customWidth="1"/>
    <col min="12300" max="12300" width="10.28515625" style="1" hidden="1" customWidth="1"/>
    <col min="12301" max="12301" width="11.5703125" style="1" hidden="1" customWidth="1"/>
    <col min="12302" max="12303" width="11.42578125" style="1" hidden="1" customWidth="1"/>
    <col min="12304" max="12304" width="10.85546875" style="1" hidden="1" customWidth="1"/>
    <col min="12305" max="12305" width="8.7109375" style="1" hidden="1" customWidth="1"/>
    <col min="12306" max="12306" width="6.28515625" style="1" hidden="1" customWidth="1"/>
    <col min="12307" max="12307" width="4" style="1" hidden="1" customWidth="1"/>
    <col min="12308" max="12308" width="8.7109375" style="1" hidden="1" customWidth="1"/>
    <col min="12309" max="12309" width="13.7109375" style="1" hidden="1" customWidth="1"/>
    <col min="12310" max="12310" width="20.7109375" style="1" hidden="1" customWidth="1"/>
    <col min="12311" max="12311" width="9.42578125" style="1" hidden="1" customWidth="1"/>
    <col min="12312" max="12312" width="3.28515625" style="1" hidden="1" customWidth="1"/>
    <col min="12313" max="12536" width="0" style="1" hidden="1"/>
    <col min="12537" max="12538" width="3.28515625" style="1" hidden="1" customWidth="1"/>
    <col min="12539" max="12539" width="30.7109375" style="1" hidden="1" customWidth="1"/>
    <col min="12540" max="12540" width="2.7109375" style="1" hidden="1" customWidth="1"/>
    <col min="12541" max="12541" width="12.85546875" style="1" hidden="1" customWidth="1"/>
    <col min="12542" max="12543" width="9.5703125" style="1" hidden="1" customWidth="1"/>
    <col min="12544" max="12544" width="7.42578125" style="1" hidden="1" customWidth="1"/>
    <col min="12545" max="12545" width="11.140625" style="1" hidden="1" customWidth="1"/>
    <col min="12546" max="12546" width="11.28515625" style="1" hidden="1" customWidth="1"/>
    <col min="12547" max="12547" width="11.7109375" style="1" hidden="1" customWidth="1"/>
    <col min="12548" max="12548" width="11.28515625" style="1" hidden="1" customWidth="1"/>
    <col min="12549" max="12549" width="10.7109375" style="1" hidden="1" customWidth="1"/>
    <col min="12550" max="12550" width="11.28515625" style="1" hidden="1" customWidth="1"/>
    <col min="12551" max="12551" width="11.42578125" style="1" hidden="1" customWidth="1"/>
    <col min="12552" max="12552" width="10.42578125" style="1" hidden="1" customWidth="1"/>
    <col min="12553" max="12553" width="11.28515625" style="1" hidden="1" customWidth="1"/>
    <col min="12554" max="12554" width="11.42578125" style="1" hidden="1" customWidth="1"/>
    <col min="12555" max="12555" width="10.7109375" style="1" hidden="1" customWidth="1"/>
    <col min="12556" max="12556" width="10.28515625" style="1" hidden="1" customWidth="1"/>
    <col min="12557" max="12557" width="11.5703125" style="1" hidden="1" customWidth="1"/>
    <col min="12558" max="12559" width="11.42578125" style="1" hidden="1" customWidth="1"/>
    <col min="12560" max="12560" width="10.85546875" style="1" hidden="1" customWidth="1"/>
    <col min="12561" max="12561" width="8.7109375" style="1" hidden="1" customWidth="1"/>
    <col min="12562" max="12562" width="6.28515625" style="1" hidden="1" customWidth="1"/>
    <col min="12563" max="12563" width="4" style="1" hidden="1" customWidth="1"/>
    <col min="12564" max="12564" width="8.7109375" style="1" hidden="1" customWidth="1"/>
    <col min="12565" max="12565" width="13.7109375" style="1" hidden="1" customWidth="1"/>
    <col min="12566" max="12566" width="20.7109375" style="1" hidden="1" customWidth="1"/>
    <col min="12567" max="12567" width="9.42578125" style="1" hidden="1" customWidth="1"/>
    <col min="12568" max="12568" width="3.28515625" style="1" hidden="1" customWidth="1"/>
    <col min="12569" max="12792" width="0" style="1" hidden="1"/>
    <col min="12793" max="12794" width="3.28515625" style="1" hidden="1" customWidth="1"/>
    <col min="12795" max="12795" width="30.7109375" style="1" hidden="1" customWidth="1"/>
    <col min="12796" max="12796" width="2.7109375" style="1" hidden="1" customWidth="1"/>
    <col min="12797" max="12797" width="12.85546875" style="1" hidden="1" customWidth="1"/>
    <col min="12798" max="12799" width="9.5703125" style="1" hidden="1" customWidth="1"/>
    <col min="12800" max="12800" width="7.42578125" style="1" hidden="1" customWidth="1"/>
    <col min="12801" max="12801" width="11.140625" style="1" hidden="1" customWidth="1"/>
    <col min="12802" max="12802" width="11.28515625" style="1" hidden="1" customWidth="1"/>
    <col min="12803" max="12803" width="11.7109375" style="1" hidden="1" customWidth="1"/>
    <col min="12804" max="12804" width="11.28515625" style="1" hidden="1" customWidth="1"/>
    <col min="12805" max="12805" width="10.7109375" style="1" hidden="1" customWidth="1"/>
    <col min="12806" max="12806" width="11.28515625" style="1" hidden="1" customWidth="1"/>
    <col min="12807" max="12807" width="11.42578125" style="1" hidden="1" customWidth="1"/>
    <col min="12808" max="12808" width="10.42578125" style="1" hidden="1" customWidth="1"/>
    <col min="12809" max="12809" width="11.28515625" style="1" hidden="1" customWidth="1"/>
    <col min="12810" max="12810" width="11.42578125" style="1" hidden="1" customWidth="1"/>
    <col min="12811" max="12811" width="10.7109375" style="1" hidden="1" customWidth="1"/>
    <col min="12812" max="12812" width="10.28515625" style="1" hidden="1" customWidth="1"/>
    <col min="12813" max="12813" width="11.5703125" style="1" hidden="1" customWidth="1"/>
    <col min="12814" max="12815" width="11.42578125" style="1" hidden="1" customWidth="1"/>
    <col min="12816" max="12816" width="10.85546875" style="1" hidden="1" customWidth="1"/>
    <col min="12817" max="12817" width="8.7109375" style="1" hidden="1" customWidth="1"/>
    <col min="12818" max="12818" width="6.28515625" style="1" hidden="1" customWidth="1"/>
    <col min="12819" max="12819" width="4" style="1" hidden="1" customWidth="1"/>
    <col min="12820" max="12820" width="8.7109375" style="1" hidden="1" customWidth="1"/>
    <col min="12821" max="12821" width="13.7109375" style="1" hidden="1" customWidth="1"/>
    <col min="12822" max="12822" width="20.7109375" style="1" hidden="1" customWidth="1"/>
    <col min="12823" max="12823" width="9.42578125" style="1" hidden="1" customWidth="1"/>
    <col min="12824" max="12824" width="3.28515625" style="1" hidden="1" customWidth="1"/>
    <col min="12825" max="13048" width="0" style="1" hidden="1"/>
    <col min="13049" max="13050" width="3.28515625" style="1" hidden="1" customWidth="1"/>
    <col min="13051" max="13051" width="30.7109375" style="1" hidden="1" customWidth="1"/>
    <col min="13052" max="13052" width="2.7109375" style="1" hidden="1" customWidth="1"/>
    <col min="13053" max="13053" width="12.85546875" style="1" hidden="1" customWidth="1"/>
    <col min="13054" max="13055" width="9.5703125" style="1" hidden="1" customWidth="1"/>
    <col min="13056" max="13056" width="7.42578125" style="1" hidden="1" customWidth="1"/>
    <col min="13057" max="13057" width="11.140625" style="1" hidden="1" customWidth="1"/>
    <col min="13058" max="13058" width="11.28515625" style="1" hidden="1" customWidth="1"/>
    <col min="13059" max="13059" width="11.7109375" style="1" hidden="1" customWidth="1"/>
    <col min="13060" max="13060" width="11.28515625" style="1" hidden="1" customWidth="1"/>
    <col min="13061" max="13061" width="10.7109375" style="1" hidden="1" customWidth="1"/>
    <col min="13062" max="13062" width="11.28515625" style="1" hidden="1" customWidth="1"/>
    <col min="13063" max="13063" width="11.42578125" style="1" hidden="1" customWidth="1"/>
    <col min="13064" max="13064" width="10.42578125" style="1" hidden="1" customWidth="1"/>
    <col min="13065" max="13065" width="11.28515625" style="1" hidden="1" customWidth="1"/>
    <col min="13066" max="13066" width="11.42578125" style="1" hidden="1" customWidth="1"/>
    <col min="13067" max="13067" width="10.7109375" style="1" hidden="1" customWidth="1"/>
    <col min="13068" max="13068" width="10.28515625" style="1" hidden="1" customWidth="1"/>
    <col min="13069" max="13069" width="11.5703125" style="1" hidden="1" customWidth="1"/>
    <col min="13070" max="13071" width="11.42578125" style="1" hidden="1" customWidth="1"/>
    <col min="13072" max="13072" width="10.85546875" style="1" hidden="1" customWidth="1"/>
    <col min="13073" max="13073" width="8.7109375" style="1" hidden="1" customWidth="1"/>
    <col min="13074" max="13074" width="6.28515625" style="1" hidden="1" customWidth="1"/>
    <col min="13075" max="13075" width="4" style="1" hidden="1" customWidth="1"/>
    <col min="13076" max="13076" width="8.7109375" style="1" hidden="1" customWidth="1"/>
    <col min="13077" max="13077" width="13.7109375" style="1" hidden="1" customWidth="1"/>
    <col min="13078" max="13078" width="20.7109375" style="1" hidden="1" customWidth="1"/>
    <col min="13079" max="13079" width="9.42578125" style="1" hidden="1" customWidth="1"/>
    <col min="13080" max="13080" width="3.28515625" style="1" hidden="1" customWidth="1"/>
    <col min="13081" max="13304" width="0" style="1" hidden="1"/>
    <col min="13305" max="13306" width="3.28515625" style="1" hidden="1" customWidth="1"/>
    <col min="13307" max="13307" width="30.7109375" style="1" hidden="1" customWidth="1"/>
    <col min="13308" max="13308" width="2.7109375" style="1" hidden="1" customWidth="1"/>
    <col min="13309" max="13309" width="12.85546875" style="1" hidden="1" customWidth="1"/>
    <col min="13310" max="13311" width="9.5703125" style="1" hidden="1" customWidth="1"/>
    <col min="13312" max="13312" width="7.42578125" style="1" hidden="1" customWidth="1"/>
    <col min="13313" max="13313" width="11.140625" style="1" hidden="1" customWidth="1"/>
    <col min="13314" max="13314" width="11.28515625" style="1" hidden="1" customWidth="1"/>
    <col min="13315" max="13315" width="11.7109375" style="1" hidden="1" customWidth="1"/>
    <col min="13316" max="13316" width="11.28515625" style="1" hidden="1" customWidth="1"/>
    <col min="13317" max="13317" width="10.7109375" style="1" hidden="1" customWidth="1"/>
    <col min="13318" max="13318" width="11.28515625" style="1" hidden="1" customWidth="1"/>
    <col min="13319" max="13319" width="11.42578125" style="1" hidden="1" customWidth="1"/>
    <col min="13320" max="13320" width="10.42578125" style="1" hidden="1" customWidth="1"/>
    <col min="13321" max="13321" width="11.28515625" style="1" hidden="1" customWidth="1"/>
    <col min="13322" max="13322" width="11.42578125" style="1" hidden="1" customWidth="1"/>
    <col min="13323" max="13323" width="10.7109375" style="1" hidden="1" customWidth="1"/>
    <col min="13324" max="13324" width="10.28515625" style="1" hidden="1" customWidth="1"/>
    <col min="13325" max="13325" width="11.5703125" style="1" hidden="1" customWidth="1"/>
    <col min="13326" max="13327" width="11.42578125" style="1" hidden="1" customWidth="1"/>
    <col min="13328" max="13328" width="10.85546875" style="1" hidden="1" customWidth="1"/>
    <col min="13329" max="13329" width="8.7109375" style="1" hidden="1" customWidth="1"/>
    <col min="13330" max="13330" width="6.28515625" style="1" hidden="1" customWidth="1"/>
    <col min="13331" max="13331" width="4" style="1" hidden="1" customWidth="1"/>
    <col min="13332" max="13332" width="8.7109375" style="1" hidden="1" customWidth="1"/>
    <col min="13333" max="13333" width="13.7109375" style="1" hidden="1" customWidth="1"/>
    <col min="13334" max="13334" width="20.7109375" style="1" hidden="1" customWidth="1"/>
    <col min="13335" max="13335" width="9.42578125" style="1" hidden="1" customWidth="1"/>
    <col min="13336" max="13336" width="3.28515625" style="1" hidden="1" customWidth="1"/>
    <col min="13337" max="13560" width="0" style="1" hidden="1"/>
    <col min="13561" max="13562" width="3.28515625" style="1" hidden="1" customWidth="1"/>
    <col min="13563" max="13563" width="30.7109375" style="1" hidden="1" customWidth="1"/>
    <col min="13564" max="13564" width="2.7109375" style="1" hidden="1" customWidth="1"/>
    <col min="13565" max="13565" width="12.85546875" style="1" hidden="1" customWidth="1"/>
    <col min="13566" max="13567" width="9.5703125" style="1" hidden="1" customWidth="1"/>
    <col min="13568" max="13568" width="7.42578125" style="1" hidden="1" customWidth="1"/>
    <col min="13569" max="13569" width="11.140625" style="1" hidden="1" customWidth="1"/>
    <col min="13570" max="13570" width="11.28515625" style="1" hidden="1" customWidth="1"/>
    <col min="13571" max="13571" width="11.7109375" style="1" hidden="1" customWidth="1"/>
    <col min="13572" max="13572" width="11.28515625" style="1" hidden="1" customWidth="1"/>
    <col min="13573" max="13573" width="10.7109375" style="1" hidden="1" customWidth="1"/>
    <col min="13574" max="13574" width="11.28515625" style="1" hidden="1" customWidth="1"/>
    <col min="13575" max="13575" width="11.42578125" style="1" hidden="1" customWidth="1"/>
    <col min="13576" max="13576" width="10.42578125" style="1" hidden="1" customWidth="1"/>
    <col min="13577" max="13577" width="11.28515625" style="1" hidden="1" customWidth="1"/>
    <col min="13578" max="13578" width="11.42578125" style="1" hidden="1" customWidth="1"/>
    <col min="13579" max="13579" width="10.7109375" style="1" hidden="1" customWidth="1"/>
    <col min="13580" max="13580" width="10.28515625" style="1" hidden="1" customWidth="1"/>
    <col min="13581" max="13581" width="11.5703125" style="1" hidden="1" customWidth="1"/>
    <col min="13582" max="13583" width="11.42578125" style="1" hidden="1" customWidth="1"/>
    <col min="13584" max="13584" width="10.85546875" style="1" hidden="1" customWidth="1"/>
    <col min="13585" max="13585" width="8.7109375" style="1" hidden="1" customWidth="1"/>
    <col min="13586" max="13586" width="6.28515625" style="1" hidden="1" customWidth="1"/>
    <col min="13587" max="13587" width="4" style="1" hidden="1" customWidth="1"/>
    <col min="13588" max="13588" width="8.7109375" style="1" hidden="1" customWidth="1"/>
    <col min="13589" max="13589" width="13.7109375" style="1" hidden="1" customWidth="1"/>
    <col min="13590" max="13590" width="20.7109375" style="1" hidden="1" customWidth="1"/>
    <col min="13591" max="13591" width="9.42578125" style="1" hidden="1" customWidth="1"/>
    <col min="13592" max="13592" width="3.28515625" style="1" hidden="1" customWidth="1"/>
    <col min="13593" max="13816" width="0" style="1" hidden="1"/>
    <col min="13817" max="13818" width="3.28515625" style="1" hidden="1" customWidth="1"/>
    <col min="13819" max="13819" width="30.7109375" style="1" hidden="1" customWidth="1"/>
    <col min="13820" max="13820" width="2.7109375" style="1" hidden="1" customWidth="1"/>
    <col min="13821" max="13821" width="12.85546875" style="1" hidden="1" customWidth="1"/>
    <col min="13822" max="13823" width="9.5703125" style="1" hidden="1" customWidth="1"/>
    <col min="13824" max="13824" width="7.42578125" style="1" hidden="1" customWidth="1"/>
    <col min="13825" max="13825" width="11.140625" style="1" hidden="1" customWidth="1"/>
    <col min="13826" max="13826" width="11.28515625" style="1" hidden="1" customWidth="1"/>
    <col min="13827" max="13827" width="11.7109375" style="1" hidden="1" customWidth="1"/>
    <col min="13828" max="13828" width="11.28515625" style="1" hidden="1" customWidth="1"/>
    <col min="13829" max="13829" width="10.7109375" style="1" hidden="1" customWidth="1"/>
    <col min="13830" max="13830" width="11.28515625" style="1" hidden="1" customWidth="1"/>
    <col min="13831" max="13831" width="11.42578125" style="1" hidden="1" customWidth="1"/>
    <col min="13832" max="13832" width="10.42578125" style="1" hidden="1" customWidth="1"/>
    <col min="13833" max="13833" width="11.28515625" style="1" hidden="1" customWidth="1"/>
    <col min="13834" max="13834" width="11.42578125" style="1" hidden="1" customWidth="1"/>
    <col min="13835" max="13835" width="10.7109375" style="1" hidden="1" customWidth="1"/>
    <col min="13836" max="13836" width="10.28515625" style="1" hidden="1" customWidth="1"/>
    <col min="13837" max="13837" width="11.5703125" style="1" hidden="1" customWidth="1"/>
    <col min="13838" max="13839" width="11.42578125" style="1" hidden="1" customWidth="1"/>
    <col min="13840" max="13840" width="10.85546875" style="1" hidden="1" customWidth="1"/>
    <col min="13841" max="13841" width="8.7109375" style="1" hidden="1" customWidth="1"/>
    <col min="13842" max="13842" width="6.28515625" style="1" hidden="1" customWidth="1"/>
    <col min="13843" max="13843" width="4" style="1" hidden="1" customWidth="1"/>
    <col min="13844" max="13844" width="8.7109375" style="1" hidden="1" customWidth="1"/>
    <col min="13845" max="13845" width="13.7109375" style="1" hidden="1" customWidth="1"/>
    <col min="13846" max="13846" width="20.7109375" style="1" hidden="1" customWidth="1"/>
    <col min="13847" max="13847" width="9.42578125" style="1" hidden="1" customWidth="1"/>
    <col min="13848" max="13848" width="3.28515625" style="1" hidden="1" customWidth="1"/>
    <col min="13849" max="14072" width="0" style="1" hidden="1"/>
    <col min="14073" max="14074" width="3.28515625" style="1" hidden="1" customWidth="1"/>
    <col min="14075" max="14075" width="30.7109375" style="1" hidden="1" customWidth="1"/>
    <col min="14076" max="14076" width="2.7109375" style="1" hidden="1" customWidth="1"/>
    <col min="14077" max="14077" width="12.85546875" style="1" hidden="1" customWidth="1"/>
    <col min="14078" max="14079" width="9.5703125" style="1" hidden="1" customWidth="1"/>
    <col min="14080" max="14080" width="7.42578125" style="1" hidden="1" customWidth="1"/>
    <col min="14081" max="14081" width="11.140625" style="1" hidden="1" customWidth="1"/>
    <col min="14082" max="14082" width="11.28515625" style="1" hidden="1" customWidth="1"/>
    <col min="14083" max="14083" width="11.7109375" style="1" hidden="1" customWidth="1"/>
    <col min="14084" max="14084" width="11.28515625" style="1" hidden="1" customWidth="1"/>
    <col min="14085" max="14085" width="10.7109375" style="1" hidden="1" customWidth="1"/>
    <col min="14086" max="14086" width="11.28515625" style="1" hidden="1" customWidth="1"/>
    <col min="14087" max="14087" width="11.42578125" style="1" hidden="1" customWidth="1"/>
    <col min="14088" max="14088" width="10.42578125" style="1" hidden="1" customWidth="1"/>
    <col min="14089" max="14089" width="11.28515625" style="1" hidden="1" customWidth="1"/>
    <col min="14090" max="14090" width="11.42578125" style="1" hidden="1" customWidth="1"/>
    <col min="14091" max="14091" width="10.7109375" style="1" hidden="1" customWidth="1"/>
    <col min="14092" max="14092" width="10.28515625" style="1" hidden="1" customWidth="1"/>
    <col min="14093" max="14093" width="11.5703125" style="1" hidden="1" customWidth="1"/>
    <col min="14094" max="14095" width="11.42578125" style="1" hidden="1" customWidth="1"/>
    <col min="14096" max="14096" width="10.85546875" style="1" hidden="1" customWidth="1"/>
    <col min="14097" max="14097" width="8.7109375" style="1" hidden="1" customWidth="1"/>
    <col min="14098" max="14098" width="6.28515625" style="1" hidden="1" customWidth="1"/>
    <col min="14099" max="14099" width="4" style="1" hidden="1" customWidth="1"/>
    <col min="14100" max="14100" width="8.7109375" style="1" hidden="1" customWidth="1"/>
    <col min="14101" max="14101" width="13.7109375" style="1" hidden="1" customWidth="1"/>
    <col min="14102" max="14102" width="20.7109375" style="1" hidden="1" customWidth="1"/>
    <col min="14103" max="14103" width="9.42578125" style="1" hidden="1" customWidth="1"/>
    <col min="14104" max="14104" width="3.28515625" style="1" hidden="1" customWidth="1"/>
    <col min="14105" max="14328" width="0" style="1" hidden="1"/>
    <col min="14329" max="14330" width="3.28515625" style="1" hidden="1" customWidth="1"/>
    <col min="14331" max="14331" width="30.7109375" style="1" hidden="1" customWidth="1"/>
    <col min="14332" max="14332" width="2.7109375" style="1" hidden="1" customWidth="1"/>
    <col min="14333" max="14333" width="12.85546875" style="1" hidden="1" customWidth="1"/>
    <col min="14334" max="14335" width="9.5703125" style="1" hidden="1" customWidth="1"/>
    <col min="14336" max="14336" width="7.42578125" style="1" hidden="1" customWidth="1"/>
    <col min="14337" max="14337" width="11.140625" style="1" hidden="1" customWidth="1"/>
    <col min="14338" max="14338" width="11.28515625" style="1" hidden="1" customWidth="1"/>
    <col min="14339" max="14339" width="11.7109375" style="1" hidden="1" customWidth="1"/>
    <col min="14340" max="14340" width="11.28515625" style="1" hidden="1" customWidth="1"/>
    <col min="14341" max="14341" width="10.7109375" style="1" hidden="1" customWidth="1"/>
    <col min="14342" max="14342" width="11.28515625" style="1" hidden="1" customWidth="1"/>
    <col min="14343" max="14343" width="11.42578125" style="1" hidden="1" customWidth="1"/>
    <col min="14344" max="14344" width="10.42578125" style="1" hidden="1" customWidth="1"/>
    <col min="14345" max="14345" width="11.28515625" style="1" hidden="1" customWidth="1"/>
    <col min="14346" max="14346" width="11.42578125" style="1" hidden="1" customWidth="1"/>
    <col min="14347" max="14347" width="10.7109375" style="1" hidden="1" customWidth="1"/>
    <col min="14348" max="14348" width="10.28515625" style="1" hidden="1" customWidth="1"/>
    <col min="14349" max="14349" width="11.5703125" style="1" hidden="1" customWidth="1"/>
    <col min="14350" max="14351" width="11.42578125" style="1" hidden="1" customWidth="1"/>
    <col min="14352" max="14352" width="10.85546875" style="1" hidden="1" customWidth="1"/>
    <col min="14353" max="14353" width="8.7109375" style="1" hidden="1" customWidth="1"/>
    <col min="14354" max="14354" width="6.28515625" style="1" hidden="1" customWidth="1"/>
    <col min="14355" max="14355" width="4" style="1" hidden="1" customWidth="1"/>
    <col min="14356" max="14356" width="8.7109375" style="1" hidden="1" customWidth="1"/>
    <col min="14357" max="14357" width="13.7109375" style="1" hidden="1" customWidth="1"/>
    <col min="14358" max="14358" width="20.7109375" style="1" hidden="1" customWidth="1"/>
    <col min="14359" max="14359" width="9.42578125" style="1" hidden="1" customWidth="1"/>
    <col min="14360" max="14360" width="3.28515625" style="1" hidden="1" customWidth="1"/>
    <col min="14361" max="14584" width="0" style="1" hidden="1"/>
    <col min="14585" max="14586" width="3.28515625" style="1" hidden="1" customWidth="1"/>
    <col min="14587" max="14587" width="30.7109375" style="1" hidden="1" customWidth="1"/>
    <col min="14588" max="14588" width="2.7109375" style="1" hidden="1" customWidth="1"/>
    <col min="14589" max="14589" width="12.85546875" style="1" hidden="1" customWidth="1"/>
    <col min="14590" max="14591" width="9.5703125" style="1" hidden="1" customWidth="1"/>
    <col min="14592" max="14592" width="7.42578125" style="1" hidden="1" customWidth="1"/>
    <col min="14593" max="14593" width="11.140625" style="1" hidden="1" customWidth="1"/>
    <col min="14594" max="14594" width="11.28515625" style="1" hidden="1" customWidth="1"/>
    <col min="14595" max="14595" width="11.7109375" style="1" hidden="1" customWidth="1"/>
    <col min="14596" max="14596" width="11.28515625" style="1" hidden="1" customWidth="1"/>
    <col min="14597" max="14597" width="10.7109375" style="1" hidden="1" customWidth="1"/>
    <col min="14598" max="14598" width="11.28515625" style="1" hidden="1" customWidth="1"/>
    <col min="14599" max="14599" width="11.42578125" style="1" hidden="1" customWidth="1"/>
    <col min="14600" max="14600" width="10.42578125" style="1" hidden="1" customWidth="1"/>
    <col min="14601" max="14601" width="11.28515625" style="1" hidden="1" customWidth="1"/>
    <col min="14602" max="14602" width="11.42578125" style="1" hidden="1" customWidth="1"/>
    <col min="14603" max="14603" width="10.7109375" style="1" hidden="1" customWidth="1"/>
    <col min="14604" max="14604" width="10.28515625" style="1" hidden="1" customWidth="1"/>
    <col min="14605" max="14605" width="11.5703125" style="1" hidden="1" customWidth="1"/>
    <col min="14606" max="14607" width="11.42578125" style="1" hidden="1" customWidth="1"/>
    <col min="14608" max="14608" width="10.85546875" style="1" hidden="1" customWidth="1"/>
    <col min="14609" max="14609" width="8.7109375" style="1" hidden="1" customWidth="1"/>
    <col min="14610" max="14610" width="6.28515625" style="1" hidden="1" customWidth="1"/>
    <col min="14611" max="14611" width="4" style="1" hidden="1" customWidth="1"/>
    <col min="14612" max="14612" width="8.7109375" style="1" hidden="1" customWidth="1"/>
    <col min="14613" max="14613" width="13.7109375" style="1" hidden="1" customWidth="1"/>
    <col min="14614" max="14614" width="20.7109375" style="1" hidden="1" customWidth="1"/>
    <col min="14615" max="14615" width="9.42578125" style="1" hidden="1" customWidth="1"/>
    <col min="14616" max="14616" width="3.28515625" style="1" hidden="1" customWidth="1"/>
    <col min="14617" max="14840" width="0" style="1" hidden="1"/>
    <col min="14841" max="14842" width="3.28515625" style="1" hidden="1" customWidth="1"/>
    <col min="14843" max="14843" width="30.7109375" style="1" hidden="1" customWidth="1"/>
    <col min="14844" max="14844" width="2.7109375" style="1" hidden="1" customWidth="1"/>
    <col min="14845" max="14845" width="12.85546875" style="1" hidden="1" customWidth="1"/>
    <col min="14846" max="14847" width="9.5703125" style="1" hidden="1" customWidth="1"/>
    <col min="14848" max="14848" width="7.42578125" style="1" hidden="1" customWidth="1"/>
    <col min="14849" max="14849" width="11.140625" style="1" hidden="1" customWidth="1"/>
    <col min="14850" max="14850" width="11.28515625" style="1" hidden="1" customWidth="1"/>
    <col min="14851" max="14851" width="11.7109375" style="1" hidden="1" customWidth="1"/>
    <col min="14852" max="14852" width="11.28515625" style="1" hidden="1" customWidth="1"/>
    <col min="14853" max="14853" width="10.7109375" style="1" hidden="1" customWidth="1"/>
    <col min="14854" max="14854" width="11.28515625" style="1" hidden="1" customWidth="1"/>
    <col min="14855" max="14855" width="11.42578125" style="1" hidden="1" customWidth="1"/>
    <col min="14856" max="14856" width="10.42578125" style="1" hidden="1" customWidth="1"/>
    <col min="14857" max="14857" width="11.28515625" style="1" hidden="1" customWidth="1"/>
    <col min="14858" max="14858" width="11.42578125" style="1" hidden="1" customWidth="1"/>
    <col min="14859" max="14859" width="10.7109375" style="1" hidden="1" customWidth="1"/>
    <col min="14860" max="14860" width="10.28515625" style="1" hidden="1" customWidth="1"/>
    <col min="14861" max="14861" width="11.5703125" style="1" hidden="1" customWidth="1"/>
    <col min="14862" max="14863" width="11.42578125" style="1" hidden="1" customWidth="1"/>
    <col min="14864" max="14864" width="10.85546875" style="1" hidden="1" customWidth="1"/>
    <col min="14865" max="14865" width="8.7109375" style="1" hidden="1" customWidth="1"/>
    <col min="14866" max="14866" width="6.28515625" style="1" hidden="1" customWidth="1"/>
    <col min="14867" max="14867" width="4" style="1" hidden="1" customWidth="1"/>
    <col min="14868" max="14868" width="8.7109375" style="1" hidden="1" customWidth="1"/>
    <col min="14869" max="14869" width="13.7109375" style="1" hidden="1" customWidth="1"/>
    <col min="14870" max="14870" width="20.7109375" style="1" hidden="1" customWidth="1"/>
    <col min="14871" max="14871" width="9.42578125" style="1" hidden="1" customWidth="1"/>
    <col min="14872" max="14872" width="3.28515625" style="1" hidden="1" customWidth="1"/>
    <col min="14873" max="15096" width="0" style="1" hidden="1"/>
    <col min="15097" max="15098" width="3.28515625" style="1" hidden="1" customWidth="1"/>
    <col min="15099" max="15099" width="30.7109375" style="1" hidden="1" customWidth="1"/>
    <col min="15100" max="15100" width="2.7109375" style="1" hidden="1" customWidth="1"/>
    <col min="15101" max="15101" width="12.85546875" style="1" hidden="1" customWidth="1"/>
    <col min="15102" max="15103" width="9.5703125" style="1" hidden="1" customWidth="1"/>
    <col min="15104" max="15104" width="7.42578125" style="1" hidden="1" customWidth="1"/>
    <col min="15105" max="15105" width="11.140625" style="1" hidden="1" customWidth="1"/>
    <col min="15106" max="15106" width="11.28515625" style="1" hidden="1" customWidth="1"/>
    <col min="15107" max="15107" width="11.7109375" style="1" hidden="1" customWidth="1"/>
    <col min="15108" max="15108" width="11.28515625" style="1" hidden="1" customWidth="1"/>
    <col min="15109" max="15109" width="10.7109375" style="1" hidden="1" customWidth="1"/>
    <col min="15110" max="15110" width="11.28515625" style="1" hidden="1" customWidth="1"/>
    <col min="15111" max="15111" width="11.42578125" style="1" hidden="1" customWidth="1"/>
    <col min="15112" max="15112" width="10.42578125" style="1" hidden="1" customWidth="1"/>
    <col min="15113" max="15113" width="11.28515625" style="1" hidden="1" customWidth="1"/>
    <col min="15114" max="15114" width="11.42578125" style="1" hidden="1" customWidth="1"/>
    <col min="15115" max="15115" width="10.7109375" style="1" hidden="1" customWidth="1"/>
    <col min="15116" max="15116" width="10.28515625" style="1" hidden="1" customWidth="1"/>
    <col min="15117" max="15117" width="11.5703125" style="1" hidden="1" customWidth="1"/>
    <col min="15118" max="15119" width="11.42578125" style="1" hidden="1" customWidth="1"/>
    <col min="15120" max="15120" width="10.85546875" style="1" hidden="1" customWidth="1"/>
    <col min="15121" max="15121" width="8.7109375" style="1" hidden="1" customWidth="1"/>
    <col min="15122" max="15122" width="6.28515625" style="1" hidden="1" customWidth="1"/>
    <col min="15123" max="15123" width="4" style="1" hidden="1" customWidth="1"/>
    <col min="15124" max="15124" width="8.7109375" style="1" hidden="1" customWidth="1"/>
    <col min="15125" max="15125" width="13.7109375" style="1" hidden="1" customWidth="1"/>
    <col min="15126" max="15126" width="20.7109375" style="1" hidden="1" customWidth="1"/>
    <col min="15127" max="15127" width="9.42578125" style="1" hidden="1" customWidth="1"/>
    <col min="15128" max="15128" width="3.28515625" style="1" hidden="1" customWidth="1"/>
    <col min="15129" max="15352" width="0" style="1" hidden="1"/>
    <col min="15353" max="15354" width="3.28515625" style="1" hidden="1" customWidth="1"/>
    <col min="15355" max="15355" width="30.7109375" style="1" hidden="1" customWidth="1"/>
    <col min="15356" max="15356" width="2.7109375" style="1" hidden="1" customWidth="1"/>
    <col min="15357" max="15357" width="12.85546875" style="1" hidden="1" customWidth="1"/>
    <col min="15358" max="15359" width="9.5703125" style="1" hidden="1" customWidth="1"/>
    <col min="15360" max="15360" width="7.42578125" style="1" hidden="1" customWidth="1"/>
    <col min="15361" max="15361" width="11.140625" style="1" hidden="1" customWidth="1"/>
    <col min="15362" max="15362" width="11.28515625" style="1" hidden="1" customWidth="1"/>
    <col min="15363" max="15363" width="11.7109375" style="1" hidden="1" customWidth="1"/>
    <col min="15364" max="15364" width="11.28515625" style="1" hidden="1" customWidth="1"/>
    <col min="15365" max="15365" width="10.7109375" style="1" hidden="1" customWidth="1"/>
    <col min="15366" max="15366" width="11.28515625" style="1" hidden="1" customWidth="1"/>
    <col min="15367" max="15367" width="11.42578125" style="1" hidden="1" customWidth="1"/>
    <col min="15368" max="15368" width="10.42578125" style="1" hidden="1" customWidth="1"/>
    <col min="15369" max="15369" width="11.28515625" style="1" hidden="1" customWidth="1"/>
    <col min="15370" max="15370" width="11.42578125" style="1" hidden="1" customWidth="1"/>
    <col min="15371" max="15371" width="10.7109375" style="1" hidden="1" customWidth="1"/>
    <col min="15372" max="15372" width="10.28515625" style="1" hidden="1" customWidth="1"/>
    <col min="15373" max="15373" width="11.5703125" style="1" hidden="1" customWidth="1"/>
    <col min="15374" max="15375" width="11.42578125" style="1" hidden="1" customWidth="1"/>
    <col min="15376" max="15376" width="10.85546875" style="1" hidden="1" customWidth="1"/>
    <col min="15377" max="15377" width="8.7109375" style="1" hidden="1" customWidth="1"/>
    <col min="15378" max="15378" width="6.28515625" style="1" hidden="1" customWidth="1"/>
    <col min="15379" max="15379" width="4" style="1" hidden="1" customWidth="1"/>
    <col min="15380" max="15380" width="8.7109375" style="1" hidden="1" customWidth="1"/>
    <col min="15381" max="15381" width="13.7109375" style="1" hidden="1" customWidth="1"/>
    <col min="15382" max="15382" width="20.7109375" style="1" hidden="1" customWidth="1"/>
    <col min="15383" max="15383" width="9.42578125" style="1" hidden="1" customWidth="1"/>
    <col min="15384" max="15384" width="3.28515625" style="1" hidden="1" customWidth="1"/>
    <col min="15385" max="15608" width="0" style="1" hidden="1"/>
    <col min="15609" max="15610" width="3.28515625" style="1" hidden="1" customWidth="1"/>
    <col min="15611" max="15611" width="30.7109375" style="1" hidden="1" customWidth="1"/>
    <col min="15612" max="15612" width="2.7109375" style="1" hidden="1" customWidth="1"/>
    <col min="15613" max="15613" width="12.85546875" style="1" hidden="1" customWidth="1"/>
    <col min="15614" max="15615" width="9.5703125" style="1" hidden="1" customWidth="1"/>
    <col min="15616" max="15616" width="7.42578125" style="1" hidden="1" customWidth="1"/>
    <col min="15617" max="15617" width="11.140625" style="1" hidden="1" customWidth="1"/>
    <col min="15618" max="15618" width="11.28515625" style="1" hidden="1" customWidth="1"/>
    <col min="15619" max="15619" width="11.7109375" style="1" hidden="1" customWidth="1"/>
    <col min="15620" max="15620" width="11.28515625" style="1" hidden="1" customWidth="1"/>
    <col min="15621" max="15621" width="10.7109375" style="1" hidden="1" customWidth="1"/>
    <col min="15622" max="15622" width="11.28515625" style="1" hidden="1" customWidth="1"/>
    <col min="15623" max="15623" width="11.42578125" style="1" hidden="1" customWidth="1"/>
    <col min="15624" max="15624" width="10.42578125" style="1" hidden="1" customWidth="1"/>
    <col min="15625" max="15625" width="11.28515625" style="1" hidden="1" customWidth="1"/>
    <col min="15626" max="15626" width="11.42578125" style="1" hidden="1" customWidth="1"/>
    <col min="15627" max="15627" width="10.7109375" style="1" hidden="1" customWidth="1"/>
    <col min="15628" max="15628" width="10.28515625" style="1" hidden="1" customWidth="1"/>
    <col min="15629" max="15629" width="11.5703125" style="1" hidden="1" customWidth="1"/>
    <col min="15630" max="15631" width="11.42578125" style="1" hidden="1" customWidth="1"/>
    <col min="15632" max="15632" width="10.85546875" style="1" hidden="1" customWidth="1"/>
    <col min="15633" max="15633" width="8.7109375" style="1" hidden="1" customWidth="1"/>
    <col min="15634" max="15634" width="6.28515625" style="1" hidden="1" customWidth="1"/>
    <col min="15635" max="15635" width="4" style="1" hidden="1" customWidth="1"/>
    <col min="15636" max="15636" width="8.7109375" style="1" hidden="1" customWidth="1"/>
    <col min="15637" max="15637" width="13.7109375" style="1" hidden="1" customWidth="1"/>
    <col min="15638" max="15638" width="20.7109375" style="1" hidden="1" customWidth="1"/>
    <col min="15639" max="15639" width="9.42578125" style="1" hidden="1" customWidth="1"/>
    <col min="15640" max="15640" width="3.28515625" style="1" hidden="1" customWidth="1"/>
    <col min="15641" max="15864" width="0" style="1" hidden="1"/>
    <col min="15865" max="15866" width="3.28515625" style="1" hidden="1" customWidth="1"/>
    <col min="15867" max="15867" width="30.7109375" style="1" hidden="1" customWidth="1"/>
    <col min="15868" max="15868" width="2.7109375" style="1" hidden="1" customWidth="1"/>
    <col min="15869" max="15869" width="12.85546875" style="1" hidden="1" customWidth="1"/>
    <col min="15870" max="15871" width="9.5703125" style="1" hidden="1" customWidth="1"/>
    <col min="15872" max="15872" width="7.42578125" style="1" hidden="1" customWidth="1"/>
    <col min="15873" max="15873" width="11.140625" style="1" hidden="1" customWidth="1"/>
    <col min="15874" max="15874" width="11.28515625" style="1" hidden="1" customWidth="1"/>
    <col min="15875" max="15875" width="11.7109375" style="1" hidden="1" customWidth="1"/>
    <col min="15876" max="15876" width="11.28515625" style="1" hidden="1" customWidth="1"/>
    <col min="15877" max="15877" width="10.7109375" style="1" hidden="1" customWidth="1"/>
    <col min="15878" max="15878" width="11.28515625" style="1" hidden="1" customWidth="1"/>
    <col min="15879" max="15879" width="11.42578125" style="1" hidden="1" customWidth="1"/>
    <col min="15880" max="15880" width="10.42578125" style="1" hidden="1" customWidth="1"/>
    <col min="15881" max="15881" width="11.28515625" style="1" hidden="1" customWidth="1"/>
    <col min="15882" max="15882" width="11.42578125" style="1" hidden="1" customWidth="1"/>
    <col min="15883" max="15883" width="10.7109375" style="1" hidden="1" customWidth="1"/>
    <col min="15884" max="15884" width="10.28515625" style="1" hidden="1" customWidth="1"/>
    <col min="15885" max="15885" width="11.5703125" style="1" hidden="1" customWidth="1"/>
    <col min="15886" max="15887" width="11.42578125" style="1" hidden="1" customWidth="1"/>
    <col min="15888" max="15888" width="10.85546875" style="1" hidden="1" customWidth="1"/>
    <col min="15889" max="15889" width="8.7109375" style="1" hidden="1" customWidth="1"/>
    <col min="15890" max="15890" width="6.28515625" style="1" hidden="1" customWidth="1"/>
    <col min="15891" max="15891" width="4" style="1" hidden="1" customWidth="1"/>
    <col min="15892" max="15892" width="8.7109375" style="1" hidden="1" customWidth="1"/>
    <col min="15893" max="15893" width="13.7109375" style="1" hidden="1" customWidth="1"/>
    <col min="15894" max="15894" width="20.7109375" style="1" hidden="1" customWidth="1"/>
    <col min="15895" max="15895" width="9.42578125" style="1" hidden="1" customWidth="1"/>
    <col min="15896" max="15896" width="3.28515625" style="1" hidden="1" customWidth="1"/>
    <col min="15897" max="16120" width="0" style="1" hidden="1"/>
    <col min="16121" max="16122" width="3.28515625" style="1" hidden="1" customWidth="1"/>
    <col min="16123" max="16123" width="30.7109375" style="1" hidden="1" customWidth="1"/>
    <col min="16124" max="16124" width="2.7109375" style="1" hidden="1" customWidth="1"/>
    <col min="16125" max="16125" width="12.85546875" style="1" hidden="1" customWidth="1"/>
    <col min="16126" max="16127" width="9.5703125" style="1" hidden="1" customWidth="1"/>
    <col min="16128" max="16128" width="7.42578125" style="1" hidden="1" customWidth="1"/>
    <col min="16129" max="16129" width="11.140625" style="1" hidden="1" customWidth="1"/>
    <col min="16130" max="16130" width="11.28515625" style="1" hidden="1" customWidth="1"/>
    <col min="16131" max="16131" width="11.7109375" style="1" hidden="1" customWidth="1"/>
    <col min="16132" max="16132" width="11.28515625" style="1" hidden="1" customWidth="1"/>
    <col min="16133" max="16133" width="10.7109375" style="1" hidden="1" customWidth="1"/>
    <col min="16134" max="16134" width="11.28515625" style="1" hidden="1" customWidth="1"/>
    <col min="16135" max="16135" width="11.42578125" style="1" hidden="1" customWidth="1"/>
    <col min="16136" max="16136" width="10.42578125" style="1" hidden="1" customWidth="1"/>
    <col min="16137" max="16137" width="11.28515625" style="1" hidden="1" customWidth="1"/>
    <col min="16138" max="16138" width="11.42578125" style="1" hidden="1" customWidth="1"/>
    <col min="16139" max="16139" width="10.7109375" style="1" hidden="1" customWidth="1"/>
    <col min="16140" max="16140" width="10.28515625" style="1" hidden="1" customWidth="1"/>
    <col min="16141" max="16141" width="11.5703125" style="1" hidden="1" customWidth="1"/>
    <col min="16142" max="16143" width="11.42578125" style="1" hidden="1" customWidth="1"/>
    <col min="16144" max="16144" width="10.85546875" style="1" hidden="1" customWidth="1"/>
    <col min="16145" max="16145" width="8.7109375" style="1" hidden="1" customWidth="1"/>
    <col min="16146" max="16146" width="6.28515625" style="1" hidden="1" customWidth="1"/>
    <col min="16147" max="16147" width="4" style="1" hidden="1" customWidth="1"/>
    <col min="16148" max="16148" width="8.7109375" style="1" hidden="1" customWidth="1"/>
    <col min="16149" max="16149" width="13.7109375" style="1" hidden="1" customWidth="1"/>
    <col min="16150" max="16150" width="20.7109375" style="1" hidden="1" customWidth="1"/>
    <col min="16151" max="16151" width="9.42578125" style="1" hidden="1" customWidth="1"/>
    <col min="16152" max="16152" width="3.28515625" style="1" hidden="1" customWidth="1"/>
    <col min="16153" max="16155" width="3.28515625" style="1" hidden="1"/>
    <col min="16156" max="16384" width="0" style="1" hidden="1"/>
  </cols>
  <sheetData>
    <row r="1" spans="1:24" ht="15.75" customHeight="1">
      <c r="A1" s="5"/>
      <c r="B1" s="5"/>
      <c r="C1" s="107">
        <f ca="1">NOW()</f>
        <v>41756.581124537035</v>
      </c>
      <c r="D1" s="3137"/>
      <c r="E1" s="3137"/>
      <c r="F1" s="3137"/>
      <c r="G1" s="3137"/>
      <c r="H1" s="3137"/>
      <c r="I1" s="3137"/>
      <c r="J1" s="3137"/>
      <c r="K1" s="3137"/>
      <c r="L1" s="3137"/>
      <c r="M1" s="21" t="s">
        <v>43</v>
      </c>
      <c r="N1" s="22"/>
      <c r="O1" s="6"/>
      <c r="P1" s="23"/>
      <c r="Q1" s="23"/>
      <c r="R1" s="23"/>
      <c r="S1" s="23"/>
      <c r="T1" s="5"/>
      <c r="U1" s="5"/>
      <c r="V1" s="5"/>
      <c r="W1" s="5"/>
      <c r="X1" s="5"/>
    </row>
    <row r="2" spans="1:24" ht="11.1" customHeight="1">
      <c r="A2" s="5"/>
      <c r="B2" s="5"/>
      <c r="C2" s="77" t="s">
        <v>2082</v>
      </c>
      <c r="D2" s="3137"/>
      <c r="E2" s="3137"/>
      <c r="F2" s="3137"/>
      <c r="G2" s="3137"/>
      <c r="H2" s="3137"/>
      <c r="I2" s="3137"/>
      <c r="J2" s="3137"/>
      <c r="K2" s="3137"/>
      <c r="L2" s="3137"/>
      <c r="M2" s="24"/>
      <c r="N2" s="14"/>
      <c r="O2" s="15"/>
      <c r="P2" s="16"/>
      <c r="Q2" s="25"/>
      <c r="R2" s="26"/>
      <c r="S2" s="16"/>
      <c r="T2" s="17"/>
      <c r="U2" s="17"/>
      <c r="V2" s="17"/>
      <c r="W2" s="17"/>
      <c r="X2" s="5"/>
    </row>
    <row r="3" spans="1:24" ht="12" customHeight="1">
      <c r="A3" s="5"/>
      <c r="B3" s="5"/>
      <c r="C3" s="77" t="s">
        <v>44</v>
      </c>
      <c r="D3" s="3137"/>
      <c r="E3" s="3137"/>
      <c r="F3" s="3137"/>
      <c r="G3" s="3137"/>
      <c r="H3" s="3137"/>
      <c r="I3" s="3137"/>
      <c r="J3" s="3137"/>
      <c r="K3" s="3137"/>
      <c r="L3" s="3137"/>
      <c r="M3" s="122" t="s">
        <v>850</v>
      </c>
      <c r="N3" s="18"/>
      <c r="O3" s="15"/>
      <c r="P3" s="18"/>
      <c r="Q3" s="18"/>
      <c r="R3" s="27"/>
      <c r="S3" s="18"/>
      <c r="T3" s="17"/>
      <c r="U3" s="17"/>
      <c r="V3" s="17"/>
      <c r="W3" s="17"/>
      <c r="X3" s="5"/>
    </row>
    <row r="4" spans="1:24" ht="11.1" customHeight="1">
      <c r="A4" s="3121" t="s">
        <v>635</v>
      </c>
      <c r="B4" s="3122"/>
      <c r="C4" s="108" t="s">
        <v>814</v>
      </c>
      <c r="D4" s="3137"/>
      <c r="E4" s="3137"/>
      <c r="F4" s="3137"/>
      <c r="G4" s="3137"/>
      <c r="H4" s="3137"/>
      <c r="I4" s="3137"/>
      <c r="J4" s="3137"/>
      <c r="K4" s="3137"/>
      <c r="L4" s="3137"/>
      <c r="M4" s="122" t="s">
        <v>851</v>
      </c>
      <c r="N4" s="19"/>
      <c r="O4" s="15"/>
      <c r="P4" s="19"/>
      <c r="Q4" s="84" t="s">
        <v>935</v>
      </c>
      <c r="R4" s="28"/>
      <c r="S4" s="19"/>
      <c r="T4" s="17"/>
      <c r="U4" s="17"/>
      <c r="V4" s="120" t="s">
        <v>843</v>
      </c>
      <c r="W4" s="17"/>
      <c r="X4" s="5"/>
    </row>
    <row r="5" spans="1:24" ht="11.1" customHeight="1">
      <c r="A5" s="3122"/>
      <c r="B5" s="3122"/>
      <c r="C5" s="109" t="s">
        <v>813</v>
      </c>
      <c r="D5" s="3137"/>
      <c r="E5" s="3137"/>
      <c r="F5" s="3137"/>
      <c r="G5" s="3137"/>
      <c r="H5" s="3137"/>
      <c r="I5" s="3137"/>
      <c r="J5" s="3137"/>
      <c r="K5" s="3137"/>
      <c r="L5" s="3137"/>
      <c r="M5" s="123"/>
      <c r="N5" s="29"/>
      <c r="O5" s="29"/>
      <c r="P5" s="29"/>
      <c r="Q5" s="121" t="s">
        <v>1384</v>
      </c>
      <c r="R5" s="29"/>
      <c r="S5" s="29"/>
      <c r="T5" s="29"/>
      <c r="U5" s="29"/>
      <c r="V5" s="1846" t="s">
        <v>844</v>
      </c>
      <c r="W5" s="29"/>
      <c r="X5" s="5"/>
    </row>
    <row r="6" spans="1:24" ht="11.1" customHeight="1">
      <c r="A6" s="5"/>
      <c r="B6" s="5"/>
      <c r="C6" s="1022" t="s">
        <v>1514</v>
      </c>
      <c r="D6" s="3137"/>
      <c r="E6" s="3137"/>
      <c r="F6" s="3137"/>
      <c r="G6" s="3137"/>
      <c r="H6" s="3137"/>
      <c r="I6" s="3137"/>
      <c r="J6" s="3137"/>
      <c r="K6" s="3137"/>
      <c r="L6" s="3137"/>
      <c r="M6" s="30"/>
      <c r="N6" s="31"/>
      <c r="O6" s="32"/>
      <c r="P6" s="31"/>
      <c r="Q6" s="31"/>
      <c r="R6" s="31"/>
      <c r="S6" s="31"/>
      <c r="T6" s="5"/>
      <c r="U6" s="5"/>
      <c r="V6" s="5"/>
      <c r="W6" s="313">
        <f ca="1">NOW()</f>
        <v>41756.581124537035</v>
      </c>
      <c r="X6" s="5"/>
    </row>
    <row r="7" spans="1:24" ht="11.1" customHeight="1" thickBot="1">
      <c r="A7" s="5"/>
      <c r="B7" s="5"/>
      <c r="C7" s="1023" t="s">
        <v>1515</v>
      </c>
      <c r="D7" s="111"/>
      <c r="E7" s="111"/>
      <c r="F7" s="33"/>
      <c r="G7" s="33"/>
      <c r="H7" s="34"/>
      <c r="I7" s="23"/>
      <c r="J7" s="35"/>
      <c r="K7" s="34"/>
      <c r="L7" s="36"/>
      <c r="M7" s="35"/>
      <c r="N7" s="23"/>
      <c r="O7" s="6"/>
      <c r="P7" s="23"/>
      <c r="Q7" s="23"/>
      <c r="R7" s="23"/>
      <c r="S7" s="23"/>
      <c r="T7" s="5"/>
      <c r="U7" s="5"/>
      <c r="V7" s="5"/>
      <c r="W7" s="5"/>
      <c r="X7" s="5"/>
    </row>
    <row r="8" spans="1:24" ht="11.1" customHeight="1" thickTop="1">
      <c r="A8" s="5"/>
      <c r="B8" s="37"/>
      <c r="C8" s="38" t="s">
        <v>45</v>
      </c>
      <c r="D8" s="1021"/>
      <c r="E8" s="40" t="s">
        <v>24</v>
      </c>
      <c r="F8" s="3123" t="s">
        <v>47</v>
      </c>
      <c r="G8" s="3123" t="s">
        <v>48</v>
      </c>
      <c r="H8" s="114" t="s">
        <v>772</v>
      </c>
      <c r="I8" s="114" t="s">
        <v>1562</v>
      </c>
      <c r="J8" s="1207" t="s">
        <v>1572</v>
      </c>
      <c r="K8" s="114" t="s">
        <v>26</v>
      </c>
      <c r="L8" s="1037" t="s">
        <v>49</v>
      </c>
      <c r="M8" s="114" t="s">
        <v>50</v>
      </c>
      <c r="N8" s="114" t="s">
        <v>817</v>
      </c>
      <c r="O8" s="114" t="s">
        <v>51</v>
      </c>
      <c r="P8" s="114" t="s">
        <v>773</v>
      </c>
      <c r="Q8" s="3126" t="s">
        <v>52</v>
      </c>
      <c r="R8" s="3129" t="s">
        <v>53</v>
      </c>
      <c r="S8" s="3130"/>
      <c r="T8" s="3134" t="s">
        <v>54</v>
      </c>
      <c r="U8" s="3135" t="s">
        <v>55</v>
      </c>
      <c r="V8" s="3135" t="s">
        <v>56</v>
      </c>
      <c r="W8" s="3131" t="s">
        <v>1365</v>
      </c>
      <c r="X8" s="41"/>
    </row>
    <row r="9" spans="1:24" ht="11.1" customHeight="1">
      <c r="A9" s="5"/>
      <c r="B9" s="42"/>
      <c r="C9" s="43" t="s">
        <v>57</v>
      </c>
      <c r="D9" s="1042"/>
      <c r="E9" s="993" t="s">
        <v>1367</v>
      </c>
      <c r="F9" s="3124"/>
      <c r="G9" s="3124"/>
      <c r="H9" s="1038">
        <f t="shared" ref="H9:P9" si="0">(MIN(H$16:H$440)*8)/H12</f>
        <v>1.6669149415824667</v>
      </c>
      <c r="I9" s="1038">
        <f t="shared" si="0"/>
        <v>4.5336824261107171</v>
      </c>
      <c r="J9" s="1038">
        <f t="shared" si="0"/>
        <v>6.1908596403232039</v>
      </c>
      <c r="K9" s="1038">
        <f t="shared" si="0"/>
        <v>3.0112274489791404</v>
      </c>
      <c r="L9" s="1038">
        <f t="shared" si="0"/>
        <v>6.4955570768429407</v>
      </c>
      <c r="M9" s="1038">
        <f t="shared" si="0"/>
        <v>7.3489621488212178</v>
      </c>
      <c r="N9" s="1038">
        <f t="shared" si="0"/>
        <v>3.37029366614887</v>
      </c>
      <c r="O9" s="1038">
        <f t="shared" si="0"/>
        <v>1.2252804608348424</v>
      </c>
      <c r="P9" s="100">
        <f t="shared" si="0"/>
        <v>1.194828896</v>
      </c>
      <c r="Q9" s="3127"/>
      <c r="R9" s="113"/>
      <c r="S9" s="113"/>
      <c r="T9" s="3127"/>
      <c r="U9" s="3127"/>
      <c r="V9" s="3127"/>
      <c r="W9" s="3132"/>
      <c r="X9" s="41"/>
    </row>
    <row r="10" spans="1:24" ht="9.75" customHeight="1">
      <c r="A10" s="5"/>
      <c r="B10" s="42"/>
      <c r="C10" s="43" t="s">
        <v>58</v>
      </c>
      <c r="D10" s="1042"/>
      <c r="E10" s="993" t="s">
        <v>1366</v>
      </c>
      <c r="F10" s="3124"/>
      <c r="G10" s="3124"/>
      <c r="H10" s="1039">
        <f t="shared" ref="H10:P10" si="1">(MIN(H$16:H$440))*100/H12/100</f>
        <v>0.20836436769780831</v>
      </c>
      <c r="I10" s="1039">
        <f t="shared" si="1"/>
        <v>0.56671030326383964</v>
      </c>
      <c r="J10" s="1039">
        <f t="shared" si="1"/>
        <v>0.77385745504040049</v>
      </c>
      <c r="K10" s="1039">
        <f t="shared" si="1"/>
        <v>0.37640343112239255</v>
      </c>
      <c r="L10" s="1039">
        <f t="shared" si="1"/>
        <v>0.81194463460536748</v>
      </c>
      <c r="M10" s="1039">
        <f t="shared" si="1"/>
        <v>0.91862026860265222</v>
      </c>
      <c r="N10" s="1039">
        <f t="shared" si="1"/>
        <v>0.42128670826860876</v>
      </c>
      <c r="O10" s="1039">
        <f t="shared" si="1"/>
        <v>0.1531600576043553</v>
      </c>
      <c r="P10" s="102">
        <f t="shared" si="1"/>
        <v>0.149353612</v>
      </c>
      <c r="Q10" s="3127"/>
      <c r="R10" s="101" t="s">
        <v>59</v>
      </c>
      <c r="S10" s="101" t="s">
        <v>60</v>
      </c>
      <c r="T10" s="3127"/>
      <c r="U10" s="3127"/>
      <c r="V10" s="3127"/>
      <c r="W10" s="3132"/>
      <c r="X10" s="41"/>
    </row>
    <row r="11" spans="1:24" ht="10.5" hidden="1" customHeight="1">
      <c r="A11" s="5"/>
      <c r="B11" s="42"/>
      <c r="C11" s="43"/>
      <c r="D11" s="1042"/>
      <c r="E11" s="993"/>
      <c r="F11" s="3124"/>
      <c r="G11" s="3124"/>
      <c r="H11" s="1040">
        <f t="shared" ref="H11:P11" si="2">MIN(H$13:H$414)</f>
        <v>68304203</v>
      </c>
      <c r="I11" s="1040">
        <f t="shared" si="2"/>
        <v>343812879</v>
      </c>
      <c r="J11" s="1040">
        <f t="shared" si="2"/>
        <v>447161962</v>
      </c>
      <c r="K11" s="1040">
        <f t="shared" si="2"/>
        <v>266960540</v>
      </c>
      <c r="L11" s="1040">
        <f t="shared" si="2"/>
        <v>494587185</v>
      </c>
      <c r="M11" s="1040">
        <f t="shared" si="2"/>
        <v>452056163</v>
      </c>
      <c r="N11" s="1040">
        <f t="shared" si="2"/>
        <v>264529873</v>
      </c>
      <c r="O11" s="1040">
        <f t="shared" si="2"/>
        <v>30632248</v>
      </c>
      <c r="P11" s="317">
        <f t="shared" si="2"/>
        <v>149353612</v>
      </c>
      <c r="Q11" s="3127"/>
      <c r="R11" s="101"/>
      <c r="S11" s="101"/>
      <c r="T11" s="3127"/>
      <c r="U11" s="3127"/>
      <c r="V11" s="3127"/>
      <c r="W11" s="3132"/>
      <c r="X11" s="41"/>
    </row>
    <row r="12" spans="1:24" ht="11.1" customHeight="1">
      <c r="A12" s="5"/>
      <c r="B12" s="1046"/>
      <c r="C12" s="1043" t="s">
        <v>61</v>
      </c>
      <c r="D12" s="1044"/>
      <c r="E12" s="1187">
        <f>SUM(H12/H$11,I12/I$11,J12/J$11,K12/K$11,L12/L$11,M12/M$11,N12/N$11,O12/O$11,P12/P$11)/9*100</f>
        <v>316.13768675982305</v>
      </c>
      <c r="F12" s="3125"/>
      <c r="G12" s="3125"/>
      <c r="H12" s="1041">
        <v>327811342</v>
      </c>
      <c r="I12" s="1041">
        <v>606681892</v>
      </c>
      <c r="J12" s="1041">
        <v>577835051</v>
      </c>
      <c r="K12" s="1041">
        <v>709240453</v>
      </c>
      <c r="L12" s="1041">
        <v>609139052</v>
      </c>
      <c r="M12" s="1041">
        <v>492103406</v>
      </c>
      <c r="N12" s="1041">
        <v>633482445</v>
      </c>
      <c r="O12" s="1041">
        <v>200001544</v>
      </c>
      <c r="P12" s="103">
        <v>1000000000</v>
      </c>
      <c r="Q12" s="3128"/>
      <c r="R12" s="104" t="s">
        <v>62</v>
      </c>
      <c r="S12" s="104" t="s">
        <v>63</v>
      </c>
      <c r="T12" s="3128"/>
      <c r="U12" s="3136"/>
      <c r="V12" s="3128"/>
      <c r="W12" s="3133"/>
      <c r="X12" s="46"/>
    </row>
    <row r="13" spans="1:24" ht="12" customHeight="1">
      <c r="A13" s="990"/>
      <c r="B13" s="1045" t="s">
        <v>1431</v>
      </c>
      <c r="C13" s="992" t="s">
        <v>924</v>
      </c>
      <c r="D13" s="1000"/>
      <c r="E13" s="1188">
        <f>SUM(H13/H$11,I13/I$11,J13/J$11,K13/K$11,L13/L$11,M13/M$11,N13/N$11,O13/O$11,P13/P$11)/9*100+(F13/5000)</f>
        <v>105.09608341339505</v>
      </c>
      <c r="F13" s="1059">
        <f>516+111+1019+1017+1080+866+252+310+1762</f>
        <v>6933</v>
      </c>
      <c r="G13" s="1059">
        <f>600+85+929+961+982+807+248+320+1786</f>
        <v>6718</v>
      </c>
      <c r="H13" s="994">
        <v>69728614</v>
      </c>
      <c r="I13" s="994">
        <v>344830061</v>
      </c>
      <c r="J13" s="994">
        <v>454178452</v>
      </c>
      <c r="K13" s="994">
        <v>271181957</v>
      </c>
      <c r="L13" s="994">
        <v>572480489</v>
      </c>
      <c r="M13" s="994">
        <v>478680399</v>
      </c>
      <c r="N13" s="994">
        <v>273691671</v>
      </c>
      <c r="O13" s="994">
        <v>31341330</v>
      </c>
      <c r="P13" s="854">
        <v>150005854</v>
      </c>
      <c r="Q13" s="1053" t="s">
        <v>72</v>
      </c>
      <c r="R13" s="1054" t="s">
        <v>65</v>
      </c>
      <c r="S13" s="1055">
        <v>1</v>
      </c>
      <c r="T13" s="1056">
        <v>40332</v>
      </c>
      <c r="U13" s="1057" t="s">
        <v>73</v>
      </c>
      <c r="V13" s="1057" t="s">
        <v>1636</v>
      </c>
      <c r="W13" s="1058">
        <f ca="1">YEARFRAC(T13,W$6)</f>
        <v>3.9</v>
      </c>
      <c r="X13" s="5"/>
    </row>
    <row r="14" spans="1:24" ht="12" customHeight="1">
      <c r="A14" s="990">
        <v>2</v>
      </c>
      <c r="B14" s="1914" t="s">
        <v>1431</v>
      </c>
      <c r="C14" s="1915" t="s">
        <v>923</v>
      </c>
      <c r="D14" s="2032"/>
      <c r="E14" s="1125">
        <f>SUM(H14/H$11,I14/I$11,J14/J$11,K14/K$11,L14/L$11,M14/M$11,N14/N$11,O14/O$11,P14/P$11)/9*100+(F14/5000)</f>
        <v>105.11346278168455</v>
      </c>
      <c r="F14" s="2504">
        <f>620+39+958+1151+986+810+94+315+1714</f>
        <v>6687</v>
      </c>
      <c r="G14" s="2504">
        <f>600+22+943+973+988+817+98+326+1886</f>
        <v>6653</v>
      </c>
      <c r="H14" s="1036">
        <v>69699825</v>
      </c>
      <c r="I14" s="1036">
        <v>344830935</v>
      </c>
      <c r="J14" s="994">
        <v>454082848</v>
      </c>
      <c r="K14" s="994">
        <v>273648068</v>
      </c>
      <c r="L14" s="994">
        <v>572487400</v>
      </c>
      <c r="M14" s="994">
        <v>478618331</v>
      </c>
      <c r="N14" s="994">
        <v>273648831</v>
      </c>
      <c r="O14" s="994">
        <v>31322350</v>
      </c>
      <c r="P14" s="994">
        <v>149750763</v>
      </c>
      <c r="Q14" s="2478" t="s">
        <v>72</v>
      </c>
      <c r="R14" s="2479" t="s">
        <v>65</v>
      </c>
      <c r="S14" s="2480">
        <v>4</v>
      </c>
      <c r="T14" s="2481">
        <v>40851</v>
      </c>
      <c r="U14" s="2482" t="s">
        <v>73</v>
      </c>
      <c r="V14" s="2482" t="s">
        <v>1636</v>
      </c>
      <c r="W14" s="1502">
        <f ca="1">YEARFRAC(T14,W$6)</f>
        <v>2.4805555555555556</v>
      </c>
      <c r="X14" s="990">
        <v>2</v>
      </c>
    </row>
    <row r="15" spans="1:24" ht="12" customHeight="1">
      <c r="A15" s="990"/>
      <c r="B15" s="2033" t="s">
        <v>42</v>
      </c>
      <c r="C15" s="2691" t="s">
        <v>1895</v>
      </c>
      <c r="D15" s="2034"/>
      <c r="E15" s="1125">
        <f>SUM(H15/H$11,I15/I$11,J15/J$11,K15/K$11,L15/L$11,M15/M$11,N15/N$11,O15/O$11,P15/P$11)/9*100+(F15/5000)</f>
        <v>108.26541762019099</v>
      </c>
      <c r="F15" s="2505">
        <f>119+96+362+325+165+95+119+61+381</f>
        <v>1723</v>
      </c>
      <c r="G15" s="2506"/>
      <c r="H15" s="1539">
        <v>75418609</v>
      </c>
      <c r="I15" s="1540">
        <v>374148733</v>
      </c>
      <c r="J15" s="1540">
        <v>459900610</v>
      </c>
      <c r="K15" s="1540">
        <v>286929481</v>
      </c>
      <c r="L15" s="1540">
        <v>574442060</v>
      </c>
      <c r="M15" s="1540">
        <v>483725771</v>
      </c>
      <c r="N15" s="996">
        <v>264529873</v>
      </c>
      <c r="O15" s="1540">
        <v>33321514</v>
      </c>
      <c r="P15" s="1540">
        <v>163973392</v>
      </c>
      <c r="Q15" s="2483" t="s">
        <v>691</v>
      </c>
      <c r="R15" s="2484" t="s">
        <v>69</v>
      </c>
      <c r="S15" s="2485">
        <v>1</v>
      </c>
      <c r="T15" s="2486">
        <v>41446</v>
      </c>
      <c r="U15" s="2487" t="s">
        <v>108</v>
      </c>
      <c r="V15" s="2487" t="s">
        <v>1636</v>
      </c>
      <c r="W15" s="2488">
        <f ca="1">YEARFRAC(T15,W$6)</f>
        <v>0.85</v>
      </c>
      <c r="X15" s="990"/>
    </row>
    <row r="16" spans="1:24" ht="12" customHeight="1">
      <c r="A16" s="990">
        <v>4</v>
      </c>
      <c r="B16" s="1204" t="s">
        <v>42</v>
      </c>
      <c r="C16" s="2035" t="s">
        <v>1896</v>
      </c>
      <c r="D16" s="2028"/>
      <c r="E16" s="1125">
        <f t="shared" ref="E16:E31" si="3">SUM(H16/H$11,I16/I$11,J16/J$11,K16/K$11,L16/L$11,M16/M$11,N16/N$11,O16/O$11,P16/P$11)/9*100+(F16/5000)</f>
        <v>109.34725375616638</v>
      </c>
      <c r="F16" s="2507">
        <f>132+143+336+370+196+140+163+62+426</f>
        <v>1968</v>
      </c>
      <c r="G16" s="2515">
        <f>137+187+395+404+207+152+165+81+651</f>
        <v>2379</v>
      </c>
      <c r="H16" s="907">
        <v>75621740</v>
      </c>
      <c r="I16" s="997">
        <v>386194956</v>
      </c>
      <c r="J16" s="997">
        <v>463205174</v>
      </c>
      <c r="K16" s="997">
        <v>285838300</v>
      </c>
      <c r="L16" s="997">
        <v>574059514</v>
      </c>
      <c r="M16" s="997">
        <v>484204751</v>
      </c>
      <c r="N16" s="997">
        <v>268775465</v>
      </c>
      <c r="O16" s="997">
        <v>33915597</v>
      </c>
      <c r="P16" s="997">
        <v>166349880</v>
      </c>
      <c r="Q16" s="2489" t="s">
        <v>691</v>
      </c>
      <c r="R16" s="2826" t="s">
        <v>69</v>
      </c>
      <c r="S16" s="2490">
        <v>1</v>
      </c>
      <c r="T16" s="2491">
        <v>41198</v>
      </c>
      <c r="U16" s="2492" t="s">
        <v>108</v>
      </c>
      <c r="V16" s="2492" t="s">
        <v>1636</v>
      </c>
      <c r="W16" s="2493">
        <f t="shared" ref="W16:W31" ca="1" si="4">YEARFRAC(T16,W$6)</f>
        <v>1.5305555555555554</v>
      </c>
      <c r="X16" s="990">
        <v>4</v>
      </c>
    </row>
    <row r="17" spans="1:24" ht="12" customHeight="1">
      <c r="A17" s="990"/>
      <c r="B17" s="235" t="s">
        <v>42</v>
      </c>
      <c r="C17" s="204" t="s">
        <v>1897</v>
      </c>
      <c r="D17" s="2762"/>
      <c r="E17" s="1125">
        <f t="shared" si="3"/>
        <v>109.90809303704961</v>
      </c>
      <c r="F17" s="2508">
        <f>188+146+374+450+255+212+161+71+421</f>
        <v>2278</v>
      </c>
      <c r="G17" s="2509">
        <f>135+157+363+334+193+163+150+60+433</f>
        <v>1988</v>
      </c>
      <c r="H17" s="876">
        <v>75296590</v>
      </c>
      <c r="I17" s="865">
        <v>386587597</v>
      </c>
      <c r="J17" s="865">
        <v>479334429</v>
      </c>
      <c r="K17" s="865">
        <v>292250083</v>
      </c>
      <c r="L17" s="865">
        <v>574089434</v>
      </c>
      <c r="M17" s="865">
        <v>483947409</v>
      </c>
      <c r="N17" s="865">
        <v>269208615</v>
      </c>
      <c r="O17" s="865">
        <v>33841222</v>
      </c>
      <c r="P17" s="865">
        <v>164815299</v>
      </c>
      <c r="Q17" s="2494" t="s">
        <v>691</v>
      </c>
      <c r="R17" s="1825" t="s">
        <v>69</v>
      </c>
      <c r="S17" s="233">
        <v>1</v>
      </c>
      <c r="T17" s="856">
        <v>41163</v>
      </c>
      <c r="U17" s="234" t="s">
        <v>108</v>
      </c>
      <c r="V17" s="234" t="s">
        <v>277</v>
      </c>
      <c r="W17" s="316">
        <f t="shared" ca="1" si="4"/>
        <v>1.6277777777777778</v>
      </c>
      <c r="X17" s="990"/>
    </row>
    <row r="18" spans="1:24" ht="12" customHeight="1">
      <c r="A18" s="990">
        <v>6</v>
      </c>
      <c r="B18" s="1914" t="s">
        <v>1431</v>
      </c>
      <c r="C18" s="204" t="s">
        <v>812</v>
      </c>
      <c r="D18" s="2763" t="s">
        <v>41</v>
      </c>
      <c r="E18" s="1125">
        <f t="shared" si="3"/>
        <v>110.28250751670069</v>
      </c>
      <c r="F18" s="986">
        <f>1074+54+1903+434+433+668+130+190+375</f>
        <v>5261</v>
      </c>
      <c r="G18" s="1917">
        <f>44+50+117+72+167+78+63+181</f>
        <v>772</v>
      </c>
      <c r="H18" s="864">
        <v>68304203</v>
      </c>
      <c r="I18" s="854">
        <v>351107079</v>
      </c>
      <c r="J18" s="854">
        <v>489483982</v>
      </c>
      <c r="K18" s="854">
        <v>266960540</v>
      </c>
      <c r="L18" s="854">
        <v>578428557</v>
      </c>
      <c r="M18" s="854">
        <v>463570395</v>
      </c>
      <c r="N18" s="854">
        <v>303459585</v>
      </c>
      <c r="O18" s="854">
        <v>34744226</v>
      </c>
      <c r="P18" s="854">
        <v>184970713</v>
      </c>
      <c r="Q18" s="203" t="s">
        <v>74</v>
      </c>
      <c r="R18" s="1825" t="s">
        <v>69</v>
      </c>
      <c r="S18" s="233">
        <v>1</v>
      </c>
      <c r="T18" s="856">
        <v>41255</v>
      </c>
      <c r="U18" s="234" t="s">
        <v>75</v>
      </c>
      <c r="V18" s="234" t="s">
        <v>1664</v>
      </c>
      <c r="W18" s="316">
        <f t="shared" ca="1" si="4"/>
        <v>1.375</v>
      </c>
      <c r="X18" s="990">
        <v>6</v>
      </c>
    </row>
    <row r="19" spans="1:24" ht="12" customHeight="1">
      <c r="A19" s="990"/>
      <c r="B19" s="2023" t="s">
        <v>42</v>
      </c>
      <c r="C19" s="2026" t="s">
        <v>1898</v>
      </c>
      <c r="D19" s="2034"/>
      <c r="E19" s="1125">
        <f t="shared" si="3"/>
        <v>110.36362769655383</v>
      </c>
      <c r="F19" s="2510">
        <f>145+180+384+331+187+150+249+70+455</f>
        <v>2151</v>
      </c>
      <c r="G19" s="2511">
        <f>146+206+417+345+207+175+259+63+472</f>
        <v>2290</v>
      </c>
      <c r="H19" s="1201">
        <v>75468211</v>
      </c>
      <c r="I19" s="1060">
        <v>387303577</v>
      </c>
      <c r="J19" s="1060">
        <v>484866267</v>
      </c>
      <c r="K19" s="1060">
        <v>295203523</v>
      </c>
      <c r="L19" s="1060">
        <v>577288969</v>
      </c>
      <c r="M19" s="1060">
        <v>484732964</v>
      </c>
      <c r="N19" s="1060">
        <v>274063005</v>
      </c>
      <c r="O19" s="1060">
        <v>33687899</v>
      </c>
      <c r="P19" s="2810">
        <v>163874712</v>
      </c>
      <c r="Q19" s="2495" t="s">
        <v>691</v>
      </c>
      <c r="R19" s="2496" t="s">
        <v>69</v>
      </c>
      <c r="S19" s="2497">
        <v>1</v>
      </c>
      <c r="T19" s="2498">
        <v>41062</v>
      </c>
      <c r="U19" s="2499" t="s">
        <v>108</v>
      </c>
      <c r="V19" s="2499" t="s">
        <v>277</v>
      </c>
      <c r="W19" s="2500">
        <f t="shared" ca="1" si="4"/>
        <v>1.9027777777777777</v>
      </c>
      <c r="X19" s="990"/>
    </row>
    <row r="20" spans="1:24" ht="12" customHeight="1">
      <c r="A20" s="990">
        <v>8</v>
      </c>
      <c r="B20" s="1204" t="s">
        <v>42</v>
      </c>
      <c r="C20" s="2025" t="s">
        <v>1638</v>
      </c>
      <c r="D20" s="2036" t="s">
        <v>41</v>
      </c>
      <c r="E20" s="1125">
        <f t="shared" si="3"/>
        <v>110.42622444418218</v>
      </c>
      <c r="F20" s="2512">
        <f>1194.97+1496.92+1625.02+1709.91+1517.98+1606.14+1484.25+867.45+3311.07</f>
        <v>14813.71</v>
      </c>
      <c r="G20" s="1917"/>
      <c r="H20" s="1202">
        <v>70980256</v>
      </c>
      <c r="I20" s="1082">
        <v>425179239</v>
      </c>
      <c r="J20" s="1082">
        <v>447489322</v>
      </c>
      <c r="K20" s="1082">
        <v>281886218</v>
      </c>
      <c r="L20" s="1082">
        <v>576298915</v>
      </c>
      <c r="M20" s="1082">
        <v>480913794</v>
      </c>
      <c r="N20" s="1082">
        <v>286018404</v>
      </c>
      <c r="O20" s="1082">
        <v>30632248</v>
      </c>
      <c r="P20" s="1082">
        <v>153677859</v>
      </c>
      <c r="Q20" s="1497" t="s">
        <v>90</v>
      </c>
      <c r="R20" s="2827" t="s">
        <v>65</v>
      </c>
      <c r="S20" s="2840">
        <v>8</v>
      </c>
      <c r="T20" s="1500">
        <v>41358</v>
      </c>
      <c r="U20" s="1501" t="s">
        <v>80</v>
      </c>
      <c r="V20" s="1501" t="s">
        <v>1661</v>
      </c>
      <c r="W20" s="1502">
        <f t="shared" ca="1" si="4"/>
        <v>1.0888888888888888</v>
      </c>
      <c r="X20" s="990">
        <v>8</v>
      </c>
    </row>
    <row r="21" spans="1:24" ht="12" customHeight="1">
      <c r="A21" s="990"/>
      <c r="B21" s="2023" t="s">
        <v>42</v>
      </c>
      <c r="C21" s="2688" t="s">
        <v>1637</v>
      </c>
      <c r="D21" s="2024" t="s">
        <v>41</v>
      </c>
      <c r="E21" s="1125">
        <f t="shared" si="3"/>
        <v>110.60003923213264</v>
      </c>
      <c r="F21" s="2513">
        <f>750.3+1128.9+1288.1+1807.6+1703.1+1196.4+945.3+627.9+2302.5</f>
        <v>11750.099999999999</v>
      </c>
      <c r="G21" s="2792"/>
      <c r="H21" s="1010">
        <v>71858850</v>
      </c>
      <c r="I21" s="1826">
        <v>425204026</v>
      </c>
      <c r="J21" s="1826">
        <v>447512299</v>
      </c>
      <c r="K21" s="1826">
        <v>283252643</v>
      </c>
      <c r="L21" s="1826">
        <v>576622979</v>
      </c>
      <c r="M21" s="1108">
        <v>480937821</v>
      </c>
      <c r="N21" s="1108">
        <v>286204166</v>
      </c>
      <c r="O21" s="1108">
        <v>31381272</v>
      </c>
      <c r="P21" s="1108">
        <v>157683624</v>
      </c>
      <c r="Q21" s="1505" t="s">
        <v>90</v>
      </c>
      <c r="R21" s="2460" t="s">
        <v>65</v>
      </c>
      <c r="S21" s="2501">
        <v>8</v>
      </c>
      <c r="T21" s="1528">
        <v>41446</v>
      </c>
      <c r="U21" s="1508" t="s">
        <v>80</v>
      </c>
      <c r="V21" s="1508" t="s">
        <v>1661</v>
      </c>
      <c r="W21" s="1509">
        <f t="shared" ca="1" si="4"/>
        <v>0.85</v>
      </c>
      <c r="X21" s="990"/>
    </row>
    <row r="22" spans="1:24" ht="12" customHeight="1">
      <c r="A22" s="990">
        <v>10</v>
      </c>
      <c r="B22" s="1914" t="s">
        <v>1431</v>
      </c>
      <c r="C22" s="2025" t="s">
        <v>925</v>
      </c>
      <c r="D22" s="2765"/>
      <c r="E22" s="1125">
        <f t="shared" si="3"/>
        <v>110.61307950806933</v>
      </c>
      <c r="F22" s="2514">
        <f>214+11+803+330+671+402+55+130+175</f>
        <v>2791</v>
      </c>
      <c r="G22" s="2515">
        <f>55+4+430+76+385+228+51+23+32</f>
        <v>1284</v>
      </c>
      <c r="H22" s="907">
        <v>77381984</v>
      </c>
      <c r="I22" s="1126">
        <v>346114516</v>
      </c>
      <c r="J22" s="1126">
        <v>469040251</v>
      </c>
      <c r="K22" s="1126">
        <v>302565445</v>
      </c>
      <c r="L22" s="1126">
        <v>572140371</v>
      </c>
      <c r="M22" s="1126">
        <v>484239749</v>
      </c>
      <c r="N22" s="1126">
        <v>276707145</v>
      </c>
      <c r="O22" s="1126">
        <v>35424470</v>
      </c>
      <c r="P22" s="1126">
        <v>172140357</v>
      </c>
      <c r="Q22" s="2461" t="s">
        <v>72</v>
      </c>
      <c r="R22" s="2502" t="s">
        <v>65</v>
      </c>
      <c r="S22" s="2503">
        <v>4</v>
      </c>
      <c r="T22" s="2464">
        <v>40851</v>
      </c>
      <c r="U22" s="2465" t="s">
        <v>73</v>
      </c>
      <c r="V22" s="2465" t="s">
        <v>796</v>
      </c>
      <c r="W22" s="1531">
        <f t="shared" ca="1" si="4"/>
        <v>2.4805555555555556</v>
      </c>
      <c r="X22" s="990">
        <v>10</v>
      </c>
    </row>
    <row r="23" spans="1:24" ht="12" customHeight="1">
      <c r="A23" s="990"/>
      <c r="B23" s="2023" t="s">
        <v>42</v>
      </c>
      <c r="C23" s="2026" t="s">
        <v>1899</v>
      </c>
      <c r="D23" s="2024"/>
      <c r="E23" s="1125">
        <f t="shared" si="3"/>
        <v>110.9186666917178</v>
      </c>
      <c r="F23" s="2516">
        <f>135+198+414+332+173+137+230+67+483</f>
        <v>2169</v>
      </c>
      <c r="G23" s="2671">
        <f>136+223+364+350+201+157+235+58+451</f>
        <v>2175</v>
      </c>
      <c r="H23" s="864">
        <v>76787070</v>
      </c>
      <c r="I23" s="1123">
        <v>386870808</v>
      </c>
      <c r="J23" s="1123">
        <v>488572394</v>
      </c>
      <c r="K23" s="1123">
        <v>296469155</v>
      </c>
      <c r="L23" s="1123">
        <v>577436637</v>
      </c>
      <c r="M23" s="1123">
        <v>484983882</v>
      </c>
      <c r="N23" s="1123">
        <v>274060854</v>
      </c>
      <c r="O23" s="1123">
        <v>33890897</v>
      </c>
      <c r="P23" s="2811">
        <v>165529281</v>
      </c>
      <c r="Q23" s="2452" t="s">
        <v>691</v>
      </c>
      <c r="R23" s="2453" t="s">
        <v>69</v>
      </c>
      <c r="S23" s="2454">
        <v>1</v>
      </c>
      <c r="T23" s="2455">
        <v>41045</v>
      </c>
      <c r="U23" s="2456" t="s">
        <v>108</v>
      </c>
      <c r="V23" s="2456" t="s">
        <v>277</v>
      </c>
      <c r="W23" s="2457">
        <f t="shared" ca="1" si="4"/>
        <v>1.9472222222222222</v>
      </c>
      <c r="X23" s="990"/>
    </row>
    <row r="24" spans="1:24" ht="12" customHeight="1">
      <c r="A24" s="990">
        <v>12</v>
      </c>
      <c r="B24" s="1204" t="s">
        <v>42</v>
      </c>
      <c r="C24" s="2708" t="s">
        <v>2102</v>
      </c>
      <c r="D24" s="2028" t="s">
        <v>41</v>
      </c>
      <c r="E24" s="1125">
        <f t="shared" si="3"/>
        <v>111.06641671037721</v>
      </c>
      <c r="F24" s="2516">
        <f>744+1369+1628+1898+1957+1337+1375+779+3065</f>
        <v>14152</v>
      </c>
      <c r="G24" s="2804"/>
      <c r="H24" s="864">
        <v>71858143</v>
      </c>
      <c r="I24" s="1203">
        <v>425023907</v>
      </c>
      <c r="J24" s="1123">
        <v>447161962</v>
      </c>
      <c r="K24" s="1123">
        <v>283234100</v>
      </c>
      <c r="L24" s="1123">
        <v>576625702</v>
      </c>
      <c r="M24" s="1123">
        <v>480925972</v>
      </c>
      <c r="N24" s="1123">
        <v>286197426</v>
      </c>
      <c r="O24" s="1123">
        <v>31386867</v>
      </c>
      <c r="P24" s="1123">
        <v>157682201</v>
      </c>
      <c r="Q24" s="2452" t="s">
        <v>90</v>
      </c>
      <c r="R24" s="2466" t="s">
        <v>65</v>
      </c>
      <c r="S24" s="2458">
        <v>8</v>
      </c>
      <c r="T24" s="2455">
        <v>41624</v>
      </c>
      <c r="U24" s="2456" t="s">
        <v>80</v>
      </c>
      <c r="V24" s="2456" t="s">
        <v>1661</v>
      </c>
      <c r="W24" s="2457">
        <f t="shared" ca="1" si="4"/>
        <v>0.36388888888888887</v>
      </c>
      <c r="X24" s="990">
        <v>12</v>
      </c>
    </row>
    <row r="25" spans="1:24" ht="12" customHeight="1">
      <c r="A25" s="990"/>
      <c r="B25" s="2744" t="s">
        <v>1431</v>
      </c>
      <c r="C25" s="2750" t="s">
        <v>1693</v>
      </c>
      <c r="D25" s="2764"/>
      <c r="E25" s="1142">
        <f t="shared" si="3"/>
        <v>111.10112229932952</v>
      </c>
      <c r="F25" s="2781">
        <f>463+57+721+1137+1401+1123+981+295+1238</f>
        <v>7416</v>
      </c>
      <c r="G25" s="2793">
        <f>111+101+333+541+1066+110+124+210</f>
        <v>2596</v>
      </c>
      <c r="H25" s="1005">
        <v>76614559</v>
      </c>
      <c r="I25" s="1108">
        <v>343812879</v>
      </c>
      <c r="J25" s="1108">
        <v>485395149</v>
      </c>
      <c r="K25" s="1108">
        <v>286131614</v>
      </c>
      <c r="L25" s="1108">
        <v>573646514</v>
      </c>
      <c r="M25" s="1108">
        <v>481541757</v>
      </c>
      <c r="N25" s="1108">
        <v>266877734</v>
      </c>
      <c r="O25" s="1108">
        <v>34882268</v>
      </c>
      <c r="P25" s="1108">
        <v>181306077</v>
      </c>
      <c r="Q25" s="2813" t="s">
        <v>64</v>
      </c>
      <c r="R25" s="2828" t="s">
        <v>65</v>
      </c>
      <c r="S25" s="2841">
        <v>4</v>
      </c>
      <c r="T25" s="2852">
        <v>38777</v>
      </c>
      <c r="U25" s="2865" t="s">
        <v>66</v>
      </c>
      <c r="V25" s="2865" t="s">
        <v>76</v>
      </c>
      <c r="W25" s="2877">
        <f t="shared" ca="1" si="4"/>
        <v>8.155555555555555</v>
      </c>
      <c r="X25" s="990"/>
    </row>
    <row r="26" spans="1:24" ht="12" customHeight="1">
      <c r="A26" s="990">
        <v>14</v>
      </c>
      <c r="B26" s="1204" t="s">
        <v>42</v>
      </c>
      <c r="C26" s="2751" t="s">
        <v>908</v>
      </c>
      <c r="D26" s="1916"/>
      <c r="E26" s="1125">
        <f t="shared" si="3"/>
        <v>111.37352340107404</v>
      </c>
      <c r="F26" s="2514">
        <f>140+335+344+370+359+294+397+76+445</f>
        <v>2760</v>
      </c>
      <c r="G26" s="2682">
        <f>148+334+360+389+388+318+355+79+479</f>
        <v>2850</v>
      </c>
      <c r="H26" s="907">
        <v>78398914</v>
      </c>
      <c r="I26" s="1126">
        <v>391606412</v>
      </c>
      <c r="J26" s="1126">
        <v>466979717</v>
      </c>
      <c r="K26" s="1126">
        <v>289869520</v>
      </c>
      <c r="L26" s="1126">
        <v>577169132</v>
      </c>
      <c r="M26" s="1126">
        <v>484047738</v>
      </c>
      <c r="N26" s="1126">
        <v>296599146</v>
      </c>
      <c r="O26" s="1126">
        <v>32892892</v>
      </c>
      <c r="P26" s="1126">
        <v>167908122</v>
      </c>
      <c r="Q26" s="2461" t="s">
        <v>614</v>
      </c>
      <c r="R26" s="2462" t="s">
        <v>69</v>
      </c>
      <c r="S26" s="2463">
        <v>1</v>
      </c>
      <c r="T26" s="2464">
        <v>39562</v>
      </c>
      <c r="U26" s="2465" t="s">
        <v>77</v>
      </c>
      <c r="V26" s="2465" t="s">
        <v>1636</v>
      </c>
      <c r="W26" s="1531">
        <f t="shared" ca="1" si="4"/>
        <v>6.0083333333333337</v>
      </c>
      <c r="X26" s="990">
        <v>14</v>
      </c>
    </row>
    <row r="27" spans="1:24" ht="12" customHeight="1">
      <c r="A27" s="48"/>
      <c r="B27" s="1520" t="s">
        <v>1431</v>
      </c>
      <c r="C27" s="2026" t="s">
        <v>1694</v>
      </c>
      <c r="D27" s="2654"/>
      <c r="E27" s="1125">
        <f t="shared" si="3"/>
        <v>112.43209088907807</v>
      </c>
      <c r="F27" s="2518">
        <f>413+32+985+980+1670+1008+828+152+1000</f>
        <v>7068</v>
      </c>
      <c r="G27" s="1917">
        <f>99+46+85+841+106+850+109+109+201</f>
        <v>2446</v>
      </c>
      <c r="H27" s="864">
        <v>79404688</v>
      </c>
      <c r="I27" s="1123">
        <v>345763924</v>
      </c>
      <c r="J27" s="1123">
        <v>497270881</v>
      </c>
      <c r="K27" s="1123">
        <v>286859957</v>
      </c>
      <c r="L27" s="1123">
        <v>586211755</v>
      </c>
      <c r="M27" s="1123">
        <v>484970039</v>
      </c>
      <c r="N27" s="1123">
        <v>266988020</v>
      </c>
      <c r="O27" s="1123">
        <v>35221720</v>
      </c>
      <c r="P27" s="1123">
        <v>182165440</v>
      </c>
      <c r="Q27" s="2661" t="s">
        <v>64</v>
      </c>
      <c r="R27" s="2466" t="s">
        <v>65</v>
      </c>
      <c r="S27" s="2675">
        <v>4</v>
      </c>
      <c r="T27" s="2455">
        <v>40944</v>
      </c>
      <c r="U27" s="2456" t="s">
        <v>66</v>
      </c>
      <c r="V27" s="2456" t="s">
        <v>76</v>
      </c>
      <c r="W27" s="2457">
        <f t="shared" ca="1" si="4"/>
        <v>2.2277777777777779</v>
      </c>
      <c r="X27" s="48"/>
    </row>
    <row r="28" spans="1:24" ht="12" customHeight="1">
      <c r="A28" s="48">
        <v>16</v>
      </c>
      <c r="B28" s="1204" t="s">
        <v>42</v>
      </c>
      <c r="C28" s="2027" t="s">
        <v>1633</v>
      </c>
      <c r="D28" s="2028"/>
      <c r="E28" s="1125">
        <f t="shared" si="3"/>
        <v>112.6066367910758</v>
      </c>
      <c r="F28" s="2519">
        <f>257.5+631.7+610.6+651.7+634.5+524.3+552.5+137.1+783.4</f>
        <v>4783.3</v>
      </c>
      <c r="G28" s="1205"/>
      <c r="H28" s="876">
        <v>82529921</v>
      </c>
      <c r="I28" s="1203">
        <v>450157372</v>
      </c>
      <c r="J28" s="1123">
        <v>458055272</v>
      </c>
      <c r="K28" s="1123">
        <v>283140276</v>
      </c>
      <c r="L28" s="1123">
        <v>577002867</v>
      </c>
      <c r="M28" s="1123">
        <v>482161433</v>
      </c>
      <c r="N28" s="1123">
        <v>294329466</v>
      </c>
      <c r="O28" s="1123">
        <v>32210270</v>
      </c>
      <c r="P28" s="1123">
        <v>156605126</v>
      </c>
      <c r="Q28" s="2452" t="s">
        <v>1629</v>
      </c>
      <c r="R28" s="2453" t="s">
        <v>69</v>
      </c>
      <c r="S28" s="2454">
        <v>1</v>
      </c>
      <c r="T28" s="2455">
        <v>41442</v>
      </c>
      <c r="U28" s="2456" t="s">
        <v>464</v>
      </c>
      <c r="V28" s="2456" t="s">
        <v>277</v>
      </c>
      <c r="W28" s="2457">
        <f t="shared" ca="1" si="4"/>
        <v>0.86111111111111116</v>
      </c>
      <c r="X28" s="48">
        <v>16</v>
      </c>
    </row>
    <row r="29" spans="1:24" ht="12" customHeight="1">
      <c r="A29" s="48"/>
      <c r="B29" s="235" t="s">
        <v>42</v>
      </c>
      <c r="C29" s="2029" t="s">
        <v>1806</v>
      </c>
      <c r="D29" s="2031" t="s">
        <v>41</v>
      </c>
      <c r="E29" s="1125">
        <f t="shared" si="3"/>
        <v>113.69468829734123</v>
      </c>
      <c r="F29" s="2782">
        <f>279.96+626.58+724.34+659.95+804.51+725.2+136.49+750.06</f>
        <v>4707.09</v>
      </c>
      <c r="G29" s="2794"/>
      <c r="H29" s="1005">
        <v>83602512</v>
      </c>
      <c r="I29" s="1108">
        <v>451091291</v>
      </c>
      <c r="J29" s="1108">
        <v>462517672</v>
      </c>
      <c r="K29" s="1108">
        <v>286044317</v>
      </c>
      <c r="L29" s="1108">
        <v>578346969</v>
      </c>
      <c r="M29" s="1108">
        <v>482662407</v>
      </c>
      <c r="N29" s="1108">
        <v>300188192</v>
      </c>
      <c r="O29" s="1108">
        <v>32963389</v>
      </c>
      <c r="P29" s="1108">
        <v>158018013</v>
      </c>
      <c r="Q29" s="2459" t="s">
        <v>1629</v>
      </c>
      <c r="R29" s="2467" t="s">
        <v>69</v>
      </c>
      <c r="S29" s="1507">
        <v>1</v>
      </c>
      <c r="T29" s="2853">
        <v>41478</v>
      </c>
      <c r="U29" s="2866" t="s">
        <v>464</v>
      </c>
      <c r="V29" s="2866" t="s">
        <v>277</v>
      </c>
      <c r="W29" s="1509">
        <f t="shared" ca="1" si="4"/>
        <v>0.76111111111111107</v>
      </c>
      <c r="X29" s="48"/>
    </row>
    <row r="30" spans="1:24" ht="12" customHeight="1">
      <c r="A30" s="48">
        <v>18</v>
      </c>
      <c r="B30" s="1914" t="s">
        <v>1431</v>
      </c>
      <c r="C30" s="2025" t="s">
        <v>926</v>
      </c>
      <c r="D30" s="2765"/>
      <c r="E30" s="1125">
        <f t="shared" si="3"/>
        <v>113.79406220640398</v>
      </c>
      <c r="F30" s="2783">
        <f>50+9+51+29+115+92+16+23+91</f>
        <v>476</v>
      </c>
      <c r="G30" s="2795"/>
      <c r="H30" s="907">
        <v>81589626</v>
      </c>
      <c r="I30" s="1126">
        <v>347884435</v>
      </c>
      <c r="J30" s="1126">
        <v>491875984</v>
      </c>
      <c r="K30" s="1126">
        <v>299055780</v>
      </c>
      <c r="L30" s="1126">
        <v>579100338</v>
      </c>
      <c r="M30" s="1126">
        <v>485878580</v>
      </c>
      <c r="N30" s="1126">
        <v>277080042</v>
      </c>
      <c r="O30" s="1126">
        <v>38903203</v>
      </c>
      <c r="P30" s="1126">
        <v>185674185</v>
      </c>
      <c r="Q30" s="2461" t="s">
        <v>72</v>
      </c>
      <c r="R30" s="2502" t="s">
        <v>65</v>
      </c>
      <c r="S30" s="2503">
        <v>4</v>
      </c>
      <c r="T30" s="2464">
        <v>40851</v>
      </c>
      <c r="U30" s="2465" t="s">
        <v>73</v>
      </c>
      <c r="V30" s="2465" t="s">
        <v>796</v>
      </c>
      <c r="W30" s="1531">
        <f t="shared" ca="1" si="4"/>
        <v>2.4805555555555556</v>
      </c>
      <c r="X30" s="48">
        <v>18</v>
      </c>
    </row>
    <row r="31" spans="1:24" ht="12" customHeight="1">
      <c r="A31" s="48"/>
      <c r="B31" s="1520" t="s">
        <v>1431</v>
      </c>
      <c r="C31" s="2026" t="s">
        <v>698</v>
      </c>
      <c r="D31" s="2034" t="s">
        <v>41</v>
      </c>
      <c r="E31" s="1125">
        <f t="shared" si="3"/>
        <v>113.98932977278567</v>
      </c>
      <c r="F31" s="2518">
        <f>157+51+276+302+331+280+122+110+462</f>
        <v>2091</v>
      </c>
      <c r="G31" s="2517"/>
      <c r="H31" s="864">
        <v>80135168</v>
      </c>
      <c r="I31" s="1123">
        <v>351107079</v>
      </c>
      <c r="J31" s="1123">
        <v>501293683</v>
      </c>
      <c r="K31" s="1123">
        <v>302192145</v>
      </c>
      <c r="L31" s="1123">
        <v>578708723</v>
      </c>
      <c r="M31" s="1123">
        <v>490303204</v>
      </c>
      <c r="N31" s="1123">
        <v>303462080</v>
      </c>
      <c r="O31" s="1123">
        <v>34886587</v>
      </c>
      <c r="P31" s="1123">
        <v>184182322</v>
      </c>
      <c r="Q31" s="2452" t="s">
        <v>74</v>
      </c>
      <c r="R31" s="2453" t="s">
        <v>69</v>
      </c>
      <c r="S31" s="2458">
        <v>2</v>
      </c>
      <c r="T31" s="2455">
        <v>41255</v>
      </c>
      <c r="U31" s="2456" t="s">
        <v>75</v>
      </c>
      <c r="V31" s="2687" t="s">
        <v>1663</v>
      </c>
      <c r="W31" s="2457">
        <f t="shared" ca="1" si="4"/>
        <v>1.375</v>
      </c>
      <c r="X31" s="48"/>
    </row>
    <row r="32" spans="1:24" ht="12" customHeight="1">
      <c r="A32" s="48">
        <v>20</v>
      </c>
      <c r="B32" s="1204" t="s">
        <v>42</v>
      </c>
      <c r="C32" s="2025" t="s">
        <v>1665</v>
      </c>
      <c r="D32" s="2028" t="s">
        <v>41</v>
      </c>
      <c r="E32" s="1125">
        <f>SUM(H32/H$11,I32/I$11,J32/J$11,K32/K$11,L32/L$11,M32/M$11,N32/N$11,O32/O$11,P32/P$11)/9*100+(F32/5000)</f>
        <v>114.07239313568627</v>
      </c>
      <c r="F32" s="2519">
        <f>656.7+2453.69+2316.86+2022.2+2229+2006.7+1993.6+255.3+1768.3</f>
        <v>15702.35</v>
      </c>
      <c r="G32" s="2671">
        <f>686.4+2789.12+2638.2+1925.5+2284.9+2150.1+2029.5+271.8+1815.3</f>
        <v>16590.82</v>
      </c>
      <c r="H32" s="864">
        <v>79385282</v>
      </c>
      <c r="I32" s="1203">
        <v>454055569</v>
      </c>
      <c r="J32" s="1123">
        <v>457915837</v>
      </c>
      <c r="K32" s="1123">
        <v>280356591</v>
      </c>
      <c r="L32" s="1123">
        <v>574254311</v>
      </c>
      <c r="M32" s="1123">
        <v>481186044</v>
      </c>
      <c r="N32" s="1123">
        <v>294809748</v>
      </c>
      <c r="O32" s="1123">
        <v>31283840</v>
      </c>
      <c r="P32" s="1123">
        <v>159137846</v>
      </c>
      <c r="Q32" s="2452" t="s">
        <v>86</v>
      </c>
      <c r="R32" s="2453" t="s">
        <v>69</v>
      </c>
      <c r="S32" s="2454">
        <v>1</v>
      </c>
      <c r="T32" s="2455">
        <v>39447</v>
      </c>
      <c r="U32" s="2456" t="s">
        <v>80</v>
      </c>
      <c r="V32" s="2456" t="s">
        <v>1659</v>
      </c>
      <c r="W32" s="2457">
        <f ca="1">YEARFRAC(T32,W$6)</f>
        <v>6.3250000000000002</v>
      </c>
      <c r="X32" s="48">
        <v>20</v>
      </c>
    </row>
    <row r="33" spans="1:24" ht="12" customHeight="1">
      <c r="A33" s="48"/>
      <c r="B33" s="235" t="s">
        <v>42</v>
      </c>
      <c r="C33" s="204" t="s">
        <v>1695</v>
      </c>
      <c r="D33" s="1521" t="s">
        <v>41</v>
      </c>
      <c r="E33" s="1125">
        <f>SUM(H33/H$11,I33/I$11,J33/J$11,K33/K$11,L33/L$11,M33/M$11,N33/N$11,O33/O$11,P33/P$11)/9*100+(F33/5000)</f>
        <v>114.41152665924896</v>
      </c>
      <c r="F33" s="2784">
        <f>528+1767+1594.5+1264.5+1604.2+1250.9+1394.5+304.3+1443.7</f>
        <v>11151.6</v>
      </c>
      <c r="G33" s="3446">
        <f>590.7+1973.4+1814.6+1387+1601.3+1305.9+1357.6+296.1+1620.7</f>
        <v>11947.300000000003</v>
      </c>
      <c r="H33" s="1010">
        <v>82315624</v>
      </c>
      <c r="I33" s="1826">
        <v>483211343</v>
      </c>
      <c r="J33" s="1826">
        <v>466721795</v>
      </c>
      <c r="K33" s="1826">
        <v>283643675</v>
      </c>
      <c r="L33" s="1826">
        <v>574158259</v>
      </c>
      <c r="M33" s="1826">
        <v>483441042</v>
      </c>
      <c r="N33" s="1826">
        <v>298879799</v>
      </c>
      <c r="O33" s="1826">
        <v>31224332</v>
      </c>
      <c r="P33" s="1826">
        <v>149353612</v>
      </c>
      <c r="Q33" s="1505" t="s">
        <v>1519</v>
      </c>
      <c r="R33" s="1506" t="s">
        <v>69</v>
      </c>
      <c r="S33" s="1507">
        <v>1</v>
      </c>
      <c r="T33" s="1528">
        <v>39864</v>
      </c>
      <c r="U33" s="1508" t="s">
        <v>87</v>
      </c>
      <c r="V33" s="1508" t="s">
        <v>277</v>
      </c>
      <c r="W33" s="1509">
        <f ca="1">YEARFRAC(T33,W$6)</f>
        <v>5.1861111111111109</v>
      </c>
      <c r="X33" s="48"/>
    </row>
    <row r="34" spans="1:24" ht="12" customHeight="1">
      <c r="A34" s="48">
        <v>22</v>
      </c>
      <c r="B34" s="235" t="s">
        <v>42</v>
      </c>
      <c r="C34" s="2751" t="s">
        <v>1696</v>
      </c>
      <c r="D34" s="3301" t="s">
        <v>41</v>
      </c>
      <c r="E34" s="1125">
        <f>SUM(H34/H$11,I34/I$11,J34/J$11,K34/K$11,L34/L$11,M34/M$11,N34/N$11,O34/O$11,P34/P$11)/9*100+(F34/5000)</f>
        <v>114.46856961299632</v>
      </c>
      <c r="F34" s="2520">
        <f>555+1747.5+1761.9+1287.5+1580+1289.4+1236.5+277.7+1455.3</f>
        <v>11190.8</v>
      </c>
      <c r="G34" s="1917">
        <f>598.1+1953.4+1910.6+1386.2+1821.9+1328+1417.8+308.3+1634.6</f>
        <v>12358.9</v>
      </c>
      <c r="H34" s="1127">
        <v>82714262</v>
      </c>
      <c r="I34" s="1141">
        <v>487740113</v>
      </c>
      <c r="J34" s="1128">
        <v>466891537</v>
      </c>
      <c r="K34" s="1128">
        <v>281229305</v>
      </c>
      <c r="L34" s="1128">
        <v>574033450</v>
      </c>
      <c r="M34" s="1128">
        <v>483245196</v>
      </c>
      <c r="N34" s="1128">
        <v>296361005</v>
      </c>
      <c r="O34" s="1128">
        <v>31263296</v>
      </c>
      <c r="P34" s="1128">
        <v>149804592</v>
      </c>
      <c r="Q34" s="2468" t="s">
        <v>88</v>
      </c>
      <c r="R34" s="2475" t="s">
        <v>69</v>
      </c>
      <c r="S34" s="2476">
        <v>1</v>
      </c>
      <c r="T34" s="2469">
        <v>39565</v>
      </c>
      <c r="U34" s="2470" t="s">
        <v>87</v>
      </c>
      <c r="V34" s="2470" t="s">
        <v>1660</v>
      </c>
      <c r="W34" s="2457">
        <f ca="1">YEARFRAC(T34,W$6)</f>
        <v>6</v>
      </c>
      <c r="X34" s="48">
        <v>22</v>
      </c>
    </row>
    <row r="35" spans="1:24" ht="12" customHeight="1">
      <c r="A35" s="48"/>
      <c r="B35" s="2651" t="s">
        <v>42</v>
      </c>
      <c r="C35" s="2752" t="s">
        <v>1807</v>
      </c>
      <c r="D35" s="2766" t="s">
        <v>41</v>
      </c>
      <c r="E35" s="1125">
        <f>SUM(H35/H$11,I35/I$11,J35/J$11,K35/K$11,L35/L$11,M35/M$11,N35/N$11,O35/O$11,P35/P$11)/9*100+(F35/5000)</f>
        <v>114.83981355243684</v>
      </c>
      <c r="F35" s="3393">
        <f>554.3+1795.4+1657.2+1304.4+1569.7+1328.9+1213.9+275.8+1371.3</f>
        <v>11070.899999999998</v>
      </c>
      <c r="G35" s="3447">
        <f>586.1+1732.3+1672.3+1358.7+1621.1+1341.7+1343.2+303.5+1522</f>
        <v>11480.900000000001</v>
      </c>
      <c r="H35" s="2805">
        <v>82483738</v>
      </c>
      <c r="I35" s="2659">
        <v>504932570</v>
      </c>
      <c r="J35" s="2659">
        <v>464634575</v>
      </c>
      <c r="K35" s="2659">
        <v>278351488</v>
      </c>
      <c r="L35" s="2659">
        <v>574136654</v>
      </c>
      <c r="M35" s="2659">
        <v>481952693</v>
      </c>
      <c r="N35" s="3492">
        <v>298708197</v>
      </c>
      <c r="O35" s="2659">
        <v>31143250</v>
      </c>
      <c r="P35" s="2659">
        <v>150172517</v>
      </c>
      <c r="Q35" s="2471" t="s">
        <v>1518</v>
      </c>
      <c r="R35" s="2794" t="s">
        <v>69</v>
      </c>
      <c r="S35" s="2664">
        <v>1</v>
      </c>
      <c r="T35" s="2472">
        <v>39386</v>
      </c>
      <c r="U35" s="2473" t="s">
        <v>87</v>
      </c>
      <c r="V35" s="2473" t="s">
        <v>1660</v>
      </c>
      <c r="W35" s="2474">
        <f ca="1">YEARFRAC(T35,W$6)</f>
        <v>6.4916666666666663</v>
      </c>
      <c r="X35" s="48"/>
    </row>
    <row r="36" spans="1:24" ht="12" customHeight="1">
      <c r="A36" s="48">
        <v>24</v>
      </c>
      <c r="B36" s="2030" t="s">
        <v>42</v>
      </c>
      <c r="C36" s="3231" t="s">
        <v>1808</v>
      </c>
      <c r="D36" s="2679" t="s">
        <v>41</v>
      </c>
      <c r="E36" s="1125">
        <f>SUM(H36/H$11,I36/I$11,J36/J$11,K36/K$11,L36/L$11,M36/M$11,N36/N$11,O36/O$11,P36/P$11)/9*100+(F36/5000)</f>
        <v>115.34216411877705</v>
      </c>
      <c r="F36" s="2521">
        <f>551+1737+1629+1288+1550+1308+1201+267+1334</f>
        <v>10865</v>
      </c>
      <c r="G36" s="2515">
        <f>581+1860+1763+1456+1678+1321+1298+302+1456</f>
        <v>11715</v>
      </c>
      <c r="H36" s="2806">
        <v>83789117</v>
      </c>
      <c r="I36" s="999">
        <v>507404490</v>
      </c>
      <c r="J36" s="999">
        <v>461784004</v>
      </c>
      <c r="K36" s="999">
        <v>278771170</v>
      </c>
      <c r="L36" s="999">
        <v>574253251</v>
      </c>
      <c r="M36" s="999">
        <v>480992119</v>
      </c>
      <c r="N36" s="999">
        <v>296982199</v>
      </c>
      <c r="O36" s="999">
        <v>31636700</v>
      </c>
      <c r="P36" s="907">
        <v>153118456</v>
      </c>
      <c r="Q36" s="2461" t="s">
        <v>95</v>
      </c>
      <c r="R36" s="2462" t="s">
        <v>69</v>
      </c>
      <c r="S36" s="2463">
        <v>1</v>
      </c>
      <c r="T36" s="2464">
        <v>39356</v>
      </c>
      <c r="U36" s="2465" t="s">
        <v>87</v>
      </c>
      <c r="V36" s="2465" t="s">
        <v>1636</v>
      </c>
      <c r="W36" s="1531">
        <f ca="1">YEARFRAC(T36,W$6)</f>
        <v>6.572222222222222</v>
      </c>
      <c r="X36" s="48">
        <v>24</v>
      </c>
    </row>
    <row r="37" spans="1:24" ht="12" customHeight="1">
      <c r="A37" s="48"/>
      <c r="B37" s="235" t="s">
        <v>42</v>
      </c>
      <c r="C37" s="3260" t="s">
        <v>1658</v>
      </c>
      <c r="D37" s="2031" t="s">
        <v>41</v>
      </c>
      <c r="E37" s="1125">
        <f>SUM(H37/H$11,I37/I$11,J37/J$11,K37/K$11,L37/L$11,M37/M$11,N37/N$11,O37/O$11,P37/P$11)/9*100+(F37/5000)</f>
        <v>115.42819494070883</v>
      </c>
      <c r="F37" s="3394">
        <f>1225+2286+2306+2679+2478+2072+2433+758+3696</f>
        <v>19933</v>
      </c>
      <c r="G37" s="3448"/>
      <c r="H37" s="1127">
        <v>78906065</v>
      </c>
      <c r="I37" s="1128">
        <v>451394450</v>
      </c>
      <c r="J37" s="1128">
        <v>458817126</v>
      </c>
      <c r="K37" s="1128">
        <v>288474516</v>
      </c>
      <c r="L37" s="1128">
        <v>576488437</v>
      </c>
      <c r="M37" s="1128">
        <v>481671721</v>
      </c>
      <c r="N37" s="1128">
        <v>291703582</v>
      </c>
      <c r="O37" s="908">
        <v>31314571</v>
      </c>
      <c r="P37" s="1128">
        <v>164118727</v>
      </c>
      <c r="Q37" s="3503" t="s">
        <v>1635</v>
      </c>
      <c r="R37" s="2477" t="s">
        <v>69</v>
      </c>
      <c r="S37" s="2476">
        <v>1</v>
      </c>
      <c r="T37" s="3641">
        <v>41461</v>
      </c>
      <c r="U37" s="3674" t="s">
        <v>1532</v>
      </c>
      <c r="V37" s="3674" t="s">
        <v>277</v>
      </c>
      <c r="W37" s="2457">
        <f ca="1">YEARFRAC(T37,W$6)</f>
        <v>0.80833333333333335</v>
      </c>
      <c r="X37" s="48"/>
    </row>
    <row r="38" spans="1:24" ht="12" customHeight="1">
      <c r="A38" s="48">
        <v>26</v>
      </c>
      <c r="B38" s="1914" t="s">
        <v>1431</v>
      </c>
      <c r="C38" s="3232" t="s">
        <v>1590</v>
      </c>
      <c r="D38" s="2767"/>
      <c r="E38" s="1125">
        <f>SUM(H38/H$11,I38/I$11,J38/J$11,K38/K$11,L38/L$11,M38/M$11,N38/N$11,O38/O$11,P38/P$11)/9*100+(F38/5000)</f>
        <v>116.42884334019043</v>
      </c>
      <c r="F38" s="2518">
        <f>(778+271+2100+266+157+413+50+91+63)+243+371+233+374+195+166+381+99+240</f>
        <v>6491</v>
      </c>
      <c r="G38" s="1205"/>
      <c r="H38" s="1127">
        <v>78762255</v>
      </c>
      <c r="I38" s="1127">
        <v>441043625</v>
      </c>
      <c r="J38" s="1127">
        <v>487151173</v>
      </c>
      <c r="K38" s="1127">
        <v>267535706</v>
      </c>
      <c r="L38" s="1127">
        <v>576683197</v>
      </c>
      <c r="M38" s="1127">
        <v>460935592</v>
      </c>
      <c r="N38" s="1127">
        <v>337122045</v>
      </c>
      <c r="O38" s="1127">
        <v>35800534</v>
      </c>
      <c r="P38" s="1127">
        <v>180044575</v>
      </c>
      <c r="Q38" s="3503" t="s">
        <v>89</v>
      </c>
      <c r="R38" s="2477" t="s">
        <v>69</v>
      </c>
      <c r="S38" s="2476">
        <v>1</v>
      </c>
      <c r="T38" s="2469">
        <v>39815</v>
      </c>
      <c r="U38" s="2470" t="s">
        <v>75</v>
      </c>
      <c r="V38" s="2470" t="s">
        <v>1662</v>
      </c>
      <c r="W38" s="2457">
        <f ca="1">YEARFRAC(T38,W$6)</f>
        <v>5.3194444444444446</v>
      </c>
      <c r="X38" s="48">
        <v>26</v>
      </c>
    </row>
    <row r="39" spans="1:24" ht="12" customHeight="1">
      <c r="A39" s="48"/>
      <c r="B39" s="2023" t="s">
        <v>42</v>
      </c>
      <c r="C39" s="2026" t="s">
        <v>1567</v>
      </c>
      <c r="D39" s="2031" t="s">
        <v>41</v>
      </c>
      <c r="E39" s="1125">
        <f>SUM(H39/H$11,I39/I$11,J39/J$11,K39/K$11,L39/L$11,M39/M$11,N39/N$11,O39/O$11,P39/P$11)/9*100+(F39/5000)</f>
        <v>116.62104133314554</v>
      </c>
      <c r="F39" s="2513">
        <f>310.78+1063.22+0+712.36+956.45+792.32+780.16+157.16+761.24</f>
        <v>5533.6900000000005</v>
      </c>
      <c r="G39" s="3447">
        <f>332.31+0+0+813.2+1023.46+817.07+837.07+169.38+850.95</f>
        <v>4843.4400000000005</v>
      </c>
      <c r="H39" s="1005">
        <v>84362230</v>
      </c>
      <c r="I39" s="1005">
        <v>510874018</v>
      </c>
      <c r="J39" s="1005">
        <v>468665303</v>
      </c>
      <c r="K39" s="1005">
        <v>286575129</v>
      </c>
      <c r="L39" s="1005">
        <v>578462992</v>
      </c>
      <c r="M39" s="1005">
        <v>483475436</v>
      </c>
      <c r="N39" s="1005">
        <v>303327118</v>
      </c>
      <c r="O39" s="1108">
        <v>32582554</v>
      </c>
      <c r="P39" s="1108">
        <v>164930949</v>
      </c>
      <c r="Q39" s="1505" t="s">
        <v>103</v>
      </c>
      <c r="R39" s="1506" t="s">
        <v>69</v>
      </c>
      <c r="S39" s="1507">
        <v>1</v>
      </c>
      <c r="T39" s="1528">
        <v>39603</v>
      </c>
      <c r="U39" s="1508" t="s">
        <v>77</v>
      </c>
      <c r="V39" s="1508" t="s">
        <v>898</v>
      </c>
      <c r="W39" s="1509">
        <f ca="1">YEARFRAC(T39,W$6)</f>
        <v>5.8972222222222221</v>
      </c>
      <c r="X39" s="48"/>
    </row>
    <row r="40" spans="1:24" ht="12" customHeight="1">
      <c r="A40" s="48">
        <v>28</v>
      </c>
      <c r="B40" s="1204" t="s">
        <v>42</v>
      </c>
      <c r="C40" s="2025" t="s">
        <v>1666</v>
      </c>
      <c r="D40" s="2028" t="s">
        <v>41</v>
      </c>
      <c r="E40" s="1125">
        <f>SUM(H40/H$11,I40/I$11,J40/J$11,K40/K$11,L40/L$11,M40/M$11,N40/N$11,O40/O$11,P40/P$11)/9*100+(F40/5000)</f>
        <v>116.86397367521162</v>
      </c>
      <c r="F40" s="2521">
        <f>569+1672+1745+1287+1551+1329+1263+297+1619</f>
        <v>11332</v>
      </c>
      <c r="G40" s="2682">
        <f>617+1817+1904+1377+1730+1420+1316+329+1585</f>
        <v>12095</v>
      </c>
      <c r="H40" s="907">
        <v>84488523</v>
      </c>
      <c r="I40" s="907">
        <v>516330193</v>
      </c>
      <c r="J40" s="907">
        <v>467019940</v>
      </c>
      <c r="K40" s="907">
        <v>281496506</v>
      </c>
      <c r="L40" s="907">
        <v>574106066</v>
      </c>
      <c r="M40" s="907">
        <v>481430206</v>
      </c>
      <c r="N40" s="907">
        <v>304463339</v>
      </c>
      <c r="O40" s="1126">
        <v>31930129</v>
      </c>
      <c r="P40" s="1126">
        <v>157883859</v>
      </c>
      <c r="Q40" s="2461" t="s">
        <v>100</v>
      </c>
      <c r="R40" s="2462" t="s">
        <v>69</v>
      </c>
      <c r="S40" s="2463">
        <v>1</v>
      </c>
      <c r="T40" s="2464">
        <v>39287</v>
      </c>
      <c r="U40" s="2465" t="s">
        <v>80</v>
      </c>
      <c r="V40" s="2465" t="s">
        <v>277</v>
      </c>
      <c r="W40" s="1531">
        <f ca="1">YEARFRAC(T40,W$6)</f>
        <v>6.7583333333333337</v>
      </c>
      <c r="X40" s="48">
        <v>28</v>
      </c>
    </row>
    <row r="41" spans="1:24" ht="12" customHeight="1">
      <c r="A41" s="48"/>
      <c r="B41" s="2744" t="s">
        <v>1431</v>
      </c>
      <c r="C41" s="3261" t="s">
        <v>1697</v>
      </c>
      <c r="D41" s="2764"/>
      <c r="E41" s="1142">
        <f>SUM(H41/H$11,I41/I$11,J41/J$11,K41/K$11,L41/L$11,M41/M$11,N41/N$11,O41/O$11,P41/P$11)/9*100+(F41/5000)</f>
        <v>116.97022315161612</v>
      </c>
      <c r="F41" s="3395">
        <f>477.2+1416+1369.8+975.7+1140.5+887.5+891.5+164.2+836.7</f>
        <v>8159.0999999999995</v>
      </c>
      <c r="G41" s="3449"/>
      <c r="H41" s="3480">
        <v>80232277</v>
      </c>
      <c r="I41" s="3480">
        <v>395293930</v>
      </c>
      <c r="J41" s="3480">
        <v>477253880</v>
      </c>
      <c r="K41" s="3480">
        <v>301703146</v>
      </c>
      <c r="L41" s="1127">
        <v>576204183</v>
      </c>
      <c r="M41" s="3480">
        <v>485825646</v>
      </c>
      <c r="N41" s="3480">
        <v>292075855</v>
      </c>
      <c r="O41" s="3495">
        <v>35198987</v>
      </c>
      <c r="P41" s="3495">
        <v>203974516</v>
      </c>
      <c r="Q41" s="3519" t="s">
        <v>91</v>
      </c>
      <c r="R41" s="3555" t="s">
        <v>69</v>
      </c>
      <c r="S41" s="3599">
        <v>1</v>
      </c>
      <c r="T41" s="3642">
        <v>38389</v>
      </c>
      <c r="U41" s="3675" t="s">
        <v>77</v>
      </c>
      <c r="V41" s="3675" t="s">
        <v>842</v>
      </c>
      <c r="W41" s="2022">
        <f ca="1">YEARFRAC(T41,W$6)</f>
        <v>9.2249999999999996</v>
      </c>
      <c r="X41" s="48"/>
    </row>
    <row r="42" spans="1:24" ht="12" customHeight="1">
      <c r="A42" s="48">
        <v>30</v>
      </c>
      <c r="B42" s="3202" t="s">
        <v>1431</v>
      </c>
      <c r="C42" s="3233" t="s">
        <v>1591</v>
      </c>
      <c r="D42" s="3302" t="s">
        <v>41</v>
      </c>
      <c r="E42" s="1125">
        <f>SUM(H42/H$11,I42/I$11,J42/J$11,K42/K$11,L42/L$11,M42/M$11,N42/N$11,O42/O$11,P42/P$11)/9*100</f>
        <v>117.06647687832852</v>
      </c>
      <c r="F42" s="3363">
        <f>148+350+505+455+178+166+635+118+275</f>
        <v>2830</v>
      </c>
      <c r="G42" s="3426">
        <f>91+36+572+458+10+12+26+131+303</f>
        <v>1639</v>
      </c>
      <c r="H42" s="868">
        <v>79500816</v>
      </c>
      <c r="I42" s="854">
        <v>441035970</v>
      </c>
      <c r="J42" s="2660">
        <v>493043375</v>
      </c>
      <c r="K42" s="2660">
        <v>304617390</v>
      </c>
      <c r="L42" s="854">
        <v>577098703</v>
      </c>
      <c r="M42" s="854">
        <v>487440321</v>
      </c>
      <c r="N42" s="854">
        <v>322709493</v>
      </c>
      <c r="O42" s="2809">
        <v>36126394</v>
      </c>
      <c r="P42" s="2660">
        <v>179406622</v>
      </c>
      <c r="Q42" s="3504" t="s">
        <v>89</v>
      </c>
      <c r="R42" s="3535" t="s">
        <v>65</v>
      </c>
      <c r="S42" s="3581">
        <v>4</v>
      </c>
      <c r="T42" s="3624">
        <v>41159</v>
      </c>
      <c r="U42" s="3661" t="s">
        <v>75</v>
      </c>
      <c r="V42" s="3661" t="s">
        <v>1600</v>
      </c>
      <c r="W42" s="2878">
        <f ca="1">YEARFRAC(T42,W$6)</f>
        <v>1.6388888888888888</v>
      </c>
      <c r="X42" s="48">
        <v>30</v>
      </c>
    </row>
    <row r="43" spans="1:24" ht="12" customHeight="1">
      <c r="A43" s="48"/>
      <c r="B43" s="2214" t="s">
        <v>42</v>
      </c>
      <c r="C43" s="3262" t="s">
        <v>1667</v>
      </c>
      <c r="D43" s="2230"/>
      <c r="E43" s="1125">
        <f>SUM(H43/H$11,I43/I$11,J43/J$11,K43/K$11,L43/L$11,M43/M$11,N43/N$11,O43/O$11,P43/P$11)/9*100+(F43/5000)</f>
        <v>117.32270231634037</v>
      </c>
      <c r="F43" s="3396">
        <f>393+1069+0+877+919+755+836+220+1215</f>
        <v>6284</v>
      </c>
      <c r="G43" s="3450"/>
      <c r="H43" s="2658">
        <v>85276158</v>
      </c>
      <c r="I43" s="870">
        <v>510306657</v>
      </c>
      <c r="J43" s="870">
        <v>468307527</v>
      </c>
      <c r="K43" s="870">
        <v>287061074</v>
      </c>
      <c r="L43" s="870">
        <v>578113802</v>
      </c>
      <c r="M43" s="870">
        <v>483390665</v>
      </c>
      <c r="N43" s="870">
        <v>303742288</v>
      </c>
      <c r="O43" s="3496">
        <v>32915199</v>
      </c>
      <c r="P43" s="870">
        <v>168718324</v>
      </c>
      <c r="Q43" s="3520" t="s">
        <v>98</v>
      </c>
      <c r="R43" s="3556" t="s">
        <v>69</v>
      </c>
      <c r="S43" s="3600">
        <v>1</v>
      </c>
      <c r="T43" s="3643">
        <v>39817</v>
      </c>
      <c r="U43" s="3676" t="s">
        <v>99</v>
      </c>
      <c r="V43" s="3694" t="s">
        <v>898</v>
      </c>
      <c r="W43" s="2342">
        <f ca="1">YEARFRAC(T43,W$6)</f>
        <v>5.3138888888888891</v>
      </c>
      <c r="X43" s="48"/>
    </row>
    <row r="44" spans="1:24" ht="12" customHeight="1">
      <c r="A44" s="48">
        <v>32</v>
      </c>
      <c r="B44" s="2745" t="s">
        <v>1431</v>
      </c>
      <c r="C44" s="2753" t="s">
        <v>1668</v>
      </c>
      <c r="D44" s="3303"/>
      <c r="E44" s="1142">
        <f>SUM(H44/H$11,I44/I$11,J44/J$11,K44/K$11,L44/L$11,M44/M$11,N44/N$11,O44/O$11,P44/P$11)/9*100</f>
        <v>117.60932207614418</v>
      </c>
      <c r="F44" s="2785">
        <f>322.4+965+807.2+627.2+763.3+616.5+708.5+151+628.5</f>
        <v>5589.6</v>
      </c>
      <c r="G44" s="2796"/>
      <c r="H44" s="2807">
        <v>83847245</v>
      </c>
      <c r="I44" s="857">
        <v>397613629</v>
      </c>
      <c r="J44" s="857">
        <v>478646282</v>
      </c>
      <c r="K44" s="857">
        <v>304729847</v>
      </c>
      <c r="L44" s="871">
        <v>582549377</v>
      </c>
      <c r="M44" s="871">
        <v>485987428</v>
      </c>
      <c r="N44" s="2808">
        <v>293432096</v>
      </c>
      <c r="O44" s="3494">
        <v>36934509</v>
      </c>
      <c r="P44" s="2808">
        <v>212232106</v>
      </c>
      <c r="Q44" s="2814" t="s">
        <v>91</v>
      </c>
      <c r="R44" s="2829" t="s">
        <v>69</v>
      </c>
      <c r="S44" s="2842">
        <v>1</v>
      </c>
      <c r="T44" s="2854">
        <v>37253</v>
      </c>
      <c r="U44" s="2867" t="s">
        <v>77</v>
      </c>
      <c r="V44" s="2867" t="s">
        <v>94</v>
      </c>
      <c r="W44" s="1310">
        <f ca="1">YEARFRAC(T44,W$6)</f>
        <v>12.330555555555556</v>
      </c>
      <c r="X44" s="48">
        <v>32</v>
      </c>
    </row>
    <row r="45" spans="1:24" ht="12" customHeight="1">
      <c r="A45" s="48"/>
      <c r="B45" s="2037" t="s">
        <v>42</v>
      </c>
      <c r="C45" s="2754" t="s">
        <v>1937</v>
      </c>
      <c r="D45" s="2235" t="s">
        <v>41</v>
      </c>
      <c r="E45" s="1125">
        <f>SUM(H45/H$11,I45/I$11,J45/J$11,K45/K$11,L45/L$11,M45/M$11,N45/N$11,O45/O$11,P45/P$11)/9*100</f>
        <v>117.75498537771728</v>
      </c>
      <c r="F45" s="3365">
        <f>234.15+513.93+449.94+557.02+428.53+355.71+545.47+136.08+726.3</f>
        <v>3947.13</v>
      </c>
      <c r="G45" s="3451"/>
      <c r="H45" s="868">
        <v>90970960</v>
      </c>
      <c r="I45" s="854">
        <v>522955272</v>
      </c>
      <c r="J45" s="854">
        <v>475340089</v>
      </c>
      <c r="K45" s="854">
        <v>272133582</v>
      </c>
      <c r="L45" s="854">
        <v>577858048</v>
      </c>
      <c r="M45" s="854">
        <v>459121106</v>
      </c>
      <c r="N45" s="854">
        <v>318791327</v>
      </c>
      <c r="O45" s="2809">
        <v>33876178</v>
      </c>
      <c r="P45" s="854">
        <v>174391732</v>
      </c>
      <c r="Q45" s="2359" t="s">
        <v>1635</v>
      </c>
      <c r="R45" s="2265" t="s">
        <v>69</v>
      </c>
      <c r="S45" s="2339">
        <v>1</v>
      </c>
      <c r="T45" s="2360">
        <v>41503</v>
      </c>
      <c r="U45" s="2868" t="s">
        <v>1532</v>
      </c>
      <c r="V45" s="2868" t="s">
        <v>277</v>
      </c>
      <c r="W45" s="2342">
        <f ca="1">YEARFRAC(T45,W$6)</f>
        <v>0.69444444444444442</v>
      </c>
      <c r="X45" s="48"/>
    </row>
    <row r="46" spans="1:24" ht="12" customHeight="1">
      <c r="A46" s="48">
        <v>34</v>
      </c>
      <c r="B46" s="2062" t="s">
        <v>42</v>
      </c>
      <c r="C46" s="2208" t="s">
        <v>1900</v>
      </c>
      <c r="D46" s="3304"/>
      <c r="E46" s="1125">
        <f>SUM(H46/H$11,I46/I$11,J46/J$11,K46/K$11,L46/L$11,M46/M$11,N46/N$11,O46/O$11,P46/P$11)/9*100+(F46/5000)</f>
        <v>117.78993151657079</v>
      </c>
      <c r="F46" s="3364">
        <f>987+4411+3811+2535+4838+3768+1728+359+1946</f>
        <v>24383</v>
      </c>
      <c r="G46" s="3427">
        <f>970+4517+4033+2465+4670+3701+1739+365+2015</f>
        <v>24475</v>
      </c>
      <c r="H46" s="867">
        <v>77709784</v>
      </c>
      <c r="I46" s="871">
        <v>490752860</v>
      </c>
      <c r="J46" s="871">
        <v>476341671</v>
      </c>
      <c r="K46" s="871">
        <v>284281919</v>
      </c>
      <c r="L46" s="871">
        <v>577945041</v>
      </c>
      <c r="M46" s="871">
        <v>482786594</v>
      </c>
      <c r="N46" s="871">
        <v>309513090</v>
      </c>
      <c r="O46" s="871">
        <v>31490102</v>
      </c>
      <c r="P46" s="871">
        <v>154192936</v>
      </c>
      <c r="Q46" s="2354" t="s">
        <v>104</v>
      </c>
      <c r="R46" s="2355" t="s">
        <v>69</v>
      </c>
      <c r="S46" s="2369">
        <v>1</v>
      </c>
      <c r="T46" s="2357">
        <v>38764</v>
      </c>
      <c r="U46" s="2358" t="s">
        <v>75</v>
      </c>
      <c r="V46" s="2358" t="s">
        <v>105</v>
      </c>
      <c r="W46" s="2353">
        <f ca="1">YEARFRAC(T46,W$6)</f>
        <v>8.1972222222222229</v>
      </c>
      <c r="X46" s="48">
        <v>34</v>
      </c>
    </row>
    <row r="47" spans="1:24" ht="12" customHeight="1">
      <c r="A47" s="48"/>
      <c r="B47" s="2214" t="s">
        <v>42</v>
      </c>
      <c r="C47" s="2239" t="s">
        <v>1411</v>
      </c>
      <c r="D47" s="2230"/>
      <c r="E47" s="1125">
        <f>SUM(H47/H$11,I47/I$11,J47/J$11,K47/K$11,L47/L$11,M47/M$11,N47/N$11,O47/O$11,P47/P$11)/9*100</f>
        <v>118.00548178716556</v>
      </c>
      <c r="F47" s="3396">
        <f>105.5+147.9+359.3+227.41+286.89+259.31+273.17+49.17+541.56</f>
        <v>2250.21</v>
      </c>
      <c r="G47" s="3452"/>
      <c r="H47" s="872">
        <v>97303748</v>
      </c>
      <c r="I47" s="870">
        <v>352299035</v>
      </c>
      <c r="J47" s="870">
        <v>473450475</v>
      </c>
      <c r="K47" s="870">
        <v>304275096</v>
      </c>
      <c r="L47" s="870">
        <v>582698288</v>
      </c>
      <c r="M47" s="870">
        <v>485944367</v>
      </c>
      <c r="N47" s="870">
        <v>304403688</v>
      </c>
      <c r="O47" s="870">
        <v>38774613</v>
      </c>
      <c r="P47" s="870">
        <v>194610863</v>
      </c>
      <c r="Q47" s="2815" t="s">
        <v>101</v>
      </c>
      <c r="R47" s="2739" t="s">
        <v>65</v>
      </c>
      <c r="S47" s="2368">
        <v>1</v>
      </c>
      <c r="T47" s="2403">
        <v>39518</v>
      </c>
      <c r="U47" s="2363" t="s">
        <v>73</v>
      </c>
      <c r="V47" s="2363" t="s">
        <v>102</v>
      </c>
      <c r="W47" s="2342">
        <f ca="1">YEARFRAC(T47,W$6)</f>
        <v>6.1277777777777782</v>
      </c>
      <c r="X47" s="48"/>
    </row>
    <row r="48" spans="1:24" ht="12" customHeight="1">
      <c r="A48" s="48">
        <v>36</v>
      </c>
      <c r="B48" s="2037" t="s">
        <v>42</v>
      </c>
      <c r="C48" s="3234" t="s">
        <v>1805</v>
      </c>
      <c r="D48" s="3305" t="s">
        <v>41</v>
      </c>
      <c r="E48" s="1125">
        <f>SUM(H48/H$11,I48/I$11,J48/J$11,K48/K$11,L48/L$11,M48/M$11,N48/N$11,O48/O$11,P48/P$11)/9*100</f>
        <v>118.0469744800195</v>
      </c>
      <c r="F48" s="3365">
        <f>235.49+496.39+440.14+498.36+368.93+298.43+513.24+127.37+686.97</f>
        <v>3665.3200000000006</v>
      </c>
      <c r="G48" s="3428"/>
      <c r="H48" s="3479">
        <v>89309602</v>
      </c>
      <c r="I48" s="3484">
        <v>516077838</v>
      </c>
      <c r="J48" s="854">
        <v>474196801</v>
      </c>
      <c r="K48" s="854">
        <v>290752195</v>
      </c>
      <c r="L48" s="854">
        <v>577801308</v>
      </c>
      <c r="M48" s="854">
        <v>484812825</v>
      </c>
      <c r="N48" s="854">
        <v>312002309</v>
      </c>
      <c r="O48" s="908">
        <v>33346539</v>
      </c>
      <c r="P48" s="854">
        <v>172846758</v>
      </c>
      <c r="Q48" s="2359" t="s">
        <v>1635</v>
      </c>
      <c r="R48" s="2265" t="s">
        <v>69</v>
      </c>
      <c r="S48" s="2339">
        <v>1</v>
      </c>
      <c r="T48" s="2360">
        <v>41477</v>
      </c>
      <c r="U48" s="2868" t="s">
        <v>1532</v>
      </c>
      <c r="V48" s="2868" t="s">
        <v>277</v>
      </c>
      <c r="W48" s="2342">
        <f ca="1">YEARFRAC(T48,W$6)</f>
        <v>0.76388888888888884</v>
      </c>
      <c r="X48" s="48">
        <v>36</v>
      </c>
    </row>
    <row r="49" spans="1:24" ht="12" customHeight="1">
      <c r="A49" s="48"/>
      <c r="B49" s="3213" t="s">
        <v>1431</v>
      </c>
      <c r="C49" s="2755" t="s">
        <v>2055</v>
      </c>
      <c r="D49" s="3338"/>
      <c r="E49" s="1125">
        <f>SUM(H49/H$11,I49/I$11,J49/J$11,K49/K$11,L49/L$11,M49/M$11,N49/N$11,O49/O$11,P49/P$11)/9*100</f>
        <v>118.38569681603381</v>
      </c>
      <c r="F49" s="2246">
        <f>719+80+2726+489+942+724+990+417+238</f>
        <v>7325</v>
      </c>
      <c r="G49" s="2797"/>
      <c r="H49" s="904">
        <v>85752271</v>
      </c>
      <c r="I49" s="905">
        <v>361509947</v>
      </c>
      <c r="J49" s="905">
        <v>489920850</v>
      </c>
      <c r="K49" s="905">
        <v>298886419</v>
      </c>
      <c r="L49" s="905">
        <v>577911802</v>
      </c>
      <c r="M49" s="905">
        <v>483275656</v>
      </c>
      <c r="N49" s="905">
        <v>355828299</v>
      </c>
      <c r="O49" s="910">
        <v>40097449</v>
      </c>
      <c r="P49" s="3500">
        <v>185335396</v>
      </c>
      <c r="Q49" s="2684" t="s">
        <v>93</v>
      </c>
      <c r="R49" s="2685" t="s">
        <v>65</v>
      </c>
      <c r="S49" s="2435">
        <v>1</v>
      </c>
      <c r="T49" s="2437">
        <v>38483</v>
      </c>
      <c r="U49" s="2438" t="s">
        <v>77</v>
      </c>
      <c r="V49" s="2438" t="s">
        <v>1512</v>
      </c>
      <c r="W49" s="2420">
        <f ca="1">YEARFRAC(T49,W$6)</f>
        <v>8.9611111111111104</v>
      </c>
      <c r="X49" s="48"/>
    </row>
    <row r="50" spans="1:24" ht="12" customHeight="1">
      <c r="A50" s="48">
        <v>38</v>
      </c>
      <c r="B50" s="2040" t="s">
        <v>42</v>
      </c>
      <c r="C50" s="3235" t="s">
        <v>109</v>
      </c>
      <c r="D50" s="3306"/>
      <c r="E50" s="1125">
        <f>SUM(H50/H$11,I50/I$11,J50/J$11,K50/K$11,L50/L$11,M50/M$11,N50/N$11,O50/O$11,P50/P$11)/9*100</f>
        <v>118.43869356638935</v>
      </c>
      <c r="F50" s="2242">
        <f>280+623+648+738+429+348+744+180+1105</f>
        <v>5095</v>
      </c>
      <c r="G50" s="3429"/>
      <c r="H50" s="907">
        <v>80746777</v>
      </c>
      <c r="I50" s="906">
        <v>470056236</v>
      </c>
      <c r="J50" s="903">
        <v>478724569</v>
      </c>
      <c r="K50" s="903">
        <v>307929578</v>
      </c>
      <c r="L50" s="903">
        <v>576714890</v>
      </c>
      <c r="M50" s="903">
        <v>484783957</v>
      </c>
      <c r="N50" s="903">
        <v>320968722</v>
      </c>
      <c r="O50" s="911">
        <v>34837417</v>
      </c>
      <c r="P50" s="903">
        <v>193711323</v>
      </c>
      <c r="Q50" s="2426" t="s">
        <v>110</v>
      </c>
      <c r="R50" s="2427" t="s">
        <v>69</v>
      </c>
      <c r="S50" s="2428">
        <v>1</v>
      </c>
      <c r="T50" s="2429">
        <v>39523</v>
      </c>
      <c r="U50" s="2430" t="s">
        <v>77</v>
      </c>
      <c r="V50" s="2430" t="s">
        <v>111</v>
      </c>
      <c r="W50" s="2337">
        <f ca="1">YEARFRAC(T50,W$6)</f>
        <v>6.1138888888888889</v>
      </c>
      <c r="X50" s="48">
        <v>38</v>
      </c>
    </row>
    <row r="51" spans="1:24" ht="12" customHeight="1">
      <c r="A51" s="48"/>
      <c r="B51" s="2037" t="s">
        <v>42</v>
      </c>
      <c r="C51" s="2054" t="s">
        <v>694</v>
      </c>
      <c r="D51" s="3305" t="s">
        <v>41</v>
      </c>
      <c r="E51" s="1125">
        <f>SUM(H51/H$11,I51/I$11,J51/J$11,K51/K$11,L51/L$11,M51/M$11,N51/N$11,O51/O$11,P51/P$11)/9*100</f>
        <v>118.58748592532822</v>
      </c>
      <c r="F51" s="2240">
        <f>1077+909+869+2104+1600+798+384+1339+1027</f>
        <v>10107</v>
      </c>
      <c r="G51" s="2244"/>
      <c r="H51" s="876">
        <v>76576376</v>
      </c>
      <c r="I51" s="854">
        <v>535503906</v>
      </c>
      <c r="J51" s="854">
        <v>486028153</v>
      </c>
      <c r="K51" s="854">
        <v>304551121</v>
      </c>
      <c r="L51" s="854">
        <v>494587185</v>
      </c>
      <c r="M51" s="854">
        <v>474923533</v>
      </c>
      <c r="N51" s="854">
        <v>349677414</v>
      </c>
      <c r="O51" s="908">
        <v>33730570</v>
      </c>
      <c r="P51" s="865">
        <v>193096414</v>
      </c>
      <c r="Q51" s="2338" t="s">
        <v>695</v>
      </c>
      <c r="R51" s="2394" t="s">
        <v>69</v>
      </c>
      <c r="S51" s="2339">
        <v>1</v>
      </c>
      <c r="T51" s="2340">
        <v>40908</v>
      </c>
      <c r="U51" s="2341" t="s">
        <v>75</v>
      </c>
      <c r="V51" s="2341" t="s">
        <v>1894</v>
      </c>
      <c r="W51" s="2342">
        <f ca="1">YEARFRAC(T51,W$6)</f>
        <v>2.3250000000000002</v>
      </c>
      <c r="X51" s="48"/>
    </row>
    <row r="52" spans="1:24" ht="12" customHeight="1">
      <c r="A52" s="48">
        <v>40</v>
      </c>
      <c r="B52" s="3203" t="s">
        <v>1431</v>
      </c>
      <c r="C52" s="3236" t="s">
        <v>1698</v>
      </c>
      <c r="D52" s="3307"/>
      <c r="E52" s="1125">
        <f>SUM(H52/H$11,I52/I$11,J52/J$11,K52/K$11,L52/L$11,M52/M$11,N52/N$11,O52/O$11,P52/P$11)/9*100</f>
        <v>118.88569192100391</v>
      </c>
      <c r="F52" s="2249">
        <f>999+4352+4221+2887+4297+3404+2998+595</f>
        <v>23753</v>
      </c>
      <c r="G52" s="3430"/>
      <c r="H52" s="864">
        <v>82086199</v>
      </c>
      <c r="I52" s="854">
        <v>488772424</v>
      </c>
      <c r="J52" s="854">
        <v>475960844</v>
      </c>
      <c r="K52" s="854">
        <v>298548015</v>
      </c>
      <c r="L52" s="854">
        <v>591134831</v>
      </c>
      <c r="M52" s="854">
        <v>491043803</v>
      </c>
      <c r="N52" s="854">
        <v>310841214</v>
      </c>
      <c r="O52" s="908">
        <v>37257475</v>
      </c>
      <c r="P52" s="854">
        <v>182328204</v>
      </c>
      <c r="Q52" s="2343" t="s">
        <v>137</v>
      </c>
      <c r="R52" s="2344" t="s">
        <v>69</v>
      </c>
      <c r="S52" s="2345">
        <v>1</v>
      </c>
      <c r="T52" s="2346">
        <v>37681</v>
      </c>
      <c r="U52" s="2347" t="s">
        <v>1761</v>
      </c>
      <c r="V52" s="2347" t="s">
        <v>798</v>
      </c>
      <c r="W52" s="2342">
        <f ca="1">YEARFRAC(T52,W$6)</f>
        <v>11.155555555555555</v>
      </c>
      <c r="X52" s="48">
        <v>40</v>
      </c>
    </row>
    <row r="53" spans="1:24" ht="12" customHeight="1">
      <c r="A53" s="48"/>
      <c r="B53" s="3214" t="s">
        <v>42</v>
      </c>
      <c r="C53" s="3263" t="s">
        <v>2094</v>
      </c>
      <c r="D53" s="3339"/>
      <c r="E53" s="1125">
        <f>SUM(H53/H$11,I53/I$11,J53/J$11,K53/K$11,L53/L$11,M53/M$11,N53/N$11,O53/O$11,P53/P$11)/9*100</f>
        <v>119.2731359032757</v>
      </c>
      <c r="F53" s="2246">
        <f>216.8+55.2+341.6+596.9+377.3+325.2+64.6+219.3+848.6</f>
        <v>3045.5</v>
      </c>
      <c r="G53" s="3453"/>
      <c r="H53" s="904">
        <v>85566387</v>
      </c>
      <c r="I53" s="905">
        <v>400864727</v>
      </c>
      <c r="J53" s="905">
        <v>481667787</v>
      </c>
      <c r="K53" s="905">
        <v>313282760</v>
      </c>
      <c r="L53" s="905">
        <v>574046330</v>
      </c>
      <c r="M53" s="905">
        <v>485433113</v>
      </c>
      <c r="N53" s="905">
        <v>297838031</v>
      </c>
      <c r="O53" s="910">
        <v>38728339</v>
      </c>
      <c r="P53" s="905">
        <v>215148334</v>
      </c>
      <c r="Q53" s="2436" t="s">
        <v>273</v>
      </c>
      <c r="R53" s="3557" t="s">
        <v>69</v>
      </c>
      <c r="S53" s="2435">
        <v>1</v>
      </c>
      <c r="T53" s="2437">
        <v>41615</v>
      </c>
      <c r="U53" s="2438" t="s">
        <v>108</v>
      </c>
      <c r="V53" s="2438" t="s">
        <v>2095</v>
      </c>
      <c r="W53" s="2420">
        <f ca="1">YEARFRAC(T53,W$6)</f>
        <v>0.3888888888888889</v>
      </c>
      <c r="X53" s="48"/>
    </row>
    <row r="54" spans="1:24" ht="12" customHeight="1">
      <c r="A54" s="48">
        <v>42</v>
      </c>
      <c r="B54" s="2233" t="s">
        <v>1431</v>
      </c>
      <c r="C54" s="2756" t="s">
        <v>1928</v>
      </c>
      <c r="D54" s="3308"/>
      <c r="E54" s="1125">
        <f>SUM(H54/H$11,I54/I$11,J54/J$11,K54/K$11,L54/L$11,M54/M$11,N54/N$11,O54/O$11,P54/P$11)/9*100</f>
        <v>119.31325153152382</v>
      </c>
      <c r="F54" s="2242">
        <f>79.2+43.8+349.7+261.5+349.2+285.6+43.2+34.9+219.9</f>
        <v>1667.0000000000002</v>
      </c>
      <c r="G54" s="2243"/>
      <c r="H54" s="907">
        <v>88961837</v>
      </c>
      <c r="I54" s="903">
        <v>384619601</v>
      </c>
      <c r="J54" s="903">
        <v>496852845</v>
      </c>
      <c r="K54" s="903">
        <v>319261810</v>
      </c>
      <c r="L54" s="903">
        <v>578923326</v>
      </c>
      <c r="M54" s="903">
        <v>486803989</v>
      </c>
      <c r="N54" s="903">
        <v>288721818</v>
      </c>
      <c r="O54" s="903">
        <v>38740607</v>
      </c>
      <c r="P54" s="903">
        <v>210064678</v>
      </c>
      <c r="Q54" s="2426" t="s">
        <v>119</v>
      </c>
      <c r="R54" s="2427" t="s">
        <v>69</v>
      </c>
      <c r="S54" s="2428">
        <v>1</v>
      </c>
      <c r="T54" s="2429">
        <v>41491</v>
      </c>
      <c r="U54" s="2430" t="s">
        <v>108</v>
      </c>
      <c r="V54" s="2430" t="s">
        <v>899</v>
      </c>
      <c r="W54" s="2337">
        <f ca="1">YEARFRAC(T54,W$6)</f>
        <v>0.72777777777777775</v>
      </c>
      <c r="X54" s="48">
        <v>42</v>
      </c>
    </row>
    <row r="55" spans="1:24" ht="12" customHeight="1">
      <c r="A55" s="48"/>
      <c r="B55" s="2238" t="s">
        <v>1431</v>
      </c>
      <c r="C55" s="3264" t="s">
        <v>1442</v>
      </c>
      <c r="D55" s="2209"/>
      <c r="E55" s="1125">
        <f>SUM(H55/H$11,I55/I$11,J55/J$11,K55/K$11,L55/L$11,M55/M$11,N55/N$11,O55/O$11,P55/P$11)/9*100</f>
        <v>119.33399253299899</v>
      </c>
      <c r="F55" s="3397">
        <f>94+15+67+321+409+355+49+42+345</f>
        <v>1697</v>
      </c>
      <c r="G55" s="3454"/>
      <c r="H55" s="864">
        <v>88961837</v>
      </c>
      <c r="I55" s="865">
        <v>384633518</v>
      </c>
      <c r="J55" s="854">
        <v>497660006</v>
      </c>
      <c r="K55" s="854">
        <v>319268847</v>
      </c>
      <c r="L55" s="854">
        <v>578923326</v>
      </c>
      <c r="M55" s="854">
        <v>486803989</v>
      </c>
      <c r="N55" s="854">
        <v>288721818</v>
      </c>
      <c r="O55" s="854">
        <v>38740447</v>
      </c>
      <c r="P55" s="3490">
        <v>210064678</v>
      </c>
      <c r="Q55" s="2381" t="s">
        <v>119</v>
      </c>
      <c r="R55" s="2382" t="s">
        <v>69</v>
      </c>
      <c r="S55" s="2383">
        <v>1</v>
      </c>
      <c r="T55" s="2384">
        <v>41246</v>
      </c>
      <c r="U55" s="2385" t="s">
        <v>108</v>
      </c>
      <c r="V55" s="2385" t="s">
        <v>899</v>
      </c>
      <c r="W55" s="2342">
        <f ca="1">YEARFRAC(T55,W$6)</f>
        <v>1.4</v>
      </c>
      <c r="X55" s="48"/>
    </row>
    <row r="56" spans="1:24" ht="12" customHeight="1">
      <c r="A56" s="48">
        <v>44</v>
      </c>
      <c r="B56" s="2206" t="s">
        <v>1431</v>
      </c>
      <c r="C56" s="2054" t="s">
        <v>1701</v>
      </c>
      <c r="D56" s="2237"/>
      <c r="E56" s="1125">
        <f>SUM(H56/H$11,I56/I$11,J56/J$11,K56/K$11,L56/L$11,M56/M$11,N56/N$11,O56/O$11,P56/P$11)/9*100</f>
        <v>119.62001906272204</v>
      </c>
      <c r="F56" s="2240">
        <f>366.8+1423.7+1196.6+1194.3+1174.9+981.2+1006.1+245.5+1204</f>
        <v>8793.0999999999985</v>
      </c>
      <c r="G56" s="2244"/>
      <c r="H56" s="864">
        <v>84008979</v>
      </c>
      <c r="I56" s="854">
        <v>396767348</v>
      </c>
      <c r="J56" s="854">
        <v>486843544</v>
      </c>
      <c r="K56" s="854">
        <v>330829476</v>
      </c>
      <c r="L56" s="854">
        <v>576204182</v>
      </c>
      <c r="M56" s="854">
        <v>486101118</v>
      </c>
      <c r="N56" s="854">
        <v>292738127</v>
      </c>
      <c r="O56" s="854">
        <v>38185525</v>
      </c>
      <c r="P56" s="854">
        <v>218104700</v>
      </c>
      <c r="Q56" s="2338" t="s">
        <v>91</v>
      </c>
      <c r="R56" s="2394" t="s">
        <v>69</v>
      </c>
      <c r="S56" s="2339">
        <v>1</v>
      </c>
      <c r="T56" s="2340">
        <v>38389</v>
      </c>
      <c r="U56" s="2341" t="s">
        <v>77</v>
      </c>
      <c r="V56" s="2341" t="s">
        <v>96</v>
      </c>
      <c r="W56" s="2342">
        <f ca="1">YEARFRAC(T56,W$6)</f>
        <v>9.2249999999999996</v>
      </c>
      <c r="X56" s="48">
        <v>44</v>
      </c>
    </row>
    <row r="57" spans="1:24" ht="12" customHeight="1">
      <c r="A57" s="48"/>
      <c r="B57" s="2652" t="s">
        <v>1431</v>
      </c>
      <c r="C57" s="2205" t="s">
        <v>1593</v>
      </c>
      <c r="D57" s="2768"/>
      <c r="E57" s="1125">
        <f>SUM(H57/H$11,I57/I$11,J57/J$11,K57/K$11,L57/L$11,M57/M$11,N57/N$11,O57/O$11,P57/P$11)/9*100</f>
        <v>119.92362652446849</v>
      </c>
      <c r="F57" s="3398">
        <f>118+353+316+153+577+467+246+196+253</f>
        <v>2679</v>
      </c>
      <c r="G57" s="3455"/>
      <c r="H57" s="1163">
        <v>95432555</v>
      </c>
      <c r="I57" s="1146">
        <v>403289660</v>
      </c>
      <c r="J57" s="3486">
        <v>484760105</v>
      </c>
      <c r="K57" s="3486">
        <v>271777543</v>
      </c>
      <c r="L57" s="1146">
        <v>585557564</v>
      </c>
      <c r="M57" s="1146">
        <v>452056163</v>
      </c>
      <c r="N57" s="3486">
        <v>344467525</v>
      </c>
      <c r="O57" s="1146">
        <v>39655270</v>
      </c>
      <c r="P57" s="3486">
        <v>200157791</v>
      </c>
      <c r="Q57" s="2816" t="s">
        <v>112</v>
      </c>
      <c r="R57" s="2738" t="s">
        <v>65</v>
      </c>
      <c r="S57" s="3601">
        <v>8</v>
      </c>
      <c r="T57" s="2855">
        <v>40217</v>
      </c>
      <c r="U57" s="2869" t="s">
        <v>80</v>
      </c>
      <c r="V57" s="2869" t="s">
        <v>1594</v>
      </c>
      <c r="W57" s="2305">
        <f ca="1">YEARFRAC(T57,W$6)</f>
        <v>4.2194444444444441</v>
      </c>
      <c r="X57" s="48"/>
    </row>
    <row r="58" spans="1:24" ht="12" customHeight="1">
      <c r="A58" s="48">
        <v>46</v>
      </c>
      <c r="B58" s="2040" t="s">
        <v>42</v>
      </c>
      <c r="C58" s="3235" t="s">
        <v>1699</v>
      </c>
      <c r="D58" s="3306"/>
      <c r="E58" s="1125">
        <f>SUM(H58/H$11,I58/I$11,J58/J$11,K58/K$11,L58/L$11,M58/M$11,N58/N$11,O58/O$11,P58/P$11)/9*100</f>
        <v>119.96753948768541</v>
      </c>
      <c r="F58" s="2245">
        <f>660.4+1364.2+1251+1520.6+1255.4+1054.9+1331.5+441.3+2291.8</f>
        <v>11171.099999999999</v>
      </c>
      <c r="G58" s="2798"/>
      <c r="H58" s="907">
        <v>84823247</v>
      </c>
      <c r="I58" s="1143">
        <v>515406343</v>
      </c>
      <c r="J58" s="1143">
        <v>485310639</v>
      </c>
      <c r="K58" s="1143">
        <v>299880731</v>
      </c>
      <c r="L58" s="1143">
        <v>576103500</v>
      </c>
      <c r="M58" s="1143">
        <v>484900652</v>
      </c>
      <c r="N58" s="1143">
        <v>343864694</v>
      </c>
      <c r="O58" s="1143">
        <v>33861762</v>
      </c>
      <c r="P58" s="1143">
        <v>179927192</v>
      </c>
      <c r="Q58" s="2306" t="s">
        <v>114</v>
      </c>
      <c r="R58" s="2686" t="s">
        <v>65</v>
      </c>
      <c r="S58" s="2307">
        <v>1</v>
      </c>
      <c r="T58" s="2308">
        <v>39683</v>
      </c>
      <c r="U58" s="2309" t="s">
        <v>66</v>
      </c>
      <c r="V58" s="2309" t="s">
        <v>115</v>
      </c>
      <c r="W58" s="2310">
        <f ca="1">YEARFRAC(T58,W$6)</f>
        <v>5.677777777777778</v>
      </c>
      <c r="X58" s="48">
        <v>46</v>
      </c>
    </row>
    <row r="59" spans="1:24" ht="12" customHeight="1">
      <c r="A59" s="48"/>
      <c r="B59" s="3215" t="s">
        <v>1431</v>
      </c>
      <c r="C59" s="3242" t="s">
        <v>946</v>
      </c>
      <c r="D59" s="3340"/>
      <c r="E59" s="1125">
        <f>SUM(H59/H$11,I59/I$11,J59/J$11,K59/K$11,L59/L$11,M59/M$11,N59/N$11,O59/O$11,P59/P$11)/9*100</f>
        <v>120.18950076246082</v>
      </c>
      <c r="F59" s="3399">
        <f>163+52+614+495+826+661+83+126+265</f>
        <v>3285</v>
      </c>
      <c r="G59" s="3456">
        <f>114+25+619+409+662+31+75+248</f>
        <v>2183</v>
      </c>
      <c r="H59" s="864">
        <v>92959368</v>
      </c>
      <c r="I59" s="854">
        <v>408872338</v>
      </c>
      <c r="J59" s="854">
        <v>487351765</v>
      </c>
      <c r="K59" s="854">
        <v>305582289</v>
      </c>
      <c r="L59" s="854">
        <v>592737914</v>
      </c>
      <c r="M59" s="854">
        <v>490590092</v>
      </c>
      <c r="N59" s="854">
        <v>319664733</v>
      </c>
      <c r="O59" s="854">
        <v>38238952</v>
      </c>
      <c r="P59" s="854">
        <v>192946122</v>
      </c>
      <c r="Q59" s="3521" t="s">
        <v>136</v>
      </c>
      <c r="R59" s="3558" t="s">
        <v>65</v>
      </c>
      <c r="S59" s="3602">
        <v>1</v>
      </c>
      <c r="T59" s="3644">
        <v>41069</v>
      </c>
      <c r="U59" s="3677" t="s">
        <v>75</v>
      </c>
      <c r="V59" s="3677" t="s">
        <v>903</v>
      </c>
      <c r="W59" s="3703">
        <f ca="1">YEARFRAC(T59,W$6)</f>
        <v>1.8833333333333333</v>
      </c>
      <c r="X59" s="48"/>
    </row>
    <row r="60" spans="1:24" ht="12" customHeight="1">
      <c r="A60" s="48">
        <v>48</v>
      </c>
      <c r="B60" s="2201" t="s">
        <v>42</v>
      </c>
      <c r="C60" s="2197" t="s">
        <v>2060</v>
      </c>
      <c r="D60" s="2038" t="s">
        <v>41</v>
      </c>
      <c r="E60" s="1125">
        <f>SUM(H60/H$11,I60/I$11,J60/J$11,K60/K$11,L60/L$11,M60/M$11,N60/N$11,O60/O$11,P60/P$11)/9*100</f>
        <v>120.59777402489659</v>
      </c>
      <c r="F60" s="2240">
        <f>40+136+149+143+174+138+131+20+138</f>
        <v>1069</v>
      </c>
      <c r="G60" s="2241">
        <f>26+91+105+74+128+80+74+11+61</f>
        <v>650</v>
      </c>
      <c r="H60" s="864">
        <v>106062384</v>
      </c>
      <c r="I60" s="854">
        <v>413460698</v>
      </c>
      <c r="J60" s="854">
        <v>504212594</v>
      </c>
      <c r="K60" s="854">
        <v>294567520</v>
      </c>
      <c r="L60" s="854">
        <v>585458040</v>
      </c>
      <c r="M60" s="854">
        <v>490817414</v>
      </c>
      <c r="N60" s="854">
        <v>324642920</v>
      </c>
      <c r="O60" s="854">
        <v>38190522</v>
      </c>
      <c r="P60" s="854">
        <v>167869306</v>
      </c>
      <c r="Q60" s="2338" t="s">
        <v>632</v>
      </c>
      <c r="R60" s="2434" t="s">
        <v>65</v>
      </c>
      <c r="S60" s="2395">
        <v>8</v>
      </c>
      <c r="T60" s="2340">
        <v>41098</v>
      </c>
      <c r="U60" s="2341" t="s">
        <v>75</v>
      </c>
      <c r="V60" s="3690" t="s">
        <v>2058</v>
      </c>
      <c r="W60" s="2342">
        <f ca="1">YEARFRAC(T60,W$6)</f>
        <v>1.8027777777777778</v>
      </c>
      <c r="X60" s="48">
        <v>48</v>
      </c>
    </row>
    <row r="61" spans="1:24" ht="12" customHeight="1">
      <c r="A61" s="48"/>
      <c r="B61" s="2039" t="s">
        <v>42</v>
      </c>
      <c r="C61" s="2669" t="s">
        <v>2061</v>
      </c>
      <c r="D61" s="2680" t="s">
        <v>41</v>
      </c>
      <c r="E61" s="1125">
        <f>SUM(H61/H$11,I61/I$11,J61/J$11,K61/K$11,L61/L$11,M61/M$11,N61/N$11,O61/O$11,P61/P$11)/9*100</f>
        <v>120.78965096307945</v>
      </c>
      <c r="F61" s="2246">
        <f>56+161+170+175+204+162+157+26+208</f>
        <v>1319</v>
      </c>
      <c r="G61" s="2248"/>
      <c r="H61" s="904">
        <v>105153385</v>
      </c>
      <c r="I61" s="905">
        <v>413450026</v>
      </c>
      <c r="J61" s="905">
        <v>504454068</v>
      </c>
      <c r="K61" s="905">
        <v>294567520</v>
      </c>
      <c r="L61" s="905">
        <v>585458040</v>
      </c>
      <c r="M61" s="905">
        <v>490817414</v>
      </c>
      <c r="N61" s="905">
        <v>324577856</v>
      </c>
      <c r="O61" s="905">
        <v>38261586</v>
      </c>
      <c r="P61" s="905">
        <v>172050326</v>
      </c>
      <c r="Q61" s="2436" t="s">
        <v>632</v>
      </c>
      <c r="R61" s="2685" t="s">
        <v>65</v>
      </c>
      <c r="S61" s="3603">
        <v>8</v>
      </c>
      <c r="T61" s="2437">
        <v>41098</v>
      </c>
      <c r="U61" s="2438" t="s">
        <v>75</v>
      </c>
      <c r="V61" s="2438" t="s">
        <v>2058</v>
      </c>
      <c r="W61" s="2420">
        <f ca="1">YEARFRAC(T61,W$6)</f>
        <v>1.8027777777777778</v>
      </c>
      <c r="X61" s="48"/>
    </row>
    <row r="62" spans="1:24" ht="12" customHeight="1">
      <c r="A62" s="48">
        <v>50</v>
      </c>
      <c r="B62" s="2040" t="s">
        <v>42</v>
      </c>
      <c r="C62" s="3235" t="s">
        <v>1642</v>
      </c>
      <c r="D62" s="3309"/>
      <c r="E62" s="1125">
        <f>SUM(H62/H$11,I62/I$11,J62/J$11,K62/K$11,L62/L$11,M62/M$11,N62/N$11,O62/O$11,P62/P$11)/9*100</f>
        <v>120.97694021133103</v>
      </c>
      <c r="F62" s="2242">
        <f>482+2037+0+1294+1548+1350+1456+203+1476</f>
        <v>9846</v>
      </c>
      <c r="G62" s="3429"/>
      <c r="H62" s="907">
        <v>88221049</v>
      </c>
      <c r="I62" s="903">
        <v>533737274</v>
      </c>
      <c r="J62" s="903">
        <v>477290425</v>
      </c>
      <c r="K62" s="903">
        <v>293893106</v>
      </c>
      <c r="L62" s="903">
        <v>581154502</v>
      </c>
      <c r="M62" s="903">
        <v>484626306</v>
      </c>
      <c r="N62" s="903">
        <v>316902047</v>
      </c>
      <c r="O62" s="903">
        <v>36384661</v>
      </c>
      <c r="P62" s="903">
        <v>185618928</v>
      </c>
      <c r="Q62" s="2426" t="s">
        <v>124</v>
      </c>
      <c r="R62" s="2427" t="s">
        <v>69</v>
      </c>
      <c r="S62" s="2428">
        <v>1</v>
      </c>
      <c r="T62" s="2429">
        <v>39118</v>
      </c>
      <c r="U62" s="2430" t="s">
        <v>75</v>
      </c>
      <c r="V62" s="2430" t="s">
        <v>125</v>
      </c>
      <c r="W62" s="2337">
        <f ca="1">YEARFRAC(T62,W$6)</f>
        <v>7.2277777777777779</v>
      </c>
      <c r="X62" s="48">
        <v>50</v>
      </c>
    </row>
    <row r="63" spans="1:24" ht="12" customHeight="1">
      <c r="A63" s="48"/>
      <c r="B63" s="2037" t="s">
        <v>42</v>
      </c>
      <c r="C63" s="2054" t="s">
        <v>1901</v>
      </c>
      <c r="D63" s="3341"/>
      <c r="E63" s="1125">
        <f>SUM(H63/H$11,I63/I$11,J63/J$11,K63/K$11,L63/L$11,M63/M$11,N63/N$11,O63/O$11,P63/P$11)/9*100+(F63/5000)</f>
        <v>121.0821868108563</v>
      </c>
      <c r="F63" s="2240">
        <f>750+4278+3393+2237+4470+3765+1456+303+1775</f>
        <v>22427</v>
      </c>
      <c r="G63" s="2683">
        <f>803+0+0+2448+4752+4004+1413+296+1713</f>
        <v>15429</v>
      </c>
      <c r="H63" s="864">
        <v>85932151</v>
      </c>
      <c r="I63" s="865">
        <v>510674710</v>
      </c>
      <c r="J63" s="854">
        <v>478413959</v>
      </c>
      <c r="K63" s="854">
        <v>286529751</v>
      </c>
      <c r="L63" s="854">
        <v>582155671</v>
      </c>
      <c r="M63" s="854">
        <v>486867113</v>
      </c>
      <c r="N63" s="854">
        <v>318828729</v>
      </c>
      <c r="O63" s="854">
        <v>33346449</v>
      </c>
      <c r="P63" s="854">
        <v>158192202</v>
      </c>
      <c r="Q63" s="2338" t="s">
        <v>104</v>
      </c>
      <c r="R63" s="2394" t="s">
        <v>69</v>
      </c>
      <c r="S63" s="2339">
        <v>1</v>
      </c>
      <c r="T63" s="2340">
        <v>37376</v>
      </c>
      <c r="U63" s="2341" t="s">
        <v>75</v>
      </c>
      <c r="V63" s="2341" t="s">
        <v>105</v>
      </c>
      <c r="W63" s="2342">
        <f ca="1">YEARFRAC(T63,W$6)</f>
        <v>11.991666666666667</v>
      </c>
      <c r="X63" s="48"/>
    </row>
    <row r="64" spans="1:24" ht="12" customHeight="1">
      <c r="A64" s="48">
        <v>52</v>
      </c>
      <c r="B64" s="2037" t="s">
        <v>42</v>
      </c>
      <c r="C64" s="3237" t="s">
        <v>700</v>
      </c>
      <c r="D64" s="2769" t="s">
        <v>41</v>
      </c>
      <c r="E64" s="1125">
        <f>SUM(H64/H$11,I64/I$11,J64/J$11,K64/K$11,L64/L$11,M64/M$11,N64/N$11,O64/O$11,P64/P$11)/9*100</f>
        <v>121.31154424467991</v>
      </c>
      <c r="F64" s="2249">
        <f>168+202+196+194+219+122+27+68+91.7</f>
        <v>1287.7</v>
      </c>
      <c r="G64" s="2244"/>
      <c r="H64" s="864">
        <v>108172356</v>
      </c>
      <c r="I64" s="854">
        <v>412185160</v>
      </c>
      <c r="J64" s="854">
        <v>507255944</v>
      </c>
      <c r="K64" s="854">
        <v>300897766</v>
      </c>
      <c r="L64" s="854">
        <v>581534528</v>
      </c>
      <c r="M64" s="854">
        <v>484920043</v>
      </c>
      <c r="N64" s="854">
        <v>324387750</v>
      </c>
      <c r="O64" s="854">
        <v>38202132</v>
      </c>
      <c r="P64" s="854">
        <v>172066806</v>
      </c>
      <c r="Q64" s="2338" t="s">
        <v>632</v>
      </c>
      <c r="R64" s="2434" t="s">
        <v>65</v>
      </c>
      <c r="S64" s="2395">
        <v>8</v>
      </c>
      <c r="T64" s="2340">
        <v>41098</v>
      </c>
      <c r="U64" s="2341" t="s">
        <v>75</v>
      </c>
      <c r="V64" s="2341" t="s">
        <v>2059</v>
      </c>
      <c r="W64" s="2342">
        <f ca="1">YEARFRAC(T64,W$6)</f>
        <v>1.8027777777777778</v>
      </c>
      <c r="X64" s="48">
        <v>52</v>
      </c>
    </row>
    <row r="65" spans="1:24" ht="12" customHeight="1">
      <c r="A65" s="48"/>
      <c r="B65" s="2039" t="s">
        <v>42</v>
      </c>
      <c r="C65" s="2222" t="s">
        <v>1700</v>
      </c>
      <c r="D65" s="2052"/>
      <c r="E65" s="1125">
        <f>SUM(H65/H$11,I65/I$11,J65/J$11,K65/K$11,L65/L$11,M65/M$11,N65/N$11,O65/O$11,P65/P$11)/9*100</f>
        <v>121.3257418015931</v>
      </c>
      <c r="F65" s="3400"/>
      <c r="G65" s="2248"/>
      <c r="H65" s="912">
        <v>98816831</v>
      </c>
      <c r="I65" s="909">
        <v>502115581</v>
      </c>
      <c r="J65" s="909">
        <v>492083648</v>
      </c>
      <c r="K65" s="909">
        <v>293705230</v>
      </c>
      <c r="L65" s="909">
        <v>582751906</v>
      </c>
      <c r="M65" s="909">
        <v>485502585</v>
      </c>
      <c r="N65" s="905">
        <v>306869116</v>
      </c>
      <c r="O65" s="909">
        <v>38309760</v>
      </c>
      <c r="P65" s="909">
        <v>171545984</v>
      </c>
      <c r="Q65" s="2436" t="s">
        <v>123</v>
      </c>
      <c r="R65" s="2439" t="s">
        <v>69</v>
      </c>
      <c r="S65" s="2435">
        <v>1</v>
      </c>
      <c r="T65" s="2437">
        <v>39629</v>
      </c>
      <c r="U65" s="2438" t="s">
        <v>77</v>
      </c>
      <c r="V65" s="2438" t="s">
        <v>795</v>
      </c>
      <c r="W65" s="2420">
        <f ca="1">YEARFRAC(T65,W$6)</f>
        <v>5.8250000000000002</v>
      </c>
      <c r="X65" s="48"/>
    </row>
    <row r="66" spans="1:24" ht="12" customHeight="1">
      <c r="A66" s="48">
        <v>54</v>
      </c>
      <c r="B66" s="2040" t="s">
        <v>42</v>
      </c>
      <c r="C66" s="2060" t="s">
        <v>1641</v>
      </c>
      <c r="D66" s="2769" t="s">
        <v>41</v>
      </c>
      <c r="E66" s="1125">
        <f>SUM(H66/H$11,I66/I$11,J66/J$11,K66/K$11,L66/L$11,M66/M$11,N66/N$11,O66/O$11,P66/P$11)/9*100</f>
        <v>121.35443548301039</v>
      </c>
      <c r="F66" s="2242">
        <f>122+515+487+396+548+477+475+51+359</f>
        <v>3430</v>
      </c>
      <c r="G66" s="2243"/>
      <c r="H66" s="907">
        <v>90121506</v>
      </c>
      <c r="I66" s="903">
        <v>430775908</v>
      </c>
      <c r="J66" s="903">
        <v>489930019</v>
      </c>
      <c r="K66" s="903">
        <v>315898262</v>
      </c>
      <c r="L66" s="903">
        <v>578386352</v>
      </c>
      <c r="M66" s="903">
        <v>485829975</v>
      </c>
      <c r="N66" s="903">
        <v>323753445</v>
      </c>
      <c r="O66" s="903">
        <v>37803252</v>
      </c>
      <c r="P66" s="903">
        <v>204385085</v>
      </c>
      <c r="Q66" s="2426" t="s">
        <v>106</v>
      </c>
      <c r="R66" s="2427" t="s">
        <v>69</v>
      </c>
      <c r="S66" s="2428">
        <v>1</v>
      </c>
      <c r="T66" s="2429">
        <v>39148</v>
      </c>
      <c r="U66" s="2430" t="s">
        <v>75</v>
      </c>
      <c r="V66" s="2430" t="s">
        <v>107</v>
      </c>
      <c r="W66" s="2337">
        <f ca="1">YEARFRAC(T66,W$6)</f>
        <v>7.1388888888888893</v>
      </c>
      <c r="X66" s="48">
        <v>54</v>
      </c>
    </row>
    <row r="67" spans="1:24" ht="12" customHeight="1">
      <c r="A67" s="48"/>
      <c r="B67" s="2216" t="s">
        <v>1431</v>
      </c>
      <c r="C67" s="2197" t="s">
        <v>158</v>
      </c>
      <c r="D67" s="3342"/>
      <c r="E67" s="1125">
        <f>SUM(H67/H$11,I67/I$11,J67/J$11,K67/K$11,L67/L$11,M67/M$11,N67/N$11,O67/O$11,P67/P$11)/9*100</f>
        <v>121.50288200392426</v>
      </c>
      <c r="F67" s="3370"/>
      <c r="G67" s="3457"/>
      <c r="H67" s="876">
        <v>101856759</v>
      </c>
      <c r="I67" s="865">
        <v>407913955</v>
      </c>
      <c r="J67" s="865">
        <v>491460126</v>
      </c>
      <c r="K67" s="865">
        <v>308122202</v>
      </c>
      <c r="L67" s="865">
        <v>590693341</v>
      </c>
      <c r="M67" s="865">
        <v>489051945</v>
      </c>
      <c r="N67" s="854">
        <v>311183180</v>
      </c>
      <c r="O67" s="865">
        <v>37513145</v>
      </c>
      <c r="P67" s="865">
        <v>198221614</v>
      </c>
      <c r="Q67" s="2376" t="s">
        <v>159</v>
      </c>
      <c r="R67" s="2377" t="s">
        <v>69</v>
      </c>
      <c r="S67" s="2378">
        <v>1</v>
      </c>
      <c r="T67" s="2379">
        <v>37891</v>
      </c>
      <c r="U67" s="2380" t="s">
        <v>160</v>
      </c>
      <c r="V67" s="2380" t="s">
        <v>797</v>
      </c>
      <c r="W67" s="2342">
        <f ca="1">YEARFRAC(T67,W$6)</f>
        <v>10.583333333333334</v>
      </c>
      <c r="X67" s="48"/>
    </row>
    <row r="68" spans="1:24" ht="12" customHeight="1">
      <c r="A68" s="48">
        <v>56</v>
      </c>
      <c r="B68" s="2037" t="s">
        <v>42</v>
      </c>
      <c r="C68" s="3238" t="s">
        <v>1702</v>
      </c>
      <c r="D68" s="2237"/>
      <c r="E68" s="1125">
        <f>SUM(H68/H$11,I68/I$11,J68/J$11,K68/K$11,L68/L$11,M68/M$11,N68/N$11,O68/O$11,P68/P$11)/9*100</f>
        <v>122.2491629498454</v>
      </c>
      <c r="F68" s="3366"/>
      <c r="G68" s="2251"/>
      <c r="H68" s="876">
        <v>97991972</v>
      </c>
      <c r="I68" s="865">
        <v>526871036</v>
      </c>
      <c r="J68" s="865">
        <v>467663215</v>
      </c>
      <c r="K68" s="865">
        <v>297266236</v>
      </c>
      <c r="L68" s="865">
        <v>583452991</v>
      </c>
      <c r="M68" s="865">
        <v>483739655</v>
      </c>
      <c r="N68" s="854">
        <v>300975553</v>
      </c>
      <c r="O68" s="865">
        <v>38031300</v>
      </c>
      <c r="P68" s="1519">
        <v>186228420</v>
      </c>
      <c r="Q68" s="2343" t="s">
        <v>123</v>
      </c>
      <c r="R68" s="2344" t="s">
        <v>69</v>
      </c>
      <c r="S68" s="2345">
        <v>1</v>
      </c>
      <c r="T68" s="2340">
        <v>39629</v>
      </c>
      <c r="U68" s="2341" t="s">
        <v>77</v>
      </c>
      <c r="V68" s="2341" t="s">
        <v>795</v>
      </c>
      <c r="W68" s="2342">
        <f ca="1">YEARFRAC(T68,W$6)</f>
        <v>5.8250000000000002</v>
      </c>
      <c r="X68" s="48">
        <v>56</v>
      </c>
    </row>
    <row r="69" spans="1:24" ht="12" customHeight="1">
      <c r="A69" s="48"/>
      <c r="B69" s="3216" t="s">
        <v>1431</v>
      </c>
      <c r="C69" s="3265" t="s">
        <v>945</v>
      </c>
      <c r="D69" s="3343"/>
      <c r="E69" s="1125">
        <f>SUM(H69/H$11,I69/I$11,J69/J$11,K69/K$11,L69/L$11,M69/M$11,N69/N$11,O69/O$11,P69/P$11)/9*100</f>
        <v>122.58816940125983</v>
      </c>
      <c r="F69" s="2246">
        <f>76+58+72+246+40+39+83+105+194</f>
        <v>913</v>
      </c>
      <c r="G69" s="2247">
        <f>27+28+20+184+16+13+29+57+148</f>
        <v>522</v>
      </c>
      <c r="H69" s="904">
        <v>93212800</v>
      </c>
      <c r="I69" s="905">
        <v>409067261</v>
      </c>
      <c r="J69" s="905">
        <v>510033127</v>
      </c>
      <c r="K69" s="905">
        <v>307792311</v>
      </c>
      <c r="L69" s="905">
        <v>583840363</v>
      </c>
      <c r="M69" s="905">
        <v>487787256</v>
      </c>
      <c r="N69" s="905">
        <v>321392802</v>
      </c>
      <c r="O69" s="905">
        <v>38231702</v>
      </c>
      <c r="P69" s="905">
        <v>218410260</v>
      </c>
      <c r="Q69" s="2415" t="s">
        <v>136</v>
      </c>
      <c r="R69" s="3559" t="s">
        <v>65</v>
      </c>
      <c r="S69" s="3604">
        <v>8</v>
      </c>
      <c r="T69" s="2418">
        <v>41032</v>
      </c>
      <c r="U69" s="2419" t="s">
        <v>75</v>
      </c>
      <c r="V69" s="2419" t="s">
        <v>904</v>
      </c>
      <c r="W69" s="2420">
        <f ca="1">YEARFRAC(T69,W$6)</f>
        <v>1.9833333333333334</v>
      </c>
      <c r="X69" s="48"/>
    </row>
    <row r="70" spans="1:24" ht="12" customHeight="1">
      <c r="A70" s="48">
        <v>58</v>
      </c>
      <c r="B70" s="3204" t="s">
        <v>1431</v>
      </c>
      <c r="C70" s="2219" t="s">
        <v>791</v>
      </c>
      <c r="D70" s="3310" t="s">
        <v>41</v>
      </c>
      <c r="E70" s="1125">
        <f>SUM(H70/H$11,I70/I$11,J70/J$11,K70/K$11,L70/L$11,M70/M$11,N70/N$11,O70/O$11,P70/P$11)/9*100</f>
        <v>122.683695593617</v>
      </c>
      <c r="F70" s="2786"/>
      <c r="G70" s="2799"/>
      <c r="H70" s="1127">
        <v>96006788</v>
      </c>
      <c r="I70" s="1128">
        <v>551429377</v>
      </c>
      <c r="J70" s="1128">
        <v>486258767</v>
      </c>
      <c r="K70" s="1141">
        <v>298267270</v>
      </c>
      <c r="L70" s="1128">
        <v>593584313</v>
      </c>
      <c r="M70" s="1141">
        <v>488392823</v>
      </c>
      <c r="N70" s="1128">
        <v>325177589</v>
      </c>
      <c r="O70" s="1128">
        <v>36045184</v>
      </c>
      <c r="P70" s="3497">
        <v>170393336</v>
      </c>
      <c r="Q70" s="2817" t="s">
        <v>147</v>
      </c>
      <c r="R70" s="2830" t="s">
        <v>69</v>
      </c>
      <c r="S70" s="2843">
        <v>1</v>
      </c>
      <c r="T70" s="3625">
        <v>38618</v>
      </c>
      <c r="U70" s="3662" t="s">
        <v>75</v>
      </c>
      <c r="V70" s="3662" t="s">
        <v>148</v>
      </c>
      <c r="W70" s="2440">
        <f ca="1">YEARFRAC(T70,W$6)</f>
        <v>8.594444444444445</v>
      </c>
      <c r="X70" s="48">
        <v>58</v>
      </c>
    </row>
    <row r="71" spans="1:24" ht="12" customHeight="1">
      <c r="A71" s="48"/>
      <c r="B71" s="3217" t="s">
        <v>1431</v>
      </c>
      <c r="C71" s="3266" t="s">
        <v>133</v>
      </c>
      <c r="D71" s="3344"/>
      <c r="E71" s="1125">
        <f>SUM(H71/H$11,I71/I$11,J71/J$11,K71/K$11,L71/L$11,M71/M$11,N71/N$11,O71/O$11,P71/P$11)/9*100</f>
        <v>122.92189077113918</v>
      </c>
      <c r="F71" s="3401">
        <f>157+194+305+68+203+112+304+380+281</f>
        <v>2004</v>
      </c>
      <c r="G71" s="3458"/>
      <c r="H71" s="1144">
        <v>111059712</v>
      </c>
      <c r="I71" s="1145">
        <v>399127808</v>
      </c>
      <c r="J71" s="1145">
        <v>460377360</v>
      </c>
      <c r="K71" s="1145">
        <v>309172160</v>
      </c>
      <c r="L71" s="1145">
        <v>588457568</v>
      </c>
      <c r="M71" s="1145">
        <v>483831216</v>
      </c>
      <c r="N71" s="1146">
        <v>297893488</v>
      </c>
      <c r="O71" s="1145">
        <v>39694096</v>
      </c>
      <c r="P71" s="1145">
        <v>210053344</v>
      </c>
      <c r="Q71" s="2431" t="s">
        <v>134</v>
      </c>
      <c r="R71" s="2432" t="s">
        <v>69</v>
      </c>
      <c r="S71" s="2740">
        <v>1</v>
      </c>
      <c r="T71" s="2741">
        <v>38200</v>
      </c>
      <c r="U71" s="2433" t="s">
        <v>135</v>
      </c>
      <c r="V71" s="2433" t="s">
        <v>102</v>
      </c>
      <c r="W71" s="2305">
        <f ca="1">YEARFRAC(T71,W$6)</f>
        <v>9.7388888888888889</v>
      </c>
      <c r="X71" s="48"/>
    </row>
    <row r="72" spans="1:24" ht="12" customHeight="1">
      <c r="A72" s="48">
        <v>60</v>
      </c>
      <c r="B72" s="2040" t="s">
        <v>42</v>
      </c>
      <c r="C72" s="2060" t="s">
        <v>1905</v>
      </c>
      <c r="D72" s="2770"/>
      <c r="E72" s="1125">
        <f>SUM(H72/H$11,I72/I$11,J72/J$11,K72/K$11,L72/L$11,M72/M$11,N72/N$11,O72/O$11,P72/P$11)/9*100</f>
        <v>122.97752119728531</v>
      </c>
      <c r="F72" s="3367">
        <f>135+74+169+321+84+85+100+392+95</f>
        <v>1455</v>
      </c>
      <c r="G72" s="2798"/>
      <c r="H72" s="907">
        <v>96926596</v>
      </c>
      <c r="I72" s="1143">
        <v>401535701</v>
      </c>
      <c r="J72" s="1143">
        <v>494529097</v>
      </c>
      <c r="K72" s="1143">
        <v>322515123</v>
      </c>
      <c r="L72" s="1143">
        <v>596487480</v>
      </c>
      <c r="M72" s="1143">
        <v>487188193</v>
      </c>
      <c r="N72" s="1143">
        <v>301389949</v>
      </c>
      <c r="O72" s="1143">
        <v>40203453</v>
      </c>
      <c r="P72" s="1143">
        <v>213795355</v>
      </c>
      <c r="Q72" s="2306" t="s">
        <v>633</v>
      </c>
      <c r="R72" s="2330" t="s">
        <v>69</v>
      </c>
      <c r="S72" s="2307">
        <v>1</v>
      </c>
      <c r="T72" s="2308">
        <v>40912</v>
      </c>
      <c r="U72" s="2309" t="s">
        <v>108</v>
      </c>
      <c r="V72" s="2309" t="s">
        <v>634</v>
      </c>
      <c r="W72" s="2310">
        <f ca="1">YEARFRAC(T72,W$6)</f>
        <v>2.3138888888888891</v>
      </c>
      <c r="X72" s="48">
        <v>60</v>
      </c>
    </row>
    <row r="73" spans="1:24" ht="12" customHeight="1">
      <c r="A73" s="48"/>
      <c r="B73" s="3218" t="s">
        <v>1431</v>
      </c>
      <c r="C73" s="3267" t="s">
        <v>1435</v>
      </c>
      <c r="D73" s="2235" t="s">
        <v>41</v>
      </c>
      <c r="E73" s="1125">
        <f>SUM(H73/H$11,I73/I$11,J73/J$11,K73/K$11,L73/L$11,M73/M$11,N73/N$11,O73/O$11,P73/P$11)/9*100</f>
        <v>123.09527501834074</v>
      </c>
      <c r="F73" s="3402"/>
      <c r="G73" s="3459"/>
      <c r="H73" s="1009">
        <v>79557116</v>
      </c>
      <c r="I73" s="1009">
        <v>543048858</v>
      </c>
      <c r="J73" s="1009">
        <v>499251222</v>
      </c>
      <c r="K73" s="1002">
        <v>321073660</v>
      </c>
      <c r="L73" s="1009">
        <v>577113799</v>
      </c>
      <c r="M73" s="1009">
        <v>487604108</v>
      </c>
      <c r="N73" s="1002">
        <v>366073941</v>
      </c>
      <c r="O73" s="1009">
        <v>36178823</v>
      </c>
      <c r="P73" s="1009">
        <v>179928850</v>
      </c>
      <c r="Q73" s="2662" t="s">
        <v>89</v>
      </c>
      <c r="R73" s="3560" t="s">
        <v>65</v>
      </c>
      <c r="S73" s="3605">
        <v>2</v>
      </c>
      <c r="T73" s="2666">
        <v>40435</v>
      </c>
      <c r="U73" s="2668" t="s">
        <v>75</v>
      </c>
      <c r="V73" s="2668" t="s">
        <v>657</v>
      </c>
      <c r="W73" s="2441">
        <f ca="1">YEARFRAC(T73,W$6)</f>
        <v>3.6194444444444445</v>
      </c>
      <c r="X73" s="48"/>
    </row>
    <row r="74" spans="1:24" ht="12" customHeight="1">
      <c r="A74" s="48">
        <v>62</v>
      </c>
      <c r="B74" s="2201" t="s">
        <v>42</v>
      </c>
      <c r="C74" s="2688" t="s">
        <v>1643</v>
      </c>
      <c r="D74" s="2235"/>
      <c r="E74" s="1125">
        <f>SUM(H74/H$11,I74/I$11,J74/J$11,K74/K$11,L74/L$11,M74/M$11,N74/N$11,O74/O$11,P74/P$11)/9*100</f>
        <v>123.6056768313691</v>
      </c>
      <c r="F74" s="2250">
        <f>109.4+333.7+240.3+267.8+311.5+243.5+245.4+55.4+329.9</f>
        <v>2136.9</v>
      </c>
      <c r="G74" s="2244"/>
      <c r="H74" s="1009">
        <v>109064976</v>
      </c>
      <c r="I74" s="1009">
        <v>499127439</v>
      </c>
      <c r="J74" s="1009">
        <v>499199461</v>
      </c>
      <c r="K74" s="1002">
        <v>297005032</v>
      </c>
      <c r="L74" s="1002">
        <v>591413505</v>
      </c>
      <c r="M74" s="1002">
        <v>487250991</v>
      </c>
      <c r="N74" s="1002">
        <v>308769405</v>
      </c>
      <c r="O74" s="1002">
        <v>39017441</v>
      </c>
      <c r="P74" s="2812">
        <v>169142589</v>
      </c>
      <c r="Q74" s="2443" t="s">
        <v>144</v>
      </c>
      <c r="R74" s="2444" t="s">
        <v>69</v>
      </c>
      <c r="S74" s="2445">
        <v>1</v>
      </c>
      <c r="T74" s="2446">
        <v>41448</v>
      </c>
      <c r="U74" s="2447" t="s">
        <v>75</v>
      </c>
      <c r="V74" s="2447" t="s">
        <v>1640</v>
      </c>
      <c r="W74" s="2441">
        <f ca="1">YEARFRAC(T74,W$6)</f>
        <v>0.84444444444444444</v>
      </c>
      <c r="X74" s="48">
        <v>62</v>
      </c>
    </row>
    <row r="75" spans="1:24" ht="12" customHeight="1">
      <c r="A75" s="48"/>
      <c r="B75" s="2653" t="s">
        <v>42</v>
      </c>
      <c r="C75" s="2757" t="s">
        <v>672</v>
      </c>
      <c r="D75" s="2670" t="s">
        <v>41</v>
      </c>
      <c r="E75" s="1125">
        <f>SUM(H75/H$11,I75/I$11,J75/J$11,K75/K$11,L75/L$11,M75/M$11,N75/N$11,O75/O$11,P75/P$11)/9*100</f>
        <v>123.68326277483447</v>
      </c>
      <c r="F75" s="2787"/>
      <c r="G75" s="2800"/>
      <c r="H75" s="1005">
        <v>86206329</v>
      </c>
      <c r="I75" s="1005">
        <v>532637848</v>
      </c>
      <c r="J75" s="1005">
        <v>488712409</v>
      </c>
      <c r="K75" s="1005">
        <v>305744176</v>
      </c>
      <c r="L75" s="1005">
        <v>576224449</v>
      </c>
      <c r="M75" s="1005">
        <v>484247497</v>
      </c>
      <c r="N75" s="1005">
        <v>361554908</v>
      </c>
      <c r="O75" s="1005">
        <v>35717780</v>
      </c>
      <c r="P75" s="3501">
        <v>196089049</v>
      </c>
      <c r="Q75" s="2818" t="s">
        <v>669</v>
      </c>
      <c r="R75" s="2831" t="s">
        <v>69</v>
      </c>
      <c r="S75" s="2844">
        <v>1</v>
      </c>
      <c r="T75" s="2856">
        <v>40540</v>
      </c>
      <c r="U75" s="2870" t="s">
        <v>75</v>
      </c>
      <c r="V75" s="2870" t="s">
        <v>671</v>
      </c>
      <c r="W75" s="2442">
        <f ca="1">YEARFRAC(T75,W$6)</f>
        <v>3.3305555555555557</v>
      </c>
      <c r="X75" s="48"/>
    </row>
    <row r="76" spans="1:24" ht="12" customHeight="1">
      <c r="A76" s="48">
        <v>64</v>
      </c>
      <c r="B76" s="2037" t="s">
        <v>42</v>
      </c>
      <c r="C76" s="2049" t="s">
        <v>918</v>
      </c>
      <c r="D76" s="2235"/>
      <c r="E76" s="1125">
        <f>SUM(H76/H$11,I76/I$11,J76/J$11,K76/K$11,L76/L$11,M76/M$11,N76/N$11,O76/O$11,P76/P$11)/9*100</f>
        <v>123.72660115577938</v>
      </c>
      <c r="F76" s="3368">
        <f>1428+2265+1983+1893+1546+1053+4641+505+1795</f>
        <v>17109</v>
      </c>
      <c r="G76" s="3431"/>
      <c r="H76" s="1009">
        <v>108106941</v>
      </c>
      <c r="I76" s="998">
        <v>514242745</v>
      </c>
      <c r="J76" s="998">
        <v>479925123</v>
      </c>
      <c r="K76" s="998">
        <v>299022344</v>
      </c>
      <c r="L76" s="998">
        <v>588953967</v>
      </c>
      <c r="M76" s="998">
        <v>485035191</v>
      </c>
      <c r="N76" s="994">
        <v>303250005</v>
      </c>
      <c r="O76" s="998">
        <v>38867037</v>
      </c>
      <c r="P76" s="3498">
        <v>176930184</v>
      </c>
      <c r="Q76" s="2819" t="s">
        <v>919</v>
      </c>
      <c r="R76" s="2832" t="s">
        <v>69</v>
      </c>
      <c r="S76" s="2845">
        <v>1</v>
      </c>
      <c r="T76" s="2857">
        <v>38960</v>
      </c>
      <c r="U76" s="2871" t="s">
        <v>80</v>
      </c>
      <c r="V76" s="2871" t="s">
        <v>163</v>
      </c>
      <c r="W76" s="2441">
        <f ca="1">YEARFRAC(T76,W$6)</f>
        <v>7.6583333333333332</v>
      </c>
      <c r="X76" s="48">
        <v>64</v>
      </c>
    </row>
    <row r="77" spans="1:24" ht="12" customHeight="1">
      <c r="A77" s="48"/>
      <c r="B77" s="2746" t="s">
        <v>42</v>
      </c>
      <c r="C77" s="3268" t="s">
        <v>771</v>
      </c>
      <c r="D77" s="3345"/>
      <c r="E77" s="1125">
        <f>SUM(H77/H$11,I77/I$11,J77/J$11,K77/K$11,L77/L$11,M77/M$11,N77/N$11,O77/O$11,P77/P$11)/9*100</f>
        <v>123.88802115551798</v>
      </c>
      <c r="F77" s="3403">
        <f>459.2+780+693+459.4+630.2+272.5+94.1+687.9+582.1</f>
        <v>4658.4000000000005</v>
      </c>
      <c r="G77" s="3460"/>
      <c r="H77" s="1010">
        <v>107096473</v>
      </c>
      <c r="I77" s="1011">
        <v>517633014</v>
      </c>
      <c r="J77" s="1011">
        <v>505470065</v>
      </c>
      <c r="K77" s="1011">
        <v>296483301</v>
      </c>
      <c r="L77" s="1011">
        <v>589660415</v>
      </c>
      <c r="M77" s="1011">
        <v>489144884</v>
      </c>
      <c r="N77" s="1006">
        <v>319356247</v>
      </c>
      <c r="O77" s="1011">
        <v>37819153</v>
      </c>
      <c r="P77" s="1011">
        <v>167169555</v>
      </c>
      <c r="Q77" s="2672" t="s">
        <v>162</v>
      </c>
      <c r="R77" s="3561" t="s">
        <v>69</v>
      </c>
      <c r="S77" s="3606">
        <v>1</v>
      </c>
      <c r="T77" s="2676">
        <v>40840</v>
      </c>
      <c r="U77" s="2677" t="s">
        <v>80</v>
      </c>
      <c r="V77" s="2677" t="s">
        <v>163</v>
      </c>
      <c r="W77" s="2442">
        <f ca="1">YEARFRAC(T77,W$6)</f>
        <v>2.5083333333333333</v>
      </c>
      <c r="X77" s="48"/>
    </row>
    <row r="78" spans="1:24" ht="12" customHeight="1">
      <c r="A78" s="48">
        <v>66</v>
      </c>
      <c r="B78" s="2040" t="s">
        <v>42</v>
      </c>
      <c r="C78" s="2060" t="s">
        <v>776</v>
      </c>
      <c r="D78" s="3311"/>
      <c r="E78" s="1125">
        <f>SUM(H78/H$11,I78/I$11,J78/J$11,K78/K$11,L78/L$11,M78/M$11,N78/N$11,O78/O$11,P78/P$11)/9*100</f>
        <v>124.09877132781202</v>
      </c>
      <c r="F78" s="3369"/>
      <c r="G78" s="2798"/>
      <c r="H78" s="907">
        <v>96927521</v>
      </c>
      <c r="I78" s="997">
        <v>549847725</v>
      </c>
      <c r="J78" s="997">
        <v>493046240</v>
      </c>
      <c r="K78" s="997">
        <v>296677240</v>
      </c>
      <c r="L78" s="997">
        <v>590076036</v>
      </c>
      <c r="M78" s="997">
        <v>491288116</v>
      </c>
      <c r="N78" s="997">
        <v>336818689</v>
      </c>
      <c r="O78" s="997">
        <v>37054168</v>
      </c>
      <c r="P78" s="997">
        <v>175321640</v>
      </c>
      <c r="Q78" s="2820" t="s">
        <v>189</v>
      </c>
      <c r="R78" s="2833" t="s">
        <v>69</v>
      </c>
      <c r="S78" s="2846">
        <v>1</v>
      </c>
      <c r="T78" s="2858">
        <v>39791</v>
      </c>
      <c r="U78" s="2872" t="s">
        <v>75</v>
      </c>
      <c r="V78" s="2872" t="s">
        <v>656</v>
      </c>
      <c r="W78" s="2448">
        <f ca="1">YEARFRAC(T78,W$6)</f>
        <v>5.3833333333333337</v>
      </c>
      <c r="X78" s="48">
        <v>66</v>
      </c>
    </row>
    <row r="79" spans="1:24" ht="12" customHeight="1">
      <c r="A79" s="48"/>
      <c r="B79" s="2037" t="s">
        <v>42</v>
      </c>
      <c r="C79" s="2054" t="s">
        <v>1902</v>
      </c>
      <c r="D79" s="2237"/>
      <c r="E79" s="1125">
        <f>SUM(H79/H$11,I79/I$11,J79/J$11,K79/K$11,L79/L$11,M79/M$11,N79/N$11,O79/O$11,P79/P$11)/9*100</f>
        <v>124.10368660605261</v>
      </c>
      <c r="F79" s="2250">
        <f>273+802+840+857+761+657+642+203+1138</f>
        <v>6173</v>
      </c>
      <c r="G79" s="2244"/>
      <c r="H79" s="1002">
        <v>101735814</v>
      </c>
      <c r="I79" s="994">
        <v>546893296</v>
      </c>
      <c r="J79" s="994">
        <v>492566701</v>
      </c>
      <c r="K79" s="994">
        <v>293867873</v>
      </c>
      <c r="L79" s="994">
        <v>587588278</v>
      </c>
      <c r="M79" s="994">
        <v>489455650</v>
      </c>
      <c r="N79" s="994">
        <v>331538623</v>
      </c>
      <c r="O79" s="994">
        <v>36285821</v>
      </c>
      <c r="P79" s="994">
        <v>175973254</v>
      </c>
      <c r="Q79" s="2443" t="s">
        <v>153</v>
      </c>
      <c r="R79" s="2444" t="s">
        <v>69</v>
      </c>
      <c r="S79" s="2445">
        <v>1</v>
      </c>
      <c r="T79" s="2446">
        <v>38808</v>
      </c>
      <c r="U79" s="2447" t="s">
        <v>75</v>
      </c>
      <c r="V79" s="2447" t="s">
        <v>797</v>
      </c>
      <c r="W79" s="2441">
        <f ca="1">YEARFRAC(T79,W$6)</f>
        <v>8.0722222222222229</v>
      </c>
      <c r="X79" s="48"/>
    </row>
    <row r="80" spans="1:24" ht="12" customHeight="1">
      <c r="A80" s="48">
        <v>68</v>
      </c>
      <c r="B80" s="2201" t="s">
        <v>42</v>
      </c>
      <c r="C80" s="2197" t="s">
        <v>774</v>
      </c>
      <c r="D80" s="2771"/>
      <c r="E80" s="1125">
        <f>SUM(H80/H$11,I80/I$11,J80/J$11,K80/K$11,L80/L$11,M80/M$11,N80/N$11,O80/O$11,P80/P$11)/9*100</f>
        <v>124.19913753235157</v>
      </c>
      <c r="F80" s="3370"/>
      <c r="G80" s="3432"/>
      <c r="H80" s="864">
        <v>108069738</v>
      </c>
      <c r="I80" s="854">
        <v>522103606</v>
      </c>
      <c r="J80" s="854">
        <v>494193746</v>
      </c>
      <c r="K80" s="854">
        <v>296964823</v>
      </c>
      <c r="L80" s="854">
        <v>589340653</v>
      </c>
      <c r="M80" s="854">
        <v>486960489</v>
      </c>
      <c r="N80" s="854">
        <v>318653295</v>
      </c>
      <c r="O80" s="854">
        <v>37884010</v>
      </c>
      <c r="P80" s="854">
        <v>171677206</v>
      </c>
      <c r="Q80" s="2376" t="s">
        <v>162</v>
      </c>
      <c r="R80" s="2377" t="s">
        <v>69</v>
      </c>
      <c r="S80" s="2378">
        <v>1</v>
      </c>
      <c r="T80" s="2379">
        <v>40097</v>
      </c>
      <c r="U80" s="2380" t="s">
        <v>80</v>
      </c>
      <c r="V80" s="2380" t="s">
        <v>163</v>
      </c>
      <c r="W80" s="2342">
        <f ca="1">YEARFRAC(T80,W$6)</f>
        <v>4.5444444444444443</v>
      </c>
      <c r="X80" s="48">
        <v>68</v>
      </c>
    </row>
    <row r="81" spans="1:24" ht="12" customHeight="1">
      <c r="A81" s="48"/>
      <c r="B81" s="2039" t="s">
        <v>42</v>
      </c>
      <c r="C81" s="3269" t="s">
        <v>1703</v>
      </c>
      <c r="D81" s="3338"/>
      <c r="E81" s="1125">
        <f>SUM(H81/H$11,I81/I$11,J81/J$11,K81/K$11,L81/L$11,M81/M$11,N81/N$11,O81/O$11,P81/P$11)/9*100</f>
        <v>124.21281013399854</v>
      </c>
      <c r="F81" s="3400"/>
      <c r="G81" s="2248"/>
      <c r="H81" s="912">
        <v>108270717</v>
      </c>
      <c r="I81" s="909">
        <v>501899826</v>
      </c>
      <c r="J81" s="909">
        <v>497994252</v>
      </c>
      <c r="K81" s="909">
        <v>300046294</v>
      </c>
      <c r="L81" s="909">
        <v>590697638</v>
      </c>
      <c r="M81" s="909">
        <v>488567000</v>
      </c>
      <c r="N81" s="905">
        <v>310736978</v>
      </c>
      <c r="O81" s="909">
        <v>39029557</v>
      </c>
      <c r="P81" s="909">
        <v>175148453</v>
      </c>
      <c r="Q81" s="2436" t="s">
        <v>114</v>
      </c>
      <c r="R81" s="3562" t="s">
        <v>65</v>
      </c>
      <c r="S81" s="2435">
        <v>1</v>
      </c>
      <c r="T81" s="2437">
        <v>39683</v>
      </c>
      <c r="U81" s="2438" t="s">
        <v>66</v>
      </c>
      <c r="V81" s="2438" t="s">
        <v>129</v>
      </c>
      <c r="W81" s="2420">
        <f ca="1">YEARFRAC(T81,W$6)</f>
        <v>5.677777777777778</v>
      </c>
      <c r="X81" s="48"/>
    </row>
    <row r="82" spans="1:24" ht="12" customHeight="1">
      <c r="A82" s="48">
        <v>70</v>
      </c>
      <c r="B82" s="2201" t="s">
        <v>42</v>
      </c>
      <c r="C82" s="2221" t="s">
        <v>1704</v>
      </c>
      <c r="D82" s="2772"/>
      <c r="E82" s="1125">
        <f>SUM(H82/H$11,I82/I$11,J82/J$11,K82/K$11,L82/L$11,M82/M$11,N82/N$11,O82/O$11,P82/P$11)/9*100</f>
        <v>124.25783163971538</v>
      </c>
      <c r="F82" s="2788">
        <f>166+337+0+172+220+97+46+303+252</f>
        <v>1593</v>
      </c>
      <c r="G82" s="3433"/>
      <c r="H82" s="907">
        <v>109705317</v>
      </c>
      <c r="I82" s="903">
        <v>524070262</v>
      </c>
      <c r="J82" s="906">
        <v>480453720</v>
      </c>
      <c r="K82" s="903">
        <v>300316365</v>
      </c>
      <c r="L82" s="903">
        <v>593675968</v>
      </c>
      <c r="M82" s="903">
        <v>486671559</v>
      </c>
      <c r="N82" s="903">
        <v>304919660</v>
      </c>
      <c r="O82" s="903">
        <v>38994819</v>
      </c>
      <c r="P82" s="903">
        <v>171873993</v>
      </c>
      <c r="Q82" s="2821" t="s">
        <v>144</v>
      </c>
      <c r="R82" s="2834" t="s">
        <v>69</v>
      </c>
      <c r="S82" s="2847">
        <v>1</v>
      </c>
      <c r="T82" s="2859">
        <v>40482</v>
      </c>
      <c r="U82" s="2873" t="s">
        <v>75</v>
      </c>
      <c r="V82" s="2873" t="s">
        <v>1640</v>
      </c>
      <c r="W82" s="2337">
        <f ca="1">YEARFRAC(T82,W$6)</f>
        <v>3.4916666666666667</v>
      </c>
      <c r="X82" s="48">
        <v>70</v>
      </c>
    </row>
    <row r="83" spans="1:24" ht="12" customHeight="1">
      <c r="A83" s="48"/>
      <c r="B83" s="2047" t="s">
        <v>42</v>
      </c>
      <c r="C83" s="2049" t="s">
        <v>1589</v>
      </c>
      <c r="D83" s="2773" t="s">
        <v>41</v>
      </c>
      <c r="E83" s="1125">
        <f>SUM(H83/H$11,I83/I$11,J83/J$11,K83/K$11,L83/L$11,M83/M$11,N83/N$11,O83/O$11,P83/P$11)/9*100</f>
        <v>124.5022117021696</v>
      </c>
      <c r="F83" s="3397">
        <f>1308+1068+681+2525+951+663+1027+1644+538</f>
        <v>10405</v>
      </c>
      <c r="G83" s="2656"/>
      <c r="H83" s="876">
        <v>88884166</v>
      </c>
      <c r="I83" s="865">
        <v>528950524</v>
      </c>
      <c r="J83" s="865">
        <v>495594431</v>
      </c>
      <c r="K83" s="865">
        <v>310270236</v>
      </c>
      <c r="L83" s="865">
        <v>573257031</v>
      </c>
      <c r="M83" s="865">
        <v>485522129</v>
      </c>
      <c r="N83" s="854">
        <v>357793035</v>
      </c>
      <c r="O83" s="865">
        <v>37325895</v>
      </c>
      <c r="P83" s="865">
        <v>192771132</v>
      </c>
      <c r="Q83" s="2381" t="s">
        <v>649</v>
      </c>
      <c r="R83" s="3563" t="s">
        <v>65</v>
      </c>
      <c r="S83" s="3585">
        <v>8</v>
      </c>
      <c r="T83" s="2384">
        <v>40892</v>
      </c>
      <c r="U83" s="2385" t="s">
        <v>650</v>
      </c>
      <c r="V83" s="2385" t="s">
        <v>885</v>
      </c>
      <c r="W83" s="2342">
        <f ca="1">YEARFRAC(T83,W$6)</f>
        <v>2.3666666666666667</v>
      </c>
      <c r="X83" s="48"/>
    </row>
    <row r="84" spans="1:24" ht="12" customHeight="1">
      <c r="A84" s="48">
        <v>72</v>
      </c>
      <c r="B84" s="2201" t="s">
        <v>42</v>
      </c>
      <c r="C84" s="2054" t="s">
        <v>2056</v>
      </c>
      <c r="D84" s="2235" t="s">
        <v>41</v>
      </c>
      <c r="E84" s="1125">
        <f>SUM(H84/H$11,I84/I$11,J84/J$11,K84/K$11,L84/L$11,M84/M$11,N84/N$11,O84/O$11,P84/P$11)/9*100</f>
        <v>124.7172090629671</v>
      </c>
      <c r="F84" s="2240">
        <f>100+76+147+216+55+80+170+133+232</f>
        <v>1209</v>
      </c>
      <c r="G84" s="2241"/>
      <c r="H84" s="864">
        <v>88534765</v>
      </c>
      <c r="I84" s="865">
        <v>411371250</v>
      </c>
      <c r="J84" s="854">
        <v>482105407</v>
      </c>
      <c r="K84" s="854">
        <v>324170450</v>
      </c>
      <c r="L84" s="854">
        <v>577523189</v>
      </c>
      <c r="M84" s="854">
        <v>487374122</v>
      </c>
      <c r="N84" s="854">
        <v>332646388</v>
      </c>
      <c r="O84" s="854">
        <v>41620483</v>
      </c>
      <c r="P84" s="854">
        <v>235589271</v>
      </c>
      <c r="Q84" s="2338" t="s">
        <v>617</v>
      </c>
      <c r="R84" s="2394" t="s">
        <v>69</v>
      </c>
      <c r="S84" s="2339">
        <v>1</v>
      </c>
      <c r="T84" s="2340">
        <v>40773</v>
      </c>
      <c r="U84" s="2341" t="s">
        <v>78</v>
      </c>
      <c r="V84" s="2341" t="s">
        <v>801</v>
      </c>
      <c r="W84" s="2342">
        <f ca="1">YEARFRAC(T84,W$6)</f>
        <v>2.6916666666666669</v>
      </c>
      <c r="X84" s="48">
        <v>72</v>
      </c>
    </row>
    <row r="85" spans="1:24" ht="12" customHeight="1">
      <c r="A85" s="48"/>
      <c r="B85" s="3219" t="s">
        <v>42</v>
      </c>
      <c r="C85" s="2757" t="s">
        <v>1588</v>
      </c>
      <c r="D85" s="2236" t="s">
        <v>41</v>
      </c>
      <c r="E85" s="1125">
        <f>SUM(H85/H$11,I85/I$11,J85/J$11,K85/K$11,L85/L$11,M85/M$11,N85/N$11,O85/O$11,P85/P$11)/9*100</f>
        <v>124.87475334676903</v>
      </c>
      <c r="F85" s="2253">
        <f>584+962+0+2345+614+426+731+1495+493</f>
        <v>7650</v>
      </c>
      <c r="G85" s="3404"/>
      <c r="H85" s="1006">
        <v>88961163</v>
      </c>
      <c r="I85" s="1011">
        <v>537127392</v>
      </c>
      <c r="J85" s="1011">
        <v>499118240</v>
      </c>
      <c r="K85" s="1006">
        <v>310356437</v>
      </c>
      <c r="L85" s="1011">
        <v>573282323</v>
      </c>
      <c r="M85" s="1006">
        <v>485550450</v>
      </c>
      <c r="N85" s="1006">
        <v>357894064</v>
      </c>
      <c r="O85" s="1011">
        <v>37338554</v>
      </c>
      <c r="P85" s="1011">
        <v>192697401</v>
      </c>
      <c r="Q85" s="2822" t="s">
        <v>649</v>
      </c>
      <c r="R85" s="2835" t="s">
        <v>65</v>
      </c>
      <c r="S85" s="2848">
        <v>8</v>
      </c>
      <c r="T85" s="2860">
        <v>40553</v>
      </c>
      <c r="U85" s="2874" t="s">
        <v>650</v>
      </c>
      <c r="V85" s="2874" t="s">
        <v>885</v>
      </c>
      <c r="W85" s="2442">
        <f ca="1">YEARFRAC(T85,W$6)</f>
        <v>3.2972222222222221</v>
      </c>
      <c r="X85" s="48"/>
    </row>
    <row r="86" spans="1:24" ht="12" customHeight="1">
      <c r="A86" s="48">
        <v>74</v>
      </c>
      <c r="B86" s="3205" t="s">
        <v>42</v>
      </c>
      <c r="C86" s="3239" t="s">
        <v>1586</v>
      </c>
      <c r="D86" s="3312"/>
      <c r="E86" s="1142">
        <f>SUM(H86/H$11,I86/I$11,J86/J$11,K86/K$11,L86/L$11,M86/M$11,N86/N$11,O86/O$11,P86/P$11)/9*100</f>
        <v>125.04299400666285</v>
      </c>
      <c r="F86" s="3371"/>
      <c r="G86" s="3371"/>
      <c r="H86" s="997">
        <v>116635812</v>
      </c>
      <c r="I86" s="997">
        <v>421314004</v>
      </c>
      <c r="J86" s="997">
        <v>478896238</v>
      </c>
      <c r="K86" s="997">
        <v>308597737</v>
      </c>
      <c r="L86" s="997">
        <v>594394289</v>
      </c>
      <c r="M86" s="997">
        <v>487528532</v>
      </c>
      <c r="N86" s="997">
        <v>313543103</v>
      </c>
      <c r="O86" s="997">
        <v>40462792</v>
      </c>
      <c r="P86" s="997">
        <v>195272402</v>
      </c>
      <c r="Q86" s="3505" t="s">
        <v>155</v>
      </c>
      <c r="R86" s="3536" t="s">
        <v>69</v>
      </c>
      <c r="S86" s="3582">
        <v>1</v>
      </c>
      <c r="T86" s="3626">
        <v>36628</v>
      </c>
      <c r="U86" s="3663" t="s">
        <v>77</v>
      </c>
      <c r="V86" s="3663" t="s">
        <v>1769</v>
      </c>
      <c r="W86" s="3700">
        <f ca="1">YEARFRAC(T86,W$6)</f>
        <v>14.041666666666666</v>
      </c>
      <c r="X86" s="48">
        <v>74</v>
      </c>
    </row>
    <row r="87" spans="1:24" ht="12" customHeight="1">
      <c r="A87" s="48"/>
      <c r="B87" s="2216" t="s">
        <v>1431</v>
      </c>
      <c r="C87" s="1136" t="s">
        <v>2051</v>
      </c>
      <c r="D87" s="2237"/>
      <c r="E87" s="1125">
        <f>SUM(H87/H$11,I87/I$11,J87/J$11,K87/K$11,L87/L$11,M87/M$11,N87/N$11,O87/O$11,P87/P$11)/9*100</f>
        <v>125.08730556783847</v>
      </c>
      <c r="F87" s="2252">
        <f>31+138+86+215+74+73+216+133+190</f>
        <v>1156</v>
      </c>
      <c r="G87" s="3461">
        <f>42+34+26+51+27+24+29+68+57</f>
        <v>358</v>
      </c>
      <c r="H87" s="998">
        <v>90158844</v>
      </c>
      <c r="I87" s="998">
        <v>432589940</v>
      </c>
      <c r="J87" s="998">
        <v>504354380</v>
      </c>
      <c r="K87" s="998">
        <v>331617046</v>
      </c>
      <c r="L87" s="998">
        <v>575585759</v>
      </c>
      <c r="M87" s="998">
        <v>487400203</v>
      </c>
      <c r="N87" s="994">
        <v>346631781</v>
      </c>
      <c r="O87" s="998">
        <v>39601660</v>
      </c>
      <c r="P87" s="998">
        <v>218721519</v>
      </c>
      <c r="Q87" s="2443" t="s">
        <v>136</v>
      </c>
      <c r="R87" s="2663" t="s">
        <v>65</v>
      </c>
      <c r="S87" s="2665">
        <v>8</v>
      </c>
      <c r="T87" s="2446">
        <v>41508</v>
      </c>
      <c r="U87" s="2447" t="s">
        <v>75</v>
      </c>
      <c r="V87" s="2447" t="s">
        <v>905</v>
      </c>
      <c r="W87" s="2441">
        <f ca="1">YEARFRAC(T87,W$6)</f>
        <v>0.68055555555555558</v>
      </c>
      <c r="X87" s="48"/>
    </row>
    <row r="88" spans="1:24" ht="12" customHeight="1">
      <c r="A88" s="48">
        <v>76</v>
      </c>
      <c r="B88" s="2048" t="s">
        <v>1431</v>
      </c>
      <c r="C88" s="2689" t="s">
        <v>920</v>
      </c>
      <c r="D88" s="2235"/>
      <c r="E88" s="1125">
        <f>SUM(H88/H$11,I88/I$11,J88/J$11,K88/K$11,L88/L$11,M88/M$11,N88/N$11,O88/O$11,P88/P$11)/9*100</f>
        <v>125.32984948315557</v>
      </c>
      <c r="F88" s="3372"/>
      <c r="G88" s="3434"/>
      <c r="H88" s="998">
        <v>80295152</v>
      </c>
      <c r="I88" s="998">
        <v>542499471</v>
      </c>
      <c r="J88" s="998">
        <v>500230528</v>
      </c>
      <c r="K88" s="998">
        <v>321375512</v>
      </c>
      <c r="L88" s="998">
        <v>581634110</v>
      </c>
      <c r="M88" s="998">
        <v>489936161</v>
      </c>
      <c r="N88" s="994">
        <v>365813900</v>
      </c>
      <c r="O88" s="998">
        <v>36820961</v>
      </c>
      <c r="P88" s="3498">
        <v>202974954</v>
      </c>
      <c r="Q88" s="2819" t="s">
        <v>89</v>
      </c>
      <c r="R88" s="2832" t="s">
        <v>69</v>
      </c>
      <c r="S88" s="3583">
        <v>2</v>
      </c>
      <c r="T88" s="2857">
        <v>40974</v>
      </c>
      <c r="U88" s="2871" t="s">
        <v>80</v>
      </c>
      <c r="V88" s="2871" t="s">
        <v>921</v>
      </c>
      <c r="W88" s="2441">
        <f ca="1">YEARFRAC(T88,W$6)</f>
        <v>2.1416666666666666</v>
      </c>
      <c r="X88" s="48">
        <v>76</v>
      </c>
    </row>
    <row r="89" spans="1:24" ht="12" customHeight="1">
      <c r="A89" s="48"/>
      <c r="B89" s="3220" t="s">
        <v>42</v>
      </c>
      <c r="C89" s="3270" t="s">
        <v>186</v>
      </c>
      <c r="D89" s="2774"/>
      <c r="E89" s="1125">
        <f>SUM(H89/H$11,I89/I$11,J89/J$11,K89/K$11,L89/L$11,M89/M$11,N89/N$11,O89/O$11,P89/P$11)/9*100</f>
        <v>125.44341991979748</v>
      </c>
      <c r="F89" s="3404"/>
      <c r="G89" s="3404"/>
      <c r="H89" s="1011">
        <v>108002392</v>
      </c>
      <c r="I89" s="1011">
        <v>528946894</v>
      </c>
      <c r="J89" s="1011">
        <v>487957436</v>
      </c>
      <c r="K89" s="1011">
        <v>300665961</v>
      </c>
      <c r="L89" s="1011">
        <v>587743831</v>
      </c>
      <c r="M89" s="1011">
        <v>485577118</v>
      </c>
      <c r="N89" s="1006">
        <v>311046550</v>
      </c>
      <c r="O89" s="1011">
        <v>38464708</v>
      </c>
      <c r="P89" s="1011">
        <v>187992164</v>
      </c>
      <c r="Q89" s="2449" t="s">
        <v>187</v>
      </c>
      <c r="R89" s="3564" t="s">
        <v>145</v>
      </c>
      <c r="S89" s="3607">
        <v>1</v>
      </c>
      <c r="T89" s="2450">
        <v>37802</v>
      </c>
      <c r="U89" s="2451" t="s">
        <v>77</v>
      </c>
      <c r="V89" s="2451" t="s">
        <v>188</v>
      </c>
      <c r="W89" s="2442">
        <f ca="1">YEARFRAC(T89,W$6)</f>
        <v>10.824999999999999</v>
      </c>
      <c r="X89" s="48"/>
    </row>
    <row r="90" spans="1:24" ht="12" customHeight="1">
      <c r="A90" s="48">
        <v>78</v>
      </c>
      <c r="B90" s="3203" t="s">
        <v>1431</v>
      </c>
      <c r="C90" s="3236" t="s">
        <v>621</v>
      </c>
      <c r="D90" s="3313"/>
      <c r="E90" s="1125">
        <f>SUM(H90/H$11,I90/I$11,J90/J$11,K90/K$11,L90/L$11,M90/M$11,N90/N$11,O90/O$11,P90/P$11)/9*100</f>
        <v>125.60268407306418</v>
      </c>
      <c r="F90" s="2256"/>
      <c r="G90" s="2256"/>
      <c r="H90" s="1128">
        <v>108531937</v>
      </c>
      <c r="I90" s="1128">
        <v>532097101</v>
      </c>
      <c r="J90" s="1128">
        <v>482505605</v>
      </c>
      <c r="K90" s="1128">
        <v>302273608</v>
      </c>
      <c r="L90" s="1128">
        <v>594825412</v>
      </c>
      <c r="M90" s="1128">
        <v>490128616</v>
      </c>
      <c r="N90" s="1128">
        <v>317729374</v>
      </c>
      <c r="O90" s="1128">
        <v>38146497</v>
      </c>
      <c r="P90" s="1128">
        <v>182664270</v>
      </c>
      <c r="Q90" s="3506" t="s">
        <v>162</v>
      </c>
      <c r="R90" s="3537" t="s">
        <v>69</v>
      </c>
      <c r="S90" s="2404">
        <v>1</v>
      </c>
      <c r="T90" s="2405">
        <v>38398</v>
      </c>
      <c r="U90" s="2406" t="s">
        <v>80</v>
      </c>
      <c r="V90" s="2406" t="s">
        <v>163</v>
      </c>
      <c r="W90" s="2295">
        <f ca="1">YEARFRAC(T90,W$6)</f>
        <v>9.1999999999999993</v>
      </c>
      <c r="X90" s="48">
        <v>78</v>
      </c>
    </row>
    <row r="91" spans="1:24" ht="12" customHeight="1">
      <c r="A91" s="48"/>
      <c r="B91" s="2201" t="s">
        <v>42</v>
      </c>
      <c r="C91" s="2203" t="s">
        <v>670</v>
      </c>
      <c r="D91" s="2186" t="s">
        <v>41</v>
      </c>
      <c r="E91" s="1125">
        <f>SUM(H91/H$11,I91/I$11,J91/J$11,K91/K$11,L91/L$11,M91/M$11,N91/N$11,O91/O$11,P91/P$11)/9*100</f>
        <v>125.64327151761989</v>
      </c>
      <c r="F91" s="2257"/>
      <c r="G91" s="2257"/>
      <c r="H91" s="1146">
        <v>88578383</v>
      </c>
      <c r="I91" s="1146">
        <v>541569322</v>
      </c>
      <c r="J91" s="1146">
        <v>500259902</v>
      </c>
      <c r="K91" s="1146">
        <v>311681734</v>
      </c>
      <c r="L91" s="1146">
        <v>581554823</v>
      </c>
      <c r="M91" s="1146">
        <v>489877140</v>
      </c>
      <c r="N91" s="1146">
        <v>366175283</v>
      </c>
      <c r="O91" s="1146">
        <v>36216616</v>
      </c>
      <c r="P91" s="1146">
        <v>197679384</v>
      </c>
      <c r="Q91" s="2321" t="s">
        <v>669</v>
      </c>
      <c r="R91" s="2322" t="s">
        <v>69</v>
      </c>
      <c r="S91" s="3608">
        <v>2</v>
      </c>
      <c r="T91" s="2742">
        <v>40500</v>
      </c>
      <c r="U91" s="2324" t="s">
        <v>75</v>
      </c>
      <c r="V91" s="2324" t="s">
        <v>668</v>
      </c>
      <c r="W91" s="2305">
        <f ca="1">YEARFRAC(T91,W$6)</f>
        <v>3.4416666666666669</v>
      </c>
      <c r="X91" s="48"/>
    </row>
    <row r="92" spans="1:24" ht="12" customHeight="1">
      <c r="A92" s="48">
        <v>80</v>
      </c>
      <c r="B92" s="2050" t="s">
        <v>1431</v>
      </c>
      <c r="C92" s="2060" t="s">
        <v>683</v>
      </c>
      <c r="D92" s="2056"/>
      <c r="E92" s="1125">
        <f>SUM(H92/H$11,I92/I$11,J92/J$11,K92/K$11,L92/L$11,M92/M$11,N92/N$11,O92/O$11,P92/P$11)/9*100</f>
        <v>125.68009468146455</v>
      </c>
      <c r="F92" s="3373">
        <f>209+283+292+451+124+62+125+638+190</f>
        <v>2374</v>
      </c>
      <c r="G92" s="2255"/>
      <c r="H92" s="1143">
        <v>81921732</v>
      </c>
      <c r="I92" s="1143">
        <v>541637746</v>
      </c>
      <c r="J92" s="1143">
        <v>500544087</v>
      </c>
      <c r="K92" s="1143">
        <v>322423957</v>
      </c>
      <c r="L92" s="1143">
        <v>581732635</v>
      </c>
      <c r="M92" s="1143">
        <v>489874761</v>
      </c>
      <c r="N92" s="1143">
        <v>365718716</v>
      </c>
      <c r="O92" s="1143">
        <v>37001167</v>
      </c>
      <c r="P92" s="1143">
        <v>202974906</v>
      </c>
      <c r="Q92" s="2312" t="s">
        <v>681</v>
      </c>
      <c r="R92" s="2313" t="s">
        <v>69</v>
      </c>
      <c r="S92" s="2314">
        <v>1</v>
      </c>
      <c r="T92" s="2315">
        <v>40808</v>
      </c>
      <c r="U92" s="2316" t="s">
        <v>78</v>
      </c>
      <c r="V92" s="2316" t="s">
        <v>682</v>
      </c>
      <c r="W92" s="2310">
        <f ca="1">YEARFRAC(T92,W$6)</f>
        <v>2.5972222222222223</v>
      </c>
      <c r="X92" s="48">
        <v>80</v>
      </c>
    </row>
    <row r="93" spans="1:24" ht="12" customHeight="1">
      <c r="A93" s="48"/>
      <c r="B93" s="2201" t="s">
        <v>42</v>
      </c>
      <c r="C93" s="1304" t="s">
        <v>2130</v>
      </c>
      <c r="D93" s="2061" t="s">
        <v>41</v>
      </c>
      <c r="E93" s="1125">
        <f>SUM(H93/H$11,I93/I$11,J93/J$11,K93/K$11,L93/L$11,M93/M$11,N93/N$11,O93/O$11,P93/P$11)/9*100</f>
        <v>126.19637990607275</v>
      </c>
      <c r="F93" s="3405">
        <f>562+1182+1169+1519+1226+1011+1719+442+2152</f>
        <v>10982</v>
      </c>
      <c r="G93" s="2414"/>
      <c r="H93" s="3481">
        <v>103436610</v>
      </c>
      <c r="I93" s="3481">
        <v>562984205</v>
      </c>
      <c r="J93" s="1128">
        <v>489531813</v>
      </c>
      <c r="K93" s="1128">
        <v>296380124</v>
      </c>
      <c r="L93" s="1128">
        <v>581170478</v>
      </c>
      <c r="M93" s="1128">
        <v>482917722</v>
      </c>
      <c r="N93" s="1128">
        <v>346571229</v>
      </c>
      <c r="O93" s="1128">
        <v>37057356</v>
      </c>
      <c r="P93" s="1128">
        <v>184851016</v>
      </c>
      <c r="Q93" s="3522" t="s">
        <v>1610</v>
      </c>
      <c r="R93" s="2414" t="s">
        <v>69</v>
      </c>
      <c r="S93" s="2298">
        <v>1</v>
      </c>
      <c r="T93" s="2331">
        <v>41641</v>
      </c>
      <c r="U93" s="3678" t="s">
        <v>206</v>
      </c>
      <c r="V93" s="3678" t="s">
        <v>277</v>
      </c>
      <c r="W93" s="2295">
        <f ca="1">YEARFRAC(T93,W$6)</f>
        <v>0.31944444444444442</v>
      </c>
      <c r="X93" s="48"/>
    </row>
    <row r="94" spans="1:24" ht="12" customHeight="1">
      <c r="A94" s="48">
        <v>82</v>
      </c>
      <c r="B94" s="2037" t="s">
        <v>42</v>
      </c>
      <c r="C94" s="2054" t="s">
        <v>1705</v>
      </c>
      <c r="D94" s="3314"/>
      <c r="E94" s="1125">
        <f>SUM(H94/H$11,I94/I$11,J94/J$11,K94/K$11,L94/L$11,M94/M$11,N94/N$11,O94/O$11,P94/P$11)/9*100</f>
        <v>126.22251805556061</v>
      </c>
      <c r="F94" s="2070">
        <f>18+5+81+49+38+29+14+11+147</f>
        <v>392</v>
      </c>
      <c r="G94" s="2071"/>
      <c r="H94" s="1128">
        <v>95021017</v>
      </c>
      <c r="I94" s="1128">
        <v>357601959</v>
      </c>
      <c r="J94" s="1128">
        <v>520764815</v>
      </c>
      <c r="K94" s="1128">
        <v>326122831</v>
      </c>
      <c r="L94" s="1128">
        <v>574792742</v>
      </c>
      <c r="M94" s="1128">
        <v>486796795</v>
      </c>
      <c r="N94" s="1128">
        <v>288783661</v>
      </c>
      <c r="O94" s="1128">
        <v>44067167</v>
      </c>
      <c r="P94" s="1128">
        <v>264844379</v>
      </c>
      <c r="Q94" s="2296" t="s">
        <v>72</v>
      </c>
      <c r="R94" s="3538" t="s">
        <v>65</v>
      </c>
      <c r="S94" s="2413">
        <v>4</v>
      </c>
      <c r="T94" s="2299">
        <v>40851</v>
      </c>
      <c r="U94" s="2300" t="s">
        <v>73</v>
      </c>
      <c r="V94" s="2300" t="s">
        <v>802</v>
      </c>
      <c r="W94" s="2295">
        <f ca="1">YEARFRAC(T94,W$6)</f>
        <v>2.4805555555555556</v>
      </c>
      <c r="X94" s="48">
        <v>82</v>
      </c>
    </row>
    <row r="95" spans="1:24" ht="12" customHeight="1">
      <c r="A95" s="48"/>
      <c r="B95" s="2188" t="s">
        <v>42</v>
      </c>
      <c r="C95" s="3067" t="s">
        <v>2118</v>
      </c>
      <c r="D95" s="2186" t="s">
        <v>41</v>
      </c>
      <c r="E95" s="1125">
        <f>SUM(H95/H$11,I95/I$11,J95/J$11,K95/K$11,L95/L$11,M95/M$11,N95/N$11,O95/O$11,P95/P$11)/9*100</f>
        <v>126.32565862279132</v>
      </c>
      <c r="F95" s="2254">
        <f>645+1345+1346+1642+1220+1098+1249+364+1960</f>
        <v>10869</v>
      </c>
      <c r="G95" s="2258"/>
      <c r="H95" s="1146">
        <v>103593603</v>
      </c>
      <c r="I95" s="1146">
        <v>563091725</v>
      </c>
      <c r="J95" s="1146">
        <v>489903454</v>
      </c>
      <c r="K95" s="1146">
        <v>296796060</v>
      </c>
      <c r="L95" s="1146">
        <v>581210127</v>
      </c>
      <c r="M95" s="1146">
        <v>483008912</v>
      </c>
      <c r="N95" s="1146">
        <v>346818917</v>
      </c>
      <c r="O95" s="1146">
        <v>37158994</v>
      </c>
      <c r="P95" s="1146">
        <v>185164440</v>
      </c>
      <c r="Q95" s="2332" t="s">
        <v>1610</v>
      </c>
      <c r="R95" s="2333" t="s">
        <v>69</v>
      </c>
      <c r="S95" s="2334">
        <v>1</v>
      </c>
      <c r="T95" s="2335">
        <v>41621</v>
      </c>
      <c r="U95" s="2336" t="s">
        <v>206</v>
      </c>
      <c r="V95" s="2336" t="s">
        <v>277</v>
      </c>
      <c r="W95" s="2305">
        <f ca="1">YEARFRAC(T95,W$6)</f>
        <v>0.37222222222222223</v>
      </c>
      <c r="X95" s="48"/>
    </row>
    <row r="96" spans="1:24" ht="12" customHeight="1">
      <c r="A96" s="48">
        <v>84</v>
      </c>
      <c r="B96" s="2743" t="s">
        <v>42</v>
      </c>
      <c r="C96" s="2959" t="s">
        <v>2096</v>
      </c>
      <c r="D96" s="2212" t="s">
        <v>41</v>
      </c>
      <c r="E96" s="1125">
        <f>SUM(H96/H$11,I96/I$11,J96/J$11,K96/K$11,L96/L$11,M96/M$11,N96/N$11,O96/O$11,P96/P$11)/9*100</f>
        <v>126.32570494323927</v>
      </c>
      <c r="F96" s="2681">
        <f>1041+1811+1655+2060+1716+1464+2002+567+2985</f>
        <v>15301</v>
      </c>
      <c r="G96" s="2736"/>
      <c r="H96" s="1143">
        <v>103593755</v>
      </c>
      <c r="I96" s="1151">
        <v>563091038</v>
      </c>
      <c r="J96" s="1143">
        <v>489903135</v>
      </c>
      <c r="K96" s="1143">
        <v>296796413</v>
      </c>
      <c r="L96" s="1143">
        <v>581210396</v>
      </c>
      <c r="M96" s="1143">
        <v>483009146</v>
      </c>
      <c r="N96" s="1143">
        <v>346818505</v>
      </c>
      <c r="O96" s="1143">
        <v>37159116</v>
      </c>
      <c r="P96" s="1143">
        <v>185164417</v>
      </c>
      <c r="Q96" s="2306" t="s">
        <v>1610</v>
      </c>
      <c r="R96" s="2330" t="s">
        <v>69</v>
      </c>
      <c r="S96" s="2307">
        <v>1</v>
      </c>
      <c r="T96" s="2308">
        <v>41615</v>
      </c>
      <c r="U96" s="2309" t="s">
        <v>206</v>
      </c>
      <c r="V96" s="2309" t="s">
        <v>277</v>
      </c>
      <c r="W96" s="2310">
        <f ca="1">YEARFRAC(T96,W$6)</f>
        <v>0.3888888888888889</v>
      </c>
      <c r="X96" s="48">
        <v>84</v>
      </c>
    </row>
    <row r="97" spans="1:24" ht="12" customHeight="1">
      <c r="A97" s="48"/>
      <c r="B97" s="2652" t="s">
        <v>1431</v>
      </c>
      <c r="C97" s="3271" t="s">
        <v>2081</v>
      </c>
      <c r="D97" s="2186"/>
      <c r="E97" s="1125">
        <f>SUM(H97/H$11,I97/I$11,J97/J$11,K97/K$11,L97/L$11,M97/M$11,N97/N$11,O97/O$11,P97/P$11)/9*100</f>
        <v>126.41722512050029</v>
      </c>
      <c r="F97" s="2964">
        <f>78+44+166+103+104+51+239+70+138</f>
        <v>993</v>
      </c>
      <c r="G97" s="2964">
        <f>32+33+38+99+23+59+244+42+173</f>
        <v>743</v>
      </c>
      <c r="H97" s="1146">
        <v>107598037</v>
      </c>
      <c r="I97" s="1146">
        <v>353119941</v>
      </c>
      <c r="J97" s="1146">
        <v>499808100</v>
      </c>
      <c r="K97" s="1146">
        <v>288191080</v>
      </c>
      <c r="L97" s="1146">
        <v>581665614</v>
      </c>
      <c r="M97" s="1146">
        <v>466061860</v>
      </c>
      <c r="N97" s="1146">
        <v>351596474</v>
      </c>
      <c r="O97" s="1146">
        <v>51599189</v>
      </c>
      <c r="P97" s="1146">
        <v>202715769</v>
      </c>
      <c r="Q97" s="2968" t="s">
        <v>615</v>
      </c>
      <c r="R97" s="3565" t="s">
        <v>65</v>
      </c>
      <c r="S97" s="3609">
        <v>8</v>
      </c>
      <c r="T97" s="2973">
        <v>41570</v>
      </c>
      <c r="U97" s="2976" t="s">
        <v>80</v>
      </c>
      <c r="V97" s="3695" t="s">
        <v>2083</v>
      </c>
      <c r="W97" s="2305">
        <f ca="1">YEARFRAC(T97,W$6)</f>
        <v>0.51111111111111107</v>
      </c>
      <c r="X97" s="48"/>
    </row>
    <row r="98" spans="1:24" ht="12" customHeight="1">
      <c r="A98" s="48">
        <v>86</v>
      </c>
      <c r="B98" s="2953" t="s">
        <v>42</v>
      </c>
      <c r="C98" s="2958" t="s">
        <v>1706</v>
      </c>
      <c r="D98" s="2962"/>
      <c r="E98" s="1142">
        <f>SUM(H98/H$11,I98/I$11,J98/J$11,K98/K$11,L98/L$11,M98/M$11,N98/N$11,O98/O$11,P98/P$11)/9*100</f>
        <v>126.4952307663674</v>
      </c>
      <c r="F98" s="3374"/>
      <c r="G98" s="3374"/>
      <c r="H98" s="1143">
        <v>96421346</v>
      </c>
      <c r="I98" s="1143">
        <v>427704915</v>
      </c>
      <c r="J98" s="1143">
        <v>473765789</v>
      </c>
      <c r="K98" s="1143">
        <v>340795851</v>
      </c>
      <c r="L98" s="1143">
        <v>582621787</v>
      </c>
      <c r="M98" s="1143">
        <v>484745699</v>
      </c>
      <c r="N98" s="1143">
        <v>294683992</v>
      </c>
      <c r="O98" s="1143">
        <v>41208512</v>
      </c>
      <c r="P98" s="1143">
        <v>251404151</v>
      </c>
      <c r="Q98" s="3507" t="s">
        <v>91</v>
      </c>
      <c r="R98" s="3539" t="s">
        <v>145</v>
      </c>
      <c r="S98" s="3584">
        <v>1</v>
      </c>
      <c r="T98" s="3627">
        <v>35785</v>
      </c>
      <c r="U98" s="3664" t="s">
        <v>77</v>
      </c>
      <c r="V98" s="3664" t="s">
        <v>146</v>
      </c>
      <c r="W98" s="3701">
        <f ca="1">YEARFRAC(T98,W$6)</f>
        <v>16.350000000000001</v>
      </c>
      <c r="X98" s="48">
        <v>86</v>
      </c>
    </row>
    <row r="99" spans="1:24" ht="12" customHeight="1">
      <c r="A99" s="48"/>
      <c r="B99" s="2195" t="s">
        <v>42</v>
      </c>
      <c r="C99" s="2957" t="s">
        <v>169</v>
      </c>
      <c r="D99" s="3346"/>
      <c r="E99" s="1125">
        <f>SUM(H99/H$11,I99/I$11,J99/J$11,K99/K$11,L99/L$11,M99/M$11,N99/N$11,O99/O$11,P99/P$11)/9*100</f>
        <v>126.56427336305913</v>
      </c>
      <c r="F99" s="2268"/>
      <c r="G99" s="2269"/>
      <c r="H99" s="865">
        <v>106488393</v>
      </c>
      <c r="I99" s="865">
        <v>514610218</v>
      </c>
      <c r="J99" s="865">
        <v>482648538</v>
      </c>
      <c r="K99" s="865">
        <v>305387815</v>
      </c>
      <c r="L99" s="865">
        <v>589828182</v>
      </c>
      <c r="M99" s="865">
        <v>486063486</v>
      </c>
      <c r="N99" s="854">
        <v>322682944</v>
      </c>
      <c r="O99" s="865">
        <v>39476848</v>
      </c>
      <c r="P99" s="865">
        <v>199433478</v>
      </c>
      <c r="Q99" s="2370" t="s">
        <v>170</v>
      </c>
      <c r="R99" s="2371" t="s">
        <v>69</v>
      </c>
      <c r="S99" s="2364">
        <v>1</v>
      </c>
      <c r="T99" s="2365">
        <v>38423</v>
      </c>
      <c r="U99" s="2366" t="s">
        <v>75</v>
      </c>
      <c r="V99" s="2366" t="s">
        <v>800</v>
      </c>
      <c r="W99" s="2342">
        <f ca="1">YEARFRAC(T99,W$6)</f>
        <v>9.125</v>
      </c>
      <c r="X99" s="48"/>
    </row>
    <row r="100" spans="1:24" ht="12" customHeight="1">
      <c r="A100" s="48">
        <v>88</v>
      </c>
      <c r="B100" s="2050" t="s">
        <v>1431</v>
      </c>
      <c r="C100" s="2060" t="s">
        <v>1396</v>
      </c>
      <c r="D100" s="2041"/>
      <c r="E100" s="1125">
        <f>SUM(H100/H$11,I100/I$11,J100/J$11,K100/K$11,L100/L$11,M100/M$11,N100/N$11,O100/O$11,P100/P$11)/9*100</f>
        <v>126.61163435243326</v>
      </c>
      <c r="F100" s="2719">
        <f>205+316+319+310+330+241+566+151+260</f>
        <v>2698</v>
      </c>
      <c r="G100" s="2726"/>
      <c r="H100" s="903">
        <v>82645296</v>
      </c>
      <c r="I100" s="903">
        <v>606680942</v>
      </c>
      <c r="J100" s="903">
        <v>499781278</v>
      </c>
      <c r="K100" s="903">
        <v>308482141</v>
      </c>
      <c r="L100" s="903">
        <v>577347120</v>
      </c>
      <c r="M100" s="903">
        <v>487529751</v>
      </c>
      <c r="N100" s="903">
        <v>366031819</v>
      </c>
      <c r="O100" s="903">
        <v>36829715</v>
      </c>
      <c r="P100" s="903">
        <v>196472264</v>
      </c>
      <c r="Q100" s="2426" t="s">
        <v>89</v>
      </c>
      <c r="R100" s="2970" t="s">
        <v>69</v>
      </c>
      <c r="S100" s="2428">
        <v>2</v>
      </c>
      <c r="T100" s="2429">
        <v>41176</v>
      </c>
      <c r="U100" s="2430" t="s">
        <v>80</v>
      </c>
      <c r="V100" s="2430" t="s">
        <v>1397</v>
      </c>
      <c r="W100" s="2337">
        <f ca="1">YEARFRAC(T100,W$6)</f>
        <v>1.5916666666666666</v>
      </c>
      <c r="X100" s="48">
        <v>88</v>
      </c>
    </row>
    <row r="101" spans="1:24" ht="12" customHeight="1">
      <c r="A101" s="48"/>
      <c r="B101" s="2037" t="s">
        <v>42</v>
      </c>
      <c r="C101" s="2956" t="s">
        <v>2084</v>
      </c>
      <c r="D101" s="2209" t="s">
        <v>41</v>
      </c>
      <c r="E101" s="1125">
        <f>SUM(H101/H$11,I101/I$11,J101/J$11,K101/K$11,L101/L$11,M101/M$11,N101/N$11,O101/O$11,P101/P$11)/9*100+(F101/5000)</f>
        <v>126.75111742595406</v>
      </c>
      <c r="F101" s="2057">
        <f>175+219+204+365+179+178+271+182+421</f>
        <v>2194</v>
      </c>
      <c r="G101" s="2058">
        <f>16+79+53+43+28+27+57+5+43</f>
        <v>351</v>
      </c>
      <c r="H101" s="854">
        <v>89174836</v>
      </c>
      <c r="I101" s="865">
        <v>542073960</v>
      </c>
      <c r="J101" s="854">
        <v>499282256</v>
      </c>
      <c r="K101" s="854">
        <v>316127380</v>
      </c>
      <c r="L101" s="854">
        <v>577309560</v>
      </c>
      <c r="M101" s="854">
        <v>487397416</v>
      </c>
      <c r="N101" s="854">
        <v>366198176</v>
      </c>
      <c r="O101" s="854">
        <v>36621412</v>
      </c>
      <c r="P101" s="854">
        <v>203103192</v>
      </c>
      <c r="Q101" s="2967" t="s">
        <v>2085</v>
      </c>
      <c r="R101" s="2434" t="s">
        <v>65</v>
      </c>
      <c r="S101" s="2395">
        <v>8</v>
      </c>
      <c r="T101" s="2340">
        <v>41603</v>
      </c>
      <c r="U101" s="2341" t="s">
        <v>73</v>
      </c>
      <c r="V101" s="2341" t="s">
        <v>2086</v>
      </c>
      <c r="W101" s="2342">
        <f ca="1">YEARFRAC(T101,W$6)</f>
        <v>0.42222222222222222</v>
      </c>
      <c r="X101" s="48"/>
    </row>
    <row r="102" spans="1:24" ht="12" customHeight="1">
      <c r="A102" s="48">
        <v>90</v>
      </c>
      <c r="B102" s="2952" t="s">
        <v>1431</v>
      </c>
      <c r="C102" s="2955" t="s">
        <v>1707</v>
      </c>
      <c r="D102" s="2961"/>
      <c r="E102" s="1125">
        <f>SUM(H102/H$11,I102/I$11,J102/J$11,K102/K$11,L102/L$11,M102/M$11,N102/N$11,O102/O$11,P102/P$11)/9*100</f>
        <v>126.7884877266229</v>
      </c>
      <c r="F102" s="2963">
        <f>191+242+375+549+328+156+234+815+419</f>
        <v>3309</v>
      </c>
      <c r="G102" s="2965"/>
      <c r="H102" s="857">
        <v>93533161</v>
      </c>
      <c r="I102" s="857">
        <v>402349345</v>
      </c>
      <c r="J102" s="857">
        <v>520115641</v>
      </c>
      <c r="K102" s="857">
        <v>341769413</v>
      </c>
      <c r="L102" s="857">
        <v>585010169</v>
      </c>
      <c r="M102" s="857">
        <v>489126332</v>
      </c>
      <c r="N102" s="871">
        <v>300556906</v>
      </c>
      <c r="O102" s="857">
        <v>41761190</v>
      </c>
      <c r="P102" s="857">
        <v>248471149</v>
      </c>
      <c r="Q102" s="2966" t="s">
        <v>154</v>
      </c>
      <c r="R102" s="2969" t="s">
        <v>69</v>
      </c>
      <c r="S102" s="2971">
        <v>1</v>
      </c>
      <c r="T102" s="2972">
        <v>38411</v>
      </c>
      <c r="U102" s="2975" t="s">
        <v>77</v>
      </c>
      <c r="V102" s="2975" t="s">
        <v>905</v>
      </c>
      <c r="W102" s="2977">
        <f ca="1">YEARFRAC(T102,W$6)</f>
        <v>9.1583333333333332</v>
      </c>
      <c r="X102" s="48">
        <v>90</v>
      </c>
    </row>
    <row r="103" spans="1:24" ht="12" customHeight="1">
      <c r="A103" s="48"/>
      <c r="B103" s="2195" t="s">
        <v>42</v>
      </c>
      <c r="C103" s="2202" t="s">
        <v>182</v>
      </c>
      <c r="D103" s="2209" t="s">
        <v>41</v>
      </c>
      <c r="E103" s="1125">
        <f>SUM(H103/H$11,I103/I$11,J103/J$11,K103/K$11,L103/L$11,M103/M$11,N103/N$11,O103/O$11,P103/P$11)/9*100</f>
        <v>126.90756231893461</v>
      </c>
      <c r="F103" s="2268"/>
      <c r="G103" s="2269"/>
      <c r="H103" s="854">
        <v>105065841</v>
      </c>
      <c r="I103" s="854">
        <v>552136807</v>
      </c>
      <c r="J103" s="854">
        <v>482698369</v>
      </c>
      <c r="K103" s="854">
        <v>299863893</v>
      </c>
      <c r="L103" s="854">
        <v>591019735</v>
      </c>
      <c r="M103" s="854">
        <v>488092322</v>
      </c>
      <c r="N103" s="854">
        <v>339815777</v>
      </c>
      <c r="O103" s="854">
        <v>38169677</v>
      </c>
      <c r="P103" s="854">
        <v>189600577</v>
      </c>
      <c r="Q103" s="2370" t="s">
        <v>183</v>
      </c>
      <c r="R103" s="2371" t="s">
        <v>69</v>
      </c>
      <c r="S103" s="2364">
        <v>1</v>
      </c>
      <c r="T103" s="2365">
        <v>39093</v>
      </c>
      <c r="U103" s="2366" t="s">
        <v>184</v>
      </c>
      <c r="V103" s="2366" t="s">
        <v>1770</v>
      </c>
      <c r="W103" s="2342">
        <f ca="1">YEARFRAC(T103,W$6)</f>
        <v>7.2944444444444443</v>
      </c>
      <c r="X103" s="48"/>
    </row>
    <row r="104" spans="1:24" ht="12" customHeight="1">
      <c r="A104" s="48">
        <v>92</v>
      </c>
      <c r="B104" s="2224" t="s">
        <v>42</v>
      </c>
      <c r="C104" s="2227" t="s">
        <v>1644</v>
      </c>
      <c r="D104" s="2960"/>
      <c r="E104" s="1125">
        <f>SUM(H104/H$11,I104/I$11,J104/J$11,K104/K$11,L104/L$11,M104/M$11,N104/N$11,O104/O$11,P104/P$11)/9*100</f>
        <v>127.0694004463204</v>
      </c>
      <c r="F104" s="2272"/>
      <c r="G104" s="2273"/>
      <c r="H104" s="871">
        <v>90373039</v>
      </c>
      <c r="I104" s="871">
        <v>533692540</v>
      </c>
      <c r="J104" s="871">
        <v>476837081</v>
      </c>
      <c r="K104" s="871">
        <v>330228855</v>
      </c>
      <c r="L104" s="871">
        <v>583742981</v>
      </c>
      <c r="M104" s="871">
        <v>484319020</v>
      </c>
      <c r="N104" s="871">
        <v>338880556</v>
      </c>
      <c r="O104" s="871">
        <v>37469753</v>
      </c>
      <c r="P104" s="871">
        <v>224269866</v>
      </c>
      <c r="Q104" s="2372" t="s">
        <v>124</v>
      </c>
      <c r="R104" s="2373" t="s">
        <v>69</v>
      </c>
      <c r="S104" s="2374">
        <v>1</v>
      </c>
      <c r="T104" s="2401">
        <v>39085</v>
      </c>
      <c r="U104" s="2375" t="s">
        <v>75</v>
      </c>
      <c r="V104" s="2375" t="s">
        <v>140</v>
      </c>
      <c r="W104" s="2353">
        <f ca="1">YEARFRAC(T104,W$6)</f>
        <v>7.3166666666666664</v>
      </c>
      <c r="X104" s="48">
        <v>92</v>
      </c>
    </row>
    <row r="105" spans="1:24" ht="12" customHeight="1">
      <c r="A105" s="48"/>
      <c r="B105" s="2065" t="s">
        <v>1431</v>
      </c>
      <c r="C105" s="2054" t="s">
        <v>929</v>
      </c>
      <c r="D105" s="2209" t="s">
        <v>41</v>
      </c>
      <c r="E105" s="1125">
        <f>SUM(H105/H$11,I105/I$11,J105/J$11,K105/K$11,L105/L$11,M105/M$11,N105/N$11,O105/O$11,P105/P$11)/9*100</f>
        <v>127.10972761795489</v>
      </c>
      <c r="F105" s="2057">
        <f>325+379+890+831+690+571+707+221+1298</f>
        <v>5912</v>
      </c>
      <c r="G105" s="2058">
        <f>12.4+65+82+37+64.4+54.5+47.3+5.2+28.4</f>
        <v>396.2</v>
      </c>
      <c r="H105" s="865">
        <v>90361782</v>
      </c>
      <c r="I105" s="865">
        <v>542419333</v>
      </c>
      <c r="J105" s="865">
        <v>500000209</v>
      </c>
      <c r="K105" s="865">
        <v>316321162</v>
      </c>
      <c r="L105" s="865">
        <v>582134631</v>
      </c>
      <c r="M105" s="865">
        <v>489939093</v>
      </c>
      <c r="N105" s="854">
        <v>367325538</v>
      </c>
      <c r="O105" s="865">
        <v>36824254</v>
      </c>
      <c r="P105" s="865">
        <v>206805927</v>
      </c>
      <c r="Q105" s="2338" t="s">
        <v>928</v>
      </c>
      <c r="R105" s="2394" t="s">
        <v>69</v>
      </c>
      <c r="S105" s="2395">
        <v>2</v>
      </c>
      <c r="T105" s="2340">
        <v>40447</v>
      </c>
      <c r="U105" s="2974" t="s">
        <v>117</v>
      </c>
      <c r="V105" s="2341" t="s">
        <v>165</v>
      </c>
      <c r="W105" s="2342">
        <f ca="1">YEARFRAC(T105,W$6)</f>
        <v>3.5861111111111112</v>
      </c>
      <c r="X105" s="48"/>
    </row>
    <row r="106" spans="1:24" ht="12" customHeight="1">
      <c r="A106" s="48">
        <v>94</v>
      </c>
      <c r="B106" s="2062" t="s">
        <v>42</v>
      </c>
      <c r="C106" s="2706" t="s">
        <v>1906</v>
      </c>
      <c r="D106" s="2212"/>
      <c r="E106" s="1125">
        <f>SUM(H106/H$11,I106/I$11,J106/J$11,K106/K$11,L106/L$11,M106/M$11,N106/N$11,O106/O$11,P106/P$11)/9*100</f>
        <v>127.26989410108318</v>
      </c>
      <c r="F106" s="2263">
        <f>121+234+216+201+294+226+177+156+190</f>
        <v>1815</v>
      </c>
      <c r="G106" s="2264"/>
      <c r="H106" s="871">
        <v>115689544</v>
      </c>
      <c r="I106" s="871">
        <v>406943112</v>
      </c>
      <c r="J106" s="871">
        <v>475629327</v>
      </c>
      <c r="K106" s="871">
        <v>323516471</v>
      </c>
      <c r="L106" s="871">
        <v>586955935</v>
      </c>
      <c r="M106" s="871">
        <v>483626079</v>
      </c>
      <c r="N106" s="871">
        <v>297851879</v>
      </c>
      <c r="O106" s="871">
        <v>53443936</v>
      </c>
      <c r="P106" s="871">
        <v>175365258</v>
      </c>
      <c r="Q106" s="2354" t="s">
        <v>90</v>
      </c>
      <c r="R106" s="2657" t="s">
        <v>69</v>
      </c>
      <c r="S106" s="2369">
        <v>1</v>
      </c>
      <c r="T106" s="2357">
        <v>41466</v>
      </c>
      <c r="U106" s="2358" t="s">
        <v>108</v>
      </c>
      <c r="V106" s="2358" t="s">
        <v>102</v>
      </c>
      <c r="W106" s="2353">
        <f ca="1">YEARFRAC(T106,W$6)</f>
        <v>0.7944444444444444</v>
      </c>
      <c r="X106" s="48">
        <v>94</v>
      </c>
    </row>
    <row r="107" spans="1:24" ht="12" customHeight="1">
      <c r="A107" s="48"/>
      <c r="B107" s="2048" t="s">
        <v>1431</v>
      </c>
      <c r="C107" s="2054" t="s">
        <v>2048</v>
      </c>
      <c r="D107" s="2230"/>
      <c r="E107" s="1125">
        <f>SUM(H107/H$11,I107/I$11,J107/J$11,K107/K$11,L107/L$11,M107/M$11,N107/N$11,O107/O$11,P107/P$11)/9*100</f>
        <v>127.28627052209558</v>
      </c>
      <c r="F107" s="2057">
        <f>120+42+148+93+114+83+309+76+159</f>
        <v>1144</v>
      </c>
      <c r="G107" s="2058">
        <f>73+34+38+298+39+72+260+123+170</f>
        <v>1107</v>
      </c>
      <c r="H107" s="865">
        <v>113745713</v>
      </c>
      <c r="I107" s="854">
        <v>353119941</v>
      </c>
      <c r="J107" s="865">
        <v>499808100</v>
      </c>
      <c r="K107" s="865">
        <v>287887660</v>
      </c>
      <c r="L107" s="865">
        <v>583318308</v>
      </c>
      <c r="M107" s="865">
        <v>466050207</v>
      </c>
      <c r="N107" s="854">
        <v>351595430</v>
      </c>
      <c r="O107" s="865">
        <v>51171467</v>
      </c>
      <c r="P107" s="865">
        <v>202715409</v>
      </c>
      <c r="Q107" s="2338" t="s">
        <v>615</v>
      </c>
      <c r="R107" s="2434" t="s">
        <v>65</v>
      </c>
      <c r="S107" s="2395">
        <v>8</v>
      </c>
      <c r="T107" s="2340">
        <v>41016</v>
      </c>
      <c r="U107" s="2341" t="s">
        <v>80</v>
      </c>
      <c r="V107" s="3696" t="s">
        <v>2083</v>
      </c>
      <c r="W107" s="2342">
        <f ca="1">YEARFRAC(T107,W$6)</f>
        <v>2.0277777777777777</v>
      </c>
      <c r="X107" s="48"/>
    </row>
    <row r="108" spans="1:24" ht="12" customHeight="1">
      <c r="A108" s="48">
        <v>96</v>
      </c>
      <c r="B108" s="3206" t="s">
        <v>1431</v>
      </c>
      <c r="C108" s="2202" t="s">
        <v>622</v>
      </c>
      <c r="D108" s="3315"/>
      <c r="E108" s="1125">
        <f>SUM(H108/H$11,I108/I$11,J108/J$11,K108/K$11,L108/L$11,M108/M$11,N108/N$11,O108/O$11,P108/P$11)/9*100</f>
        <v>127.32185085189771</v>
      </c>
      <c r="F108" s="2268"/>
      <c r="G108" s="2269"/>
      <c r="H108" s="854">
        <v>110686632</v>
      </c>
      <c r="I108" s="854">
        <v>537803423</v>
      </c>
      <c r="J108" s="854">
        <v>478051361</v>
      </c>
      <c r="K108" s="854">
        <v>307495411</v>
      </c>
      <c r="L108" s="854">
        <v>596877061</v>
      </c>
      <c r="M108" s="854">
        <v>489208756</v>
      </c>
      <c r="N108" s="854">
        <v>319694127</v>
      </c>
      <c r="O108" s="854">
        <v>38142148</v>
      </c>
      <c r="P108" s="854">
        <v>195745327</v>
      </c>
      <c r="Q108" s="2824" t="s">
        <v>162</v>
      </c>
      <c r="R108" s="2836" t="s">
        <v>69</v>
      </c>
      <c r="S108" s="2364">
        <v>1</v>
      </c>
      <c r="T108" s="2365">
        <v>38380</v>
      </c>
      <c r="U108" s="2366" t="s">
        <v>80</v>
      </c>
      <c r="V108" s="2366" t="s">
        <v>163</v>
      </c>
      <c r="W108" s="2353">
        <f ca="1">YEARFRAC(T108,W$6)</f>
        <v>9.2472222222222218</v>
      </c>
      <c r="X108" s="48">
        <v>96</v>
      </c>
    </row>
    <row r="109" spans="1:24" ht="12" customHeight="1">
      <c r="A109" s="48"/>
      <c r="B109" s="2047" t="s">
        <v>42</v>
      </c>
      <c r="C109" s="2758" t="s">
        <v>1708</v>
      </c>
      <c r="D109" s="2209" t="s">
        <v>41</v>
      </c>
      <c r="E109" s="1125">
        <f>SUM(H109/H$11,I109/I$11,J109/J$11,K109/K$11,L109/L$11,M109/M$11,N109/N$11,O109/O$11,P109/P$11)/9*100</f>
        <v>127.33082840154304</v>
      </c>
      <c r="F109" s="2270"/>
      <c r="G109" s="2271"/>
      <c r="H109" s="869">
        <v>91437732</v>
      </c>
      <c r="I109" s="869">
        <v>528099307</v>
      </c>
      <c r="J109" s="869">
        <v>490572583</v>
      </c>
      <c r="K109" s="869">
        <v>322583267</v>
      </c>
      <c r="L109" s="869">
        <v>586053677</v>
      </c>
      <c r="M109" s="869">
        <v>490499206</v>
      </c>
      <c r="N109" s="870">
        <v>352840233</v>
      </c>
      <c r="O109" s="869">
        <v>37346605</v>
      </c>
      <c r="P109" s="869">
        <v>217554463</v>
      </c>
      <c r="Q109" s="2361" t="s">
        <v>150</v>
      </c>
      <c r="R109" s="2367" t="s">
        <v>69</v>
      </c>
      <c r="S109" s="2368">
        <v>1</v>
      </c>
      <c r="T109" s="2362">
        <v>39597</v>
      </c>
      <c r="U109" s="2363" t="s">
        <v>75</v>
      </c>
      <c r="V109" s="2363" t="s">
        <v>151</v>
      </c>
      <c r="W109" s="2342">
        <f ca="1">YEARFRAC(T109,W$6)</f>
        <v>5.9111111111111114</v>
      </c>
      <c r="X109" s="48"/>
    </row>
    <row r="110" spans="1:24" ht="12" customHeight="1">
      <c r="A110" s="48">
        <v>98</v>
      </c>
      <c r="B110" s="2206" t="s">
        <v>1431</v>
      </c>
      <c r="C110" s="2054" t="s">
        <v>944</v>
      </c>
      <c r="D110" s="3316"/>
      <c r="E110" s="1125">
        <f>SUM(H110/H$11,I110/I$11,J110/J$11,K110/K$11,L110/L$11,M110/M$11,N110/N$11,O110/O$11,P110/P$11)/9*100</f>
        <v>127.47559286191799</v>
      </c>
      <c r="F110" s="2057">
        <f>68+47+53+135+40+37+72+96+88</f>
        <v>636</v>
      </c>
      <c r="G110" s="2058">
        <f>24+15+10+49+19+13+22+57+17</f>
        <v>226</v>
      </c>
      <c r="H110" s="868">
        <v>94055673</v>
      </c>
      <c r="I110" s="854">
        <v>408840098</v>
      </c>
      <c r="J110" s="854">
        <v>511441694</v>
      </c>
      <c r="K110" s="854">
        <v>340923674</v>
      </c>
      <c r="L110" s="854">
        <v>583872759</v>
      </c>
      <c r="M110" s="854">
        <v>487786522</v>
      </c>
      <c r="N110" s="3491">
        <v>321674370</v>
      </c>
      <c r="O110" s="3491">
        <v>41152941</v>
      </c>
      <c r="P110" s="3491">
        <v>248944093</v>
      </c>
      <c r="Q110" s="2338" t="s">
        <v>136</v>
      </c>
      <c r="R110" s="2434" t="s">
        <v>65</v>
      </c>
      <c r="S110" s="2849">
        <v>8</v>
      </c>
      <c r="T110" s="2360">
        <v>41032</v>
      </c>
      <c r="U110" s="2341" t="s">
        <v>75</v>
      </c>
      <c r="V110" s="2341" t="s">
        <v>905</v>
      </c>
      <c r="W110" s="2353">
        <f ca="1">YEARFRAC(T110,W$6)</f>
        <v>1.9833333333333334</v>
      </c>
      <c r="X110" s="48">
        <v>98</v>
      </c>
    </row>
    <row r="111" spans="1:24" ht="12" customHeight="1">
      <c r="A111" s="48"/>
      <c r="B111" s="2195" t="s">
        <v>42</v>
      </c>
      <c r="C111" s="3272" t="s">
        <v>790</v>
      </c>
      <c r="D111" s="2234"/>
      <c r="E111" s="1125">
        <f>SUM(H111/H$11,I111/I$11,J111/J$11,K111/K$11,L111/L$11,M111/M$11,N111/N$11,O111/O$11,P111/P$11)/9*100</f>
        <v>127.62059636897449</v>
      </c>
      <c r="F111" s="3406"/>
      <c r="G111" s="3462"/>
      <c r="H111" s="872">
        <v>111882033</v>
      </c>
      <c r="I111" s="870">
        <v>541403831</v>
      </c>
      <c r="J111" s="870">
        <v>498385630</v>
      </c>
      <c r="K111" s="870">
        <v>305738834</v>
      </c>
      <c r="L111" s="870">
        <v>588307467</v>
      </c>
      <c r="M111" s="870">
        <v>485795961</v>
      </c>
      <c r="N111" s="870">
        <v>324433275</v>
      </c>
      <c r="O111" s="870">
        <v>40260049</v>
      </c>
      <c r="P111" s="870">
        <v>180487530</v>
      </c>
      <c r="Q111" s="3523" t="s">
        <v>178</v>
      </c>
      <c r="R111" s="3566" t="s">
        <v>69</v>
      </c>
      <c r="S111" s="3610">
        <v>1</v>
      </c>
      <c r="T111" s="3645">
        <v>36929</v>
      </c>
      <c r="U111" s="3679" t="s">
        <v>179</v>
      </c>
      <c r="V111" s="3679" t="s">
        <v>102</v>
      </c>
      <c r="W111" s="2342">
        <f ca="1">YEARFRAC(T111,W$6)</f>
        <v>13.222222222222221</v>
      </c>
      <c r="X111" s="48"/>
    </row>
    <row r="112" spans="1:24" ht="12" customHeight="1">
      <c r="A112" s="48">
        <v>100</v>
      </c>
      <c r="B112" s="2747" t="s">
        <v>1431</v>
      </c>
      <c r="C112" s="2208" t="s">
        <v>1923</v>
      </c>
      <c r="D112" s="2775"/>
      <c r="E112" s="1125">
        <f>SUM(H112/H$11,I112/I$11,J112/J$11,K112/K$11,L112/L$11,M112/M$11,N112/N$11,O112/O$11,P112/P$11)/9*100</f>
        <v>127.66881478039751</v>
      </c>
      <c r="F112" s="2722"/>
      <c r="G112" s="2725"/>
      <c r="H112" s="855">
        <v>114068434</v>
      </c>
      <c r="I112" s="857">
        <v>353119941</v>
      </c>
      <c r="J112" s="857">
        <v>499941562</v>
      </c>
      <c r="K112" s="857">
        <v>287992261</v>
      </c>
      <c r="L112" s="857">
        <v>584523077</v>
      </c>
      <c r="M112" s="857">
        <v>466234013</v>
      </c>
      <c r="N112" s="871">
        <v>351717891</v>
      </c>
      <c r="O112" s="857">
        <v>51958902</v>
      </c>
      <c r="P112" s="857">
        <v>202715769</v>
      </c>
      <c r="Q112" s="2354" t="s">
        <v>120</v>
      </c>
      <c r="R112" s="2355" t="s">
        <v>69</v>
      </c>
      <c r="S112" s="2369">
        <v>1</v>
      </c>
      <c r="T112" s="2357">
        <v>39701</v>
      </c>
      <c r="U112" s="2358" t="s">
        <v>80</v>
      </c>
      <c r="V112" s="2358" t="s">
        <v>618</v>
      </c>
      <c r="W112" s="2353">
        <f ca="1">YEARFRAC(T112,W$6)</f>
        <v>5.6305555555555555</v>
      </c>
      <c r="X112" s="48">
        <v>100</v>
      </c>
    </row>
    <row r="113" spans="1:24" ht="12" customHeight="1">
      <c r="A113" s="48"/>
      <c r="B113" s="2195" t="s">
        <v>42</v>
      </c>
      <c r="C113" s="2202" t="s">
        <v>1903</v>
      </c>
      <c r="D113" s="2234"/>
      <c r="E113" s="1125">
        <f>SUM(H113/H$11,I113/I$11,J113/J$11,K113/K$11,L113/L$11,M113/M$11,N113/N$11,O113/O$11,P113/P$11)/9*100</f>
        <v>127.72137210870061</v>
      </c>
      <c r="F113" s="2268"/>
      <c r="G113" s="2269"/>
      <c r="H113" s="868">
        <v>108233769</v>
      </c>
      <c r="I113" s="854">
        <v>559661105</v>
      </c>
      <c r="J113" s="854">
        <v>485197621</v>
      </c>
      <c r="K113" s="854">
        <v>304871365</v>
      </c>
      <c r="L113" s="854">
        <v>607113152</v>
      </c>
      <c r="M113" s="854">
        <v>490093603</v>
      </c>
      <c r="N113" s="854">
        <v>337025048</v>
      </c>
      <c r="O113" s="854">
        <v>37014952</v>
      </c>
      <c r="P113" s="854">
        <v>188392580</v>
      </c>
      <c r="Q113" s="2370" t="s">
        <v>104</v>
      </c>
      <c r="R113" s="2371" t="s">
        <v>69</v>
      </c>
      <c r="S113" s="2364">
        <v>1</v>
      </c>
      <c r="T113" s="2365">
        <v>36856</v>
      </c>
      <c r="U113" s="2366" t="s">
        <v>75</v>
      </c>
      <c r="V113" s="2366" t="s">
        <v>105</v>
      </c>
      <c r="W113" s="2342">
        <f ca="1">YEARFRAC(T113,W$6)</f>
        <v>13.419444444444444</v>
      </c>
      <c r="X113" s="48"/>
    </row>
    <row r="114" spans="1:24" ht="12" customHeight="1">
      <c r="A114" s="48">
        <v>102</v>
      </c>
      <c r="B114" s="2747" t="s">
        <v>1431</v>
      </c>
      <c r="C114" s="3240" t="s">
        <v>2053</v>
      </c>
      <c r="D114" s="2212" t="s">
        <v>41</v>
      </c>
      <c r="E114" s="1125">
        <f>SUM(H114/H$11,I114/I$11,J114/J$11,K114/K$11,L114/L$11,M114/M$11,N114/N$11,O114/O$11,P114/P$11)/9*100</f>
        <v>127.75224827570024</v>
      </c>
      <c r="F114" s="2263">
        <f>221+288+309+703+265+214+439+205+979</f>
        <v>3623</v>
      </c>
      <c r="G114" s="2725"/>
      <c r="H114" s="855">
        <v>90531315</v>
      </c>
      <c r="I114" s="857">
        <v>541418792</v>
      </c>
      <c r="J114" s="857">
        <v>501457181</v>
      </c>
      <c r="K114" s="857">
        <v>319193219</v>
      </c>
      <c r="L114" s="871">
        <v>581862268</v>
      </c>
      <c r="M114" s="871">
        <v>490060333</v>
      </c>
      <c r="N114" s="871">
        <v>366470831</v>
      </c>
      <c r="O114" s="871">
        <v>37296432</v>
      </c>
      <c r="P114" s="871">
        <v>211635644</v>
      </c>
      <c r="Q114" s="2354" t="s">
        <v>891</v>
      </c>
      <c r="R114" s="2355" t="s">
        <v>69</v>
      </c>
      <c r="S114" s="2356">
        <v>2</v>
      </c>
      <c r="T114" s="2357">
        <v>41558</v>
      </c>
      <c r="U114" s="2358" t="s">
        <v>80</v>
      </c>
      <c r="V114" s="3691" t="s">
        <v>165</v>
      </c>
      <c r="W114" s="2353">
        <f ca="1">YEARFRAC(T114,W$6)</f>
        <v>0.5444444444444444</v>
      </c>
      <c r="X114" s="48">
        <v>102</v>
      </c>
    </row>
    <row r="115" spans="1:24" ht="12" customHeight="1">
      <c r="A115" s="48"/>
      <c r="B115" s="2037" t="s">
        <v>42</v>
      </c>
      <c r="C115" s="2688" t="s">
        <v>2090</v>
      </c>
      <c r="D115" s="2230"/>
      <c r="E115" s="1125">
        <f>SUM(H115/H$11,I115/I$11,J115/J$11,K115/K$11,L115/L$11,M115/M$11,N115/N$11,O115/O$11,P115/P$11)/9*100+(F115/5000)</f>
        <v>128.32156447684812</v>
      </c>
      <c r="F115" s="2057">
        <f>225+972+492+820+586+451+473+104+742</f>
        <v>4865</v>
      </c>
      <c r="G115" s="2058"/>
      <c r="H115" s="854">
        <v>112710682</v>
      </c>
      <c r="I115" s="854">
        <v>526989975</v>
      </c>
      <c r="J115" s="854">
        <v>488491347</v>
      </c>
      <c r="K115" s="854">
        <v>305793155</v>
      </c>
      <c r="L115" s="854">
        <v>597466988</v>
      </c>
      <c r="M115" s="854">
        <v>491762627</v>
      </c>
      <c r="N115" s="854">
        <v>308917391</v>
      </c>
      <c r="O115" s="854">
        <v>41458908</v>
      </c>
      <c r="P115" s="854">
        <v>182732499</v>
      </c>
      <c r="Q115" s="2338" t="s">
        <v>2087</v>
      </c>
      <c r="R115" s="2434" t="s">
        <v>69</v>
      </c>
      <c r="S115" s="2395">
        <v>2</v>
      </c>
      <c r="T115" s="2340">
        <v>41610</v>
      </c>
      <c r="U115" s="2341" t="s">
        <v>80</v>
      </c>
      <c r="V115" s="2341" t="s">
        <v>2091</v>
      </c>
      <c r="W115" s="2342">
        <f ca="1">YEARFRAC(T115,W$6)</f>
        <v>0.40277777777777779</v>
      </c>
      <c r="X115" s="48"/>
    </row>
    <row r="116" spans="1:24" ht="12" customHeight="1">
      <c r="A116" s="48">
        <v>104</v>
      </c>
      <c r="B116" s="2231" t="s">
        <v>1431</v>
      </c>
      <c r="C116" s="2196" t="s">
        <v>2057</v>
      </c>
      <c r="D116" s="3317"/>
      <c r="E116" s="1125">
        <f>SUM(H116/H$11,I116/I$11,J116/J$11,K116/K$11,L116/L$11,M116/M$11,N116/N$11,O116/O$11,P116/P$11)/9*100</f>
        <v>128.3957294417244</v>
      </c>
      <c r="F116" s="3375">
        <f>281+62+409+849+393+347+493+248+1045</f>
        <v>4127</v>
      </c>
      <c r="G116" s="2269"/>
      <c r="H116" s="853">
        <v>95661953</v>
      </c>
      <c r="I116" s="865">
        <v>369832091</v>
      </c>
      <c r="J116" s="865">
        <v>517199086</v>
      </c>
      <c r="K116" s="865">
        <v>336725810</v>
      </c>
      <c r="L116" s="865">
        <v>583950962</v>
      </c>
      <c r="M116" s="865">
        <v>487687694</v>
      </c>
      <c r="N116" s="854">
        <v>366830143</v>
      </c>
      <c r="O116" s="865">
        <v>43625375</v>
      </c>
      <c r="P116" s="865">
        <v>237630132</v>
      </c>
      <c r="Q116" s="2370" t="s">
        <v>93</v>
      </c>
      <c r="R116" s="2371" t="s">
        <v>69</v>
      </c>
      <c r="S116" s="2364">
        <v>1</v>
      </c>
      <c r="T116" s="2365">
        <v>37825</v>
      </c>
      <c r="U116" s="2366" t="s">
        <v>77</v>
      </c>
      <c r="V116" s="2366" t="s">
        <v>807</v>
      </c>
      <c r="W116" s="2353">
        <f ca="1">YEARFRAC(T116,W$6)</f>
        <v>10.761111111111111</v>
      </c>
      <c r="X116" s="48">
        <v>104</v>
      </c>
    </row>
    <row r="117" spans="1:24" ht="12" customHeight="1">
      <c r="A117" s="48"/>
      <c r="B117" s="3221" t="s">
        <v>42</v>
      </c>
      <c r="C117" s="3273" t="s">
        <v>166</v>
      </c>
      <c r="D117" s="3347"/>
      <c r="E117" s="1125">
        <f>SUM(H117/H$11,I117/I$11,J117/J$11,K117/K$11,L117/L$11,M117/M$11,N117/N$11,O117/O$11,P117/P$11)/9*100</f>
        <v>128.41544939935085</v>
      </c>
      <c r="F117" s="3407"/>
      <c r="G117" s="3463"/>
      <c r="H117" s="3482">
        <v>113572641</v>
      </c>
      <c r="I117" s="869">
        <v>547941949</v>
      </c>
      <c r="J117" s="869">
        <v>499581603</v>
      </c>
      <c r="K117" s="869">
        <v>305213200</v>
      </c>
      <c r="L117" s="869">
        <v>595135649</v>
      </c>
      <c r="M117" s="869">
        <v>490054574</v>
      </c>
      <c r="N117" s="870">
        <v>326389070</v>
      </c>
      <c r="O117" s="869">
        <v>40156755</v>
      </c>
      <c r="P117" s="869">
        <v>180460007</v>
      </c>
      <c r="Q117" s="3524" t="s">
        <v>167</v>
      </c>
      <c r="R117" s="3567" t="s">
        <v>69</v>
      </c>
      <c r="S117" s="3611">
        <v>1</v>
      </c>
      <c r="T117" s="3646">
        <v>38952</v>
      </c>
      <c r="U117" s="3680" t="s">
        <v>75</v>
      </c>
      <c r="V117" s="3680" t="s">
        <v>168</v>
      </c>
      <c r="W117" s="2342">
        <f ca="1">YEARFRAC(T117,W$6)</f>
        <v>7.677777777777778</v>
      </c>
      <c r="X117" s="48"/>
    </row>
    <row r="118" spans="1:24" ht="12" customHeight="1">
      <c r="A118" s="48">
        <v>106</v>
      </c>
      <c r="B118" s="2199" t="s">
        <v>42</v>
      </c>
      <c r="C118" s="2221" t="s">
        <v>775</v>
      </c>
      <c r="D118" s="2232"/>
      <c r="E118" s="1125">
        <f>SUM(H118/H$11,I118/I$11,J118/J$11,K118/K$11,L118/L$11,M118/M$11,N118/N$11,O118/O$11,P118/P$11)/9*100</f>
        <v>128.53242667373874</v>
      </c>
      <c r="F118" s="3376">
        <f>354+269+399+446+335+320+421+372+567</f>
        <v>3483</v>
      </c>
      <c r="G118" s="2280"/>
      <c r="H118" s="867">
        <v>109050502</v>
      </c>
      <c r="I118" s="857">
        <v>396021787</v>
      </c>
      <c r="J118" s="857">
        <v>478872414</v>
      </c>
      <c r="K118" s="871">
        <v>322437857</v>
      </c>
      <c r="L118" s="871">
        <v>580831147</v>
      </c>
      <c r="M118" s="871">
        <v>483988300</v>
      </c>
      <c r="N118" s="871">
        <v>325952081</v>
      </c>
      <c r="O118" s="871">
        <v>54653845</v>
      </c>
      <c r="P118" s="871">
        <v>191082735</v>
      </c>
      <c r="Q118" s="2396" t="s">
        <v>216</v>
      </c>
      <c r="R118" s="2397" t="s">
        <v>69</v>
      </c>
      <c r="S118" s="2398">
        <v>1</v>
      </c>
      <c r="T118" s="2399">
        <v>39618</v>
      </c>
      <c r="U118" s="2400" t="s">
        <v>75</v>
      </c>
      <c r="V118" s="2400" t="s">
        <v>1771</v>
      </c>
      <c r="W118" s="2353">
        <f ca="1">YEARFRAC(T118,W$6)</f>
        <v>5.8555555555555552</v>
      </c>
      <c r="X118" s="48">
        <v>106</v>
      </c>
    </row>
    <row r="119" spans="1:24" ht="12" customHeight="1">
      <c r="A119" s="48"/>
      <c r="B119" s="2201" t="s">
        <v>42</v>
      </c>
      <c r="C119" s="2049" t="s">
        <v>1709</v>
      </c>
      <c r="D119" s="2229"/>
      <c r="E119" s="1125">
        <f>SUM(H119/H$11,I119/I$11,J119/J$11,K119/K$11,L119/L$11,M119/M$11,N119/N$11,O119/O$11,P119/P$11)/9*100</f>
        <v>128.61523464709407</v>
      </c>
      <c r="F119" s="2044"/>
      <c r="G119" s="2045"/>
      <c r="H119" s="868">
        <v>115809668</v>
      </c>
      <c r="I119" s="854">
        <v>541800959</v>
      </c>
      <c r="J119" s="854">
        <v>496664847</v>
      </c>
      <c r="K119" s="854">
        <v>306068242</v>
      </c>
      <c r="L119" s="854">
        <v>591972098</v>
      </c>
      <c r="M119" s="854">
        <v>486794888</v>
      </c>
      <c r="N119" s="854">
        <v>326725230</v>
      </c>
      <c r="O119" s="854">
        <v>41197626</v>
      </c>
      <c r="P119" s="854">
        <v>178185035</v>
      </c>
      <c r="Q119" s="2381" t="s">
        <v>177</v>
      </c>
      <c r="R119" s="2382" t="s">
        <v>69</v>
      </c>
      <c r="S119" s="2383">
        <v>1</v>
      </c>
      <c r="T119" s="2384">
        <v>39168</v>
      </c>
      <c r="U119" s="2385" t="s">
        <v>80</v>
      </c>
      <c r="V119" s="2385" t="s">
        <v>1774</v>
      </c>
      <c r="W119" s="2342">
        <f ca="1">YEARFRAC(T119,W$6)</f>
        <v>7.083333333333333</v>
      </c>
      <c r="X119" s="48"/>
    </row>
    <row r="120" spans="1:24" ht="12" customHeight="1">
      <c r="A120" s="48">
        <v>108</v>
      </c>
      <c r="B120" s="2048" t="s">
        <v>1431</v>
      </c>
      <c r="C120" s="2049" t="s">
        <v>1587</v>
      </c>
      <c r="D120" s="2776"/>
      <c r="E120" s="1125">
        <f>SUM(H120/H$11,I120/I$11,J120/J$11,K120/K$11,L120/L$11,M120/M$11,N120/N$11,O120/O$11,P120/P$11)/9*100</f>
        <v>129.09279326261844</v>
      </c>
      <c r="F120" s="2069">
        <f>366+378+448+675+254+145+173+742+257</f>
        <v>3438</v>
      </c>
      <c r="G120" s="2045"/>
      <c r="H120" s="853">
        <v>91625148</v>
      </c>
      <c r="I120" s="865">
        <v>541831172</v>
      </c>
      <c r="J120" s="865">
        <v>500777382</v>
      </c>
      <c r="K120" s="865">
        <v>321995902</v>
      </c>
      <c r="L120" s="865">
        <v>584408803</v>
      </c>
      <c r="M120" s="865">
        <v>489807206</v>
      </c>
      <c r="N120" s="854">
        <v>366440403</v>
      </c>
      <c r="O120" s="865">
        <v>39225968</v>
      </c>
      <c r="P120" s="865">
        <v>215667154</v>
      </c>
      <c r="Q120" s="2381" t="s">
        <v>663</v>
      </c>
      <c r="R120" s="2382" t="s">
        <v>69</v>
      </c>
      <c r="S120" s="2383">
        <v>1</v>
      </c>
      <c r="T120" s="2667">
        <v>40458</v>
      </c>
      <c r="U120" s="2385" t="s">
        <v>366</v>
      </c>
      <c r="V120" s="2385" t="s">
        <v>664</v>
      </c>
      <c r="W120" s="2353">
        <f ca="1">YEARFRAC(T120,W$6)</f>
        <v>3.5555555555555554</v>
      </c>
      <c r="X120" s="48">
        <v>108</v>
      </c>
    </row>
    <row r="121" spans="1:24" ht="12" customHeight="1">
      <c r="A121" s="48"/>
      <c r="B121" s="2748" t="s">
        <v>42</v>
      </c>
      <c r="C121" s="3274" t="s">
        <v>1710</v>
      </c>
      <c r="D121" s="2717"/>
      <c r="E121" s="1125">
        <f>SUM(H121/H$11,I121/I$11,J121/J$11,K121/K$11,L121/L$11,M121/M$11,N121/N$11,O121/O$11,P121/P$11)/9*100</f>
        <v>129.17164591307625</v>
      </c>
      <c r="F121" s="2270"/>
      <c r="G121" s="2271"/>
      <c r="H121" s="872">
        <v>116097070</v>
      </c>
      <c r="I121" s="870">
        <v>540862071</v>
      </c>
      <c r="J121" s="870">
        <v>485630231</v>
      </c>
      <c r="K121" s="869">
        <v>308767288</v>
      </c>
      <c r="L121" s="869">
        <v>591173241</v>
      </c>
      <c r="M121" s="869">
        <v>486368507</v>
      </c>
      <c r="N121" s="870">
        <v>324381207</v>
      </c>
      <c r="O121" s="869">
        <v>41294540</v>
      </c>
      <c r="P121" s="869">
        <v>188852254</v>
      </c>
      <c r="Q121" s="2386" t="s">
        <v>177</v>
      </c>
      <c r="R121" s="2387" t="s">
        <v>69</v>
      </c>
      <c r="S121" s="2388">
        <v>1</v>
      </c>
      <c r="T121" s="2402">
        <v>39168</v>
      </c>
      <c r="U121" s="2389" t="s">
        <v>80</v>
      </c>
      <c r="V121" s="2389" t="s">
        <v>1772</v>
      </c>
      <c r="W121" s="2342">
        <f ca="1">YEARFRAC(T121,W$6)</f>
        <v>7.083333333333333</v>
      </c>
      <c r="X121" s="48"/>
    </row>
    <row r="122" spans="1:24" ht="12" customHeight="1">
      <c r="A122" s="48">
        <v>110</v>
      </c>
      <c r="B122" s="2201" t="s">
        <v>42</v>
      </c>
      <c r="C122" s="2197" t="s">
        <v>198</v>
      </c>
      <c r="D122" s="3318"/>
      <c r="E122" s="1125">
        <f>SUM(H122/H$11,I122/I$11,J122/J$11,K122/K$11,L122/L$11,M122/M$11,N122/N$11,O122/O$11,P122/P$11)/9*100</f>
        <v>129.86337582531294</v>
      </c>
      <c r="F122" s="2281"/>
      <c r="G122" s="2275"/>
      <c r="H122" s="853">
        <v>119353441</v>
      </c>
      <c r="I122" s="865">
        <v>543052963</v>
      </c>
      <c r="J122" s="865">
        <v>482277855</v>
      </c>
      <c r="K122" s="865">
        <v>308911519</v>
      </c>
      <c r="L122" s="865">
        <v>601489992</v>
      </c>
      <c r="M122" s="865">
        <v>490448245</v>
      </c>
      <c r="N122" s="854">
        <v>321867467</v>
      </c>
      <c r="O122" s="865">
        <v>39994251</v>
      </c>
      <c r="P122" s="865">
        <v>194413052</v>
      </c>
      <c r="Q122" s="2376" t="s">
        <v>199</v>
      </c>
      <c r="R122" s="2377" t="s">
        <v>69</v>
      </c>
      <c r="S122" s="2378">
        <v>1</v>
      </c>
      <c r="T122" s="2379">
        <v>37521</v>
      </c>
      <c r="U122" s="2380" t="s">
        <v>75</v>
      </c>
      <c r="V122" s="2380" t="s">
        <v>168</v>
      </c>
      <c r="W122" s="2342">
        <f ca="1">YEARFRAC(T122,W$6)</f>
        <v>11.597222222222221</v>
      </c>
      <c r="X122" s="48">
        <v>110</v>
      </c>
    </row>
    <row r="123" spans="1:24" ht="12" customHeight="1">
      <c r="A123" s="48"/>
      <c r="B123" s="2198" t="s">
        <v>42</v>
      </c>
      <c r="C123" s="2759" t="s">
        <v>200</v>
      </c>
      <c r="D123" s="3348"/>
      <c r="E123" s="1125">
        <f>SUM(H123/H$11,I123/I$11,J123/J$11,K123/K$11,L123/L$11,M123/M$11,N123/N$11,O123/O$11,P123/P$11)/9*100</f>
        <v>130.03169081627709</v>
      </c>
      <c r="F123" s="2257"/>
      <c r="G123" s="2257"/>
      <c r="H123" s="1146">
        <v>115630396</v>
      </c>
      <c r="I123" s="1146">
        <v>542509538</v>
      </c>
      <c r="J123" s="1146">
        <v>477088827</v>
      </c>
      <c r="K123" s="1146">
        <v>309751586</v>
      </c>
      <c r="L123" s="1146">
        <v>593767607</v>
      </c>
      <c r="M123" s="1146">
        <v>488747044</v>
      </c>
      <c r="N123" s="1146">
        <v>321144028</v>
      </c>
      <c r="O123" s="1146">
        <v>42873280</v>
      </c>
      <c r="P123" s="1146">
        <v>195580747</v>
      </c>
      <c r="Q123" s="3525" t="s">
        <v>167</v>
      </c>
      <c r="R123" s="3568" t="s">
        <v>69</v>
      </c>
      <c r="S123" s="2323">
        <v>1</v>
      </c>
      <c r="T123" s="2862">
        <v>38998</v>
      </c>
      <c r="U123" s="2324" t="s">
        <v>75</v>
      </c>
      <c r="V123" s="2324" t="s">
        <v>168</v>
      </c>
      <c r="W123" s="2305">
        <f ca="1">YEARFRAC(T123,W$6)</f>
        <v>7.552777777777778</v>
      </c>
      <c r="X123" s="48"/>
    </row>
    <row r="124" spans="1:24" ht="12" customHeight="1">
      <c r="A124" s="48">
        <v>112</v>
      </c>
      <c r="B124" s="2199" t="s">
        <v>42</v>
      </c>
      <c r="C124" s="2221" t="s">
        <v>202</v>
      </c>
      <c r="D124" s="2232"/>
      <c r="E124" s="1125">
        <f>SUM(H124/H$11,I124/I$11,J124/J$11,K124/K$11,L124/L$11,M124/M$11,N124/N$11,O124/O$11,P124/P$11)/9*100</f>
        <v>130.06466739447353</v>
      </c>
      <c r="F124" s="2276"/>
      <c r="G124" s="2276"/>
      <c r="H124" s="902">
        <v>115922733</v>
      </c>
      <c r="I124" s="1151">
        <v>542777545</v>
      </c>
      <c r="J124" s="1151">
        <v>479587507</v>
      </c>
      <c r="K124" s="1151">
        <v>311868301</v>
      </c>
      <c r="L124" s="1151">
        <v>593027830</v>
      </c>
      <c r="M124" s="1151">
        <v>485653639</v>
      </c>
      <c r="N124" s="1143">
        <v>323092232</v>
      </c>
      <c r="O124" s="1151">
        <v>40252099</v>
      </c>
      <c r="P124" s="1151">
        <v>206175132</v>
      </c>
      <c r="Q124" s="2325" t="s">
        <v>203</v>
      </c>
      <c r="R124" s="2326" t="s">
        <v>69</v>
      </c>
      <c r="S124" s="2327">
        <v>1</v>
      </c>
      <c r="T124" s="3628">
        <v>37906</v>
      </c>
      <c r="U124" s="2329" t="s">
        <v>77</v>
      </c>
      <c r="V124" s="2329" t="s">
        <v>204</v>
      </c>
      <c r="W124" s="2310">
        <f ca="1">YEARFRAC(T124,W$6)</f>
        <v>10.541666666666666</v>
      </c>
      <c r="X124" s="48">
        <v>112</v>
      </c>
    </row>
    <row r="125" spans="1:24" ht="12" customHeight="1">
      <c r="A125" s="48"/>
      <c r="B125" s="2037" t="s">
        <v>42</v>
      </c>
      <c r="C125" s="2222" t="s">
        <v>1711</v>
      </c>
      <c r="D125" s="2715"/>
      <c r="E125" s="1125">
        <f>SUM(H125/H$11,I125/I$11,J125/J$11,K125/K$11,L125/L$11,M125/M$11,N125/N$11,O125/O$11,P125/P$11)/9*100</f>
        <v>130.08570999749455</v>
      </c>
      <c r="F125" s="2072"/>
      <c r="G125" s="2071"/>
      <c r="H125" s="1140">
        <v>113605203</v>
      </c>
      <c r="I125" s="1141">
        <v>530686585</v>
      </c>
      <c r="J125" s="1141">
        <v>485385486</v>
      </c>
      <c r="K125" s="1141">
        <v>306667317</v>
      </c>
      <c r="L125" s="1141">
        <v>590126320</v>
      </c>
      <c r="M125" s="1141">
        <v>485300139</v>
      </c>
      <c r="N125" s="1128">
        <v>331444892</v>
      </c>
      <c r="O125" s="1141">
        <v>41160241</v>
      </c>
      <c r="P125" s="1141">
        <v>209600275</v>
      </c>
      <c r="Q125" s="2296" t="s">
        <v>114</v>
      </c>
      <c r="R125" s="3538" t="s">
        <v>65</v>
      </c>
      <c r="S125" s="2298">
        <v>1</v>
      </c>
      <c r="T125" s="2299">
        <v>39683</v>
      </c>
      <c r="U125" s="2300" t="s">
        <v>66</v>
      </c>
      <c r="V125" s="2300" t="s">
        <v>1893</v>
      </c>
      <c r="W125" s="2295">
        <f ca="1">YEARFRAC(T125,W$6)</f>
        <v>5.677777777777778</v>
      </c>
      <c r="X125" s="48"/>
    </row>
    <row r="126" spans="1:24" ht="12" customHeight="1">
      <c r="A126" s="48">
        <v>114</v>
      </c>
      <c r="B126" s="3203" t="s">
        <v>1431</v>
      </c>
      <c r="C126" s="2197" t="s">
        <v>1712</v>
      </c>
      <c r="D126" s="3319"/>
      <c r="E126" s="1125">
        <f>SUM(H126/H$11,I126/I$11,J126/J$11,K126/K$11,L126/L$11,M126/M$11,N126/N$11,O126/O$11,P126/P$11)/9*100</f>
        <v>130.13055828749782</v>
      </c>
      <c r="F126" s="2072"/>
      <c r="G126" s="2071"/>
      <c r="H126" s="1140">
        <v>109487244</v>
      </c>
      <c r="I126" s="1141">
        <v>436709530</v>
      </c>
      <c r="J126" s="1141">
        <v>483882325</v>
      </c>
      <c r="K126" s="1141">
        <v>321416881</v>
      </c>
      <c r="L126" s="1141">
        <v>587720438</v>
      </c>
      <c r="M126" s="1141">
        <v>486662689</v>
      </c>
      <c r="N126" s="1128">
        <v>344731724</v>
      </c>
      <c r="O126" s="1141">
        <v>49767293</v>
      </c>
      <c r="P126" s="1141">
        <v>203090900</v>
      </c>
      <c r="Q126" s="2296" t="s">
        <v>97</v>
      </c>
      <c r="R126" s="2297" t="s">
        <v>69</v>
      </c>
      <c r="S126" s="2298">
        <v>1</v>
      </c>
      <c r="T126" s="2299">
        <v>39814</v>
      </c>
      <c r="U126" s="2300" t="s">
        <v>75</v>
      </c>
      <c r="V126" s="2300" t="s">
        <v>803</v>
      </c>
      <c r="W126" s="2295">
        <f ca="1">YEARFRAC(T126,W$6)</f>
        <v>5.322222222222222</v>
      </c>
      <c r="X126" s="48">
        <v>114</v>
      </c>
    </row>
    <row r="127" spans="1:24" ht="12" customHeight="1">
      <c r="A127" s="48"/>
      <c r="B127" s="2188" t="s">
        <v>42</v>
      </c>
      <c r="C127" s="2205" t="s">
        <v>1907</v>
      </c>
      <c r="D127" s="2189"/>
      <c r="E127" s="1125">
        <f>SUM(H127/H$11,I127/I$11,J127/J$11,K127/K$11,L127/L$11,M127/M$11,N127/N$11,O127/O$11,P127/P$11)/9*100</f>
        <v>130.38652098973841</v>
      </c>
      <c r="F127" s="2287"/>
      <c r="G127" s="2287"/>
      <c r="H127" s="1144">
        <v>113861705</v>
      </c>
      <c r="I127" s="1145">
        <v>544680797</v>
      </c>
      <c r="J127" s="1145">
        <v>494820010</v>
      </c>
      <c r="K127" s="1145">
        <v>314419309</v>
      </c>
      <c r="L127" s="1145">
        <v>588280135</v>
      </c>
      <c r="M127" s="1145">
        <v>485809683</v>
      </c>
      <c r="N127" s="1146">
        <v>324974451</v>
      </c>
      <c r="O127" s="1145">
        <v>43596595</v>
      </c>
      <c r="P127" s="1145">
        <v>191679072</v>
      </c>
      <c r="Q127" s="2332" t="s">
        <v>142</v>
      </c>
      <c r="R127" s="2333" t="s">
        <v>69</v>
      </c>
      <c r="S127" s="2334">
        <v>1</v>
      </c>
      <c r="T127" s="2335">
        <v>39559</v>
      </c>
      <c r="U127" s="2336" t="s">
        <v>108</v>
      </c>
      <c r="V127" s="2336" t="s">
        <v>143</v>
      </c>
      <c r="W127" s="2305">
        <f ca="1">YEARFRAC(T127,W$6)</f>
        <v>6.0166666666666666</v>
      </c>
      <c r="X127" s="48"/>
    </row>
    <row r="128" spans="1:24" ht="12" customHeight="1">
      <c r="A128" s="48">
        <v>116</v>
      </c>
      <c r="B128" s="2233" t="s">
        <v>1431</v>
      </c>
      <c r="C128" s="3241" t="s">
        <v>1713</v>
      </c>
      <c r="D128" s="2777"/>
      <c r="E128" s="1125">
        <f>SUM(H128/H$11,I128/I$11,J128/J$11,K128/K$11,L128/L$11,M128/M$11,N128/N$11,O128/O$11,P128/P$11)/9*100</f>
        <v>130.55667537234638</v>
      </c>
      <c r="F128" s="2259"/>
      <c r="G128" s="2259"/>
      <c r="H128" s="902">
        <v>110439081</v>
      </c>
      <c r="I128" s="1151">
        <v>436709095</v>
      </c>
      <c r="J128" s="1151">
        <v>488735879</v>
      </c>
      <c r="K128" s="1151">
        <v>321530074</v>
      </c>
      <c r="L128" s="1151">
        <v>591545645</v>
      </c>
      <c r="M128" s="1151">
        <v>486662941</v>
      </c>
      <c r="N128" s="1143">
        <v>346090379</v>
      </c>
      <c r="O128" s="1151">
        <v>49775490</v>
      </c>
      <c r="P128" s="1151">
        <v>203090900</v>
      </c>
      <c r="Q128" s="2306" t="s">
        <v>97</v>
      </c>
      <c r="R128" s="2330" t="s">
        <v>69</v>
      </c>
      <c r="S128" s="2307">
        <v>1</v>
      </c>
      <c r="T128" s="2308">
        <v>39651</v>
      </c>
      <c r="U128" s="2309" t="s">
        <v>75</v>
      </c>
      <c r="V128" s="2309" t="s">
        <v>804</v>
      </c>
      <c r="W128" s="2310">
        <f ca="1">YEARFRAC(T128,W$6)</f>
        <v>5.7638888888888893</v>
      </c>
      <c r="X128" s="48">
        <v>116</v>
      </c>
    </row>
    <row r="129" spans="1:24" ht="12" customHeight="1">
      <c r="A129" s="48"/>
      <c r="B129" s="2048" t="s">
        <v>1431</v>
      </c>
      <c r="C129" s="2066" t="s">
        <v>1924</v>
      </c>
      <c r="D129" s="2776"/>
      <c r="E129" s="1125">
        <f>SUM(H129/H$11,I129/I$11,J129/J$11,K129/K$11,L129/L$11,M129/M$11,N129/N$11,O129/O$11,P129/P$11)/9*100</f>
        <v>130.71161499544036</v>
      </c>
      <c r="F129" s="2044"/>
      <c r="G129" s="2045"/>
      <c r="H129" s="853">
        <v>123954067</v>
      </c>
      <c r="I129" s="865">
        <v>353118653</v>
      </c>
      <c r="J129" s="865">
        <v>484871726</v>
      </c>
      <c r="K129" s="865">
        <v>323070215</v>
      </c>
      <c r="L129" s="865">
        <v>597005138</v>
      </c>
      <c r="M129" s="865">
        <v>489111257</v>
      </c>
      <c r="N129" s="854">
        <v>345595489</v>
      </c>
      <c r="O129" s="865">
        <v>51207954</v>
      </c>
      <c r="P129" s="865">
        <v>203200393</v>
      </c>
      <c r="Q129" s="2381" t="s">
        <v>120</v>
      </c>
      <c r="R129" s="2382" t="s">
        <v>69</v>
      </c>
      <c r="S129" s="2383">
        <v>1</v>
      </c>
      <c r="T129" s="2384">
        <v>39008</v>
      </c>
      <c r="U129" s="2385" t="s">
        <v>80</v>
      </c>
      <c r="V129" s="2385" t="s">
        <v>121</v>
      </c>
      <c r="W129" s="2305">
        <f ca="1">YEARFRAC(T129,W$6)</f>
        <v>7.5250000000000004</v>
      </c>
      <c r="X129" s="48"/>
    </row>
    <row r="130" spans="1:24" ht="12" customHeight="1">
      <c r="A130" s="48">
        <v>118</v>
      </c>
      <c r="B130" s="2747" t="s">
        <v>1431</v>
      </c>
      <c r="C130" s="2208" t="s">
        <v>1379</v>
      </c>
      <c r="D130" s="2212"/>
      <c r="E130" s="1125">
        <f>SUM(H130/H$11,I130/I$11,J130/J$11,K130/K$11,L130/L$11,M130/M$11,N130/N$11,O130/O$11,P130/P$11)/9*100</f>
        <v>130.78348331038376</v>
      </c>
      <c r="F130" s="2263">
        <f>146+221+237+462+167+149+294+138+675</f>
        <v>2489</v>
      </c>
      <c r="G130" s="2264"/>
      <c r="H130" s="871">
        <v>91988920</v>
      </c>
      <c r="I130" s="871">
        <v>546358648</v>
      </c>
      <c r="J130" s="871">
        <v>504943936</v>
      </c>
      <c r="K130" s="871">
        <v>330980725</v>
      </c>
      <c r="L130" s="871">
        <v>585904942</v>
      </c>
      <c r="M130" s="871">
        <v>493369032</v>
      </c>
      <c r="N130" s="871">
        <v>370691482</v>
      </c>
      <c r="O130" s="871">
        <v>39820387</v>
      </c>
      <c r="P130" s="871">
        <v>222285703</v>
      </c>
      <c r="Q130" s="2354" t="s">
        <v>1380</v>
      </c>
      <c r="R130" s="2657" t="s">
        <v>69</v>
      </c>
      <c r="S130" s="2356">
        <v>2</v>
      </c>
      <c r="T130" s="2357">
        <v>41088</v>
      </c>
      <c r="U130" s="2358" t="s">
        <v>489</v>
      </c>
      <c r="V130" s="2358" t="s">
        <v>1381</v>
      </c>
      <c r="W130" s="2353">
        <f ca="1">YEARFRAC(T130,W$6)</f>
        <v>1.8305555555555555</v>
      </c>
      <c r="X130" s="48">
        <v>118</v>
      </c>
    </row>
    <row r="131" spans="1:24" ht="12" customHeight="1">
      <c r="A131" s="48"/>
      <c r="B131" s="2216" t="s">
        <v>1431</v>
      </c>
      <c r="C131" s="2197" t="s">
        <v>939</v>
      </c>
      <c r="D131" s="2655"/>
      <c r="E131" s="1125">
        <f>SUM(H131/H$11,I131/I$11,J131/J$11,K131/K$11,L131/L$11,M131/M$11,N131/N$11,O131/O$11,P131/P$11)/9*100</f>
        <v>130.80715486056894</v>
      </c>
      <c r="F131" s="2281"/>
      <c r="G131" s="2275"/>
      <c r="H131" s="865">
        <v>96178107</v>
      </c>
      <c r="I131" s="865">
        <v>541133248</v>
      </c>
      <c r="J131" s="865">
        <v>500962506</v>
      </c>
      <c r="K131" s="865">
        <v>334586086</v>
      </c>
      <c r="L131" s="865">
        <v>585659904</v>
      </c>
      <c r="M131" s="865">
        <v>489996550</v>
      </c>
      <c r="N131" s="854">
        <v>365991876</v>
      </c>
      <c r="O131" s="865">
        <v>40288195</v>
      </c>
      <c r="P131" s="865">
        <v>216587257</v>
      </c>
      <c r="Q131" s="2376" t="s">
        <v>112</v>
      </c>
      <c r="R131" s="2377" t="s">
        <v>69</v>
      </c>
      <c r="S131" s="2378">
        <v>1</v>
      </c>
      <c r="T131" s="3647">
        <v>37622</v>
      </c>
      <c r="U131" s="2380" t="s">
        <v>80</v>
      </c>
      <c r="V131" s="2380" t="s">
        <v>809</v>
      </c>
      <c r="W131" s="2342">
        <f ca="1">YEARFRAC(T131,W$6)</f>
        <v>11.322222222222223</v>
      </c>
      <c r="X131" s="48"/>
    </row>
    <row r="132" spans="1:24" ht="12" customHeight="1">
      <c r="A132" s="48">
        <v>120</v>
      </c>
      <c r="B132" s="2037" t="s">
        <v>42</v>
      </c>
      <c r="C132" s="2688" t="s">
        <v>2092</v>
      </c>
      <c r="D132" s="2209"/>
      <c r="E132" s="1125">
        <f>SUM(H132/H$11,I132/I$11,J132/J$11,K132/K$11,L132/L$11,M132/M$11,N132/N$11,O132/O$11,P132/P$11)/9*100</f>
        <v>131.17963254626517</v>
      </c>
      <c r="F132" s="2057">
        <f>267+764+601+637+663+510+616+147+836</f>
        <v>5041</v>
      </c>
      <c r="G132" s="2043"/>
      <c r="H132" s="865">
        <v>107828454</v>
      </c>
      <c r="I132" s="865">
        <v>549287007</v>
      </c>
      <c r="J132" s="854">
        <v>495786268</v>
      </c>
      <c r="K132" s="854">
        <v>317349443</v>
      </c>
      <c r="L132" s="854">
        <v>611304042</v>
      </c>
      <c r="M132" s="854">
        <v>503297860</v>
      </c>
      <c r="N132" s="854">
        <v>337849662</v>
      </c>
      <c r="O132" s="854">
        <v>41114563</v>
      </c>
      <c r="P132" s="854">
        <v>203670982</v>
      </c>
      <c r="Q132" s="2338" t="s">
        <v>2088</v>
      </c>
      <c r="R132" s="2394" t="s">
        <v>69</v>
      </c>
      <c r="S132" s="2395">
        <v>2</v>
      </c>
      <c r="T132" s="2340">
        <v>41612</v>
      </c>
      <c r="U132" s="2341" t="s">
        <v>80</v>
      </c>
      <c r="V132" s="2341" t="s">
        <v>277</v>
      </c>
      <c r="W132" s="2353">
        <f ca="1">YEARFRAC(T132,W$6)</f>
        <v>0.3972222222222222</v>
      </c>
      <c r="X132" s="48">
        <v>120</v>
      </c>
    </row>
    <row r="133" spans="1:24" ht="12" customHeight="1">
      <c r="A133" s="48"/>
      <c r="B133" s="2749" t="s">
        <v>1431</v>
      </c>
      <c r="C133" s="2760" t="s">
        <v>220</v>
      </c>
      <c r="D133" s="2778"/>
      <c r="E133" s="1125">
        <f>SUM(H133/H$11,I133/I$11,J133/J$11,K133/K$11,L133/L$11,M133/M$11,N133/N$11,O133/O$11,P133/P$11)/9*100</f>
        <v>131.21074430954013</v>
      </c>
      <c r="F133" s="2789"/>
      <c r="G133" s="2801"/>
      <c r="H133" s="873">
        <v>111799089</v>
      </c>
      <c r="I133" s="869">
        <v>557429839</v>
      </c>
      <c r="J133" s="869">
        <v>485751994</v>
      </c>
      <c r="K133" s="869">
        <v>315205871</v>
      </c>
      <c r="L133" s="869">
        <v>596197591</v>
      </c>
      <c r="M133" s="869">
        <v>490123917</v>
      </c>
      <c r="N133" s="870">
        <v>347307421</v>
      </c>
      <c r="O133" s="869">
        <v>39743605</v>
      </c>
      <c r="P133" s="869">
        <v>206679277</v>
      </c>
      <c r="Q133" s="2825" t="s">
        <v>221</v>
      </c>
      <c r="R133" s="2837" t="s">
        <v>69</v>
      </c>
      <c r="S133" s="2850">
        <v>1</v>
      </c>
      <c r="T133" s="2863">
        <v>38057</v>
      </c>
      <c r="U133" s="2876" t="s">
        <v>135</v>
      </c>
      <c r="V133" s="2876" t="s">
        <v>222</v>
      </c>
      <c r="W133" s="2342">
        <f ca="1">YEARFRAC(T133,W$6)</f>
        <v>10.127777777777778</v>
      </c>
      <c r="X133" s="48"/>
    </row>
    <row r="134" spans="1:24" ht="12" customHeight="1">
      <c r="A134" s="48">
        <v>122</v>
      </c>
      <c r="B134" s="3206" t="s">
        <v>1431</v>
      </c>
      <c r="C134" s="2706" t="s">
        <v>2050</v>
      </c>
      <c r="D134" s="2213"/>
      <c r="E134" s="1125">
        <f>SUM(H134/H$11,I134/I$11,J134/J$11,K134/K$11,L134/L$11,M134/M$11,N134/N$11,O134/O$11,P134/P$11)/9*100</f>
        <v>131.51604546125242</v>
      </c>
      <c r="F134" s="3376">
        <f>216+303+48+273+530+246+205+374+140+676</f>
        <v>3011</v>
      </c>
      <c r="G134" s="2280"/>
      <c r="H134" s="867">
        <v>92138575</v>
      </c>
      <c r="I134" s="871">
        <v>539821325</v>
      </c>
      <c r="J134" s="871">
        <v>505676498</v>
      </c>
      <c r="K134" s="871">
        <v>330765243</v>
      </c>
      <c r="L134" s="871">
        <v>585758383</v>
      </c>
      <c r="M134" s="871">
        <v>487621514</v>
      </c>
      <c r="N134" s="871">
        <v>368630301</v>
      </c>
      <c r="O134" s="871">
        <v>39668539</v>
      </c>
      <c r="P134" s="871">
        <v>238368426</v>
      </c>
      <c r="Q134" s="2354" t="s">
        <v>652</v>
      </c>
      <c r="R134" s="2355" t="s">
        <v>69</v>
      </c>
      <c r="S134" s="2369">
        <v>1</v>
      </c>
      <c r="T134" s="2357">
        <v>41443</v>
      </c>
      <c r="U134" s="2358" t="s">
        <v>80</v>
      </c>
      <c r="V134" s="2358" t="s">
        <v>165</v>
      </c>
      <c r="W134" s="2353">
        <f ca="1">YEARFRAC(T134,W$6)</f>
        <v>0.85833333333333328</v>
      </c>
      <c r="X134" s="48">
        <v>122</v>
      </c>
    </row>
    <row r="135" spans="1:24" ht="12" customHeight="1">
      <c r="A135" s="48"/>
      <c r="B135" s="2201" t="s">
        <v>42</v>
      </c>
      <c r="C135" s="2217" t="s">
        <v>211</v>
      </c>
      <c r="D135" s="2716"/>
      <c r="E135" s="1125">
        <f>SUM(H135/H$11,I135/I$11,J135/J$11,K135/K$11,L135/L$11,M135/M$11,N135/N$11,O135/O$11,P135/P$11)/9*100</f>
        <v>131.53466835197861</v>
      </c>
      <c r="F135" s="2281"/>
      <c r="G135" s="2275"/>
      <c r="H135" s="853">
        <v>115109749</v>
      </c>
      <c r="I135" s="865">
        <v>550112440</v>
      </c>
      <c r="J135" s="865">
        <v>487586241</v>
      </c>
      <c r="K135" s="865">
        <v>315923570</v>
      </c>
      <c r="L135" s="865">
        <v>593459230</v>
      </c>
      <c r="M135" s="865">
        <v>488289367</v>
      </c>
      <c r="N135" s="854">
        <v>331332413</v>
      </c>
      <c r="O135" s="865">
        <v>41531113</v>
      </c>
      <c r="P135" s="865">
        <v>207696047</v>
      </c>
      <c r="Q135" s="2376" t="s">
        <v>212</v>
      </c>
      <c r="R135" s="2377" t="s">
        <v>69</v>
      </c>
      <c r="S135" s="2378">
        <v>1</v>
      </c>
      <c r="T135" s="2379">
        <v>36510</v>
      </c>
      <c r="U135" s="2380" t="s">
        <v>80</v>
      </c>
      <c r="V135" s="2380" t="s">
        <v>148</v>
      </c>
      <c r="W135" s="2342">
        <f ca="1">YEARFRAC(T135,W$6)</f>
        <v>14.363888888888889</v>
      </c>
      <c r="X135" s="48"/>
    </row>
    <row r="136" spans="1:24" ht="12" customHeight="1">
      <c r="A136" s="48">
        <v>124</v>
      </c>
      <c r="B136" s="2037" t="s">
        <v>42</v>
      </c>
      <c r="C136" s="2688" t="s">
        <v>2093</v>
      </c>
      <c r="D136" s="3320"/>
      <c r="E136" s="1125">
        <f>SUM(H136/H$11,I136/I$11,J136/J$11,K136/K$11,L136/L$11,M136/M$11,N136/N$11,O136/O$11,P136/P$11)/9*100</f>
        <v>131.74349790947869</v>
      </c>
      <c r="F136" s="2057">
        <f>1390+3700+3627+2887+4098+3106+3405+701+3588</f>
        <v>26502</v>
      </c>
      <c r="G136" s="2043"/>
      <c r="H136" s="868">
        <v>110433348</v>
      </c>
      <c r="I136" s="854">
        <v>558557651</v>
      </c>
      <c r="J136" s="854">
        <v>500305335</v>
      </c>
      <c r="K136" s="854">
        <v>324185104</v>
      </c>
      <c r="L136" s="854">
        <v>617486813</v>
      </c>
      <c r="M136" s="854">
        <v>507092220</v>
      </c>
      <c r="N136" s="854">
        <v>343824190</v>
      </c>
      <c r="O136" s="854">
        <v>41119319</v>
      </c>
      <c r="P136" s="854">
        <v>189676585</v>
      </c>
      <c r="Q136" s="2338" t="s">
        <v>2089</v>
      </c>
      <c r="R136" s="2265" t="s">
        <v>69</v>
      </c>
      <c r="S136" s="2395">
        <v>2</v>
      </c>
      <c r="T136" s="2340">
        <v>41612</v>
      </c>
      <c r="U136" s="2341" t="s">
        <v>80</v>
      </c>
      <c r="V136" s="2341" t="s">
        <v>277</v>
      </c>
      <c r="W136" s="2353">
        <f ca="1">YEARFRAC(T136,W$6)</f>
        <v>0.3972222222222222</v>
      </c>
      <c r="X136" s="48">
        <v>124</v>
      </c>
    </row>
    <row r="137" spans="1:24" ht="12" customHeight="1">
      <c r="A137" s="48"/>
      <c r="B137" s="2748" t="s">
        <v>42</v>
      </c>
      <c r="C137" s="2215" t="s">
        <v>1908</v>
      </c>
      <c r="D137" s="2779"/>
      <c r="E137" s="1125">
        <f>SUM(H137/H$11,I137/I$11,J137/J$11,K137/K$11,L137/L$11,M137/M$11,N137/N$11,O137/O$11,P137/P$11)/9*100</f>
        <v>131.83258854326812</v>
      </c>
      <c r="F137" s="3408"/>
      <c r="G137" s="3464"/>
      <c r="H137" s="870">
        <v>110134915</v>
      </c>
      <c r="I137" s="870">
        <v>552653991</v>
      </c>
      <c r="J137" s="870">
        <v>502405822</v>
      </c>
      <c r="K137" s="870">
        <v>311569828</v>
      </c>
      <c r="L137" s="870">
        <v>594752241</v>
      </c>
      <c r="M137" s="870">
        <v>495687475</v>
      </c>
      <c r="N137" s="870">
        <v>340024410</v>
      </c>
      <c r="O137" s="870">
        <v>41936353</v>
      </c>
      <c r="P137" s="870">
        <v>209242446</v>
      </c>
      <c r="Q137" s="2361" t="s">
        <v>196</v>
      </c>
      <c r="R137" s="2367" t="s">
        <v>69</v>
      </c>
      <c r="S137" s="2368">
        <v>1</v>
      </c>
      <c r="T137" s="2362">
        <v>39932</v>
      </c>
      <c r="U137" s="2363" t="s">
        <v>108</v>
      </c>
      <c r="V137" s="2363" t="s">
        <v>805</v>
      </c>
      <c r="W137" s="2342">
        <f ca="1">YEARFRAC(T137,W$6)</f>
        <v>4.9944444444444445</v>
      </c>
      <c r="X137" s="48"/>
    </row>
    <row r="138" spans="1:24" ht="12" customHeight="1">
      <c r="A138" s="48">
        <v>126</v>
      </c>
      <c r="B138" s="2225" t="s">
        <v>1431</v>
      </c>
      <c r="C138" s="2226" t="s">
        <v>176</v>
      </c>
      <c r="D138" s="3321"/>
      <c r="E138" s="1125">
        <f>SUM(H138/H$11,I138/I$11,J138/J$11,K138/K$11,L138/L$11,M138/M$11,N138/N$11,O138/O$11,P138/P$11)/9*100</f>
        <v>131.85139764957802</v>
      </c>
      <c r="F138" s="2279"/>
      <c r="G138" s="2280"/>
      <c r="H138" s="855">
        <v>110224188</v>
      </c>
      <c r="I138" s="857">
        <v>402585362</v>
      </c>
      <c r="J138" s="857">
        <v>517258490</v>
      </c>
      <c r="K138" s="857">
        <v>345841601</v>
      </c>
      <c r="L138" s="857">
        <v>587893539</v>
      </c>
      <c r="M138" s="857">
        <v>488155324</v>
      </c>
      <c r="N138" s="871">
        <v>308708335</v>
      </c>
      <c r="O138" s="857">
        <v>43915643</v>
      </c>
      <c r="P138" s="857">
        <v>262946271</v>
      </c>
      <c r="Q138" s="2396" t="s">
        <v>136</v>
      </c>
      <c r="R138" s="2397" t="s">
        <v>69</v>
      </c>
      <c r="S138" s="2398">
        <v>1</v>
      </c>
      <c r="T138" s="2399">
        <v>37165</v>
      </c>
      <c r="U138" s="2400" t="s">
        <v>75</v>
      </c>
      <c r="V138" s="2400" t="s">
        <v>864</v>
      </c>
      <c r="W138" s="2353">
        <f ca="1">YEARFRAC(T138,W$6)</f>
        <v>12.572222222222223</v>
      </c>
      <c r="X138" s="48">
        <v>126</v>
      </c>
    </row>
    <row r="139" spans="1:24" ht="12" customHeight="1">
      <c r="A139" s="48"/>
      <c r="B139" s="2201" t="s">
        <v>42</v>
      </c>
      <c r="C139" s="2197" t="s">
        <v>1585</v>
      </c>
      <c r="D139" s="2716"/>
      <c r="E139" s="1125">
        <f>SUM(H139/H$11,I139/I$11,J139/J$11,K139/K$11,L139/L$11,M139/M$11,N139/N$11,O139/O$11,P139/P$11)/9*100</f>
        <v>131.97143004329038</v>
      </c>
      <c r="F139" s="2274">
        <f>275+410+377+479+446+366+424+358+467</f>
        <v>3602</v>
      </c>
      <c r="G139" s="2275"/>
      <c r="H139" s="868">
        <v>112958518</v>
      </c>
      <c r="I139" s="854">
        <v>425228044</v>
      </c>
      <c r="J139" s="854">
        <v>479823864</v>
      </c>
      <c r="K139" s="854">
        <v>324950189</v>
      </c>
      <c r="L139" s="854">
        <v>585721310</v>
      </c>
      <c r="M139" s="854">
        <v>484279511</v>
      </c>
      <c r="N139" s="854">
        <v>330089323</v>
      </c>
      <c r="O139" s="854">
        <v>55086364</v>
      </c>
      <c r="P139" s="854">
        <v>208335680</v>
      </c>
      <c r="Q139" s="2376" t="s">
        <v>216</v>
      </c>
      <c r="R139" s="2377" t="s">
        <v>69</v>
      </c>
      <c r="S139" s="2378">
        <v>1</v>
      </c>
      <c r="T139" s="2379">
        <v>38948</v>
      </c>
      <c r="U139" s="2380" t="s">
        <v>75</v>
      </c>
      <c r="V139" s="2380" t="s">
        <v>1771</v>
      </c>
      <c r="W139" s="2342">
        <f ca="1">YEARFRAC(T139,W$6)</f>
        <v>7.6888888888888891</v>
      </c>
      <c r="X139" s="48"/>
    </row>
    <row r="140" spans="1:24" ht="12" customHeight="1">
      <c r="A140" s="48">
        <v>128</v>
      </c>
      <c r="B140" s="2062" t="s">
        <v>42</v>
      </c>
      <c r="C140" s="2227" t="s">
        <v>1714</v>
      </c>
      <c r="D140" s="2228" t="s">
        <v>41</v>
      </c>
      <c r="E140" s="1125">
        <f>SUM(H140/H$11,I140/I$11,J140/J$11,K140/K$11,L140/L$11,M140/M$11,N140/N$11,O140/O$11,P140/P$11)/9*100</f>
        <v>132.03047833473437</v>
      </c>
      <c r="F140" s="2272"/>
      <c r="G140" s="2273"/>
      <c r="H140" s="855">
        <v>94890237</v>
      </c>
      <c r="I140" s="857">
        <v>564230073</v>
      </c>
      <c r="J140" s="857">
        <v>501102036</v>
      </c>
      <c r="K140" s="857">
        <v>324796871</v>
      </c>
      <c r="L140" s="857">
        <v>590934557</v>
      </c>
      <c r="M140" s="857">
        <v>490819022</v>
      </c>
      <c r="N140" s="871">
        <v>378820758</v>
      </c>
      <c r="O140" s="857">
        <v>39025872</v>
      </c>
      <c r="P140" s="857">
        <v>228290688</v>
      </c>
      <c r="Q140" s="2372" t="s">
        <v>180</v>
      </c>
      <c r="R140" s="2373" t="s">
        <v>69</v>
      </c>
      <c r="S140" s="2374">
        <v>1</v>
      </c>
      <c r="T140" s="2401">
        <v>39766</v>
      </c>
      <c r="U140" s="2375" t="s">
        <v>75</v>
      </c>
      <c r="V140" s="2375" t="s">
        <v>210</v>
      </c>
      <c r="W140" s="2353">
        <f ca="1">YEARFRAC(T140,W$6)</f>
        <v>5.4527777777777775</v>
      </c>
      <c r="X140" s="48">
        <v>128</v>
      </c>
    </row>
    <row r="141" spans="1:24" ht="12" customHeight="1">
      <c r="A141" s="48"/>
      <c r="B141" s="2195" t="s">
        <v>42</v>
      </c>
      <c r="C141" s="2049" t="s">
        <v>1484</v>
      </c>
      <c r="D141" s="2209" t="s">
        <v>41</v>
      </c>
      <c r="E141" s="1125">
        <f>SUM(H141/H$11,I141/I$11,J141/J$11,K141/K$11,L141/L$11,M141/M$11,N141/N$11,O141/O$11,P141/P$11)/9*100</f>
        <v>132.1091974807006</v>
      </c>
      <c r="F141" s="2069">
        <f>133.8+229.4+219.1+156.3+111.1+240.8+88.1+659.3</f>
        <v>1837.9</v>
      </c>
      <c r="G141" s="2045"/>
      <c r="H141" s="854">
        <v>100747414</v>
      </c>
      <c r="I141" s="865">
        <v>553606526</v>
      </c>
      <c r="J141" s="854">
        <v>510792045</v>
      </c>
      <c r="K141" s="854">
        <v>317612755</v>
      </c>
      <c r="L141" s="854">
        <v>594851807</v>
      </c>
      <c r="M141" s="854">
        <v>485958021</v>
      </c>
      <c r="N141" s="854">
        <v>396290778</v>
      </c>
      <c r="O141" s="854">
        <v>40117844</v>
      </c>
      <c r="P141" s="854">
        <v>207174573</v>
      </c>
      <c r="Q141" s="2381" t="s">
        <v>1167</v>
      </c>
      <c r="R141" s="2382" t="s">
        <v>69</v>
      </c>
      <c r="S141" s="3585">
        <v>2</v>
      </c>
      <c r="T141" s="2384">
        <v>41261</v>
      </c>
      <c r="U141" s="2385" t="s">
        <v>78</v>
      </c>
      <c r="V141" s="2385" t="s">
        <v>268</v>
      </c>
      <c r="W141" s="2342">
        <f ca="1">YEARFRAC(T141,W$6)</f>
        <v>1.3583333333333334</v>
      </c>
      <c r="X141" s="48"/>
    </row>
    <row r="142" spans="1:24" ht="12" customHeight="1">
      <c r="A142" s="48">
        <v>130</v>
      </c>
      <c r="B142" s="2047" t="s">
        <v>42</v>
      </c>
      <c r="C142" s="2049" t="s">
        <v>1581</v>
      </c>
      <c r="D142" s="2209" t="s">
        <v>41</v>
      </c>
      <c r="E142" s="1125">
        <f>SUM(H142/H$11,I142/I$11,J142/J$11,K142/K$11,L142/L$11,M142/M$11,N142/N$11,O142/O$11,P142/P$11)/9*100</f>
        <v>132.18261416041233</v>
      </c>
      <c r="F142" s="2044"/>
      <c r="G142" s="2045"/>
      <c r="H142" s="854">
        <v>92280013</v>
      </c>
      <c r="I142" s="854">
        <v>542869941</v>
      </c>
      <c r="J142" s="854">
        <v>501846538</v>
      </c>
      <c r="K142" s="854">
        <v>338914222</v>
      </c>
      <c r="L142" s="854">
        <v>582182218</v>
      </c>
      <c r="M142" s="854">
        <v>489857886</v>
      </c>
      <c r="N142" s="854">
        <v>369181487</v>
      </c>
      <c r="O142" s="854">
        <v>39307816</v>
      </c>
      <c r="P142" s="854">
        <v>244203549</v>
      </c>
      <c r="Q142" s="2381" t="s">
        <v>164</v>
      </c>
      <c r="R142" s="2382" t="s">
        <v>69</v>
      </c>
      <c r="S142" s="3585">
        <v>4</v>
      </c>
      <c r="T142" s="2384">
        <v>39551</v>
      </c>
      <c r="U142" s="2385" t="s">
        <v>75</v>
      </c>
      <c r="V142" s="2385" t="s">
        <v>165</v>
      </c>
      <c r="W142" s="2353">
        <f ca="1">YEARFRAC(T142,W$6)</f>
        <v>6.0388888888888888</v>
      </c>
      <c r="X142" s="48">
        <v>130</v>
      </c>
    </row>
    <row r="143" spans="1:24" ht="12" customHeight="1">
      <c r="A143" s="48"/>
      <c r="B143" s="2223" t="s">
        <v>42</v>
      </c>
      <c r="C143" s="2709" t="s">
        <v>255</v>
      </c>
      <c r="D143" s="3349"/>
      <c r="E143" s="1125">
        <f>SUM(H143/H$11,I143/I$11,J143/J$11,K143/K$11,L143/L$11,M143/M$11,N143/N$11,O143/O$11,P143/P$11)/9*100</f>
        <v>132.29712297997705</v>
      </c>
      <c r="F143" s="2270"/>
      <c r="G143" s="2271"/>
      <c r="H143" s="869">
        <v>108202032</v>
      </c>
      <c r="I143" s="869">
        <v>565908423</v>
      </c>
      <c r="J143" s="869">
        <v>499625063</v>
      </c>
      <c r="K143" s="869">
        <v>318266371</v>
      </c>
      <c r="L143" s="869">
        <v>586462954</v>
      </c>
      <c r="M143" s="869">
        <v>485444737</v>
      </c>
      <c r="N143" s="870">
        <v>370821320</v>
      </c>
      <c r="O143" s="869">
        <v>38854482</v>
      </c>
      <c r="P143" s="869">
        <v>214663204</v>
      </c>
      <c r="Q143" s="2386" t="s">
        <v>256</v>
      </c>
      <c r="R143" s="2387" t="s">
        <v>69</v>
      </c>
      <c r="S143" s="2388">
        <v>1</v>
      </c>
      <c r="T143" s="3648">
        <v>37478</v>
      </c>
      <c r="U143" s="2389" t="s">
        <v>75</v>
      </c>
      <c r="V143" s="2389" t="s">
        <v>148</v>
      </c>
      <c r="W143" s="2342">
        <f ca="1">YEARFRAC(T143,W$6)</f>
        <v>11.713888888888889</v>
      </c>
      <c r="X143" s="48"/>
    </row>
    <row r="144" spans="1:24" ht="12" customHeight="1">
      <c r="A144" s="48">
        <v>132</v>
      </c>
      <c r="B144" s="2210" t="s">
        <v>42</v>
      </c>
      <c r="C144" s="2211" t="s">
        <v>190</v>
      </c>
      <c r="D144" s="3315"/>
      <c r="E144" s="1125">
        <f>SUM(H144/H$11,I144/I$11,J144/J$11,K144/K$11,L144/L$11,M144/M$11,N144/N$11,O144/O$11,P144/P$11)/9*100</f>
        <v>132.38642803020562</v>
      </c>
      <c r="F144" s="2261"/>
      <c r="G144" s="2262"/>
      <c r="H144" s="857">
        <v>108656636</v>
      </c>
      <c r="I144" s="857">
        <v>543280782</v>
      </c>
      <c r="J144" s="857">
        <v>509650622</v>
      </c>
      <c r="K144" s="857">
        <v>336645753</v>
      </c>
      <c r="L144" s="857">
        <v>583354739</v>
      </c>
      <c r="M144" s="857">
        <v>489757415</v>
      </c>
      <c r="N144" s="871">
        <v>343944646</v>
      </c>
      <c r="O144" s="857">
        <v>39507499</v>
      </c>
      <c r="P144" s="857">
        <v>222572448</v>
      </c>
      <c r="Q144" s="2348" t="s">
        <v>191</v>
      </c>
      <c r="R144" s="2349" t="s">
        <v>69</v>
      </c>
      <c r="S144" s="2350">
        <v>1</v>
      </c>
      <c r="T144" s="2351">
        <v>38977</v>
      </c>
      <c r="U144" s="2352" t="s">
        <v>75</v>
      </c>
      <c r="V144" s="2352" t="s">
        <v>192</v>
      </c>
      <c r="W144" s="2353">
        <f ca="1">YEARFRAC(T144,W$6)</f>
        <v>7.6111111111111107</v>
      </c>
      <c r="X144" s="48">
        <v>132</v>
      </c>
    </row>
    <row r="145" spans="1:24" ht="12" customHeight="1">
      <c r="A145" s="48"/>
      <c r="B145" s="2048" t="s">
        <v>1431</v>
      </c>
      <c r="C145" s="2049" t="s">
        <v>243</v>
      </c>
      <c r="D145" s="2229"/>
      <c r="E145" s="1125">
        <f>SUM(H145/H$11,I145/I$11,J145/J$11,K145/K$11,L145/L$11,M145/M$11,N145/N$11,O145/O$11,P145/P$11)/9*100</f>
        <v>132.57250870490955</v>
      </c>
      <c r="F145" s="2044"/>
      <c r="G145" s="2045"/>
      <c r="H145" s="865">
        <v>110194789</v>
      </c>
      <c r="I145" s="865">
        <v>558320196</v>
      </c>
      <c r="J145" s="865">
        <v>488536455</v>
      </c>
      <c r="K145" s="865">
        <v>323205052</v>
      </c>
      <c r="L145" s="865">
        <v>598609391</v>
      </c>
      <c r="M145" s="865">
        <v>489624805</v>
      </c>
      <c r="N145" s="854">
        <v>367267801</v>
      </c>
      <c r="O145" s="865">
        <v>41905788</v>
      </c>
      <c r="P145" s="865">
        <v>200324625</v>
      </c>
      <c r="Q145" s="2381" t="s">
        <v>244</v>
      </c>
      <c r="R145" s="2382" t="s">
        <v>69</v>
      </c>
      <c r="S145" s="2383">
        <v>1</v>
      </c>
      <c r="T145" s="2384">
        <v>37171</v>
      </c>
      <c r="U145" s="2385" t="s">
        <v>80</v>
      </c>
      <c r="V145" s="2385" t="s">
        <v>192</v>
      </c>
      <c r="W145" s="2342">
        <f ca="1">YEARFRAC(T145,W$6)</f>
        <v>12.555555555555555</v>
      </c>
      <c r="X145" s="48"/>
    </row>
    <row r="146" spans="1:24" ht="12" customHeight="1">
      <c r="A146" s="48">
        <v>134</v>
      </c>
      <c r="B146" s="2065" t="s">
        <v>1431</v>
      </c>
      <c r="C146" s="3240" t="s">
        <v>2054</v>
      </c>
      <c r="D146" s="2209" t="s">
        <v>41</v>
      </c>
      <c r="E146" s="1125">
        <f>SUM(H146/H$11,I146/I$11,J146/J$11,K146/K$11,L146/L$11,M146/M$11,N146/N$11,O146/O$11,P146/P$11)/9*100</f>
        <v>132.61956874737803</v>
      </c>
      <c r="F146" s="2057">
        <f>174+224+259+487+235+71+397+180+702</f>
        <v>2729</v>
      </c>
      <c r="G146" s="2802"/>
      <c r="H146" s="854">
        <v>101371338</v>
      </c>
      <c r="I146" s="865">
        <v>541028511</v>
      </c>
      <c r="J146" s="854">
        <v>502790035</v>
      </c>
      <c r="K146" s="854">
        <v>343730280</v>
      </c>
      <c r="L146" s="854">
        <v>587069279</v>
      </c>
      <c r="M146" s="854">
        <v>489132534</v>
      </c>
      <c r="N146" s="854">
        <v>366782307</v>
      </c>
      <c r="O146" s="854">
        <v>39783290</v>
      </c>
      <c r="P146" s="854">
        <v>225788556</v>
      </c>
      <c r="Q146" s="2338" t="s">
        <v>891</v>
      </c>
      <c r="R146" s="2394" t="s">
        <v>69</v>
      </c>
      <c r="S146" s="2395">
        <v>2</v>
      </c>
      <c r="T146" s="2340">
        <v>41558</v>
      </c>
      <c r="U146" s="2341" t="s">
        <v>80</v>
      </c>
      <c r="V146" s="2341" t="s">
        <v>165</v>
      </c>
      <c r="W146" s="2353">
        <f ca="1">YEARFRAC(T146,W$6)</f>
        <v>0.5444444444444444</v>
      </c>
      <c r="X146" s="48">
        <v>134</v>
      </c>
    </row>
    <row r="147" spans="1:24" ht="12" customHeight="1">
      <c r="A147" s="48"/>
      <c r="B147" s="2214" t="s">
        <v>42</v>
      </c>
      <c r="C147" s="2222" t="s">
        <v>1645</v>
      </c>
      <c r="D147" s="2779"/>
      <c r="E147" s="1125">
        <f>SUM(H147/H$11,I147/I$11,J147/J$11,K147/K$11,L147/L$11,M147/M$11,N147/N$11,O147/O$11,P147/P$11)/9*100</f>
        <v>132.66528873219477</v>
      </c>
      <c r="F147" s="2789"/>
      <c r="G147" s="2801"/>
      <c r="H147" s="870">
        <v>105981478</v>
      </c>
      <c r="I147" s="869">
        <v>562837930</v>
      </c>
      <c r="J147" s="869">
        <v>499029440</v>
      </c>
      <c r="K147" s="869">
        <v>321461252</v>
      </c>
      <c r="L147" s="869">
        <v>589834526</v>
      </c>
      <c r="M147" s="869">
        <v>488307108</v>
      </c>
      <c r="N147" s="870">
        <v>378438292</v>
      </c>
      <c r="O147" s="870">
        <v>38779655</v>
      </c>
      <c r="P147" s="869">
        <v>218313307</v>
      </c>
      <c r="Q147" s="2361" t="s">
        <v>180</v>
      </c>
      <c r="R147" s="2367" t="s">
        <v>69</v>
      </c>
      <c r="S147" s="2368">
        <v>1</v>
      </c>
      <c r="T147" s="2362">
        <v>39327</v>
      </c>
      <c r="U147" s="2363" t="s">
        <v>75</v>
      </c>
      <c r="V147" s="2363" t="s">
        <v>181</v>
      </c>
      <c r="W147" s="2342">
        <f ca="1">YEARFRAC(T147,W$6)</f>
        <v>6.6527777777777777</v>
      </c>
      <c r="X147" s="48"/>
    </row>
    <row r="148" spans="1:24" ht="12" customHeight="1">
      <c r="A148" s="48">
        <v>136</v>
      </c>
      <c r="B148" s="2047" t="s">
        <v>42</v>
      </c>
      <c r="C148" s="2066" t="s">
        <v>172</v>
      </c>
      <c r="D148" s="2209" t="s">
        <v>41</v>
      </c>
      <c r="E148" s="1125">
        <f>SUM(H148/H$11,I148/I$11,J148/J$11,K148/K$11,L148/L$11,M148/M$11,N148/N$11,O148/O$11,P148/P$11)/9*100</f>
        <v>132.83738848873296</v>
      </c>
      <c r="F148" s="2268"/>
      <c r="G148" s="2269"/>
      <c r="H148" s="865">
        <v>111877078</v>
      </c>
      <c r="I148" s="865">
        <v>541620909</v>
      </c>
      <c r="J148" s="865">
        <v>501567082</v>
      </c>
      <c r="K148" s="865">
        <v>319754089</v>
      </c>
      <c r="L148" s="865">
        <v>581460403</v>
      </c>
      <c r="M148" s="865">
        <v>488286686</v>
      </c>
      <c r="N148" s="854">
        <v>363360613</v>
      </c>
      <c r="O148" s="865">
        <v>42566306</v>
      </c>
      <c r="P148" s="865">
        <v>209645440</v>
      </c>
      <c r="Q148" s="2381" t="s">
        <v>173</v>
      </c>
      <c r="R148" s="2382" t="s">
        <v>69</v>
      </c>
      <c r="S148" s="2383">
        <v>1</v>
      </c>
      <c r="T148" s="2384">
        <v>39315</v>
      </c>
      <c r="U148" s="2385" t="s">
        <v>174</v>
      </c>
      <c r="V148" s="2385" t="s">
        <v>175</v>
      </c>
      <c r="W148" s="2353">
        <f ca="1">YEARFRAC(T148,W$6)</f>
        <v>6.6833333333333336</v>
      </c>
      <c r="X148" s="48">
        <v>136</v>
      </c>
    </row>
    <row r="149" spans="1:24" ht="12" customHeight="1">
      <c r="A149" s="48"/>
      <c r="B149" s="2223" t="s">
        <v>42</v>
      </c>
      <c r="C149" s="3275" t="s">
        <v>1936</v>
      </c>
      <c r="D149" s="2207"/>
      <c r="E149" s="1125">
        <f>SUM(H149/H$11,I149/I$11,J149/J$11,K149/K$11,L149/L$11,M149/M$11,N149/N$11,O149/O$11,P149/P$11)/9*100</f>
        <v>132.8529626165892</v>
      </c>
      <c r="F149" s="2723">
        <f>480.7+4931.4+5795.6+2519.6+6860.1+5885.9+3140.9+94.8+1447.5</f>
        <v>31156.500000000004</v>
      </c>
      <c r="G149" s="3465"/>
      <c r="H149" s="870">
        <v>99077272</v>
      </c>
      <c r="I149" s="870">
        <v>496401192</v>
      </c>
      <c r="J149" s="870">
        <v>524928911</v>
      </c>
      <c r="K149" s="870">
        <v>335141349</v>
      </c>
      <c r="L149" s="870">
        <v>579155168</v>
      </c>
      <c r="M149" s="870">
        <v>487690587</v>
      </c>
      <c r="N149" s="870">
        <v>351050107</v>
      </c>
      <c r="O149" s="870">
        <v>44197176</v>
      </c>
      <c r="P149" s="870">
        <v>240966863</v>
      </c>
      <c r="Q149" s="2386" t="s">
        <v>273</v>
      </c>
      <c r="R149" s="2387" t="s">
        <v>69</v>
      </c>
      <c r="S149" s="2388">
        <v>1</v>
      </c>
      <c r="T149" s="2402">
        <v>41490</v>
      </c>
      <c r="U149" s="2389" t="s">
        <v>108</v>
      </c>
      <c r="V149" s="2389" t="s">
        <v>905</v>
      </c>
      <c r="W149" s="2342">
        <f ca="1">YEARFRAC(T149,W$6)</f>
        <v>0.73055555555555551</v>
      </c>
      <c r="X149" s="48"/>
    </row>
    <row r="150" spans="1:24" ht="12" customHeight="1">
      <c r="A150" s="48">
        <v>138</v>
      </c>
      <c r="B150" s="2224" t="s">
        <v>42</v>
      </c>
      <c r="C150" s="3237" t="s">
        <v>1715</v>
      </c>
      <c r="D150" s="2212" t="s">
        <v>41</v>
      </c>
      <c r="E150" s="1125">
        <f>SUM(H150/H$11,I150/I$11,J150/J$11,K150/K$11,L150/L$11,M150/M$11,N150/N$11,O150/O$11,P150/P$11)/9*100</f>
        <v>132.98143067513541</v>
      </c>
      <c r="F150" s="2722"/>
      <c r="G150" s="2725"/>
      <c r="H150" s="857">
        <v>97836059</v>
      </c>
      <c r="I150" s="857">
        <v>564089154</v>
      </c>
      <c r="J150" s="857">
        <v>500270017</v>
      </c>
      <c r="K150" s="857">
        <v>332803843</v>
      </c>
      <c r="L150" s="857">
        <v>591055612</v>
      </c>
      <c r="M150" s="857">
        <v>491168091</v>
      </c>
      <c r="N150" s="871">
        <v>374473809</v>
      </c>
      <c r="O150" s="857">
        <v>38914555</v>
      </c>
      <c r="P150" s="857">
        <v>233336593</v>
      </c>
      <c r="Q150" s="2354" t="s">
        <v>150</v>
      </c>
      <c r="R150" s="2838" t="s">
        <v>65</v>
      </c>
      <c r="S150" s="2369">
        <v>1</v>
      </c>
      <c r="T150" s="2357">
        <v>39637</v>
      </c>
      <c r="U150" s="2358" t="s">
        <v>75</v>
      </c>
      <c r="V150" s="2358" t="s">
        <v>151</v>
      </c>
      <c r="W150" s="2353">
        <f ca="1">YEARFRAC(T150,W$6)</f>
        <v>5.802777777777778</v>
      </c>
      <c r="X150" s="48">
        <v>138</v>
      </c>
    </row>
    <row r="151" spans="1:24" ht="12" customHeight="1">
      <c r="A151" s="48"/>
      <c r="B151" s="2047" t="s">
        <v>42</v>
      </c>
      <c r="C151" s="2049" t="s">
        <v>1584</v>
      </c>
      <c r="D151" s="2209" t="s">
        <v>41</v>
      </c>
      <c r="E151" s="1125">
        <f>SUM(H151/H$11,I151/I$11,J151/J$11,K151/K$11,L151/L$11,M151/M$11,N151/N$11,O151/O$11,P151/P$11)/9*100</f>
        <v>133.11868183832905</v>
      </c>
      <c r="F151" s="2069">
        <f>256+306+264+287+718+320+311+158+407</f>
        <v>3027</v>
      </c>
      <c r="G151" s="2045"/>
      <c r="H151" s="854">
        <v>123336683</v>
      </c>
      <c r="I151" s="865">
        <v>438292318</v>
      </c>
      <c r="J151" s="865">
        <v>484427499</v>
      </c>
      <c r="K151" s="854">
        <v>328148602</v>
      </c>
      <c r="L151" s="854">
        <v>589735432</v>
      </c>
      <c r="M151" s="854">
        <v>486426165</v>
      </c>
      <c r="N151" s="854">
        <v>316830908</v>
      </c>
      <c r="O151" s="854">
        <v>54023607</v>
      </c>
      <c r="P151" s="854">
        <v>202807804</v>
      </c>
      <c r="Q151" s="2381" t="s">
        <v>205</v>
      </c>
      <c r="R151" s="2382" t="s">
        <v>69</v>
      </c>
      <c r="S151" s="2383">
        <v>1</v>
      </c>
      <c r="T151" s="2384">
        <v>37574</v>
      </c>
      <c r="U151" s="2385" t="s">
        <v>206</v>
      </c>
      <c r="V151" s="2385" t="s">
        <v>163</v>
      </c>
      <c r="W151" s="2342">
        <f ca="1">YEARFRAC(T151,W$6)</f>
        <v>11.452777777777778</v>
      </c>
      <c r="X151" s="48"/>
    </row>
    <row r="152" spans="1:24" ht="12" customHeight="1">
      <c r="A152" s="48">
        <v>140</v>
      </c>
      <c r="B152" s="2037" t="s">
        <v>42</v>
      </c>
      <c r="C152" s="2049" t="s">
        <v>1909</v>
      </c>
      <c r="D152" s="2209" t="s">
        <v>41</v>
      </c>
      <c r="E152" s="1125">
        <f>SUM(H152/H$11,I152/I$11,J152/J$11,K152/K$11,L152/L$11,M152/M$11,N152/N$11,O152/O$11,P152/P$11)/9*100</f>
        <v>133.15819129602687</v>
      </c>
      <c r="F152" s="2057">
        <f>132.7+473.4+517.1+407.3+354.9+295.2+403.7+71.2+524.8</f>
        <v>3180.2999999999993</v>
      </c>
      <c r="G152" s="2043"/>
      <c r="H152" s="854">
        <v>103283915</v>
      </c>
      <c r="I152" s="854">
        <v>553885305</v>
      </c>
      <c r="J152" s="854">
        <v>535105797</v>
      </c>
      <c r="K152" s="854">
        <v>322560032</v>
      </c>
      <c r="L152" s="854">
        <v>588229478</v>
      </c>
      <c r="M152" s="854">
        <v>490041425</v>
      </c>
      <c r="N152" s="854">
        <v>390529976</v>
      </c>
      <c r="O152" s="854">
        <v>40415543</v>
      </c>
      <c r="P152" s="854">
        <v>207170626</v>
      </c>
      <c r="Q152" s="2338" t="s">
        <v>1368</v>
      </c>
      <c r="R152" s="2394" t="s">
        <v>69</v>
      </c>
      <c r="S152" s="2395">
        <v>2</v>
      </c>
      <c r="T152" s="2340">
        <v>41260</v>
      </c>
      <c r="U152" s="2341" t="s">
        <v>78</v>
      </c>
      <c r="V152" s="2341" t="s">
        <v>268</v>
      </c>
      <c r="W152" s="2353">
        <f ca="1">YEARFRAC(T152,W$6)</f>
        <v>1.3611111111111112</v>
      </c>
      <c r="X152" s="48">
        <v>140</v>
      </c>
    </row>
    <row r="153" spans="1:24" ht="12" customHeight="1">
      <c r="A153" s="48"/>
      <c r="B153" s="2214" t="s">
        <v>42</v>
      </c>
      <c r="C153" s="2215" t="s">
        <v>1716</v>
      </c>
      <c r="D153" s="2207" t="s">
        <v>41</v>
      </c>
      <c r="E153" s="1125">
        <f>SUM(H153/H$11,I153/I$11,J153/J$11,K153/K$11,L153/L$11,M153/M$11,N153/N$11,O153/O$11,P153/P$11)/9*100</f>
        <v>133.24467706430733</v>
      </c>
      <c r="F153" s="3408"/>
      <c r="G153" s="3464"/>
      <c r="H153" s="870">
        <v>111691347</v>
      </c>
      <c r="I153" s="870">
        <v>558968216</v>
      </c>
      <c r="J153" s="870">
        <v>497779801</v>
      </c>
      <c r="K153" s="870">
        <v>325078597</v>
      </c>
      <c r="L153" s="870">
        <v>623224719</v>
      </c>
      <c r="M153" s="870">
        <v>508596589</v>
      </c>
      <c r="N153" s="870">
        <v>345728180</v>
      </c>
      <c r="O153" s="870">
        <v>41450794</v>
      </c>
      <c r="P153" s="870">
        <v>202348850</v>
      </c>
      <c r="Q153" s="2815" t="s">
        <v>234</v>
      </c>
      <c r="R153" s="2730" t="s">
        <v>69</v>
      </c>
      <c r="S153" s="2368">
        <v>1</v>
      </c>
      <c r="T153" s="2403">
        <v>37278</v>
      </c>
      <c r="U153" s="2363" t="s">
        <v>80</v>
      </c>
      <c r="V153" s="2363" t="s">
        <v>1877</v>
      </c>
      <c r="W153" s="2342">
        <f ca="1">YEARFRAC(T153,W$6)</f>
        <v>12.263888888888889</v>
      </c>
      <c r="X153" s="48"/>
    </row>
    <row r="154" spans="1:24" ht="12" customHeight="1">
      <c r="A154" s="48">
        <v>142</v>
      </c>
      <c r="B154" s="2062" t="s">
        <v>42</v>
      </c>
      <c r="C154" s="2208" t="s">
        <v>703</v>
      </c>
      <c r="D154" s="2213"/>
      <c r="E154" s="1125">
        <f>SUM(H154/H$11,I154/I$11,J154/J$11,K154/K$11,L154/L$11,M154/M$11,N154/N$11,O154/O$11,P154/P$11)/9*100</f>
        <v>133.29826350921246</v>
      </c>
      <c r="F154" s="2263">
        <f>203+347+362+295+249+124+59+234+207</f>
        <v>2080</v>
      </c>
      <c r="G154" s="2725"/>
      <c r="H154" s="871">
        <v>121472516</v>
      </c>
      <c r="I154" s="871">
        <v>549068294</v>
      </c>
      <c r="J154" s="871">
        <v>520721113</v>
      </c>
      <c r="K154" s="871">
        <v>315675051</v>
      </c>
      <c r="L154" s="871">
        <v>606380453</v>
      </c>
      <c r="M154" s="871">
        <v>497258374</v>
      </c>
      <c r="N154" s="871">
        <v>339035221</v>
      </c>
      <c r="O154" s="871">
        <v>42970451</v>
      </c>
      <c r="P154" s="871">
        <v>188782715</v>
      </c>
      <c r="Q154" s="2354" t="s">
        <v>702</v>
      </c>
      <c r="R154" s="2355" t="s">
        <v>69</v>
      </c>
      <c r="S154" s="2369">
        <v>1</v>
      </c>
      <c r="T154" s="2357">
        <v>40968</v>
      </c>
      <c r="U154" s="2358" t="s">
        <v>704</v>
      </c>
      <c r="V154" s="2358" t="s">
        <v>1773</v>
      </c>
      <c r="W154" s="2353">
        <f ca="1">YEARFRAC(T154,W$6)</f>
        <v>2.1583333333333332</v>
      </c>
      <c r="X154" s="48">
        <v>142</v>
      </c>
    </row>
    <row r="155" spans="1:24" ht="12" customHeight="1">
      <c r="A155" s="48"/>
      <c r="B155" s="2216" t="s">
        <v>1431</v>
      </c>
      <c r="C155" s="2217" t="s">
        <v>171</v>
      </c>
      <c r="D155" s="2209" t="s">
        <v>41</v>
      </c>
      <c r="E155" s="1125">
        <f>SUM(H155/H$11,I155/I$11,J155/J$11,K155/K$11,L155/L$11,M155/M$11,N155/N$11,O155/O$11,P155/P$11)/9*100</f>
        <v>133.34803409243108</v>
      </c>
      <c r="F155" s="2281"/>
      <c r="G155" s="2275"/>
      <c r="H155" s="865">
        <v>117485136</v>
      </c>
      <c r="I155" s="865">
        <v>594118349</v>
      </c>
      <c r="J155" s="865">
        <v>522877780</v>
      </c>
      <c r="K155" s="865">
        <v>321300315</v>
      </c>
      <c r="L155" s="865">
        <v>592810691</v>
      </c>
      <c r="M155" s="865">
        <v>489285713</v>
      </c>
      <c r="N155" s="854">
        <v>310995994</v>
      </c>
      <c r="O155" s="865">
        <v>37513145</v>
      </c>
      <c r="P155" s="865">
        <v>223904096</v>
      </c>
      <c r="Q155" s="2376" t="s">
        <v>159</v>
      </c>
      <c r="R155" s="2377" t="s">
        <v>69</v>
      </c>
      <c r="S155" s="2378">
        <v>1</v>
      </c>
      <c r="T155" s="2379">
        <v>37692</v>
      </c>
      <c r="U155" s="2380" t="s">
        <v>160</v>
      </c>
      <c r="V155" s="2380" t="s">
        <v>797</v>
      </c>
      <c r="W155" s="2342">
        <f ca="1">YEARFRAC(T155,W$6)</f>
        <v>11.125</v>
      </c>
      <c r="X155" s="48"/>
    </row>
    <row r="156" spans="1:24" ht="12" customHeight="1">
      <c r="A156" s="48">
        <v>144</v>
      </c>
      <c r="B156" s="3203" t="s">
        <v>1431</v>
      </c>
      <c r="C156" s="2218" t="s">
        <v>1717</v>
      </c>
      <c r="D156" s="2780"/>
      <c r="E156" s="1125">
        <f>SUM(H156/H$11,I156/I$11,J156/J$11,K156/K$11,L156/L$11,M156/M$11,N156/N$11,O156/O$11,P156/P$11)/9*100</f>
        <v>133.43942457736827</v>
      </c>
      <c r="F156" s="2721"/>
      <c r="G156" s="2256"/>
      <c r="H156" s="1128">
        <v>132483665</v>
      </c>
      <c r="I156" s="1141">
        <v>555103236</v>
      </c>
      <c r="J156" s="1128">
        <v>500965387</v>
      </c>
      <c r="K156" s="1128">
        <v>292111030</v>
      </c>
      <c r="L156" s="1128">
        <v>585659904</v>
      </c>
      <c r="M156" s="1128">
        <v>464478633</v>
      </c>
      <c r="N156" s="1128">
        <v>359126052</v>
      </c>
      <c r="O156" s="1128">
        <v>37202616</v>
      </c>
      <c r="P156" s="1128">
        <v>217629314</v>
      </c>
      <c r="Q156" s="2727" t="s">
        <v>112</v>
      </c>
      <c r="R156" s="2729" t="s">
        <v>69</v>
      </c>
      <c r="S156" s="2404">
        <v>1</v>
      </c>
      <c r="T156" s="2405">
        <v>38439</v>
      </c>
      <c r="U156" s="2406" t="s">
        <v>80</v>
      </c>
      <c r="V156" s="2406" t="s">
        <v>157</v>
      </c>
      <c r="W156" s="2295">
        <f ca="1">YEARFRAC(T156,W$6)</f>
        <v>9.0805555555555557</v>
      </c>
      <c r="X156" s="48">
        <v>144</v>
      </c>
    </row>
    <row r="157" spans="1:24" ht="12" customHeight="1">
      <c r="A157" s="48"/>
      <c r="B157" s="2188" t="s">
        <v>42</v>
      </c>
      <c r="C157" s="2205" t="s">
        <v>876</v>
      </c>
      <c r="D157" s="2186" t="s">
        <v>41</v>
      </c>
      <c r="E157" s="1125">
        <f>SUM(H157/H$11,I157/I$11,J157/J$11,K157/K$11,L157/L$11,M157/M$11,N157/N$11,O157/O$11,P157/P$11)/9*100</f>
        <v>133.57105393680516</v>
      </c>
      <c r="F157" s="2254">
        <f>590+0+0+1775+2159+1890+1183+356+2028</f>
        <v>9981</v>
      </c>
      <c r="G157" s="2258"/>
      <c r="H157" s="1163">
        <v>117749972</v>
      </c>
      <c r="I157" s="1146">
        <v>553406495</v>
      </c>
      <c r="J157" s="1146">
        <v>490359935</v>
      </c>
      <c r="K157" s="1146">
        <v>322617848</v>
      </c>
      <c r="L157" s="1146">
        <v>596678998</v>
      </c>
      <c r="M157" s="1146">
        <v>490228358</v>
      </c>
      <c r="N157" s="1146">
        <v>336655210</v>
      </c>
      <c r="O157" s="1146">
        <v>41283298</v>
      </c>
      <c r="P157" s="1146">
        <v>219783245</v>
      </c>
      <c r="Q157" s="2332" t="s">
        <v>869</v>
      </c>
      <c r="R157" s="2333" t="s">
        <v>69</v>
      </c>
      <c r="S157" s="2334">
        <v>1</v>
      </c>
      <c r="T157" s="2335">
        <v>36588</v>
      </c>
      <c r="U157" s="2336" t="s">
        <v>870</v>
      </c>
      <c r="V157" s="2336" t="s">
        <v>871</v>
      </c>
      <c r="W157" s="2305">
        <f ca="1">YEARFRAC(T157,W$6)</f>
        <v>14.15</v>
      </c>
      <c r="X157" s="48"/>
    </row>
    <row r="158" spans="1:24" ht="12" customHeight="1">
      <c r="A158" s="48">
        <v>146</v>
      </c>
      <c r="B158" s="3207" t="s">
        <v>42</v>
      </c>
      <c r="C158" s="2219" t="s">
        <v>1646</v>
      </c>
      <c r="D158" s="2041" t="s">
        <v>41</v>
      </c>
      <c r="E158" s="1125">
        <f>SUM(H158/H$11,I158/I$11,J158/J$11,K158/K$11,L158/L$11,M158/M$11,N158/N$11,O158/O$11,P158/P$11)/9*100</f>
        <v>133.6007108399221</v>
      </c>
      <c r="F158" s="2790"/>
      <c r="G158" s="2790"/>
      <c r="H158" s="902">
        <v>117485822</v>
      </c>
      <c r="I158" s="1151">
        <v>533694947</v>
      </c>
      <c r="J158" s="1151">
        <v>476848083</v>
      </c>
      <c r="K158" s="1151">
        <v>358511710</v>
      </c>
      <c r="L158" s="1151">
        <v>583842755</v>
      </c>
      <c r="M158" s="1151">
        <v>484655640</v>
      </c>
      <c r="N158" s="1143">
        <v>338963036</v>
      </c>
      <c r="O158" s="1151">
        <v>38706701</v>
      </c>
      <c r="P158" s="1151">
        <v>230731198</v>
      </c>
      <c r="Q158" s="2823" t="s">
        <v>124</v>
      </c>
      <c r="R158" s="2839" t="s">
        <v>69</v>
      </c>
      <c r="S158" s="2851">
        <v>1</v>
      </c>
      <c r="T158" s="2861">
        <v>39042</v>
      </c>
      <c r="U158" s="2875" t="s">
        <v>75</v>
      </c>
      <c r="V158" s="2875" t="s">
        <v>149</v>
      </c>
      <c r="W158" s="2310">
        <f ca="1">YEARFRAC(T158,W$6)</f>
        <v>7.4333333333333336</v>
      </c>
      <c r="X158" s="48">
        <v>146</v>
      </c>
    </row>
    <row r="159" spans="1:24" ht="12" customHeight="1">
      <c r="A159" s="48"/>
      <c r="B159" s="2195" t="s">
        <v>42</v>
      </c>
      <c r="C159" s="2202" t="s">
        <v>225</v>
      </c>
      <c r="D159" s="3326"/>
      <c r="E159" s="1125">
        <f>SUM(H159/H$11,I159/I$11,J159/J$11,K159/K$11,L159/L$11,M159/M$11,N159/N$11,O159/O$11,P159/P$11)/9*100</f>
        <v>133.72548922260168</v>
      </c>
      <c r="F159" s="3409"/>
      <c r="G159" s="2282"/>
      <c r="H159" s="1127">
        <v>109098390</v>
      </c>
      <c r="I159" s="1128">
        <v>577182253</v>
      </c>
      <c r="J159" s="1128">
        <v>503636404</v>
      </c>
      <c r="K159" s="1128">
        <v>319122704</v>
      </c>
      <c r="L159" s="1128">
        <v>619656890</v>
      </c>
      <c r="M159" s="1128">
        <v>509076696</v>
      </c>
      <c r="N159" s="1128">
        <v>355077076</v>
      </c>
      <c r="O159" s="1128">
        <v>40147922</v>
      </c>
      <c r="P159" s="1128">
        <v>209938100</v>
      </c>
      <c r="Q159" s="2317" t="s">
        <v>226</v>
      </c>
      <c r="R159" s="2318" t="s">
        <v>69</v>
      </c>
      <c r="S159" s="3587">
        <v>1</v>
      </c>
      <c r="T159" s="3631">
        <v>39342</v>
      </c>
      <c r="U159" s="2320" t="s">
        <v>77</v>
      </c>
      <c r="V159" s="2320" t="s">
        <v>898</v>
      </c>
      <c r="W159" s="2295">
        <f ca="1">YEARFRAC(T159,W$6)</f>
        <v>6.6111111111111107</v>
      </c>
      <c r="X159" s="48"/>
    </row>
    <row r="160" spans="1:24" ht="12" customHeight="1">
      <c r="A160" s="48">
        <v>148</v>
      </c>
      <c r="B160" s="3208" t="s">
        <v>42</v>
      </c>
      <c r="C160" s="3242" t="s">
        <v>789</v>
      </c>
      <c r="D160" s="3319"/>
      <c r="E160" s="1125">
        <f>SUM(H160/H$11,I160/I$11,J160/J$11,K160/K$11,L160/L$11,M160/M$11,N160/N$11,O160/O$11,P160/P$11)/9*100</f>
        <v>133.81779447527532</v>
      </c>
      <c r="F160" s="3377"/>
      <c r="G160" s="3435"/>
      <c r="H160" s="1127">
        <v>110869723</v>
      </c>
      <c r="I160" s="1128">
        <v>554530289</v>
      </c>
      <c r="J160" s="1128">
        <v>497277050</v>
      </c>
      <c r="K160" s="1128">
        <v>322003694</v>
      </c>
      <c r="L160" s="1128">
        <v>577999596</v>
      </c>
      <c r="M160" s="1128">
        <v>487619593</v>
      </c>
      <c r="N160" s="1128">
        <v>353559564</v>
      </c>
      <c r="O160" s="1128">
        <v>40773343</v>
      </c>
      <c r="P160" s="1128">
        <v>235134104</v>
      </c>
      <c r="Q160" s="3508" t="s">
        <v>161</v>
      </c>
      <c r="R160" s="3540" t="s">
        <v>69</v>
      </c>
      <c r="S160" s="3586">
        <v>1</v>
      </c>
      <c r="T160" s="3629">
        <v>39055</v>
      </c>
      <c r="U160" s="3665" t="s">
        <v>80</v>
      </c>
      <c r="V160" s="3665" t="s">
        <v>806</v>
      </c>
      <c r="W160" s="2295">
        <f ca="1">YEARFRAC(T160,W$6)</f>
        <v>7.3972222222222221</v>
      </c>
      <c r="X160" s="48">
        <v>148</v>
      </c>
    </row>
    <row r="161" spans="1:24" ht="12" customHeight="1">
      <c r="A161" s="48"/>
      <c r="B161" s="2188" t="s">
        <v>42</v>
      </c>
      <c r="C161" s="2205" t="s">
        <v>872</v>
      </c>
      <c r="D161" s="2186" t="s">
        <v>41</v>
      </c>
      <c r="E161" s="1125">
        <f>SUM(H161/H$11,I161/I$11,J161/J$11,K161/K$11,L161/L$11,M161/M$11,N161/N$11,O161/O$11,P161/P$11)/9*100</f>
        <v>134.0323182924036</v>
      </c>
      <c r="F161" s="2254">
        <f>102+481+476+302+369+306+221+56+304</f>
        <v>2617</v>
      </c>
      <c r="G161" s="2258"/>
      <c r="H161" s="1163">
        <v>118265223</v>
      </c>
      <c r="I161" s="1146">
        <v>553408878</v>
      </c>
      <c r="J161" s="1145">
        <v>490378418</v>
      </c>
      <c r="K161" s="1145">
        <v>323627864</v>
      </c>
      <c r="L161" s="1145">
        <v>596725401</v>
      </c>
      <c r="M161" s="1145">
        <v>490228655</v>
      </c>
      <c r="N161" s="1146">
        <v>336738043</v>
      </c>
      <c r="O161" s="1145">
        <v>42120765</v>
      </c>
      <c r="P161" s="1145">
        <v>220140448</v>
      </c>
      <c r="Q161" s="2332" t="s">
        <v>869</v>
      </c>
      <c r="R161" s="2333" t="s">
        <v>69</v>
      </c>
      <c r="S161" s="2334">
        <v>1</v>
      </c>
      <c r="T161" s="2855">
        <v>36588</v>
      </c>
      <c r="U161" s="2336" t="s">
        <v>870</v>
      </c>
      <c r="V161" s="2336" t="s">
        <v>871</v>
      </c>
      <c r="W161" s="2305">
        <f ca="1">YEARFRAC(T161,W$6)</f>
        <v>14.15</v>
      </c>
      <c r="X161" s="48"/>
    </row>
    <row r="162" spans="1:24" ht="12" customHeight="1">
      <c r="A162" s="48">
        <v>150</v>
      </c>
      <c r="B162" s="2206" t="s">
        <v>1431</v>
      </c>
      <c r="C162" s="3235" t="s">
        <v>1718</v>
      </c>
      <c r="D162" s="3322"/>
      <c r="E162" s="1125">
        <f>SUM(H162/H$11,I162/I$11,J162/J$11,K162/K$11,L162/L$11,M162/M$11,N162/N$11,O162/O$11,P162/P$11)/9*100</f>
        <v>134.22286748676137</v>
      </c>
      <c r="F162" s="2259"/>
      <c r="G162" s="2259"/>
      <c r="H162" s="902">
        <v>110430818</v>
      </c>
      <c r="I162" s="1151">
        <v>554300084</v>
      </c>
      <c r="J162" s="1151">
        <v>483264629</v>
      </c>
      <c r="K162" s="1151">
        <v>321530074</v>
      </c>
      <c r="L162" s="1151">
        <v>591545645</v>
      </c>
      <c r="M162" s="1151">
        <v>486662941</v>
      </c>
      <c r="N162" s="1143">
        <v>346090379</v>
      </c>
      <c r="O162" s="1151">
        <v>49784479</v>
      </c>
      <c r="P162" s="1151">
        <v>203090900</v>
      </c>
      <c r="Q162" s="2306" t="s">
        <v>97</v>
      </c>
      <c r="R162" s="2330" t="s">
        <v>69</v>
      </c>
      <c r="S162" s="2307">
        <v>1</v>
      </c>
      <c r="T162" s="2308">
        <v>39247</v>
      </c>
      <c r="U162" s="2309" t="s">
        <v>75</v>
      </c>
      <c r="V162" s="2309" t="s">
        <v>804</v>
      </c>
      <c r="W162" s="2310">
        <f ca="1">YEARFRAC(T162,W$6)</f>
        <v>6.8694444444444445</v>
      </c>
      <c r="X162" s="48">
        <v>150</v>
      </c>
    </row>
    <row r="163" spans="1:24" ht="12" customHeight="1">
      <c r="A163" s="48"/>
      <c r="B163" s="2201" t="s">
        <v>42</v>
      </c>
      <c r="C163" s="2197" t="s">
        <v>1719</v>
      </c>
      <c r="D163" s="2220"/>
      <c r="E163" s="1125">
        <f>SUM(H163/H$11,I163/I$11,J163/J$11,K163/K$11,L163/L$11,M163/M$11,N163/N$11,O163/O$11,P163/P$11)/9*100</f>
        <v>134.53032359041592</v>
      </c>
      <c r="F163" s="2277"/>
      <c r="G163" s="2278"/>
      <c r="H163" s="1128">
        <v>102719665</v>
      </c>
      <c r="I163" s="1128">
        <v>513118775</v>
      </c>
      <c r="J163" s="1128">
        <v>513069462</v>
      </c>
      <c r="K163" s="1128">
        <v>343802663</v>
      </c>
      <c r="L163" s="1128">
        <v>589974074</v>
      </c>
      <c r="M163" s="1128">
        <v>489721065</v>
      </c>
      <c r="N163" s="1128">
        <v>375101598</v>
      </c>
      <c r="O163" s="1128">
        <v>40194727</v>
      </c>
      <c r="P163" s="1128">
        <v>249399841</v>
      </c>
      <c r="Q163" s="2392" t="s">
        <v>233</v>
      </c>
      <c r="R163" s="2393" t="s">
        <v>69</v>
      </c>
      <c r="S163" s="2390">
        <v>1</v>
      </c>
      <c r="T163" s="2407">
        <v>35855</v>
      </c>
      <c r="U163" s="2391" t="s">
        <v>75</v>
      </c>
      <c r="V163" s="2391" t="s">
        <v>808</v>
      </c>
      <c r="W163" s="2295">
        <f ca="1">YEARFRAC(T163,W$6)</f>
        <v>16.155555555555555</v>
      </c>
      <c r="X163" s="48"/>
    </row>
    <row r="164" spans="1:24" ht="12" customHeight="1">
      <c r="A164" s="48">
        <v>152</v>
      </c>
      <c r="B164" s="2201" t="s">
        <v>42</v>
      </c>
      <c r="C164" s="2197" t="s">
        <v>777</v>
      </c>
      <c r="D164" s="2061" t="s">
        <v>41</v>
      </c>
      <c r="E164" s="1125">
        <f>SUM(H164/H$11,I164/I$11,J164/J$11,K164/K$11,L164/L$11,M164/M$11,N164/N$11,O164/O$11,P164/P$11)/9*100</f>
        <v>134.57998787021387</v>
      </c>
      <c r="F164" s="2277"/>
      <c r="G164" s="2278"/>
      <c r="H164" s="1141">
        <v>116084065</v>
      </c>
      <c r="I164" s="1141">
        <v>552379360</v>
      </c>
      <c r="J164" s="1141">
        <v>485807422</v>
      </c>
      <c r="K164" s="1141">
        <v>328621553</v>
      </c>
      <c r="L164" s="1141">
        <v>591539735</v>
      </c>
      <c r="M164" s="1141">
        <v>488607350</v>
      </c>
      <c r="N164" s="1128">
        <v>329115175</v>
      </c>
      <c r="O164" s="1141">
        <v>43421921</v>
      </c>
      <c r="P164" s="1141">
        <v>231513058</v>
      </c>
      <c r="Q164" s="2392" t="s">
        <v>214</v>
      </c>
      <c r="R164" s="2393" t="s">
        <v>69</v>
      </c>
      <c r="S164" s="2390">
        <v>1</v>
      </c>
      <c r="T164" s="2407">
        <v>38029</v>
      </c>
      <c r="U164" s="2391" t="s">
        <v>75</v>
      </c>
      <c r="V164" s="2391" t="s">
        <v>215</v>
      </c>
      <c r="W164" s="2295">
        <f ca="1">YEARFRAC(T164,W$6)</f>
        <v>10.208333333333334</v>
      </c>
      <c r="X164" s="48">
        <v>152</v>
      </c>
    </row>
    <row r="165" spans="1:24" ht="12" customHeight="1">
      <c r="A165" s="48"/>
      <c r="B165" s="2198" t="s">
        <v>42</v>
      </c>
      <c r="C165" s="2203" t="s">
        <v>1910</v>
      </c>
      <c r="D165" s="2204"/>
      <c r="E165" s="1125">
        <f>SUM(H165/H$11,I165/I$11,J165/J$11,K165/K$11,L165/L$11,M165/M$11,N165/N$11,O165/O$11,P165/P$11)/9*100</f>
        <v>135.07306808747751</v>
      </c>
      <c r="F165" s="2257"/>
      <c r="G165" s="2257"/>
      <c r="H165" s="1144">
        <v>114362276</v>
      </c>
      <c r="I165" s="1146">
        <v>445542140</v>
      </c>
      <c r="J165" s="1145">
        <v>533919363</v>
      </c>
      <c r="K165" s="1145">
        <v>342106542</v>
      </c>
      <c r="L165" s="1145">
        <v>586814539</v>
      </c>
      <c r="M165" s="1145">
        <v>486559188</v>
      </c>
      <c r="N165" s="1146">
        <v>403704171</v>
      </c>
      <c r="O165" s="1145">
        <v>43088775</v>
      </c>
      <c r="P165" s="1145">
        <v>226317389</v>
      </c>
      <c r="Q165" s="2321" t="s">
        <v>238</v>
      </c>
      <c r="R165" s="2322" t="s">
        <v>69</v>
      </c>
      <c r="S165" s="2323">
        <v>1</v>
      </c>
      <c r="T165" s="2862">
        <v>35938</v>
      </c>
      <c r="U165" s="2324" t="s">
        <v>108</v>
      </c>
      <c r="V165" s="2324" t="s">
        <v>239</v>
      </c>
      <c r="W165" s="2305">
        <f ca="1">YEARFRAC(T165,W$6)</f>
        <v>15.927777777777777</v>
      </c>
      <c r="X165" s="48"/>
    </row>
    <row r="166" spans="1:24" ht="12" customHeight="1">
      <c r="A166" s="48">
        <v>154</v>
      </c>
      <c r="B166" s="2040" t="s">
        <v>42</v>
      </c>
      <c r="C166" s="2221" t="s">
        <v>625</v>
      </c>
      <c r="D166" s="2041" t="s">
        <v>41</v>
      </c>
      <c r="E166" s="1125">
        <f>SUM(H166/H$11,I166/I$11,J166/J$11,K166/K$11,L166/L$11,M166/M$11,N166/N$11,O166/O$11,P166/P$11)/9*100</f>
        <v>135.18172916899235</v>
      </c>
      <c r="F166" s="2259"/>
      <c r="G166" s="2259"/>
      <c r="H166" s="907">
        <v>121950876</v>
      </c>
      <c r="I166" s="1151">
        <v>561177708</v>
      </c>
      <c r="J166" s="1143">
        <v>498174723</v>
      </c>
      <c r="K166" s="1143">
        <v>326837528</v>
      </c>
      <c r="L166" s="1143">
        <v>588953840</v>
      </c>
      <c r="M166" s="1143">
        <v>486279803</v>
      </c>
      <c r="N166" s="1143">
        <v>342462021</v>
      </c>
      <c r="O166" s="1143">
        <v>42696633</v>
      </c>
      <c r="P166" s="1143">
        <v>217369080</v>
      </c>
      <c r="Q166" s="2306" t="s">
        <v>626</v>
      </c>
      <c r="R166" s="2330" t="s">
        <v>69</v>
      </c>
      <c r="S166" s="2307">
        <v>1</v>
      </c>
      <c r="T166" s="2308">
        <v>36756</v>
      </c>
      <c r="U166" s="2309" t="s">
        <v>75</v>
      </c>
      <c r="V166" s="2309" t="s">
        <v>629</v>
      </c>
      <c r="W166" s="2310">
        <f ca="1">YEARFRAC(T166,W$6)</f>
        <v>13.691666666666666</v>
      </c>
      <c r="X166" s="48">
        <v>154</v>
      </c>
    </row>
    <row r="167" spans="1:24" ht="12" customHeight="1">
      <c r="A167" s="48"/>
      <c r="B167" s="2037" t="s">
        <v>42</v>
      </c>
      <c r="C167" s="2222" t="s">
        <v>241</v>
      </c>
      <c r="D167" s="2715"/>
      <c r="E167" s="1125">
        <f>SUM(H167/H$11,I167/I$11,J167/J$11,K167/K$11,L167/L$11,M167/M$11,N167/N$11,O167/O$11,P167/P$11)/9*100</f>
        <v>135.21324605552866</v>
      </c>
      <c r="F167" s="2258"/>
      <c r="G167" s="2258"/>
      <c r="H167" s="1144">
        <v>110651611</v>
      </c>
      <c r="I167" s="1145">
        <v>568453994</v>
      </c>
      <c r="J167" s="1145">
        <v>507597894</v>
      </c>
      <c r="K167" s="1145">
        <v>335409915</v>
      </c>
      <c r="L167" s="1145">
        <v>616539883</v>
      </c>
      <c r="M167" s="1145">
        <v>507825102</v>
      </c>
      <c r="N167" s="1146">
        <v>342211788</v>
      </c>
      <c r="O167" s="1145">
        <v>42130986</v>
      </c>
      <c r="P167" s="1145">
        <v>218846099</v>
      </c>
      <c r="Q167" s="2332" t="s">
        <v>144</v>
      </c>
      <c r="R167" s="2333" t="s">
        <v>69</v>
      </c>
      <c r="S167" s="2334">
        <v>1</v>
      </c>
      <c r="T167" s="2335">
        <v>39507</v>
      </c>
      <c r="U167" s="2336" t="s">
        <v>242</v>
      </c>
      <c r="V167" s="2336" t="s">
        <v>898</v>
      </c>
      <c r="W167" s="2305">
        <f ca="1">YEARFRAC(T167,W$6)</f>
        <v>6.1583333333333332</v>
      </c>
      <c r="X167" s="48"/>
    </row>
    <row r="168" spans="1:24" ht="12" customHeight="1">
      <c r="A168" s="48">
        <v>156</v>
      </c>
      <c r="B168" s="2047" t="s">
        <v>42</v>
      </c>
      <c r="C168" s="2054" t="s">
        <v>1169</v>
      </c>
      <c r="D168" s="3323"/>
      <c r="E168" s="1125">
        <f>SUM(H168/H$11,I168/I$11,J168/J$11,K168/K$11,L168/L$11,M168/M$11,N168/N$11,O168/O$11,P168/P$11)/9*100</f>
        <v>135.5642880624807</v>
      </c>
      <c r="F168" s="3378">
        <f>781+271+2100+366+305+522+136+120+186</f>
        <v>4787</v>
      </c>
      <c r="G168" s="3378"/>
      <c r="H168" s="902">
        <v>117288997</v>
      </c>
      <c r="I168" s="1151">
        <v>554026701</v>
      </c>
      <c r="J168" s="1151">
        <v>485444925</v>
      </c>
      <c r="K168" s="1151">
        <v>300983585</v>
      </c>
      <c r="L168" s="1151">
        <v>593540724</v>
      </c>
      <c r="M168" s="1151">
        <v>465869981</v>
      </c>
      <c r="N168" s="1151">
        <v>354012393</v>
      </c>
      <c r="O168" s="1151">
        <v>44537348</v>
      </c>
      <c r="P168" s="1151">
        <v>244389366</v>
      </c>
      <c r="Q168" s="3509" t="s">
        <v>491</v>
      </c>
      <c r="R168" s="2330" t="s">
        <v>69</v>
      </c>
      <c r="S168" s="2330">
        <v>1</v>
      </c>
      <c r="T168" s="2315">
        <v>41153</v>
      </c>
      <c r="U168" s="2316" t="s">
        <v>77</v>
      </c>
      <c r="V168" s="2316" t="s">
        <v>693</v>
      </c>
      <c r="W168" s="2310">
        <f ca="1">YEARFRAC(T168,W$6)</f>
        <v>1.6555555555555554</v>
      </c>
      <c r="X168" s="48">
        <v>156</v>
      </c>
    </row>
    <row r="169" spans="1:24" ht="12" customHeight="1">
      <c r="A169" s="48"/>
      <c r="B169" s="2188" t="s">
        <v>42</v>
      </c>
      <c r="C169" s="2203" t="s">
        <v>1647</v>
      </c>
      <c r="D169" s="2186" t="s">
        <v>41</v>
      </c>
      <c r="E169" s="1125">
        <f>SUM(H169/H$11,I169/I$11,J169/J$11,K169/K$11,L169/L$11,M169/M$11,N169/N$11,O169/O$11,P169/P$11)/9*100</f>
        <v>135.56833436381072</v>
      </c>
      <c r="F169" s="2070">
        <f>131.6+543.5+0+268.9+448.8+370.2+404.3+45.2+247.1</f>
        <v>2459.6</v>
      </c>
      <c r="G169" s="2283"/>
      <c r="H169" s="1140">
        <v>115083530</v>
      </c>
      <c r="I169" s="1141">
        <v>568891134</v>
      </c>
      <c r="J169" s="1141">
        <v>509693152</v>
      </c>
      <c r="K169" s="1141">
        <v>316240073</v>
      </c>
      <c r="L169" s="1141">
        <v>594994125</v>
      </c>
      <c r="M169" s="1141">
        <v>490815079</v>
      </c>
      <c r="N169" s="1128">
        <v>384428359</v>
      </c>
      <c r="O169" s="1141">
        <v>42842857</v>
      </c>
      <c r="P169" s="1141">
        <v>208583207</v>
      </c>
      <c r="Q169" s="2296" t="s">
        <v>223</v>
      </c>
      <c r="R169" s="2297" t="s">
        <v>69</v>
      </c>
      <c r="S169" s="2298">
        <v>1</v>
      </c>
      <c r="T169" s="2299">
        <v>40909</v>
      </c>
      <c r="U169" s="2300" t="s">
        <v>75</v>
      </c>
      <c r="V169" s="2300" t="s">
        <v>224</v>
      </c>
      <c r="W169" s="2295">
        <f ca="1">YEARFRAC(T169,W$6)</f>
        <v>2.3222222222222224</v>
      </c>
      <c r="X169" s="48"/>
    </row>
    <row r="170" spans="1:24" ht="12" customHeight="1">
      <c r="A170" s="48">
        <v>158</v>
      </c>
      <c r="B170" s="2040" t="s">
        <v>42</v>
      </c>
      <c r="C170" s="2051" t="s">
        <v>1720</v>
      </c>
      <c r="D170" s="2190"/>
      <c r="E170" s="1125">
        <f>SUM(H170/H$11,I170/I$11,J170/J$11,K170/K$11,L170/L$11,M170/M$11,N170/N$11,O170/O$11,P170/P$11)/9*100</f>
        <v>135.57136962287782</v>
      </c>
      <c r="F170" s="2042"/>
      <c r="G170" s="2043"/>
      <c r="H170" s="868">
        <v>129072891</v>
      </c>
      <c r="I170" s="854">
        <v>538384498</v>
      </c>
      <c r="J170" s="854">
        <v>494571779</v>
      </c>
      <c r="K170" s="854">
        <v>304145889</v>
      </c>
      <c r="L170" s="854">
        <v>591972098</v>
      </c>
      <c r="M170" s="854">
        <v>484739970</v>
      </c>
      <c r="N170" s="854">
        <v>311474285</v>
      </c>
      <c r="O170" s="854">
        <v>57000521</v>
      </c>
      <c r="P170" s="854">
        <v>178185035</v>
      </c>
      <c r="Q170" s="2381" t="s">
        <v>177</v>
      </c>
      <c r="R170" s="2382" t="s">
        <v>69</v>
      </c>
      <c r="S170" s="2383">
        <v>1</v>
      </c>
      <c r="T170" s="2384">
        <v>39646</v>
      </c>
      <c r="U170" s="2385" t="s">
        <v>80</v>
      </c>
      <c r="V170" s="2385" t="s">
        <v>1774</v>
      </c>
      <c r="W170" s="2408">
        <f ca="1">YEARFRAC(T170,W$6)</f>
        <v>5.7777777777777777</v>
      </c>
      <c r="X170" s="48">
        <v>158</v>
      </c>
    </row>
    <row r="171" spans="1:24" ht="12" customHeight="1">
      <c r="A171" s="48"/>
      <c r="B171" s="2201" t="s">
        <v>42</v>
      </c>
      <c r="C171" s="2054" t="s">
        <v>1617</v>
      </c>
      <c r="D171" s="2061" t="s">
        <v>41</v>
      </c>
      <c r="E171" s="1125">
        <f>SUM(H171/H$11,I171/I$11,J171/J$11,K171/K$11,L171/L$11,M171/M$11,N171/N$11,O171/O$11,P171/P$11)/9*100</f>
        <v>135.57359511585244</v>
      </c>
      <c r="F171" s="2266"/>
      <c r="G171" s="2267"/>
      <c r="H171" s="872">
        <v>100081335</v>
      </c>
      <c r="I171" s="870">
        <v>524447517</v>
      </c>
      <c r="J171" s="869">
        <v>527069916</v>
      </c>
      <c r="K171" s="869">
        <v>333150702</v>
      </c>
      <c r="L171" s="869">
        <v>578726025</v>
      </c>
      <c r="M171" s="869">
        <v>489265917</v>
      </c>
      <c r="N171" s="870">
        <v>430726087</v>
      </c>
      <c r="O171" s="870">
        <v>41730836</v>
      </c>
      <c r="P171" s="869">
        <v>230205985</v>
      </c>
      <c r="Q171" s="2361" t="s">
        <v>185</v>
      </c>
      <c r="R171" s="2367" t="s">
        <v>69</v>
      </c>
      <c r="S171" s="2368">
        <v>1</v>
      </c>
      <c r="T171" s="2362" t="s">
        <v>556</v>
      </c>
      <c r="U171" s="2363" t="s">
        <v>75</v>
      </c>
      <c r="V171" s="3697" t="s">
        <v>107</v>
      </c>
      <c r="W171" s="2342" t="e">
        <f>YEARFRAC(T171,W$6)</f>
        <v>#VALUE!</v>
      </c>
      <c r="X171" s="48"/>
    </row>
    <row r="172" spans="1:24" ht="12" customHeight="1">
      <c r="A172" s="48">
        <v>160</v>
      </c>
      <c r="B172" s="2063" t="s">
        <v>1431</v>
      </c>
      <c r="C172" s="2064" t="s">
        <v>227</v>
      </c>
      <c r="D172" s="3324"/>
      <c r="E172" s="1125">
        <f>SUM(H172/H$11,I172/I$11,J172/J$11,K172/K$11,L172/L$11,M172/M$11,N172/N$11,O172/O$11,P172/P$11)/9*100</f>
        <v>135.65195722332314</v>
      </c>
      <c r="F172" s="2284"/>
      <c r="G172" s="2285"/>
      <c r="H172" s="871">
        <v>106320489</v>
      </c>
      <c r="I172" s="857">
        <v>497307336</v>
      </c>
      <c r="J172" s="871">
        <v>495905291</v>
      </c>
      <c r="K172" s="871">
        <v>348857758</v>
      </c>
      <c r="L172" s="871">
        <v>586746309</v>
      </c>
      <c r="M172" s="871">
        <v>487311676</v>
      </c>
      <c r="N172" s="871">
        <v>353434522</v>
      </c>
      <c r="O172" s="871">
        <v>46968355</v>
      </c>
      <c r="P172" s="871">
        <v>247354226</v>
      </c>
      <c r="Q172" s="2409" t="s">
        <v>228</v>
      </c>
      <c r="R172" s="2410" t="s">
        <v>69</v>
      </c>
      <c r="S172" s="2411">
        <v>1</v>
      </c>
      <c r="T172" s="3630">
        <v>37420</v>
      </c>
      <c r="U172" s="2412" t="s">
        <v>229</v>
      </c>
      <c r="V172" s="2412" t="s">
        <v>230</v>
      </c>
      <c r="W172" s="2353">
        <f ca="1">YEARFRAC(T172,W$6)</f>
        <v>11.872222222222222</v>
      </c>
      <c r="X172" s="48">
        <v>160</v>
      </c>
    </row>
    <row r="173" spans="1:24" ht="12" customHeight="1">
      <c r="A173" s="48"/>
      <c r="B173" s="2201" t="s">
        <v>42</v>
      </c>
      <c r="C173" s="2054" t="s">
        <v>1648</v>
      </c>
      <c r="D173" s="2207" t="s">
        <v>41</v>
      </c>
      <c r="E173" s="1125">
        <f>SUM(H173/H$11,I173/I$11,J173/J$11,K173/K$11,L173/L$11,M173/M$11,N173/N$11,O173/O$11,P173/P$11)/9*100</f>
        <v>135.65664815965209</v>
      </c>
      <c r="F173" s="2281"/>
      <c r="G173" s="2275"/>
      <c r="H173" s="868">
        <v>105751232</v>
      </c>
      <c r="I173" s="854">
        <v>550179090</v>
      </c>
      <c r="J173" s="854">
        <v>497208340</v>
      </c>
      <c r="K173" s="854">
        <v>343638380</v>
      </c>
      <c r="L173" s="854">
        <v>585087868</v>
      </c>
      <c r="M173" s="854">
        <v>484798415</v>
      </c>
      <c r="N173" s="854">
        <v>375780413</v>
      </c>
      <c r="O173" s="854">
        <v>41277843</v>
      </c>
      <c r="P173" s="854">
        <v>244639021</v>
      </c>
      <c r="Q173" s="2376" t="s">
        <v>138</v>
      </c>
      <c r="R173" s="2377" t="s">
        <v>69</v>
      </c>
      <c r="S173" s="2378">
        <v>1</v>
      </c>
      <c r="T173" s="2379">
        <v>39179</v>
      </c>
      <c r="U173" s="2380" t="s">
        <v>75</v>
      </c>
      <c r="V173" s="2380" t="s">
        <v>788</v>
      </c>
      <c r="W173" s="2342">
        <f ca="1">YEARFRAC(T173,W$6)</f>
        <v>7.0555555555555554</v>
      </c>
      <c r="X173" s="48"/>
    </row>
    <row r="174" spans="1:24" ht="12" customHeight="1">
      <c r="A174" s="48">
        <v>162</v>
      </c>
      <c r="B174" s="2037" t="s">
        <v>42</v>
      </c>
      <c r="C174" s="2208" t="s">
        <v>1408</v>
      </c>
      <c r="D174" s="2209" t="s">
        <v>41</v>
      </c>
      <c r="E174" s="1125">
        <f>SUM(H174/H$11,I174/I$11,J174/J$11,K174/K$11,L174/L$11,M174/M$11,N174/N$11,O174/O$11,P174/P$11)/9*100</f>
        <v>135.73630162005844</v>
      </c>
      <c r="F174" s="2057">
        <f>222+729+701+551+688+573+580+116+619</f>
        <v>4779</v>
      </c>
      <c r="G174" s="2058"/>
      <c r="H174" s="868">
        <v>117552921</v>
      </c>
      <c r="I174" s="854">
        <v>572626534</v>
      </c>
      <c r="J174" s="854">
        <v>486574278</v>
      </c>
      <c r="K174" s="854">
        <v>314517710</v>
      </c>
      <c r="L174" s="854">
        <v>588200518</v>
      </c>
      <c r="M174" s="854">
        <v>483635881</v>
      </c>
      <c r="N174" s="854">
        <v>355771296</v>
      </c>
      <c r="O174" s="854">
        <v>44865372</v>
      </c>
      <c r="P174" s="854">
        <v>223246172</v>
      </c>
      <c r="Q174" s="2338" t="s">
        <v>1401</v>
      </c>
      <c r="R174" s="2394" t="s">
        <v>69</v>
      </c>
      <c r="S174" s="2339">
        <v>1</v>
      </c>
      <c r="T174" s="2340">
        <v>41195</v>
      </c>
      <c r="U174" s="2341" t="s">
        <v>464</v>
      </c>
      <c r="V174" s="2341" t="s">
        <v>1400</v>
      </c>
      <c r="W174" s="2353">
        <f ca="1">YEARFRAC(T174,W$6)</f>
        <v>1.538888888888889</v>
      </c>
      <c r="X174" s="48">
        <v>162</v>
      </c>
    </row>
    <row r="175" spans="1:24" ht="12" customHeight="1">
      <c r="A175" s="48"/>
      <c r="B175" s="3222" t="s">
        <v>1431</v>
      </c>
      <c r="C175" s="3276" t="s">
        <v>1721</v>
      </c>
      <c r="D175" s="2207" t="s">
        <v>41</v>
      </c>
      <c r="E175" s="1125">
        <f>SUM(H175/H$11,I175/I$11,J175/J$11,K175/K$11,L175/L$11,M175/M$11,N175/N$11,O175/O$11,P175/P$11)/9*100</f>
        <v>135.78210874913765</v>
      </c>
      <c r="F175" s="3406"/>
      <c r="G175" s="3462"/>
      <c r="H175" s="873">
        <v>93620276</v>
      </c>
      <c r="I175" s="869">
        <v>541634196</v>
      </c>
      <c r="J175" s="869">
        <v>502878621</v>
      </c>
      <c r="K175" s="869">
        <v>330433967</v>
      </c>
      <c r="L175" s="869">
        <v>587404096</v>
      </c>
      <c r="M175" s="869">
        <v>490515110</v>
      </c>
      <c r="N175" s="870">
        <v>366121355</v>
      </c>
      <c r="O175" s="869">
        <v>53677513</v>
      </c>
      <c r="P175" s="869">
        <v>224464582</v>
      </c>
      <c r="Q175" s="3526" t="s">
        <v>89</v>
      </c>
      <c r="R175" s="3569" t="s">
        <v>69</v>
      </c>
      <c r="S175" s="3610">
        <v>1</v>
      </c>
      <c r="T175" s="3645">
        <v>37667</v>
      </c>
      <c r="U175" s="3679" t="s">
        <v>75</v>
      </c>
      <c r="V175" s="3679" t="s">
        <v>201</v>
      </c>
      <c r="W175" s="2342">
        <f ca="1">YEARFRAC(T175,W$6)</f>
        <v>11.2</v>
      </c>
      <c r="X175" s="48"/>
    </row>
    <row r="176" spans="1:24" ht="12" customHeight="1">
      <c r="A176" s="48">
        <v>164</v>
      </c>
      <c r="B176" s="2210" t="s">
        <v>42</v>
      </c>
      <c r="C176" s="2211" t="s">
        <v>1911</v>
      </c>
      <c r="D176" s="2212" t="s">
        <v>41</v>
      </c>
      <c r="E176" s="1125">
        <f>SUM(H176/H$11,I176/I$11,J176/J$11,K176/K$11,L176/L$11,M176/M$11,N176/N$11,O176/O$11,P176/P$11)/9*100</f>
        <v>135.96776410233753</v>
      </c>
      <c r="F176" s="2261"/>
      <c r="G176" s="2262"/>
      <c r="H176" s="867">
        <v>116859167</v>
      </c>
      <c r="I176" s="871">
        <v>555345940</v>
      </c>
      <c r="J176" s="871">
        <v>525993776</v>
      </c>
      <c r="K176" s="871">
        <v>310283217</v>
      </c>
      <c r="L176" s="871">
        <v>597006214</v>
      </c>
      <c r="M176" s="871">
        <v>494438297</v>
      </c>
      <c r="N176" s="871">
        <v>364732516</v>
      </c>
      <c r="O176" s="871">
        <v>43173815</v>
      </c>
      <c r="P176" s="871">
        <v>221543869</v>
      </c>
      <c r="Q176" s="2348" t="s">
        <v>196</v>
      </c>
      <c r="R176" s="2349" t="s">
        <v>69</v>
      </c>
      <c r="S176" s="2350">
        <v>1</v>
      </c>
      <c r="T176" s="2351">
        <v>39179</v>
      </c>
      <c r="U176" s="2352" t="s">
        <v>209</v>
      </c>
      <c r="V176" s="2352" t="s">
        <v>810</v>
      </c>
      <c r="W176" s="2353">
        <f ca="1">YEARFRAC(T176,W$6)</f>
        <v>7.0555555555555554</v>
      </c>
      <c r="X176" s="48">
        <v>164</v>
      </c>
    </row>
    <row r="177" spans="1:24" ht="12" customHeight="1">
      <c r="A177" s="48"/>
      <c r="B177" s="2047" t="s">
        <v>42</v>
      </c>
      <c r="C177" s="2066" t="s">
        <v>250</v>
      </c>
      <c r="D177" s="2209" t="s">
        <v>41</v>
      </c>
      <c r="E177" s="1125">
        <f>SUM(H177/H$11,I177/I$11,J177/J$11,K177/K$11,L177/L$11,M177/M$11,N177/N$11,O177/O$11,P177/P$11)/9*100</f>
        <v>136.2701509566856</v>
      </c>
      <c r="F177" s="2044"/>
      <c r="G177" s="2045"/>
      <c r="H177" s="868">
        <v>121804591</v>
      </c>
      <c r="I177" s="865">
        <v>554438005</v>
      </c>
      <c r="J177" s="865">
        <v>494732211</v>
      </c>
      <c r="K177" s="865">
        <v>328120116</v>
      </c>
      <c r="L177" s="865">
        <v>591260535</v>
      </c>
      <c r="M177" s="865">
        <v>485881030</v>
      </c>
      <c r="N177" s="854">
        <v>344544403</v>
      </c>
      <c r="O177" s="865">
        <v>42286988</v>
      </c>
      <c r="P177" s="865">
        <v>235936103</v>
      </c>
      <c r="Q177" s="2381" t="s">
        <v>251</v>
      </c>
      <c r="R177" s="2382" t="s">
        <v>69</v>
      </c>
      <c r="S177" s="2383">
        <v>1</v>
      </c>
      <c r="T177" s="2384">
        <v>38669</v>
      </c>
      <c r="U177" s="2385" t="s">
        <v>179</v>
      </c>
      <c r="V177" s="2385" t="s">
        <v>806</v>
      </c>
      <c r="W177" s="2342">
        <f ca="1">YEARFRAC(T177,W$6)</f>
        <v>8.4555555555555557</v>
      </c>
      <c r="X177" s="48"/>
    </row>
    <row r="178" spans="1:24" ht="12" customHeight="1">
      <c r="A178" s="48">
        <v>166</v>
      </c>
      <c r="B178" s="2062" t="s">
        <v>42</v>
      </c>
      <c r="C178" s="2049" t="s">
        <v>1722</v>
      </c>
      <c r="D178" s="3325"/>
      <c r="E178" s="1125">
        <f>SUM(H178/H$11,I178/I$11,J178/J$11,K178/K$11,L178/L$11,M178/M$11,N178/N$11,O178/O$11,P178/P$11)/9*100</f>
        <v>136.29052974492532</v>
      </c>
      <c r="F178" s="2042"/>
      <c r="G178" s="2043"/>
      <c r="H178" s="868">
        <v>129072891</v>
      </c>
      <c r="I178" s="854">
        <v>538330557</v>
      </c>
      <c r="J178" s="854">
        <v>483483006</v>
      </c>
      <c r="K178" s="854">
        <v>306652298</v>
      </c>
      <c r="L178" s="854">
        <v>591788579</v>
      </c>
      <c r="M178" s="854">
        <v>484766539</v>
      </c>
      <c r="N178" s="854">
        <v>313902785</v>
      </c>
      <c r="O178" s="854">
        <v>57000521</v>
      </c>
      <c r="P178" s="854">
        <v>188852254</v>
      </c>
      <c r="Q178" s="2381" t="s">
        <v>177</v>
      </c>
      <c r="R178" s="2382" t="s">
        <v>69</v>
      </c>
      <c r="S178" s="2383">
        <v>1</v>
      </c>
      <c r="T178" s="2384">
        <v>39646</v>
      </c>
      <c r="U178" s="2385" t="s">
        <v>80</v>
      </c>
      <c r="V178" s="2385" t="s">
        <v>1774</v>
      </c>
      <c r="W178" s="2353">
        <f ca="1">YEARFRAC(T178,W$6)</f>
        <v>5.7777777777777777</v>
      </c>
      <c r="X178" s="48">
        <v>166</v>
      </c>
    </row>
    <row r="179" spans="1:24" ht="12" customHeight="1">
      <c r="A179" s="48"/>
      <c r="B179" s="3223" t="s">
        <v>42</v>
      </c>
      <c r="C179" s="2761" t="s">
        <v>1369</v>
      </c>
      <c r="D179" s="2209" t="s">
        <v>41</v>
      </c>
      <c r="E179" s="1125">
        <f>SUM(H179/H$11,I179/I$11,J179/J$11,K179/K$11,L179/L$11,M179/M$11,N179/N$11,O179/O$11,P179/P$11)/9*100</f>
        <v>136.39392780293431</v>
      </c>
      <c r="F179" s="2266">
        <f>127.1+517.3+585.2+321.9+421.6+352+401.7+55.2+367.2</f>
        <v>3149.1999999999994</v>
      </c>
      <c r="G179" s="2267"/>
      <c r="H179" s="873">
        <v>116283646</v>
      </c>
      <c r="I179" s="869">
        <v>553885309</v>
      </c>
      <c r="J179" s="869">
        <v>535147189</v>
      </c>
      <c r="K179" s="869">
        <v>322006084</v>
      </c>
      <c r="L179" s="869">
        <v>594798165</v>
      </c>
      <c r="M179" s="869">
        <v>495920231</v>
      </c>
      <c r="N179" s="870">
        <v>384531089</v>
      </c>
      <c r="O179" s="869">
        <v>41063234</v>
      </c>
      <c r="P179" s="869">
        <v>218838927</v>
      </c>
      <c r="Q179" s="2361" t="s">
        <v>1368</v>
      </c>
      <c r="R179" s="2367" t="s">
        <v>69</v>
      </c>
      <c r="S179" s="2731">
        <v>2</v>
      </c>
      <c r="T179" s="2362">
        <v>41189</v>
      </c>
      <c r="U179" s="2363" t="s">
        <v>78</v>
      </c>
      <c r="V179" s="2363" t="s">
        <v>899</v>
      </c>
      <c r="W179" s="2342">
        <f ca="1">YEARFRAC(T179,W$6)</f>
        <v>1.5555555555555556</v>
      </c>
      <c r="X179" s="48"/>
    </row>
    <row r="180" spans="1:24" ht="12" customHeight="1">
      <c r="A180" s="48">
        <v>168</v>
      </c>
      <c r="B180" s="2063" t="s">
        <v>1431</v>
      </c>
      <c r="C180" s="2208" t="s">
        <v>1912</v>
      </c>
      <c r="D180" s="2213"/>
      <c r="E180" s="1125">
        <f>SUM(H180/H$11,I180/I$11,J180/J$11,K180/K$11,L180/L$11,M180/M$11,N180/N$11,O180/O$11,P180/P$11)/9*100</f>
        <v>136.44853288292171</v>
      </c>
      <c r="F180" s="2263">
        <f>30.62+209.68+218.59+164.52+164.62+122.73+144.61+118.78+92</f>
        <v>1266.1499999999999</v>
      </c>
      <c r="G180" s="2725"/>
      <c r="H180" s="867">
        <v>124993854</v>
      </c>
      <c r="I180" s="871">
        <v>418843361</v>
      </c>
      <c r="J180" s="871">
        <v>508385494</v>
      </c>
      <c r="K180" s="871">
        <v>344526816</v>
      </c>
      <c r="L180" s="871">
        <v>611175419</v>
      </c>
      <c r="M180" s="871">
        <v>494243780</v>
      </c>
      <c r="N180" s="871">
        <v>365008774</v>
      </c>
      <c r="O180" s="871">
        <v>44959664</v>
      </c>
      <c r="P180" s="871">
        <v>243161834</v>
      </c>
      <c r="Q180" s="2354" t="s">
        <v>141</v>
      </c>
      <c r="R180" s="2355" t="s">
        <v>69</v>
      </c>
      <c r="S180" s="2369">
        <v>1</v>
      </c>
      <c r="T180" s="2357">
        <v>39448</v>
      </c>
      <c r="U180" s="2358" t="s">
        <v>108</v>
      </c>
      <c r="V180" s="2358" t="s">
        <v>156</v>
      </c>
      <c r="W180" s="2353">
        <f ca="1">YEARFRAC(T180,W$6)</f>
        <v>6.322222222222222</v>
      </c>
      <c r="X180" s="48">
        <v>168</v>
      </c>
    </row>
    <row r="181" spans="1:24" ht="12" customHeight="1">
      <c r="A181" s="48"/>
      <c r="B181" s="2037" t="s">
        <v>42</v>
      </c>
      <c r="C181" s="3277" t="s">
        <v>1649</v>
      </c>
      <c r="D181" s="2209" t="s">
        <v>41</v>
      </c>
      <c r="E181" s="1125">
        <f>SUM(H181/H$11,I181/I$11,J181/J$11,K181/K$11,L181/L$11,M181/M$11,N181/N$11,O181/O$11,P181/P$11)/9*100</f>
        <v>136.97813345521092</v>
      </c>
      <c r="F181" s="2791">
        <f>238+537+518+139+267+126+31+238+341</f>
        <v>2435</v>
      </c>
      <c r="G181" s="2803"/>
      <c r="H181" s="868">
        <v>116994050</v>
      </c>
      <c r="I181" s="854">
        <v>568031507</v>
      </c>
      <c r="J181" s="854">
        <v>508711593</v>
      </c>
      <c r="K181" s="854">
        <v>318456169</v>
      </c>
      <c r="L181" s="854">
        <v>594163111</v>
      </c>
      <c r="M181" s="854">
        <v>489788534</v>
      </c>
      <c r="N181" s="854">
        <v>381166142</v>
      </c>
      <c r="O181" s="854">
        <v>44562877</v>
      </c>
      <c r="P181" s="854">
        <v>216863053</v>
      </c>
      <c r="Q181" s="2343" t="s">
        <v>223</v>
      </c>
      <c r="R181" s="2344" t="s">
        <v>69</v>
      </c>
      <c r="S181" s="2345">
        <v>1</v>
      </c>
      <c r="T181" s="2346">
        <v>40594</v>
      </c>
      <c r="U181" s="2347" t="s">
        <v>75</v>
      </c>
      <c r="V181" s="2347" t="s">
        <v>676</v>
      </c>
      <c r="W181" s="2342">
        <f ca="1">YEARFRAC(T181,W$6)</f>
        <v>3.1861111111111109</v>
      </c>
      <c r="X181" s="48"/>
    </row>
    <row r="182" spans="1:24" ht="12" customHeight="1">
      <c r="A182" s="48">
        <v>170</v>
      </c>
      <c r="B182" s="2047" t="s">
        <v>42</v>
      </c>
      <c r="C182" s="2049" t="s">
        <v>1913</v>
      </c>
      <c r="D182" s="2187"/>
      <c r="E182" s="1125">
        <f>SUM(H182/H$11,I182/I$11,J182/J$11,K182/K$11,L182/L$11,M182/M$11,N182/N$11,O182/O$11,P182/P$11)/9*100</f>
        <v>136.99945621096086</v>
      </c>
      <c r="F182" s="2067"/>
      <c r="G182" s="2068"/>
      <c r="H182" s="1140">
        <v>103658331</v>
      </c>
      <c r="I182" s="1141">
        <v>569143638</v>
      </c>
      <c r="J182" s="1141">
        <v>511361656</v>
      </c>
      <c r="K182" s="1141">
        <v>341841938</v>
      </c>
      <c r="L182" s="1141">
        <v>583442111</v>
      </c>
      <c r="M182" s="1141">
        <v>487054444</v>
      </c>
      <c r="N182" s="1128">
        <v>402468499</v>
      </c>
      <c r="O182" s="1141">
        <v>40793090</v>
      </c>
      <c r="P182" s="1141">
        <v>242351676</v>
      </c>
      <c r="Q182" s="2290" t="s">
        <v>278</v>
      </c>
      <c r="R182" s="2291" t="s">
        <v>69</v>
      </c>
      <c r="S182" s="2292">
        <v>1</v>
      </c>
      <c r="T182" s="2864">
        <v>36526</v>
      </c>
      <c r="U182" s="2294" t="s">
        <v>80</v>
      </c>
      <c r="V182" s="2294" t="s">
        <v>2062</v>
      </c>
      <c r="W182" s="2295">
        <f ca="1">YEARFRAC(T182,W$6)</f>
        <v>14.322222222222223</v>
      </c>
      <c r="X182" s="48">
        <v>170</v>
      </c>
    </row>
    <row r="183" spans="1:24" ht="12" customHeight="1">
      <c r="A183" s="48"/>
      <c r="B183" s="2184" t="s">
        <v>42</v>
      </c>
      <c r="C183" s="2185" t="s">
        <v>264</v>
      </c>
      <c r="D183" s="2186" t="s">
        <v>41</v>
      </c>
      <c r="E183" s="1125">
        <f>SUM(H183/H$11,I183/I$11,J183/J$11,K183/K$11,L183/L$11,M183/M$11,N183/N$11,O183/O$11,P183/P$11)/9*100</f>
        <v>137.03060279036458</v>
      </c>
      <c r="F183" s="2286"/>
      <c r="G183" s="2287"/>
      <c r="H183" s="1145">
        <v>122777093</v>
      </c>
      <c r="I183" s="1145">
        <v>562200718</v>
      </c>
      <c r="J183" s="1145">
        <v>502823742</v>
      </c>
      <c r="K183" s="1145">
        <v>333646422</v>
      </c>
      <c r="L183" s="1145">
        <v>593605126</v>
      </c>
      <c r="M183" s="1145">
        <v>489332334</v>
      </c>
      <c r="N183" s="1146">
        <v>351560742</v>
      </c>
      <c r="O183" s="1145">
        <v>43248341</v>
      </c>
      <c r="P183" s="1145">
        <v>224368029</v>
      </c>
      <c r="Q183" s="2301" t="s">
        <v>265</v>
      </c>
      <c r="R183" s="2302" t="s">
        <v>69</v>
      </c>
      <c r="S183" s="2303">
        <v>1</v>
      </c>
      <c r="T183" s="2311">
        <v>37572</v>
      </c>
      <c r="U183" s="2304" t="s">
        <v>117</v>
      </c>
      <c r="V183" s="2304" t="s">
        <v>906</v>
      </c>
      <c r="W183" s="2305">
        <f ca="1">YEARFRAC(T183,W$6)</f>
        <v>11.458333333333334</v>
      </c>
      <c r="X183" s="48"/>
    </row>
    <row r="184" spans="1:24" ht="12" customHeight="1">
      <c r="A184" s="48">
        <v>172</v>
      </c>
      <c r="B184" s="2053" t="s">
        <v>42</v>
      </c>
      <c r="C184" s="2959" t="s">
        <v>2097</v>
      </c>
      <c r="D184" s="2041"/>
      <c r="E184" s="1125">
        <f>SUM(H184/H$11,I184/I$11,J184/J$11,K184/K$11,L184/L$11,M184/M$11,N184/N$11,O184/O$11,P184/P$11)/9*100</f>
        <v>137.08649386289349</v>
      </c>
      <c r="F184" s="2719">
        <f>113+525+479+309+555+456+360+41+231</f>
        <v>3069</v>
      </c>
      <c r="G184" s="2259"/>
      <c r="H184" s="1151">
        <v>117228862</v>
      </c>
      <c r="I184" s="1151">
        <v>542814620</v>
      </c>
      <c r="J184" s="1151">
        <v>512465506</v>
      </c>
      <c r="K184" s="1143">
        <v>334962208</v>
      </c>
      <c r="L184" s="1143">
        <v>589940645</v>
      </c>
      <c r="M184" s="1143">
        <v>490040116</v>
      </c>
      <c r="N184" s="1143">
        <v>359724248</v>
      </c>
      <c r="O184" s="1143">
        <v>43937035</v>
      </c>
      <c r="P184" s="1143">
        <v>234621686</v>
      </c>
      <c r="Q184" s="2306" t="s">
        <v>2098</v>
      </c>
      <c r="R184" s="2330" t="s">
        <v>69</v>
      </c>
      <c r="S184" s="3115">
        <v>2</v>
      </c>
      <c r="T184" s="2308">
        <v>41617</v>
      </c>
      <c r="U184" s="2309" t="s">
        <v>80</v>
      </c>
      <c r="V184" s="2309" t="s">
        <v>277</v>
      </c>
      <c r="W184" s="2310">
        <f ca="1">YEARFRAC(T184,W$6)</f>
        <v>0.38333333333333336</v>
      </c>
      <c r="X184" s="48">
        <v>172</v>
      </c>
    </row>
    <row r="185" spans="1:24" ht="12" customHeight="1">
      <c r="A185" s="48"/>
      <c r="B185" s="2065" t="s">
        <v>1431</v>
      </c>
      <c r="C185" s="2054" t="s">
        <v>1914</v>
      </c>
      <c r="D185" s="2191"/>
      <c r="E185" s="1125">
        <f>SUM(H185/H$11,I185/I$11,J185/J$11,K185/K$11,L185/L$11,M185/M$11,N185/N$11,O185/O$11,P185/P$11)/9*100</f>
        <v>137.19233671546255</v>
      </c>
      <c r="F185" s="3409"/>
      <c r="G185" s="2282"/>
      <c r="H185" s="1127">
        <v>133076772</v>
      </c>
      <c r="I185" s="1128">
        <v>431582542</v>
      </c>
      <c r="J185" s="1128">
        <v>501949621</v>
      </c>
      <c r="K185" s="1128">
        <v>338321819</v>
      </c>
      <c r="L185" s="1128">
        <v>608496736</v>
      </c>
      <c r="M185" s="1128">
        <v>495738549</v>
      </c>
      <c r="N185" s="1128">
        <v>363911429</v>
      </c>
      <c r="O185" s="1128">
        <v>44561793</v>
      </c>
      <c r="P185" s="1128">
        <v>238447455</v>
      </c>
      <c r="Q185" s="2296" t="s">
        <v>141</v>
      </c>
      <c r="R185" s="2297" t="s">
        <v>69</v>
      </c>
      <c r="S185" s="2298">
        <v>1</v>
      </c>
      <c r="T185" s="2299">
        <v>39391</v>
      </c>
      <c r="U185" s="2300" t="s">
        <v>108</v>
      </c>
      <c r="V185" s="2300" t="s">
        <v>156</v>
      </c>
      <c r="W185" s="2295">
        <f ca="1">YEARFRAC(T185,W$6)</f>
        <v>6.4777777777777779</v>
      </c>
      <c r="X185" s="48"/>
    </row>
    <row r="186" spans="1:24" ht="12" customHeight="1">
      <c r="A186" s="48">
        <v>174</v>
      </c>
      <c r="B186" s="3209" t="s">
        <v>1431</v>
      </c>
      <c r="C186" s="762" t="s">
        <v>2052</v>
      </c>
      <c r="D186" s="2191"/>
      <c r="E186" s="1125">
        <f>SUM(H186/H$11,I186/I$11,J186/J$11,K186/K$11,L186/L$11,M186/M$11,N186/N$11,O186/O$11,P186/P$11)/9*100</f>
        <v>137.21516388690858</v>
      </c>
      <c r="F186" s="2070">
        <f>58+100+54+107+48+40+115+108+152</f>
        <v>782</v>
      </c>
      <c r="G186" s="2288"/>
      <c r="H186" s="1127">
        <v>110776323</v>
      </c>
      <c r="I186" s="1141">
        <v>432036909</v>
      </c>
      <c r="J186" s="1128">
        <v>504138793</v>
      </c>
      <c r="K186" s="1128">
        <v>362363462</v>
      </c>
      <c r="L186" s="1128">
        <v>579245477</v>
      </c>
      <c r="M186" s="1128">
        <v>487491543</v>
      </c>
      <c r="N186" s="1128">
        <v>344720135</v>
      </c>
      <c r="O186" s="1128">
        <v>57387103</v>
      </c>
      <c r="P186" s="1128">
        <v>232998397</v>
      </c>
      <c r="Q186" s="2296" t="s">
        <v>136</v>
      </c>
      <c r="R186" s="3538" t="s">
        <v>65</v>
      </c>
      <c r="S186" s="2413">
        <v>8</v>
      </c>
      <c r="T186" s="2299">
        <v>41508</v>
      </c>
      <c r="U186" s="2300" t="s">
        <v>75</v>
      </c>
      <c r="V186" s="2300" t="s">
        <v>905</v>
      </c>
      <c r="W186" s="2295">
        <f ca="1">YEARFRAC(T186,W$6)</f>
        <v>0.68055555555555558</v>
      </c>
      <c r="X186" s="48">
        <v>174</v>
      </c>
    </row>
    <row r="187" spans="1:24" ht="12" customHeight="1">
      <c r="A187" s="48"/>
      <c r="B187" s="2192" t="s">
        <v>1431</v>
      </c>
      <c r="C187" s="2185" t="s">
        <v>1925</v>
      </c>
      <c r="D187" s="2193"/>
      <c r="E187" s="1125">
        <f>SUM(H187/H$11,I187/I$11,J187/J$11,K187/K$11,L187/L$11,M187/M$11,N187/N$11,O187/O$11,P187/P$11)/9*100</f>
        <v>137.27019425165201</v>
      </c>
      <c r="F187" s="3410">
        <f>304+648+461+257+519+236+93+341+481</f>
        <v>3340</v>
      </c>
      <c r="G187" s="2287"/>
      <c r="H187" s="1146">
        <v>122423943</v>
      </c>
      <c r="I187" s="1145">
        <v>557033682</v>
      </c>
      <c r="J187" s="1146">
        <v>484872486</v>
      </c>
      <c r="K187" s="1146">
        <v>322300682</v>
      </c>
      <c r="L187" s="1146">
        <v>597005058</v>
      </c>
      <c r="M187" s="1146">
        <v>490939923</v>
      </c>
      <c r="N187" s="1146">
        <v>345595121</v>
      </c>
      <c r="O187" s="1146">
        <v>51771948</v>
      </c>
      <c r="P187" s="1146">
        <v>203200439</v>
      </c>
      <c r="Q187" s="2301" t="s">
        <v>615</v>
      </c>
      <c r="R187" s="2302" t="s">
        <v>69</v>
      </c>
      <c r="S187" s="2303">
        <v>1</v>
      </c>
      <c r="T187" s="2311">
        <v>40901</v>
      </c>
      <c r="U187" s="2304" t="s">
        <v>80</v>
      </c>
      <c r="V187" s="2304" t="s">
        <v>121</v>
      </c>
      <c r="W187" s="2305">
        <f ca="1">YEARFRAC(T187,W$6)</f>
        <v>2.3416666666666668</v>
      </c>
      <c r="X187" s="48"/>
    </row>
    <row r="188" spans="1:24" ht="12" customHeight="1">
      <c r="A188" s="48">
        <v>176</v>
      </c>
      <c r="B188" s="2199" t="s">
        <v>42</v>
      </c>
      <c r="C188" s="2221" t="s">
        <v>1927</v>
      </c>
      <c r="D188" s="2232"/>
      <c r="E188" s="1125">
        <f>SUM(H188/H$11,I188/I$11,J188/J$11,K188/K$11,L188/L$11,M188/M$11,N188/N$11,O188/O$11,P188/P$11)/9*100</f>
        <v>137.53499389759941</v>
      </c>
      <c r="F188" s="2720">
        <f>236+803+738+867+708+588+731+140+1106</f>
        <v>5917</v>
      </c>
      <c r="G188" s="2276"/>
      <c r="H188" s="1143">
        <v>102426328</v>
      </c>
      <c r="I188" s="1143">
        <v>574786046</v>
      </c>
      <c r="J188" s="1143">
        <v>515819352</v>
      </c>
      <c r="K188" s="1143">
        <v>335793206</v>
      </c>
      <c r="L188" s="1143">
        <v>593804320</v>
      </c>
      <c r="M188" s="1143">
        <v>497512746</v>
      </c>
      <c r="N188" s="1143">
        <v>402142662</v>
      </c>
      <c r="O188" s="1143">
        <v>42419792</v>
      </c>
      <c r="P188" s="1143">
        <v>237356450</v>
      </c>
      <c r="Q188" s="3510" t="s">
        <v>274</v>
      </c>
      <c r="R188" s="3541" t="s">
        <v>69</v>
      </c>
      <c r="S188" s="2327">
        <v>1</v>
      </c>
      <c r="T188" s="3628">
        <v>36460</v>
      </c>
      <c r="U188" s="2329" t="s">
        <v>75</v>
      </c>
      <c r="V188" s="2329" t="s">
        <v>275</v>
      </c>
      <c r="W188" s="2310">
        <f ca="1">YEARFRAC(T188,W$6)</f>
        <v>14.5</v>
      </c>
      <c r="X188" s="48">
        <v>176</v>
      </c>
    </row>
    <row r="189" spans="1:24" ht="12" customHeight="1">
      <c r="A189" s="48"/>
      <c r="B189" s="2037" t="s">
        <v>42</v>
      </c>
      <c r="C189" s="2054" t="s">
        <v>1723</v>
      </c>
      <c r="D189" s="2061" t="s">
        <v>41</v>
      </c>
      <c r="E189" s="1125">
        <f>SUM(H189/H$11,I189/I$11,J189/J$11,K189/K$11,L189/L$11,M189/M$11,N189/N$11,O189/O$11,P189/P$11)/9*100</f>
        <v>137.66260252193382</v>
      </c>
      <c r="F189" s="2072"/>
      <c r="G189" s="2071"/>
      <c r="H189" s="1127">
        <v>101312258</v>
      </c>
      <c r="I189" s="1128">
        <v>525637868</v>
      </c>
      <c r="J189" s="1128">
        <v>522075646</v>
      </c>
      <c r="K189" s="1128">
        <v>339203277</v>
      </c>
      <c r="L189" s="1128">
        <v>581939211</v>
      </c>
      <c r="M189" s="1128">
        <v>489462947</v>
      </c>
      <c r="N189" s="1128">
        <v>435507523</v>
      </c>
      <c r="O189" s="1128">
        <v>42056335</v>
      </c>
      <c r="P189" s="1128">
        <v>248037330</v>
      </c>
      <c r="Q189" s="2296" t="s">
        <v>185</v>
      </c>
      <c r="R189" s="2297" t="s">
        <v>69</v>
      </c>
      <c r="S189" s="2298">
        <v>1</v>
      </c>
      <c r="T189" s="2299">
        <v>39546</v>
      </c>
      <c r="U189" s="2300" t="s">
        <v>75</v>
      </c>
      <c r="V189" s="2300" t="s">
        <v>107</v>
      </c>
      <c r="W189" s="2295">
        <f ca="1">YEARFRAC(T189,W$6)</f>
        <v>6.052777777777778</v>
      </c>
      <c r="X189" s="48"/>
    </row>
    <row r="190" spans="1:24" ht="12" customHeight="1">
      <c r="A190" s="48">
        <v>178</v>
      </c>
      <c r="B190" s="2195" t="s">
        <v>42</v>
      </c>
      <c r="C190" s="2196" t="s">
        <v>252</v>
      </c>
      <c r="D190" s="3326"/>
      <c r="E190" s="1125">
        <f>SUM(H190/H$11,I190/I$11,J190/J$11,K190/K$11,L190/L$11,M190/M$11,N190/N$11,O190/O$11,P190/P$11)/9*100</f>
        <v>137.67805885064996</v>
      </c>
      <c r="F190" s="2289"/>
      <c r="G190" s="2278"/>
      <c r="H190" s="1127">
        <v>119946244</v>
      </c>
      <c r="I190" s="1128">
        <v>561340638</v>
      </c>
      <c r="J190" s="1128">
        <v>501587597</v>
      </c>
      <c r="K190" s="1128">
        <v>329380316</v>
      </c>
      <c r="L190" s="1128">
        <v>603767598</v>
      </c>
      <c r="M190" s="1128">
        <v>497973199</v>
      </c>
      <c r="N190" s="1128">
        <v>359619434</v>
      </c>
      <c r="O190" s="1128">
        <v>44674648</v>
      </c>
      <c r="P190" s="1128">
        <v>225006312</v>
      </c>
      <c r="Q190" s="2317" t="s">
        <v>253</v>
      </c>
      <c r="R190" s="2318" t="s">
        <v>69</v>
      </c>
      <c r="S190" s="3587">
        <v>1</v>
      </c>
      <c r="T190" s="3631">
        <v>39474</v>
      </c>
      <c r="U190" s="2320" t="s">
        <v>242</v>
      </c>
      <c r="V190" s="2320" t="s">
        <v>254</v>
      </c>
      <c r="W190" s="2295">
        <f ca="1">YEARFRAC(T190,W$6)</f>
        <v>6.25</v>
      </c>
      <c r="X190" s="48">
        <v>178</v>
      </c>
    </row>
    <row r="191" spans="1:24" ht="12" customHeight="1">
      <c r="A191" s="48"/>
      <c r="B191" s="2184" t="s">
        <v>42</v>
      </c>
      <c r="C191" s="2185" t="s">
        <v>297</v>
      </c>
      <c r="D191" s="2186" t="s">
        <v>41</v>
      </c>
      <c r="E191" s="1125">
        <f>SUM(H191/H$11,I191/I$11,J191/J$11,K191/K$11,L191/L$11,M191/M$11,N191/N$11,O191/O$11,P191/P$11)/9*100</f>
        <v>137.78814015590925</v>
      </c>
      <c r="F191" s="2286"/>
      <c r="G191" s="2287"/>
      <c r="H191" s="1145">
        <v>124598594</v>
      </c>
      <c r="I191" s="1145">
        <v>572391654</v>
      </c>
      <c r="J191" s="1145">
        <v>506849776</v>
      </c>
      <c r="K191" s="1145">
        <v>330650185</v>
      </c>
      <c r="L191" s="1145">
        <v>618276216</v>
      </c>
      <c r="M191" s="1145">
        <v>507162281</v>
      </c>
      <c r="N191" s="1146">
        <v>339279238</v>
      </c>
      <c r="O191" s="1145">
        <v>42903597</v>
      </c>
      <c r="P191" s="1145">
        <v>221746547</v>
      </c>
      <c r="Q191" s="2301" t="s">
        <v>298</v>
      </c>
      <c r="R191" s="2302" t="s">
        <v>69</v>
      </c>
      <c r="S191" s="2303">
        <v>1</v>
      </c>
      <c r="T191" s="2311">
        <v>37687</v>
      </c>
      <c r="U191" s="2304" t="s">
        <v>117</v>
      </c>
      <c r="V191" s="2304" t="s">
        <v>1881</v>
      </c>
      <c r="W191" s="2305">
        <f ca="1">YEARFRAC(T191,W$6)</f>
        <v>11.138888888888889</v>
      </c>
      <c r="X191" s="48"/>
    </row>
    <row r="192" spans="1:24" ht="12" customHeight="1">
      <c r="A192" s="48">
        <v>180</v>
      </c>
      <c r="B192" s="2040" t="s">
        <v>42</v>
      </c>
      <c r="C192" s="2060" t="s">
        <v>692</v>
      </c>
      <c r="D192" s="2190"/>
      <c r="E192" s="1125">
        <f>SUM(H192/H$11,I192/I$11,J192/J$11,K192/K$11,L192/L$11,M192/M$11,N192/N$11,O192/O$11,P192/P$11)/9*100</f>
        <v>137.81787327755788</v>
      </c>
      <c r="F192" s="2719">
        <f>180+201+2024+290+480+68+947+516</f>
        <v>4706</v>
      </c>
      <c r="G192" s="2681"/>
      <c r="H192" s="1143">
        <v>117309103</v>
      </c>
      <c r="I192" s="1143">
        <v>554026701</v>
      </c>
      <c r="J192" s="1143">
        <v>485721302</v>
      </c>
      <c r="K192" s="1143">
        <v>302037213</v>
      </c>
      <c r="L192" s="1143">
        <v>662499328</v>
      </c>
      <c r="M192" s="1143">
        <v>492103406</v>
      </c>
      <c r="N192" s="1360">
        <v>354012394</v>
      </c>
      <c r="O192" s="1360">
        <v>44552834</v>
      </c>
      <c r="P192" s="1360">
        <v>244389367</v>
      </c>
      <c r="Q192" s="2306" t="s">
        <v>491</v>
      </c>
      <c r="R192" s="2330" t="s">
        <v>69</v>
      </c>
      <c r="S192" s="2307">
        <v>1</v>
      </c>
      <c r="T192" s="2308">
        <v>40811</v>
      </c>
      <c r="U192" s="2309" t="s">
        <v>77</v>
      </c>
      <c r="V192" s="2309" t="s">
        <v>693</v>
      </c>
      <c r="W192" s="2310">
        <f ca="1">YEARFRAC(T192,W$6)</f>
        <v>2.588888888888889</v>
      </c>
      <c r="X192" s="48">
        <v>180</v>
      </c>
    </row>
    <row r="193" spans="1:24" ht="12" customHeight="1">
      <c r="A193" s="48"/>
      <c r="B193" s="2048" t="s">
        <v>1431</v>
      </c>
      <c r="C193" s="2066" t="s">
        <v>1650</v>
      </c>
      <c r="D193" s="2187"/>
      <c r="E193" s="1125">
        <f>SUM(H193/H$11,I193/I$11,J193/J$11,K193/K$11,L193/L$11,M193/M$11,N193/N$11,O193/O$11,P193/P$11)/9*100</f>
        <v>137.96093327232165</v>
      </c>
      <c r="F193" s="2067"/>
      <c r="G193" s="2068"/>
      <c r="H193" s="1140">
        <v>118211550</v>
      </c>
      <c r="I193" s="1141">
        <v>453906326</v>
      </c>
      <c r="J193" s="1141">
        <v>504717071</v>
      </c>
      <c r="K193" s="1141">
        <v>341296831</v>
      </c>
      <c r="L193" s="1141">
        <v>586161889</v>
      </c>
      <c r="M193" s="1141">
        <v>484815060</v>
      </c>
      <c r="N193" s="1128">
        <v>395849455</v>
      </c>
      <c r="O193" s="1141">
        <v>49643968</v>
      </c>
      <c r="P193" s="1141">
        <v>236538947</v>
      </c>
      <c r="Q193" s="2290" t="s">
        <v>97</v>
      </c>
      <c r="R193" s="2291" t="s">
        <v>69</v>
      </c>
      <c r="S193" s="2292">
        <v>1</v>
      </c>
      <c r="T193" s="2293">
        <v>38985</v>
      </c>
      <c r="U193" s="2294" t="s">
        <v>75</v>
      </c>
      <c r="V193" s="2294" t="s">
        <v>217</v>
      </c>
      <c r="W193" s="2295">
        <f ca="1">YEARFRAC(T193,W$6)</f>
        <v>7.5888888888888886</v>
      </c>
      <c r="X193" s="48"/>
    </row>
    <row r="194" spans="1:24" ht="12" customHeight="1">
      <c r="A194" s="48">
        <v>182</v>
      </c>
      <c r="B194" s="2037" t="s">
        <v>42</v>
      </c>
      <c r="C194" s="2054" t="s">
        <v>1393</v>
      </c>
      <c r="D194" s="2061" t="s">
        <v>41</v>
      </c>
      <c r="E194" s="1125">
        <f>SUM(H194/H$11,I194/I$11,J194/J$11,K194/K$11,L194/L$11,M194/M$11,N194/N$11,O194/O$11,P194/P$11)/9*100</f>
        <v>137.96340458234769</v>
      </c>
      <c r="F194" s="2070">
        <f>823+0+0+2229+838+2664+2055+349+1962</f>
        <v>10920</v>
      </c>
      <c r="G194" s="2283"/>
      <c r="H194" s="1128">
        <v>119138243</v>
      </c>
      <c r="I194" s="1128">
        <v>565184095</v>
      </c>
      <c r="J194" s="1128">
        <v>517385677</v>
      </c>
      <c r="K194" s="1128">
        <v>328201681</v>
      </c>
      <c r="L194" s="1128">
        <v>611353872</v>
      </c>
      <c r="M194" s="1128">
        <v>509016843</v>
      </c>
      <c r="N194" s="1128">
        <v>365060336</v>
      </c>
      <c r="O194" s="1128">
        <v>46447306</v>
      </c>
      <c r="P194" s="1128">
        <v>206667389</v>
      </c>
      <c r="Q194" s="2296" t="s">
        <v>1383</v>
      </c>
      <c r="R194" s="2414" t="s">
        <v>368</v>
      </c>
      <c r="S194" s="2298">
        <v>1</v>
      </c>
      <c r="T194" s="2299">
        <v>41159</v>
      </c>
      <c r="U194" s="2300" t="s">
        <v>174</v>
      </c>
      <c r="V194" s="2300" t="s">
        <v>175</v>
      </c>
      <c r="W194" s="2295">
        <f ca="1">YEARFRAC(T194,W$6)</f>
        <v>1.6388888888888888</v>
      </c>
      <c r="X194" s="48">
        <v>182</v>
      </c>
    </row>
    <row r="195" spans="1:24" ht="12" customHeight="1">
      <c r="A195" s="48"/>
      <c r="B195" s="2198" t="s">
        <v>42</v>
      </c>
      <c r="C195" s="2185" t="s">
        <v>688</v>
      </c>
      <c r="D195" s="2186" t="s">
        <v>41</v>
      </c>
      <c r="E195" s="1125">
        <f>SUM(H195/H$11,I195/I$11,J195/J$11,K195/K$11,L195/L$11,M195/M$11,N195/N$11,O195/O$11,P195/P$11)/9*100</f>
        <v>138.04947768522479</v>
      </c>
      <c r="F195" s="3411">
        <f>96+0+0+285+82+43+28+340+104</f>
        <v>978</v>
      </c>
      <c r="G195" s="3113"/>
      <c r="H195" s="1145">
        <v>114068027</v>
      </c>
      <c r="I195" s="1145">
        <v>563611214</v>
      </c>
      <c r="J195" s="1145">
        <v>502478703</v>
      </c>
      <c r="K195" s="1145">
        <v>331714516</v>
      </c>
      <c r="L195" s="1145">
        <v>586950831</v>
      </c>
      <c r="M195" s="1145">
        <v>487392242</v>
      </c>
      <c r="N195" s="1146">
        <v>388134680</v>
      </c>
      <c r="O195" s="1145">
        <v>43103900</v>
      </c>
      <c r="P195" s="1145">
        <v>240395128</v>
      </c>
      <c r="Q195" s="2431" t="s">
        <v>687</v>
      </c>
      <c r="R195" s="2432" t="s">
        <v>69</v>
      </c>
      <c r="S195" s="3116">
        <v>2</v>
      </c>
      <c r="T195" s="3117">
        <v>40825</v>
      </c>
      <c r="U195" s="2433" t="s">
        <v>78</v>
      </c>
      <c r="V195" s="2433" t="s">
        <v>684</v>
      </c>
      <c r="W195" s="2305">
        <f ca="1">YEARFRAC(T195,W$6)</f>
        <v>2.5499999999999998</v>
      </c>
      <c r="X195" s="48"/>
    </row>
    <row r="196" spans="1:24" ht="12" customHeight="1">
      <c r="A196" s="48">
        <v>184</v>
      </c>
      <c r="B196" s="2053" t="s">
        <v>42</v>
      </c>
      <c r="C196" s="2055" t="s">
        <v>1599</v>
      </c>
      <c r="D196" s="2056"/>
      <c r="E196" s="1125">
        <f>SUM(H196/H$11,I196/I$11,J196/J$11,K196/K$11,L196/L$11,M196/M$11,N196/N$11,O196/O$11,P196/P$11)/9*100</f>
        <v>138.28745348146271</v>
      </c>
      <c r="F196" s="2046"/>
      <c r="G196" s="2255"/>
      <c r="H196" s="1143">
        <v>127377151</v>
      </c>
      <c r="I196" s="1143">
        <v>414109592</v>
      </c>
      <c r="J196" s="1151">
        <v>505116350</v>
      </c>
      <c r="K196" s="1143">
        <v>336801333</v>
      </c>
      <c r="L196" s="1143">
        <v>596959683</v>
      </c>
      <c r="M196" s="1143">
        <v>490765045</v>
      </c>
      <c r="N196" s="1143">
        <v>307384341</v>
      </c>
      <c r="O196" s="1143">
        <v>53043903</v>
      </c>
      <c r="P196" s="1143">
        <v>268699942</v>
      </c>
      <c r="Q196" s="2312" t="s">
        <v>235</v>
      </c>
      <c r="R196" s="2313" t="s">
        <v>145</v>
      </c>
      <c r="S196" s="2314">
        <v>1</v>
      </c>
      <c r="T196" s="2315">
        <v>36543</v>
      </c>
      <c r="U196" s="2316" t="s">
        <v>236</v>
      </c>
      <c r="V196" s="2316" t="s">
        <v>237</v>
      </c>
      <c r="W196" s="2310">
        <f ca="1">YEARFRAC(T196,W$6)</f>
        <v>14.275</v>
      </c>
      <c r="X196" s="48">
        <v>184</v>
      </c>
    </row>
    <row r="197" spans="1:24" ht="12" customHeight="1">
      <c r="A197" s="48"/>
      <c r="B197" s="2184" t="s">
        <v>42</v>
      </c>
      <c r="C197" s="2205" t="s">
        <v>828</v>
      </c>
      <c r="D197" s="2186" t="s">
        <v>41</v>
      </c>
      <c r="E197" s="1125">
        <f>SUM(H197/H$11,I197/I$11,J197/J$11,K197/K$11,L197/L$11,M197/M$11,N197/N$11,O197/O$11,P197/P$11)/9*100</f>
        <v>138.41344893149906</v>
      </c>
      <c r="F197" s="2258"/>
      <c r="G197" s="2258"/>
      <c r="H197" s="1146">
        <v>122937482</v>
      </c>
      <c r="I197" s="1146">
        <v>553850756</v>
      </c>
      <c r="J197" s="1146">
        <v>494894795</v>
      </c>
      <c r="K197" s="1146">
        <v>337207965</v>
      </c>
      <c r="L197" s="1146">
        <v>594590928</v>
      </c>
      <c r="M197" s="1146">
        <v>489288623</v>
      </c>
      <c r="N197" s="1146">
        <v>349134139</v>
      </c>
      <c r="O197" s="1146">
        <v>44115094</v>
      </c>
      <c r="P197" s="1146">
        <v>243749097</v>
      </c>
      <c r="Q197" s="2332" t="s">
        <v>442</v>
      </c>
      <c r="R197" s="2333" t="s">
        <v>69</v>
      </c>
      <c r="S197" s="2334">
        <v>1</v>
      </c>
      <c r="T197" s="2335">
        <v>39881</v>
      </c>
      <c r="U197" s="2336" t="s">
        <v>285</v>
      </c>
      <c r="V197" s="2336" t="s">
        <v>163</v>
      </c>
      <c r="W197" s="2305">
        <f ca="1">YEARFRAC(T197,W$6)</f>
        <v>5.1333333333333337</v>
      </c>
      <c r="X197" s="48"/>
    </row>
    <row r="198" spans="1:24" ht="12" customHeight="1">
      <c r="A198" s="48">
        <v>186</v>
      </c>
      <c r="B198" s="2050" t="s">
        <v>1431</v>
      </c>
      <c r="C198" s="2051" t="s">
        <v>1724</v>
      </c>
      <c r="D198" s="2059"/>
      <c r="E198" s="1125">
        <f>SUM(H198/H$11,I198/I$11,J198/J$11,K198/K$11,L198/L$11,M198/M$11,N198/N$11,O198/O$11,P198/P$11)/9*100</f>
        <v>138.57561025106696</v>
      </c>
      <c r="F198" s="2255"/>
      <c r="G198" s="2255"/>
      <c r="H198" s="902">
        <v>121941378</v>
      </c>
      <c r="I198" s="1151">
        <v>559203026</v>
      </c>
      <c r="J198" s="1151">
        <v>488622047</v>
      </c>
      <c r="K198" s="1151">
        <v>323454834</v>
      </c>
      <c r="L198" s="1151">
        <v>595857165</v>
      </c>
      <c r="M198" s="1151">
        <v>488783379</v>
      </c>
      <c r="N198" s="1143">
        <v>352490321</v>
      </c>
      <c r="O198" s="1151">
        <v>52004680</v>
      </c>
      <c r="P198" s="1151">
        <v>214993717</v>
      </c>
      <c r="Q198" s="2312" t="s">
        <v>246</v>
      </c>
      <c r="R198" s="2313" t="s">
        <v>69</v>
      </c>
      <c r="S198" s="2314">
        <v>1</v>
      </c>
      <c r="T198" s="2315">
        <v>37640</v>
      </c>
      <c r="U198" s="2316" t="s">
        <v>206</v>
      </c>
      <c r="V198" s="2316" t="s">
        <v>247</v>
      </c>
      <c r="W198" s="2310">
        <f ca="1">YEARFRAC(T198,W$6)</f>
        <v>11.272222222222222</v>
      </c>
      <c r="X198" s="48">
        <v>186</v>
      </c>
    </row>
    <row r="199" spans="1:24" ht="12" customHeight="1">
      <c r="A199" s="48"/>
      <c r="B199" s="2201" t="s">
        <v>42</v>
      </c>
      <c r="C199" s="2054" t="s">
        <v>705</v>
      </c>
      <c r="D199" s="2061" t="s">
        <v>41</v>
      </c>
      <c r="E199" s="1125">
        <f>SUM(H199/H$11,I199/I$11,J199/J$11,K199/K$11,L199/L$11,M199/M$11,N199/N$11,O199/O$11,P199/P$11)/9*100</f>
        <v>138.82600416353611</v>
      </c>
      <c r="F199" s="2289">
        <f>228+405+0+264+392+163+49+285+333</f>
        <v>2119</v>
      </c>
      <c r="G199" s="2278"/>
      <c r="H199" s="1127">
        <v>131825277</v>
      </c>
      <c r="I199" s="1141">
        <v>558607972</v>
      </c>
      <c r="J199" s="1141">
        <v>506105209</v>
      </c>
      <c r="K199" s="1141">
        <v>313714771</v>
      </c>
      <c r="L199" s="1141">
        <v>608815359</v>
      </c>
      <c r="M199" s="1141">
        <v>496524246</v>
      </c>
      <c r="N199" s="1128">
        <v>347931011</v>
      </c>
      <c r="O199" s="1128">
        <v>47215863</v>
      </c>
      <c r="P199" s="1141">
        <v>216068080</v>
      </c>
      <c r="Q199" s="2296" t="s">
        <v>706</v>
      </c>
      <c r="R199" s="2297" t="s">
        <v>69</v>
      </c>
      <c r="S199" s="2298">
        <v>1</v>
      </c>
      <c r="T199" s="2299">
        <v>40977</v>
      </c>
      <c r="U199" s="2300" t="s">
        <v>708</v>
      </c>
      <c r="V199" s="2300" t="s">
        <v>707</v>
      </c>
      <c r="W199" s="2295">
        <f ca="1">YEARFRAC(T199,W$6)</f>
        <v>2.1333333333333333</v>
      </c>
      <c r="X199" s="48"/>
    </row>
    <row r="200" spans="1:24" ht="12" customHeight="1">
      <c r="A200" s="48">
        <v>188</v>
      </c>
      <c r="B200" s="2048" t="s">
        <v>1431</v>
      </c>
      <c r="C200" s="2049" t="s">
        <v>786</v>
      </c>
      <c r="D200" s="3112"/>
      <c r="E200" s="1125">
        <f>SUM(H200/H$11,I200/I$11,J200/J$11,K200/K$11,L200/L$11,M200/M$11,N200/N$11,O200/O$11,P200/P$11)/9*100</f>
        <v>139.1221866386727</v>
      </c>
      <c r="F200" s="2044"/>
      <c r="G200" s="2045"/>
      <c r="H200" s="876">
        <v>124368324</v>
      </c>
      <c r="I200" s="865">
        <v>554100949</v>
      </c>
      <c r="J200" s="865">
        <v>497374100</v>
      </c>
      <c r="K200" s="865">
        <v>338174458</v>
      </c>
      <c r="L200" s="865">
        <v>594566825</v>
      </c>
      <c r="M200" s="865">
        <v>488681118</v>
      </c>
      <c r="N200" s="854">
        <v>354067630</v>
      </c>
      <c r="O200" s="865">
        <v>44521755</v>
      </c>
      <c r="P200" s="865">
        <v>244109443</v>
      </c>
      <c r="Q200" s="2381" t="s">
        <v>287</v>
      </c>
      <c r="R200" s="2382" t="s">
        <v>69</v>
      </c>
      <c r="S200" s="2383">
        <v>1</v>
      </c>
      <c r="T200" s="2384">
        <v>38385</v>
      </c>
      <c r="U200" s="2385" t="s">
        <v>80</v>
      </c>
      <c r="V200" s="2385" t="s">
        <v>163</v>
      </c>
      <c r="W200" s="2342">
        <f ca="1">YEARFRAC(T200,W$6)</f>
        <v>9.2361111111111107</v>
      </c>
      <c r="X200" s="48">
        <v>188</v>
      </c>
    </row>
    <row r="201" spans="1:24" ht="12" customHeight="1">
      <c r="A201" s="48"/>
      <c r="B201" s="3214" t="s">
        <v>42</v>
      </c>
      <c r="C201" s="3265" t="s">
        <v>279</v>
      </c>
      <c r="D201" s="3350"/>
      <c r="E201" s="1125">
        <f>SUM(H201/H$11,I201/I$11,J201/J$11,K201/K$11,L201/L$11,M201/M$11,N201/N$11,O201/O$11,P201/P$11)/9*100</f>
        <v>139.13837182984946</v>
      </c>
      <c r="F201" s="3412"/>
      <c r="G201" s="3466"/>
      <c r="H201" s="912">
        <v>124593889</v>
      </c>
      <c r="I201" s="909">
        <v>552939425</v>
      </c>
      <c r="J201" s="909">
        <v>497291626</v>
      </c>
      <c r="K201" s="909">
        <v>338484734</v>
      </c>
      <c r="L201" s="909">
        <v>589852305</v>
      </c>
      <c r="M201" s="909">
        <v>487908959</v>
      </c>
      <c r="N201" s="905">
        <v>354494617</v>
      </c>
      <c r="O201" s="909">
        <v>44566072</v>
      </c>
      <c r="P201" s="909">
        <v>245413944</v>
      </c>
      <c r="Q201" s="2415" t="s">
        <v>280</v>
      </c>
      <c r="R201" s="2416" t="s">
        <v>69</v>
      </c>
      <c r="S201" s="2417">
        <v>1</v>
      </c>
      <c r="T201" s="2418">
        <v>38075</v>
      </c>
      <c r="U201" s="2419" t="s">
        <v>80</v>
      </c>
      <c r="V201" s="2419" t="s">
        <v>281</v>
      </c>
      <c r="W201" s="2420">
        <f ca="1">YEARFRAC(T201,W$6)</f>
        <v>10.077777777777778</v>
      </c>
      <c r="X201" s="48"/>
    </row>
    <row r="202" spans="1:24" ht="12" customHeight="1">
      <c r="A202" s="48">
        <v>190</v>
      </c>
      <c r="B202" s="2053" t="s">
        <v>42</v>
      </c>
      <c r="C202" s="2051" t="s">
        <v>1725</v>
      </c>
      <c r="D202" s="2056"/>
      <c r="E202" s="1125">
        <f>SUM(H202/H$11,I202/I$11,J202/J$11,K202/K$11,L202/L$11,M202/M$11,N202/N$11,O202/O$11,P202/P$11)/9*100</f>
        <v>139.153479887066</v>
      </c>
      <c r="F202" s="2046"/>
      <c r="G202" s="2724"/>
      <c r="H202" s="907">
        <v>124699168</v>
      </c>
      <c r="I202" s="903">
        <v>554027529</v>
      </c>
      <c r="J202" s="903">
        <v>497307536</v>
      </c>
      <c r="K202" s="903">
        <v>338101588</v>
      </c>
      <c r="L202" s="903">
        <v>593658751</v>
      </c>
      <c r="M202" s="903">
        <v>488616338</v>
      </c>
      <c r="N202" s="903">
        <v>354056112</v>
      </c>
      <c r="O202" s="903">
        <v>44484142</v>
      </c>
      <c r="P202" s="903">
        <v>244387066</v>
      </c>
      <c r="Q202" s="2421" t="s">
        <v>288</v>
      </c>
      <c r="R202" s="2422" t="s">
        <v>69</v>
      </c>
      <c r="S202" s="2423">
        <v>1</v>
      </c>
      <c r="T202" s="2424">
        <v>35851</v>
      </c>
      <c r="U202" s="2425" t="s">
        <v>75</v>
      </c>
      <c r="V202" s="2425" t="s">
        <v>289</v>
      </c>
      <c r="W202" s="2337">
        <f ca="1">YEARFRAC(T202,W$6)</f>
        <v>16.172222222222221</v>
      </c>
      <c r="X202" s="48">
        <v>190</v>
      </c>
    </row>
    <row r="203" spans="1:24" ht="12" customHeight="1">
      <c r="A203" s="48"/>
      <c r="B203" s="2048" t="s">
        <v>1431</v>
      </c>
      <c r="C203" s="2049" t="s">
        <v>785</v>
      </c>
      <c r="D203" s="2038" t="s">
        <v>41</v>
      </c>
      <c r="E203" s="1125">
        <f>SUM(H203/H$11,I203/I$11,J203/J$11,K203/K$11,L203/L$11,M203/M$11,N203/N$11,O203/O$11,P203/P$11)/9*100</f>
        <v>139.16412149771818</v>
      </c>
      <c r="F203" s="2069">
        <f>92+147+140+151+147+32+86+178</f>
        <v>973</v>
      </c>
      <c r="G203" s="2690">
        <f>18+44+44+47+57+46+48+8+50</f>
        <v>362</v>
      </c>
      <c r="H203" s="864">
        <v>124668515</v>
      </c>
      <c r="I203" s="865">
        <v>554028837</v>
      </c>
      <c r="J203" s="854">
        <v>497309031</v>
      </c>
      <c r="K203" s="854">
        <v>338101826</v>
      </c>
      <c r="L203" s="854">
        <v>593685733</v>
      </c>
      <c r="M203" s="854">
        <v>488616264</v>
      </c>
      <c r="N203" s="854">
        <v>354012758</v>
      </c>
      <c r="O203" s="854">
        <v>44530651</v>
      </c>
      <c r="P203" s="854">
        <v>244385524</v>
      </c>
      <c r="Q203" s="2381" t="s">
        <v>290</v>
      </c>
      <c r="R203" s="2382" t="s">
        <v>69</v>
      </c>
      <c r="S203" s="2383">
        <v>1</v>
      </c>
      <c r="T203" s="2384">
        <v>39524</v>
      </c>
      <c r="U203" s="2385" t="s">
        <v>117</v>
      </c>
      <c r="V203" s="2385" t="s">
        <v>291</v>
      </c>
      <c r="W203" s="2342">
        <f ca="1">YEARFRAC(T203,W$6)</f>
        <v>6.1111111111111107</v>
      </c>
      <c r="X203" s="48"/>
    </row>
    <row r="204" spans="1:24" ht="12" customHeight="1">
      <c r="A204" s="48">
        <v>192</v>
      </c>
      <c r="B204" s="2037" t="s">
        <v>42</v>
      </c>
      <c r="C204" s="2202" t="s">
        <v>1583</v>
      </c>
      <c r="D204" s="2038" t="s">
        <v>41</v>
      </c>
      <c r="E204" s="1125">
        <f>SUM(H204/H$11,I204/I$11,J204/J$11,K204/K$11,L204/L$11,M204/M$11,N204/N$11,O204/O$11,P204/P$11)/9*100</f>
        <v>139.21661542646996</v>
      </c>
      <c r="F204" s="2057">
        <f>13+43+41+30+42+33+23+8+35</f>
        <v>268</v>
      </c>
      <c r="G204" s="2058">
        <f>4.7+21.5+22.6+12.3+14.9+11.6+12.9+2.3+14.1</f>
        <v>116.89999999999999</v>
      </c>
      <c r="H204" s="854">
        <v>124877894</v>
      </c>
      <c r="I204" s="865">
        <v>553971146</v>
      </c>
      <c r="J204" s="854">
        <v>497293620</v>
      </c>
      <c r="K204" s="854">
        <v>337931444</v>
      </c>
      <c r="L204" s="854">
        <v>593810122</v>
      </c>
      <c r="M204" s="854">
        <v>488639302</v>
      </c>
      <c r="N204" s="854">
        <v>353920282</v>
      </c>
      <c r="O204" s="854">
        <v>44588080</v>
      </c>
      <c r="P204" s="854">
        <v>244485873</v>
      </c>
      <c r="Q204" s="2338" t="s">
        <v>290</v>
      </c>
      <c r="R204" s="2394" t="s">
        <v>69</v>
      </c>
      <c r="S204" s="2395">
        <v>8</v>
      </c>
      <c r="T204" s="2360">
        <v>40888</v>
      </c>
      <c r="U204" s="2341" t="s">
        <v>80</v>
      </c>
      <c r="V204" s="2341" t="s">
        <v>637</v>
      </c>
      <c r="W204" s="2342">
        <f ca="1">YEARFRAC(T204,W$6)</f>
        <v>2.3777777777777778</v>
      </c>
      <c r="X204" s="48">
        <v>192</v>
      </c>
    </row>
    <row r="205" spans="1:24" ht="12" customHeight="1">
      <c r="A205" s="48"/>
      <c r="B205" s="3110" t="s">
        <v>42</v>
      </c>
      <c r="C205" s="2205" t="s">
        <v>931</v>
      </c>
      <c r="D205" s="2186" t="s">
        <v>41</v>
      </c>
      <c r="E205" s="1125">
        <f>SUM(H205/H$11,I205/I$11,J205/J$11,K205/K$11,L205/L$11,M205/M$11,N205/N$11,O205/O$11,P205/P$11)/9*100</f>
        <v>139.21796689280052</v>
      </c>
      <c r="F205" s="3114">
        <f>14+36+33+30+37+29+22+8+36</f>
        <v>245</v>
      </c>
      <c r="G205" s="3467">
        <f>6.6+25.8+23.6+18.7+25.8+21.2+11.6+18.1+3+17.2</f>
        <v>171.6</v>
      </c>
      <c r="H205" s="912">
        <v>124885916</v>
      </c>
      <c r="I205" s="909">
        <v>553948496</v>
      </c>
      <c r="J205" s="909">
        <v>497286572</v>
      </c>
      <c r="K205" s="909">
        <v>337934874</v>
      </c>
      <c r="L205" s="909">
        <v>593766509</v>
      </c>
      <c r="M205" s="909">
        <v>488631277</v>
      </c>
      <c r="N205" s="905">
        <v>353929880</v>
      </c>
      <c r="O205" s="909">
        <v>44593389</v>
      </c>
      <c r="P205" s="909">
        <v>244481290</v>
      </c>
      <c r="Q205" s="2436" t="s">
        <v>290</v>
      </c>
      <c r="R205" s="2439" t="s">
        <v>69</v>
      </c>
      <c r="S205" s="3603">
        <v>8</v>
      </c>
      <c r="T205" s="2437">
        <v>40240</v>
      </c>
      <c r="U205" s="2438" t="s">
        <v>331</v>
      </c>
      <c r="V205" s="2438" t="s">
        <v>637</v>
      </c>
      <c r="W205" s="2420">
        <f ca="1">YEARFRAC(T205,W$6)</f>
        <v>4.1500000000000004</v>
      </c>
      <c r="X205" s="48"/>
    </row>
    <row r="206" spans="1:24" ht="12" customHeight="1">
      <c r="A206" s="48">
        <v>194</v>
      </c>
      <c r="B206" s="2199" t="s">
        <v>42</v>
      </c>
      <c r="C206" s="2221" t="s">
        <v>1726</v>
      </c>
      <c r="D206" s="2232"/>
      <c r="E206" s="1125">
        <f>SUM(H206/H$11,I206/I$11,J206/J$11,K206/K$11,L206/L$11,M206/M$11,N206/N$11,O206/O$11,P206/P$11)/9*100</f>
        <v>139.31001668553327</v>
      </c>
      <c r="F206" s="3379"/>
      <c r="G206" s="3436"/>
      <c r="H206" s="902">
        <v>111208219</v>
      </c>
      <c r="I206" s="906">
        <v>558365746</v>
      </c>
      <c r="J206" s="906">
        <v>522075646</v>
      </c>
      <c r="K206" s="906">
        <v>336321699</v>
      </c>
      <c r="L206" s="906">
        <v>582949945</v>
      </c>
      <c r="M206" s="906">
        <v>487777428</v>
      </c>
      <c r="N206" s="903">
        <v>402441466</v>
      </c>
      <c r="O206" s="906">
        <v>41973963</v>
      </c>
      <c r="P206" s="906">
        <v>255260518</v>
      </c>
      <c r="Q206" s="2821" t="s">
        <v>269</v>
      </c>
      <c r="R206" s="2834" t="s">
        <v>69</v>
      </c>
      <c r="S206" s="2847">
        <v>1</v>
      </c>
      <c r="T206" s="2859">
        <v>36276</v>
      </c>
      <c r="U206" s="2873" t="s">
        <v>117</v>
      </c>
      <c r="V206" s="2873" t="s">
        <v>864</v>
      </c>
      <c r="W206" s="2337">
        <f ca="1">YEARFRAC(T206,W$6)</f>
        <v>15.002777777777778</v>
      </c>
      <c r="X206" s="48">
        <v>194</v>
      </c>
    </row>
    <row r="207" spans="1:24" ht="12" customHeight="1">
      <c r="A207" s="48"/>
      <c r="B207" s="2201" t="s">
        <v>42</v>
      </c>
      <c r="C207" s="2054" t="s">
        <v>616</v>
      </c>
      <c r="D207" s="2052"/>
      <c r="E207" s="1125">
        <f>SUM(H207/H$11,I207/I$11,J207/J$11,K207/K$11,L207/L$11,M207/M$11,N207/N$11,O207/O$11,P207/P$11)/9*100</f>
        <v>139.43527631758056</v>
      </c>
      <c r="F207" s="2281"/>
      <c r="G207" s="2260"/>
      <c r="H207" s="865">
        <v>101416893</v>
      </c>
      <c r="I207" s="865">
        <v>565068388</v>
      </c>
      <c r="J207" s="865">
        <v>507678278</v>
      </c>
      <c r="K207" s="865">
        <v>345657866</v>
      </c>
      <c r="L207" s="865">
        <v>586334524</v>
      </c>
      <c r="M207" s="865">
        <v>488417712</v>
      </c>
      <c r="N207" s="854">
        <v>405192167</v>
      </c>
      <c r="O207" s="865">
        <v>42347894</v>
      </c>
      <c r="P207" s="865">
        <v>270417982</v>
      </c>
      <c r="Q207" s="2338" t="s">
        <v>617</v>
      </c>
      <c r="R207" s="2394" t="s">
        <v>69</v>
      </c>
      <c r="S207" s="2339">
        <v>1</v>
      </c>
      <c r="T207" s="2340">
        <v>40036</v>
      </c>
      <c r="U207" s="2341" t="s">
        <v>78</v>
      </c>
      <c r="V207" s="2341" t="s">
        <v>801</v>
      </c>
      <c r="W207" s="2342">
        <f ca="1">YEARFRAC(T207,W$6)</f>
        <v>4.7111111111111112</v>
      </c>
      <c r="X207" s="48"/>
    </row>
    <row r="208" spans="1:24" ht="12" customHeight="1">
      <c r="A208" s="48">
        <v>196</v>
      </c>
      <c r="B208" s="2047" t="s">
        <v>42</v>
      </c>
      <c r="C208" s="2049" t="s">
        <v>938</v>
      </c>
      <c r="D208" s="2038" t="s">
        <v>41</v>
      </c>
      <c r="E208" s="1125">
        <f>SUM(H208/H$11,I208/I$11,J208/J$11,K208/K$11,L208/L$11,M208/M$11,N208/N$11,O208/O$11,P208/P$11)/9*100</f>
        <v>139.56919671852572</v>
      </c>
      <c r="F208" s="2057">
        <f>180.447+276.247+278.057+192.796+181.082+81.489+25.212+205.319+189.268</f>
        <v>1609.9169999999999</v>
      </c>
      <c r="G208" s="2043"/>
      <c r="H208" s="854">
        <v>106398059</v>
      </c>
      <c r="I208" s="854">
        <v>564181812</v>
      </c>
      <c r="J208" s="854">
        <v>501013479</v>
      </c>
      <c r="K208" s="865">
        <v>349841470</v>
      </c>
      <c r="L208" s="865">
        <v>592363258</v>
      </c>
      <c r="M208" s="854">
        <v>491381520</v>
      </c>
      <c r="N208" s="854">
        <v>380220211</v>
      </c>
      <c r="O208" s="854">
        <v>44141947</v>
      </c>
      <c r="P208" s="854">
        <v>264149135</v>
      </c>
      <c r="Q208" s="2381" t="s">
        <v>675</v>
      </c>
      <c r="R208" s="2382" t="s">
        <v>69</v>
      </c>
      <c r="S208" s="2383">
        <v>1</v>
      </c>
      <c r="T208" s="2384">
        <v>40486</v>
      </c>
      <c r="U208" s="2385" t="s">
        <v>556</v>
      </c>
      <c r="V208" s="2385" t="s">
        <v>662</v>
      </c>
      <c r="W208" s="2342">
        <f ca="1">YEARFRAC(T208,W$6)</f>
        <v>3.4805555555555556</v>
      </c>
      <c r="X208" s="48">
        <v>196</v>
      </c>
    </row>
    <row r="209" spans="1:24" ht="12" customHeight="1">
      <c r="A209" s="48"/>
      <c r="B209" s="2188" t="s">
        <v>42</v>
      </c>
      <c r="C209" s="2205" t="s">
        <v>1915</v>
      </c>
      <c r="D209" s="2189"/>
      <c r="E209" s="1125">
        <f>SUM(H209/H$11,I209/I$11,J209/J$11,K209/K$11,L209/L$11,M209/M$11,N209/N$11,O209/O$11,P209/P$11)/9*100</f>
        <v>139.57927395114805</v>
      </c>
      <c r="F209" s="2254">
        <f>92.6+185.79+193.23+112.66+80.13+45.59+19.76+110.84+89.21</f>
        <v>929.81000000000006</v>
      </c>
      <c r="G209" s="3468"/>
      <c r="H209" s="1163">
        <v>111646859</v>
      </c>
      <c r="I209" s="1146">
        <v>554783009</v>
      </c>
      <c r="J209" s="1146">
        <v>494831432</v>
      </c>
      <c r="K209" s="1146">
        <v>347265362</v>
      </c>
      <c r="L209" s="1146">
        <v>586234137</v>
      </c>
      <c r="M209" s="1146">
        <v>488704485</v>
      </c>
      <c r="N209" s="1146">
        <v>373361345</v>
      </c>
      <c r="O209" s="1146">
        <v>43118589</v>
      </c>
      <c r="P209" s="1146">
        <v>271993931</v>
      </c>
      <c r="Q209" s="2332" t="s">
        <v>685</v>
      </c>
      <c r="R209" s="2728" t="s">
        <v>69</v>
      </c>
      <c r="S209" s="2334">
        <v>1</v>
      </c>
      <c r="T209" s="2335">
        <v>40817</v>
      </c>
      <c r="U209" s="2336" t="s">
        <v>197</v>
      </c>
      <c r="V209" s="2336" t="s">
        <v>686</v>
      </c>
      <c r="W209" s="2305">
        <f ca="1">YEARFRAC(T209,W$6)</f>
        <v>2.5722222222222224</v>
      </c>
      <c r="X209" s="48"/>
    </row>
    <row r="210" spans="1:24" ht="12" customHeight="1">
      <c r="A210" s="48">
        <v>198</v>
      </c>
      <c r="B210" s="2199" t="s">
        <v>42</v>
      </c>
      <c r="C210" s="2051" t="s">
        <v>697</v>
      </c>
      <c r="D210" s="2041" t="s">
        <v>41</v>
      </c>
      <c r="E210" s="1125">
        <f>SUM(H210/H$11,I210/I$11,J210/J$11,K210/K$11,L210/L$11,M210/M$11,N210/N$11,O210/O$11,P210/P$11)/9*100</f>
        <v>139.72339697712633</v>
      </c>
      <c r="F210" s="3380">
        <f>31+99+0+187+125+60+21+306+185</f>
        <v>1014</v>
      </c>
      <c r="G210" s="3437"/>
      <c r="H210" s="902">
        <v>114313454</v>
      </c>
      <c r="I210" s="1151">
        <v>579545738</v>
      </c>
      <c r="J210" s="1151">
        <v>512895544</v>
      </c>
      <c r="K210" s="1151">
        <v>339473946</v>
      </c>
      <c r="L210" s="1151">
        <v>627327795</v>
      </c>
      <c r="M210" s="1151">
        <v>519108703</v>
      </c>
      <c r="N210" s="1143">
        <v>369473789</v>
      </c>
      <c r="O210" s="1151">
        <v>43061571</v>
      </c>
      <c r="P210" s="1151">
        <v>235687368</v>
      </c>
      <c r="Q210" s="2673" t="s">
        <v>1167</v>
      </c>
      <c r="R210" s="2674" t="s">
        <v>69</v>
      </c>
      <c r="S210" s="3588">
        <v>2</v>
      </c>
      <c r="T210" s="3632">
        <v>40832</v>
      </c>
      <c r="U210" s="2678" t="s">
        <v>78</v>
      </c>
      <c r="V210" s="2678" t="s">
        <v>684</v>
      </c>
      <c r="W210" s="2310">
        <f ca="1">YEARFRAC(T210,W$6)</f>
        <v>2.5305555555555554</v>
      </c>
      <c r="X210" s="48">
        <v>198</v>
      </c>
    </row>
    <row r="211" spans="1:24" ht="12" customHeight="1">
      <c r="A211" s="48"/>
      <c r="B211" s="2703" t="s">
        <v>42</v>
      </c>
      <c r="C211" s="3278" t="s">
        <v>1727</v>
      </c>
      <c r="D211" s="3351" t="s">
        <v>41</v>
      </c>
      <c r="E211" s="1142">
        <f>SUM(H211/H$11,I211/I$11,J211/J$11,K211/K$11,L211/L$11,M211/M$11,N211/N$11,O211/O$11,P211/P$11)/9*100</f>
        <v>139.91078586948734</v>
      </c>
      <c r="F211" s="3413"/>
      <c r="G211" s="3469"/>
      <c r="H211" s="1127">
        <v>130268297</v>
      </c>
      <c r="I211" s="1128">
        <v>547030119</v>
      </c>
      <c r="J211" s="1128">
        <v>487528536</v>
      </c>
      <c r="K211" s="1128">
        <v>329906597</v>
      </c>
      <c r="L211" s="1128">
        <v>593307632</v>
      </c>
      <c r="M211" s="1128">
        <v>484069428</v>
      </c>
      <c r="N211" s="1128">
        <v>345297100</v>
      </c>
      <c r="O211" s="1128">
        <v>48101506</v>
      </c>
      <c r="P211" s="1128">
        <v>242196332</v>
      </c>
      <c r="Q211" s="3519" t="s">
        <v>270</v>
      </c>
      <c r="R211" s="3555" t="s">
        <v>145</v>
      </c>
      <c r="S211" s="3599">
        <v>1</v>
      </c>
      <c r="T211" s="3642">
        <v>33358</v>
      </c>
      <c r="U211" s="3675" t="s">
        <v>271</v>
      </c>
      <c r="V211" s="3675" t="s">
        <v>272</v>
      </c>
      <c r="W211" s="2022">
        <f ca="1">YEARFRAC(T211,W$6)</f>
        <v>22.991666666666667</v>
      </c>
      <c r="X211" s="48"/>
    </row>
    <row r="212" spans="1:24" ht="12" customHeight="1">
      <c r="A212" s="48">
        <v>200</v>
      </c>
      <c r="B212" s="2047" t="s">
        <v>42</v>
      </c>
      <c r="C212" s="2066" t="s">
        <v>213</v>
      </c>
      <c r="D212" s="2061" t="s">
        <v>41</v>
      </c>
      <c r="E212" s="1125">
        <f>SUM(H212/H$11,I212/I$11,J212/J$11,K212/K$11,L212/L$11,M212/M$11,N212/N$11,O212/O$11,P212/P$11)/9*100</f>
        <v>140.29274253893453</v>
      </c>
      <c r="F212" s="2067"/>
      <c r="G212" s="2068"/>
      <c r="H212" s="1127">
        <v>119652270</v>
      </c>
      <c r="I212" s="1128">
        <v>585613851</v>
      </c>
      <c r="J212" s="1128">
        <v>528945788</v>
      </c>
      <c r="K212" s="1128">
        <v>334446800</v>
      </c>
      <c r="L212" s="1128">
        <v>638666005</v>
      </c>
      <c r="M212" s="1128">
        <v>530428771</v>
      </c>
      <c r="N212" s="1128">
        <v>365375109</v>
      </c>
      <c r="O212" s="1128">
        <v>45421692</v>
      </c>
      <c r="P212" s="1128">
        <v>210125221</v>
      </c>
      <c r="Q212" s="2290" t="s">
        <v>173</v>
      </c>
      <c r="R212" s="2291" t="s">
        <v>69</v>
      </c>
      <c r="S212" s="2292">
        <v>1</v>
      </c>
      <c r="T212" s="2293">
        <v>39298</v>
      </c>
      <c r="U212" s="2294" t="s">
        <v>174</v>
      </c>
      <c r="V212" s="2294" t="s">
        <v>175</v>
      </c>
      <c r="W212" s="2295">
        <f ca="1">YEARFRAC(T212,W$6)</f>
        <v>6.7305555555555552</v>
      </c>
      <c r="X212" s="48">
        <v>200</v>
      </c>
    </row>
    <row r="213" spans="1:24" ht="12" customHeight="1">
      <c r="A213" s="48"/>
      <c r="B213" s="2192" t="s">
        <v>1431</v>
      </c>
      <c r="C213" s="3111" t="s">
        <v>1926</v>
      </c>
      <c r="D213" s="2193"/>
      <c r="E213" s="1125">
        <f>SUM(H213/H$11,I213/I$11,J213/J$11,K213/K$11,L213/L$11,M213/M$11,N213/N$11,O213/O$11,P213/P$11)/9*100</f>
        <v>141.08349337645188</v>
      </c>
      <c r="F213" s="2287"/>
      <c r="G213" s="2287"/>
      <c r="H213" s="1144">
        <v>133687676</v>
      </c>
      <c r="I213" s="1145">
        <v>554118890</v>
      </c>
      <c r="J213" s="1145">
        <v>497781185</v>
      </c>
      <c r="K213" s="1145">
        <v>340866714</v>
      </c>
      <c r="L213" s="1145">
        <v>593663678</v>
      </c>
      <c r="M213" s="1145">
        <v>488653347</v>
      </c>
      <c r="N213" s="1146">
        <v>354881146</v>
      </c>
      <c r="O213" s="1145">
        <v>44921862</v>
      </c>
      <c r="P213" s="1145">
        <v>246317161</v>
      </c>
      <c r="Q213" s="2301" t="s">
        <v>245</v>
      </c>
      <c r="R213" s="2302" t="s">
        <v>69</v>
      </c>
      <c r="S213" s="2303">
        <v>1</v>
      </c>
      <c r="T213" s="3649">
        <v>38642</v>
      </c>
      <c r="U213" s="2304" t="s">
        <v>77</v>
      </c>
      <c r="V213" s="2304" t="s">
        <v>25</v>
      </c>
      <c r="W213" s="2305">
        <f ca="1">YEARFRAC(T213,W$6)</f>
        <v>8.5277777777777786</v>
      </c>
      <c r="X213" s="48"/>
    </row>
    <row r="214" spans="1:24" ht="12" customHeight="1">
      <c r="A214" s="48">
        <v>202</v>
      </c>
      <c r="B214" s="2040" t="s">
        <v>42</v>
      </c>
      <c r="C214" s="2060" t="s">
        <v>834</v>
      </c>
      <c r="D214" s="2041"/>
      <c r="E214" s="1125">
        <f>SUM(H214/H$11,I214/I$11,J214/J$11,K214/K$11,L214/L$11,M214/M$11,N214/N$11,O214/O$11,P214/P$11)/9*100</f>
        <v>141.23731620358737</v>
      </c>
      <c r="F214" s="2259"/>
      <c r="G214" s="2736"/>
      <c r="H214" s="907">
        <v>111560747</v>
      </c>
      <c r="I214" s="1143">
        <v>572008149</v>
      </c>
      <c r="J214" s="1143">
        <v>524059578</v>
      </c>
      <c r="K214" s="1143">
        <v>337951280</v>
      </c>
      <c r="L214" s="1143">
        <v>582770212</v>
      </c>
      <c r="M214" s="1143">
        <v>487746292</v>
      </c>
      <c r="N214" s="1143">
        <v>424366200</v>
      </c>
      <c r="O214" s="1143">
        <v>42629277</v>
      </c>
      <c r="P214" s="1143">
        <v>257386209</v>
      </c>
      <c r="Q214" s="2306" t="s">
        <v>823</v>
      </c>
      <c r="R214" s="2737" t="s">
        <v>69</v>
      </c>
      <c r="S214" s="2307">
        <v>1</v>
      </c>
      <c r="T214" s="2308">
        <v>36111</v>
      </c>
      <c r="U214" s="2309" t="s">
        <v>271</v>
      </c>
      <c r="V214" s="2309" t="s">
        <v>314</v>
      </c>
      <c r="W214" s="2310">
        <f ca="1">YEARFRAC(T214,W$6)</f>
        <v>15.458333333333334</v>
      </c>
      <c r="X214" s="48">
        <v>202</v>
      </c>
    </row>
    <row r="215" spans="1:24" ht="12" customHeight="1">
      <c r="A215" s="48"/>
      <c r="B215" s="2037" t="s">
        <v>42</v>
      </c>
      <c r="C215" s="3279" t="s">
        <v>848</v>
      </c>
      <c r="D215" s="2061" t="s">
        <v>41</v>
      </c>
      <c r="E215" s="1125">
        <f>SUM(H215/H$11,I215/I$11,J215/J$11,K215/K$11,L215/L$11,M215/M$11,N215/N$11,O215/O$11,P215/P$11)/9*100</f>
        <v>141.36451293151273</v>
      </c>
      <c r="F215" s="2072"/>
      <c r="G215" s="2071"/>
      <c r="H215" s="1127">
        <v>129146242</v>
      </c>
      <c r="I215" s="1128">
        <v>554252461</v>
      </c>
      <c r="J215" s="1128">
        <v>487805169</v>
      </c>
      <c r="K215" s="1141">
        <v>330832519</v>
      </c>
      <c r="L215" s="1128">
        <v>590607127</v>
      </c>
      <c r="M215" s="1128">
        <v>484425757</v>
      </c>
      <c r="N215" s="1128">
        <v>354450063</v>
      </c>
      <c r="O215" s="1128">
        <v>49494548</v>
      </c>
      <c r="P215" s="1128">
        <v>249180676</v>
      </c>
      <c r="Q215" s="2296" t="s">
        <v>391</v>
      </c>
      <c r="R215" s="2297" t="s">
        <v>145</v>
      </c>
      <c r="S215" s="2298">
        <v>1</v>
      </c>
      <c r="T215" s="2299">
        <v>35940</v>
      </c>
      <c r="U215" s="3666" t="s">
        <v>117</v>
      </c>
      <c r="V215" s="2300" t="s">
        <v>130</v>
      </c>
      <c r="W215" s="2295">
        <f ca="1">YEARFRAC(T215,W$6)</f>
        <v>15.922222222222222</v>
      </c>
      <c r="X215" s="48"/>
    </row>
    <row r="216" spans="1:24" ht="12" customHeight="1">
      <c r="A216" s="48">
        <v>204</v>
      </c>
      <c r="B216" s="2048" t="s">
        <v>1431</v>
      </c>
      <c r="C216" s="2066" t="s">
        <v>1582</v>
      </c>
      <c r="D216" s="2194"/>
      <c r="E216" s="1125">
        <f>SUM(H216/H$11,I216/I$11,J216/J$11,K216/K$11,L216/L$11,M216/M$11,N216/N$11,O216/O$11,P216/P$11)/9*100</f>
        <v>141.57578344071075</v>
      </c>
      <c r="F216" s="2067"/>
      <c r="G216" s="2068"/>
      <c r="H216" s="1141">
        <v>130672637</v>
      </c>
      <c r="I216" s="1141">
        <v>557355933</v>
      </c>
      <c r="J216" s="1141">
        <v>501069368</v>
      </c>
      <c r="K216" s="1141">
        <v>342552699</v>
      </c>
      <c r="L216" s="1141">
        <v>597445694</v>
      </c>
      <c r="M216" s="1141">
        <v>491240975</v>
      </c>
      <c r="N216" s="1128">
        <v>356262847</v>
      </c>
      <c r="O216" s="1141">
        <v>45652966</v>
      </c>
      <c r="P216" s="1141">
        <v>249737668</v>
      </c>
      <c r="Q216" s="2290" t="s">
        <v>328</v>
      </c>
      <c r="R216" s="2291" t="s">
        <v>69</v>
      </c>
      <c r="S216" s="2292">
        <v>1</v>
      </c>
      <c r="T216" s="2864">
        <v>37340</v>
      </c>
      <c r="U216" s="2294" t="s">
        <v>80</v>
      </c>
      <c r="V216" s="2294" t="s">
        <v>118</v>
      </c>
      <c r="W216" s="2295">
        <f ca="1">YEARFRAC(T216,W$6)</f>
        <v>12.088888888888889</v>
      </c>
      <c r="X216" s="48">
        <v>204</v>
      </c>
    </row>
    <row r="217" spans="1:24" ht="12" customHeight="1">
      <c r="A217" s="48"/>
      <c r="B217" s="2192" t="s">
        <v>1431</v>
      </c>
      <c r="C217" s="3280" t="s">
        <v>1916</v>
      </c>
      <c r="D217" s="2193"/>
      <c r="E217" s="1125">
        <f>SUM(H217/H$11,I217/I$11,J217/J$11,K217/K$11,L217/L$11,M217/M$11,N217/N$11,O217/O$11,P217/P$11)/9*100</f>
        <v>142.13492094711836</v>
      </c>
      <c r="F217" s="2287"/>
      <c r="G217" s="2287"/>
      <c r="H217" s="1144">
        <v>123846884</v>
      </c>
      <c r="I217" s="1145">
        <v>411512894</v>
      </c>
      <c r="J217" s="1145">
        <v>518224376</v>
      </c>
      <c r="K217" s="1145">
        <v>379081389</v>
      </c>
      <c r="L217" s="1145">
        <v>592456838</v>
      </c>
      <c r="M217" s="1145">
        <v>488623941</v>
      </c>
      <c r="N217" s="1146">
        <v>311642188</v>
      </c>
      <c r="O217" s="1145">
        <v>51969434</v>
      </c>
      <c r="P217" s="1145">
        <v>306134053</v>
      </c>
      <c r="Q217" s="2301" t="s">
        <v>136</v>
      </c>
      <c r="R217" s="2302" t="s">
        <v>145</v>
      </c>
      <c r="S217" s="2303">
        <v>1</v>
      </c>
      <c r="T217" s="2311">
        <v>35209</v>
      </c>
      <c r="U217" s="2304" t="s">
        <v>75</v>
      </c>
      <c r="V217" s="2304" t="s">
        <v>864</v>
      </c>
      <c r="W217" s="2305">
        <f ca="1">YEARFRAC(T217,W$6)</f>
        <v>17.925000000000001</v>
      </c>
      <c r="X217" s="48"/>
    </row>
    <row r="218" spans="1:24" ht="12" customHeight="1">
      <c r="A218" s="48">
        <v>206</v>
      </c>
      <c r="B218" s="2050" t="s">
        <v>1431</v>
      </c>
      <c r="C218" s="2055" t="s">
        <v>1917</v>
      </c>
      <c r="D218" s="2059"/>
      <c r="E218" s="1125">
        <f>SUM(H218/H$11,I218/I$11,J218/J$11,K218/K$11,L218/L$11,M218/M$11,N218/N$11,O218/O$11,P218/P$11)/9*100</f>
        <v>142.1366322357855</v>
      </c>
      <c r="F218" s="2255"/>
      <c r="G218" s="2255"/>
      <c r="H218" s="1151">
        <v>123846884</v>
      </c>
      <c r="I218" s="1151">
        <v>411512894</v>
      </c>
      <c r="J218" s="1151">
        <v>518224586</v>
      </c>
      <c r="K218" s="1151">
        <v>379067633</v>
      </c>
      <c r="L218" s="1151">
        <v>592454379</v>
      </c>
      <c r="M218" s="1151">
        <v>488624239</v>
      </c>
      <c r="N218" s="1143">
        <v>311642188</v>
      </c>
      <c r="O218" s="1151">
        <v>51975848</v>
      </c>
      <c r="P218" s="1151">
        <v>306134053</v>
      </c>
      <c r="Q218" s="2312" t="s">
        <v>136</v>
      </c>
      <c r="R218" s="2313" t="s">
        <v>145</v>
      </c>
      <c r="S218" s="2314">
        <v>1</v>
      </c>
      <c r="T218" s="2315">
        <v>35209</v>
      </c>
      <c r="U218" s="2316" t="s">
        <v>75</v>
      </c>
      <c r="V218" s="2316" t="s">
        <v>864</v>
      </c>
      <c r="W218" s="2310">
        <f ca="1">YEARFRAC(T218,W$6)</f>
        <v>17.925000000000001</v>
      </c>
      <c r="X218" s="48">
        <v>206</v>
      </c>
    </row>
    <row r="219" spans="1:24" ht="12" customHeight="1">
      <c r="A219" s="48"/>
      <c r="B219" s="2195" t="s">
        <v>42</v>
      </c>
      <c r="C219" s="2196" t="s">
        <v>207</v>
      </c>
      <c r="D219" s="2061" t="s">
        <v>41</v>
      </c>
      <c r="E219" s="1125">
        <f>SUM(H219/H$11,I219/I$11,J219/J$11,K219/K$11,L219/L$11,M219/M$11,N219/N$11,O219/O$11,P219/P$11)/9*100</f>
        <v>142.17782824874635</v>
      </c>
      <c r="F219" s="3409"/>
      <c r="G219" s="2282"/>
      <c r="H219" s="1141">
        <v>120143848</v>
      </c>
      <c r="I219" s="1141">
        <v>549045312</v>
      </c>
      <c r="J219" s="1141">
        <v>522779225</v>
      </c>
      <c r="K219" s="1141">
        <v>352548930</v>
      </c>
      <c r="L219" s="1141">
        <v>595333628</v>
      </c>
      <c r="M219" s="1141">
        <v>497901902</v>
      </c>
      <c r="N219" s="1128">
        <v>366717383</v>
      </c>
      <c r="O219" s="1141">
        <v>47588867</v>
      </c>
      <c r="P219" s="1141">
        <v>254714562</v>
      </c>
      <c r="Q219" s="2317" t="s">
        <v>208</v>
      </c>
      <c r="R219" s="2318" t="s">
        <v>69</v>
      </c>
      <c r="S219" s="3587">
        <v>1</v>
      </c>
      <c r="T219" s="2319">
        <v>39020</v>
      </c>
      <c r="U219" s="2320" t="s">
        <v>108</v>
      </c>
      <c r="V219" s="2320" t="s">
        <v>405</v>
      </c>
      <c r="W219" s="2295">
        <f ca="1">YEARFRAC(T219,W$6)</f>
        <v>7.4916666666666663</v>
      </c>
      <c r="X219" s="48"/>
    </row>
    <row r="220" spans="1:24" ht="12" customHeight="1">
      <c r="A220" s="48">
        <v>208</v>
      </c>
      <c r="B220" s="2037" t="s">
        <v>42</v>
      </c>
      <c r="C220" s="2197" t="s">
        <v>784</v>
      </c>
      <c r="D220" s="2191"/>
      <c r="E220" s="1125">
        <f>SUM(H220/H$11,I220/I$11,J220/J$11,K220/K$11,L220/L$11,M220/M$11,N220/N$11,O220/O$11,P220/P$11)/9*100</f>
        <v>142.36240819363272</v>
      </c>
      <c r="F220" s="2070">
        <f>1845+2940+2399+2318+1705+372+1358+3100</f>
        <v>16037</v>
      </c>
      <c r="G220" s="2071"/>
      <c r="H220" s="1140">
        <v>125183228</v>
      </c>
      <c r="I220" s="1141">
        <v>565585134</v>
      </c>
      <c r="J220" s="1141">
        <v>501529064</v>
      </c>
      <c r="K220" s="1141">
        <v>347573890</v>
      </c>
      <c r="L220" s="1141">
        <v>593830572</v>
      </c>
      <c r="M220" s="1141">
        <v>488045433</v>
      </c>
      <c r="N220" s="1128">
        <v>392180595</v>
      </c>
      <c r="O220" s="1141">
        <v>44723095</v>
      </c>
      <c r="P220" s="1141">
        <v>252179016</v>
      </c>
      <c r="Q220" s="2296" t="s">
        <v>661</v>
      </c>
      <c r="R220" s="2297" t="s">
        <v>69</v>
      </c>
      <c r="S220" s="2298">
        <v>1</v>
      </c>
      <c r="T220" s="2299">
        <v>40512</v>
      </c>
      <c r="U220" s="3666" t="s">
        <v>117</v>
      </c>
      <c r="V220" s="2300" t="s">
        <v>662</v>
      </c>
      <c r="W220" s="2295">
        <f ca="1">YEARFRAC(T220,W$6)</f>
        <v>3.4083333333333332</v>
      </c>
      <c r="X220" s="48">
        <v>208</v>
      </c>
    </row>
    <row r="221" spans="1:24" ht="12" customHeight="1">
      <c r="A221" s="48"/>
      <c r="B221" s="2198" t="s">
        <v>42</v>
      </c>
      <c r="C221" s="2759" t="s">
        <v>1651</v>
      </c>
      <c r="D221" s="2186" t="s">
        <v>41</v>
      </c>
      <c r="E221" s="1125">
        <f>SUM(H221/H$11,I221/I$11,J221/J$11,K221/K$11,L221/L$11,M221/M$11,N221/N$11,O221/O$11,P221/P$11)/9*100</f>
        <v>142.56995775897096</v>
      </c>
      <c r="F221" s="2257"/>
      <c r="G221" s="2257"/>
      <c r="H221" s="1145">
        <v>117407689</v>
      </c>
      <c r="I221" s="1145">
        <v>561407507</v>
      </c>
      <c r="J221" s="1145">
        <v>501340307</v>
      </c>
      <c r="K221" s="1145">
        <v>357220687</v>
      </c>
      <c r="L221" s="1145">
        <v>583061343</v>
      </c>
      <c r="M221" s="1145">
        <v>485907980</v>
      </c>
      <c r="N221" s="1146">
        <v>389356487</v>
      </c>
      <c r="O221" s="1145">
        <v>44425656</v>
      </c>
      <c r="P221" s="1145">
        <v>275454598</v>
      </c>
      <c r="Q221" s="2321" t="s">
        <v>106</v>
      </c>
      <c r="R221" s="2322" t="s">
        <v>69</v>
      </c>
      <c r="S221" s="2323">
        <v>1</v>
      </c>
      <c r="T221" s="2742">
        <v>38733</v>
      </c>
      <c r="U221" s="2324" t="s">
        <v>75</v>
      </c>
      <c r="V221" s="2324" t="s">
        <v>107</v>
      </c>
      <c r="W221" s="2305">
        <f ca="1">YEARFRAC(T221,W$6)</f>
        <v>8.280555555555555</v>
      </c>
      <c r="X221" s="48"/>
    </row>
    <row r="222" spans="1:24" ht="12" customHeight="1">
      <c r="A222" s="48">
        <v>210</v>
      </c>
      <c r="B222" s="2199" t="s">
        <v>42</v>
      </c>
      <c r="C222" s="3241" t="s">
        <v>266</v>
      </c>
      <c r="D222" s="2041" t="s">
        <v>41</v>
      </c>
      <c r="E222" s="1125">
        <f>SUM(H222/H$11,I222/I$11,J222/J$11,K222/K$11,L222/L$11,M222/M$11,N222/N$11,O222/O$11,P222/P$11)/9*100</f>
        <v>143.08065883588245</v>
      </c>
      <c r="F222" s="2276"/>
      <c r="G222" s="2276"/>
      <c r="H222" s="902">
        <v>118391903</v>
      </c>
      <c r="I222" s="1151">
        <v>587978055</v>
      </c>
      <c r="J222" s="1151">
        <v>517290664</v>
      </c>
      <c r="K222" s="1151">
        <v>339000669</v>
      </c>
      <c r="L222" s="1151">
        <v>600546394</v>
      </c>
      <c r="M222" s="1151">
        <v>496868856</v>
      </c>
      <c r="N222" s="1143">
        <v>415401524</v>
      </c>
      <c r="O222" s="1151">
        <v>43696731</v>
      </c>
      <c r="P222" s="1151">
        <v>253438399</v>
      </c>
      <c r="Q222" s="2325" t="s">
        <v>267</v>
      </c>
      <c r="R222" s="2326" t="s">
        <v>69</v>
      </c>
      <c r="S222" s="2327">
        <v>1</v>
      </c>
      <c r="T222" s="2328">
        <v>38504</v>
      </c>
      <c r="U222" s="2329" t="s">
        <v>117</v>
      </c>
      <c r="V222" s="2329" t="s">
        <v>268</v>
      </c>
      <c r="W222" s="2310">
        <f ca="1">YEARFRAC(T222,W$6)</f>
        <v>8.905555555555555</v>
      </c>
      <c r="X222" s="48">
        <v>210</v>
      </c>
    </row>
    <row r="223" spans="1:24" ht="12" customHeight="1">
      <c r="A223" s="48"/>
      <c r="B223" s="2048" t="s">
        <v>1431</v>
      </c>
      <c r="C223" s="2066" t="s">
        <v>300</v>
      </c>
      <c r="D223" s="2187"/>
      <c r="E223" s="1125">
        <f>SUM(H223/H$11,I223/I$11,J223/J$11,K223/K$11,L223/L$11,M223/M$11,N223/N$11,O223/O$11,P223/P$11)/9*100</f>
        <v>143.10485174286885</v>
      </c>
      <c r="F223" s="2067"/>
      <c r="G223" s="2068"/>
      <c r="H223" s="1127">
        <v>124668530</v>
      </c>
      <c r="I223" s="1128">
        <v>553933155</v>
      </c>
      <c r="J223" s="1128">
        <v>496902041</v>
      </c>
      <c r="K223" s="1128">
        <v>338101671</v>
      </c>
      <c r="L223" s="1128">
        <v>593259574</v>
      </c>
      <c r="M223" s="1128">
        <v>488616423</v>
      </c>
      <c r="N223" s="1128">
        <v>353509986</v>
      </c>
      <c r="O223" s="1128">
        <v>55524899</v>
      </c>
      <c r="P223" s="1128">
        <v>244341547</v>
      </c>
      <c r="Q223" s="2290" t="s">
        <v>301</v>
      </c>
      <c r="R223" s="2291" t="s">
        <v>69</v>
      </c>
      <c r="S223" s="2292">
        <v>1</v>
      </c>
      <c r="T223" s="2293">
        <v>35876</v>
      </c>
      <c r="U223" s="2294" t="s">
        <v>261</v>
      </c>
      <c r="V223" s="2294" t="s">
        <v>163</v>
      </c>
      <c r="W223" s="2295">
        <f ca="1">YEARFRAC(T223,W$6)</f>
        <v>16.097222222222221</v>
      </c>
      <c r="X223" s="48"/>
    </row>
    <row r="224" spans="1:24" ht="12" customHeight="1">
      <c r="A224" s="48">
        <v>212</v>
      </c>
      <c r="B224" s="2047" t="s">
        <v>42</v>
      </c>
      <c r="C224" s="3243" t="s">
        <v>2127</v>
      </c>
      <c r="D224" s="2191"/>
      <c r="E224" s="1125">
        <f>SUM(H224/H$11,I224/I$11,J224/J$11,K224/K$11,L224/L$11,M224/M$11,N224/N$11,O224/O$11,P224/P$11)/9*100</f>
        <v>143.14584863628093</v>
      </c>
      <c r="F224" s="2070"/>
      <c r="G224" s="2288"/>
      <c r="H224" s="1127">
        <v>117395622</v>
      </c>
      <c r="I224" s="1141">
        <v>586439972</v>
      </c>
      <c r="J224" s="1128">
        <v>519851911</v>
      </c>
      <c r="K224" s="1128">
        <v>336169272</v>
      </c>
      <c r="L224" s="1128">
        <v>602562869</v>
      </c>
      <c r="M224" s="1128">
        <v>491848379</v>
      </c>
      <c r="N224" s="1128">
        <v>368058188</v>
      </c>
      <c r="O224" s="1128">
        <v>53793381</v>
      </c>
      <c r="P224" s="1128">
        <v>236441474</v>
      </c>
      <c r="Q224" s="2296" t="s">
        <v>2128</v>
      </c>
      <c r="R224" s="2297" t="s">
        <v>69</v>
      </c>
      <c r="S224" s="2298">
        <v>2</v>
      </c>
      <c r="T224" s="2299">
        <v>41646</v>
      </c>
      <c r="U224" s="2300" t="s">
        <v>80</v>
      </c>
      <c r="V224" s="2300" t="s">
        <v>277</v>
      </c>
      <c r="W224" s="2295">
        <f ca="1">YEARFRAC(T224,W$6)</f>
        <v>0.30555555555555558</v>
      </c>
      <c r="X224" s="48">
        <v>212</v>
      </c>
    </row>
    <row r="225" spans="1:24" ht="12" customHeight="1">
      <c r="A225" s="48"/>
      <c r="B225" s="2184" t="s">
        <v>42</v>
      </c>
      <c r="C225" s="2185" t="s">
        <v>294</v>
      </c>
      <c r="D225" s="2186" t="s">
        <v>41</v>
      </c>
      <c r="E225" s="1125">
        <f>SUM(H225/H$11,I225/I$11,J225/J$11,K225/K$11,L225/L$11,M225/M$11,N225/N$11,O225/O$11,P225/P$11)/9*100</f>
        <v>143.31645669639263</v>
      </c>
      <c r="F225" s="2287"/>
      <c r="G225" s="2287"/>
      <c r="H225" s="1145">
        <v>130968096</v>
      </c>
      <c r="I225" s="1146">
        <v>551120705</v>
      </c>
      <c r="J225" s="1146">
        <v>495796654</v>
      </c>
      <c r="K225" s="1146">
        <f>174487552*2</f>
        <v>348975104</v>
      </c>
      <c r="L225" s="1146">
        <v>614465598</v>
      </c>
      <c r="M225" s="1146">
        <v>500612752</v>
      </c>
      <c r="N225" s="1146">
        <v>349022585</v>
      </c>
      <c r="O225" s="1146">
        <v>52523642</v>
      </c>
      <c r="P225" s="1145">
        <v>235718663</v>
      </c>
      <c r="Q225" s="2301" t="s">
        <v>295</v>
      </c>
      <c r="R225" s="2302" t="s">
        <v>69</v>
      </c>
      <c r="S225" s="2303">
        <v>1</v>
      </c>
      <c r="T225" s="2311">
        <v>36659</v>
      </c>
      <c r="U225" s="2304" t="s">
        <v>80</v>
      </c>
      <c r="V225" s="2304" t="s">
        <v>296</v>
      </c>
      <c r="W225" s="2305">
        <f ca="1">YEARFRAC(T225,W$6)</f>
        <v>13.955555555555556</v>
      </c>
      <c r="X225" s="48"/>
    </row>
    <row r="226" spans="1:24" ht="12" customHeight="1">
      <c r="A226" s="48">
        <v>214</v>
      </c>
      <c r="B226" s="2053" t="s">
        <v>42</v>
      </c>
      <c r="C226" s="2900" t="s">
        <v>1918</v>
      </c>
      <c r="D226" s="2041" t="s">
        <v>41</v>
      </c>
      <c r="E226" s="1125">
        <f>SUM(H226/H$11,I226/I$11,J226/J$11,K226/K$11,L226/L$11,M226/M$11,N226/N$11,O226/O$11,P226/P$11)/9*100</f>
        <v>143.32989980386631</v>
      </c>
      <c r="F226" s="2255"/>
      <c r="G226" s="2255"/>
      <c r="H226" s="907">
        <v>127354058</v>
      </c>
      <c r="I226" s="1151">
        <v>563285040</v>
      </c>
      <c r="J226" s="1151">
        <v>503591684</v>
      </c>
      <c r="K226" s="1151">
        <v>335791159</v>
      </c>
      <c r="L226" s="1151">
        <v>587865519</v>
      </c>
      <c r="M226" s="1151">
        <v>485890400</v>
      </c>
      <c r="N226" s="1143">
        <v>391552435</v>
      </c>
      <c r="O226" s="1151">
        <v>48644444</v>
      </c>
      <c r="P226" s="1151">
        <v>251087995</v>
      </c>
      <c r="Q226" s="2312" t="s">
        <v>257</v>
      </c>
      <c r="R226" s="2313" t="s">
        <v>69</v>
      </c>
      <c r="S226" s="2314">
        <v>1</v>
      </c>
      <c r="T226" s="2914">
        <v>39382</v>
      </c>
      <c r="U226" s="2316" t="s">
        <v>258</v>
      </c>
      <c r="V226" s="2316" t="s">
        <v>811</v>
      </c>
      <c r="W226" s="2310">
        <f ca="1">YEARFRAC(T226,W$6)</f>
        <v>6.5</v>
      </c>
      <c r="X226" s="48">
        <v>214</v>
      </c>
    </row>
    <row r="227" spans="1:24" ht="12" customHeight="1">
      <c r="A227" s="48"/>
      <c r="B227" s="2048" t="s">
        <v>1431</v>
      </c>
      <c r="C227" s="2689" t="s">
        <v>259</v>
      </c>
      <c r="D227" s="2194"/>
      <c r="E227" s="1125">
        <f>SUM(H227/H$11,I227/I$11,J227/J$11,K227/K$11,L227/L$11,M227/M$11,N227/N$11,O227/O$11,P227/P$11)/9*100</f>
        <v>144.7327899511167</v>
      </c>
      <c r="F227" s="2067"/>
      <c r="G227" s="2068"/>
      <c r="H227" s="1140">
        <v>132287538</v>
      </c>
      <c r="I227" s="1141">
        <v>553933463</v>
      </c>
      <c r="J227" s="1141">
        <v>496902785</v>
      </c>
      <c r="K227" s="1141">
        <v>340087849</v>
      </c>
      <c r="L227" s="1141">
        <v>593250754</v>
      </c>
      <c r="M227" s="1141">
        <v>488553083</v>
      </c>
      <c r="N227" s="1128">
        <v>353496309</v>
      </c>
      <c r="O227" s="1141">
        <v>56374428</v>
      </c>
      <c r="P227" s="1141">
        <v>244342021</v>
      </c>
      <c r="Q227" s="2290" t="s">
        <v>260</v>
      </c>
      <c r="R227" s="2291" t="s">
        <v>69</v>
      </c>
      <c r="S227" s="2292">
        <v>1</v>
      </c>
      <c r="T227" s="2293">
        <v>36919</v>
      </c>
      <c r="U227" s="2294" t="s">
        <v>261</v>
      </c>
      <c r="V227" s="2294" t="s">
        <v>1882</v>
      </c>
      <c r="W227" s="2295">
        <f ca="1">YEARFRAC(T227,W$6)</f>
        <v>13.247222222222222</v>
      </c>
      <c r="X227" s="48"/>
    </row>
    <row r="228" spans="1:24" ht="12" customHeight="1">
      <c r="A228" s="48">
        <v>216</v>
      </c>
      <c r="B228" s="2047" t="s">
        <v>42</v>
      </c>
      <c r="C228" s="2066" t="s">
        <v>302</v>
      </c>
      <c r="D228" s="2061" t="s">
        <v>41</v>
      </c>
      <c r="E228" s="1125">
        <f>SUM(H228/H$11,I228/I$11,J228/J$11,K228/K$11,L228/L$11,M228/M$11,N228/N$11,O228/O$11,P228/P$11)/9*100</f>
        <v>145.16629443441335</v>
      </c>
      <c r="F228" s="2067"/>
      <c r="G228" s="2068"/>
      <c r="H228" s="1127">
        <v>129368574</v>
      </c>
      <c r="I228" s="1128">
        <v>557653925</v>
      </c>
      <c r="J228" s="1128">
        <v>513712905</v>
      </c>
      <c r="K228" s="1128">
        <v>364007516</v>
      </c>
      <c r="L228" s="1128">
        <v>638666005</v>
      </c>
      <c r="M228" s="1128">
        <v>496693761</v>
      </c>
      <c r="N228" s="1128">
        <v>368901521</v>
      </c>
      <c r="O228" s="1128">
        <v>56520435</v>
      </c>
      <c r="P228" s="1128">
        <v>210125221</v>
      </c>
      <c r="Q228" s="2290" t="s">
        <v>173</v>
      </c>
      <c r="R228" s="2291" t="s">
        <v>69</v>
      </c>
      <c r="S228" s="2292">
        <v>1</v>
      </c>
      <c r="T228" s="2293">
        <v>39208</v>
      </c>
      <c r="U228" s="2294" t="s">
        <v>174</v>
      </c>
      <c r="V228" s="2294" t="s">
        <v>175</v>
      </c>
      <c r="W228" s="2295">
        <f ca="1">YEARFRAC(T228,W$6)</f>
        <v>6.9749999999999996</v>
      </c>
      <c r="X228" s="48">
        <v>216</v>
      </c>
    </row>
    <row r="229" spans="1:24" ht="12" customHeight="1">
      <c r="A229" s="48"/>
      <c r="B229" s="2192" t="s">
        <v>1431</v>
      </c>
      <c r="C229" s="2185" t="s">
        <v>1920</v>
      </c>
      <c r="D229" s="2901"/>
      <c r="E229" s="1125">
        <f>SUM(H229/H$11,I229/I$11,J229/J$11,K229/K$11,L229/L$11,M229/M$11,N229/N$11,O229/O$11,P229/P$11)/9*100</f>
        <v>145.4543466861256</v>
      </c>
      <c r="F229" s="3414">
        <f>76+122+107+106+124+67+71+138+110</f>
        <v>921</v>
      </c>
      <c r="G229" s="2287"/>
      <c r="H229" s="1146">
        <v>133681069</v>
      </c>
      <c r="I229" s="1146">
        <v>553936207</v>
      </c>
      <c r="J229" s="1146">
        <v>496905314</v>
      </c>
      <c r="K229" s="1146">
        <v>340402679</v>
      </c>
      <c r="L229" s="1146">
        <v>593253551</v>
      </c>
      <c r="M229" s="1146">
        <v>488560067</v>
      </c>
      <c r="N229" s="1146">
        <v>353509327</v>
      </c>
      <c r="O229" s="1146">
        <v>57700074</v>
      </c>
      <c r="P229" s="1146">
        <v>244341849</v>
      </c>
      <c r="Q229" s="2301" t="s">
        <v>615</v>
      </c>
      <c r="R229" s="2302" t="s">
        <v>69</v>
      </c>
      <c r="S229" s="2303">
        <v>1</v>
      </c>
      <c r="T229" s="2311">
        <v>40901</v>
      </c>
      <c r="U229" s="2304" t="s">
        <v>80</v>
      </c>
      <c r="V229" s="2304" t="s">
        <v>2063</v>
      </c>
      <c r="W229" s="2305">
        <f ca="1">YEARFRAC(T229,W$6)</f>
        <v>2.3416666666666668</v>
      </c>
      <c r="X229" s="48"/>
    </row>
    <row r="230" spans="1:24" ht="12" customHeight="1">
      <c r="A230" s="48">
        <v>218</v>
      </c>
      <c r="B230" s="2053" t="s">
        <v>42</v>
      </c>
      <c r="C230" s="2051" t="s">
        <v>1652</v>
      </c>
      <c r="D230" s="2041" t="s">
        <v>41</v>
      </c>
      <c r="E230" s="1125">
        <f>SUM(H230/H$11,I230/I$11,J230/J$11,K230/K$11,L230/L$11,M230/M$11,N230/N$11,O230/O$11,P230/P$11)/9*100</f>
        <v>146.00211921888786</v>
      </c>
      <c r="F230" s="2255"/>
      <c r="G230" s="2255"/>
      <c r="H230" s="1143">
        <v>121724441</v>
      </c>
      <c r="I230" s="1151">
        <v>580882611</v>
      </c>
      <c r="J230" s="1151">
        <v>514216038</v>
      </c>
      <c r="K230" s="1151">
        <v>362877902</v>
      </c>
      <c r="L230" s="1151">
        <v>606266486</v>
      </c>
      <c r="M230" s="1151">
        <v>502969317</v>
      </c>
      <c r="N230" s="1143">
        <v>392064549</v>
      </c>
      <c r="O230" s="1151">
        <v>45641300</v>
      </c>
      <c r="P230" s="1151">
        <v>276124207</v>
      </c>
      <c r="Q230" s="2312" t="s">
        <v>299</v>
      </c>
      <c r="R230" s="2313" t="s">
        <v>69</v>
      </c>
      <c r="S230" s="2314">
        <v>1</v>
      </c>
      <c r="T230" s="2914">
        <v>38672</v>
      </c>
      <c r="U230" s="2316" t="s">
        <v>75</v>
      </c>
      <c r="V230" s="2316" t="s">
        <v>275</v>
      </c>
      <c r="W230" s="2310">
        <f ca="1">YEARFRAC(T230,W$6)</f>
        <v>8.4472222222222229</v>
      </c>
      <c r="X230" s="48">
        <v>218</v>
      </c>
    </row>
    <row r="231" spans="1:24" ht="12" customHeight="1">
      <c r="A231" s="48"/>
      <c r="B231" s="2037" t="s">
        <v>42</v>
      </c>
      <c r="C231" s="2054" t="s">
        <v>1728</v>
      </c>
      <c r="D231" s="2061" t="s">
        <v>41</v>
      </c>
      <c r="E231" s="1125">
        <f>SUM(H231/H$11,I231/I$11,J231/J$11,K231/K$11,L231/L$11,M231/M$11,N231/N$11,O231/O$11,P231/P$11)/9*100</f>
        <v>146.71041376593544</v>
      </c>
      <c r="F231" s="2072"/>
      <c r="G231" s="2071"/>
      <c r="H231" s="1127">
        <v>109625008</v>
      </c>
      <c r="I231" s="1128">
        <v>526797146</v>
      </c>
      <c r="J231" s="1128">
        <v>529540160</v>
      </c>
      <c r="K231" s="1128">
        <v>368273238</v>
      </c>
      <c r="L231" s="1128">
        <v>587074180</v>
      </c>
      <c r="M231" s="1128">
        <v>489916795</v>
      </c>
      <c r="N231" s="1128">
        <v>441775430</v>
      </c>
      <c r="O231" s="1128">
        <v>47566239</v>
      </c>
      <c r="P231" s="1128">
        <v>300115499</v>
      </c>
      <c r="Q231" s="2296" t="s">
        <v>185</v>
      </c>
      <c r="R231" s="2297" t="s">
        <v>69</v>
      </c>
      <c r="S231" s="2298">
        <v>1</v>
      </c>
      <c r="T231" s="2299">
        <v>39540</v>
      </c>
      <c r="U231" s="2300" t="s">
        <v>75</v>
      </c>
      <c r="V231" s="2300" t="s">
        <v>107</v>
      </c>
      <c r="W231" s="2295">
        <f ca="1">YEARFRAC(T231,W$6)</f>
        <v>6.0694444444444446</v>
      </c>
      <c r="X231" s="48"/>
    </row>
    <row r="232" spans="1:24" ht="12" customHeight="1">
      <c r="A232" s="48">
        <v>220</v>
      </c>
      <c r="B232" s="2037" t="s">
        <v>42</v>
      </c>
      <c r="C232" s="2066" t="s">
        <v>306</v>
      </c>
      <c r="D232" s="2061" t="s">
        <v>41</v>
      </c>
      <c r="E232" s="1125">
        <f>SUM(H232/H$11,I232/I$11,J232/J$11,K232/K$11,L232/L$11,M232/M$11,N232/N$11,O232/O$11,P232/P$11)/9*100</f>
        <v>146.98352549241014</v>
      </c>
      <c r="F232" s="2072"/>
      <c r="G232" s="2071"/>
      <c r="H232" s="1127">
        <v>132986742</v>
      </c>
      <c r="I232" s="1128">
        <v>563062912</v>
      </c>
      <c r="J232" s="1128">
        <v>503544407</v>
      </c>
      <c r="K232" s="1128">
        <v>349567461</v>
      </c>
      <c r="L232" s="1128">
        <v>591840817</v>
      </c>
      <c r="M232" s="1128">
        <v>486132392</v>
      </c>
      <c r="N232" s="1128">
        <v>389931824</v>
      </c>
      <c r="O232" s="1128">
        <v>50752127</v>
      </c>
      <c r="P232" s="1128">
        <v>269646169</v>
      </c>
      <c r="Q232" s="2296" t="s">
        <v>307</v>
      </c>
      <c r="R232" s="2297" t="s">
        <v>69</v>
      </c>
      <c r="S232" s="2298">
        <v>1</v>
      </c>
      <c r="T232" s="2331">
        <v>39448</v>
      </c>
      <c r="U232" s="2300" t="s">
        <v>174</v>
      </c>
      <c r="V232" s="2300" t="s">
        <v>308</v>
      </c>
      <c r="W232" s="2295">
        <f ca="1">YEARFRAC(T232,W$6)</f>
        <v>6.322222222222222</v>
      </c>
      <c r="X232" s="48">
        <v>220</v>
      </c>
    </row>
    <row r="233" spans="1:24" ht="12" customHeight="1">
      <c r="A233" s="48"/>
      <c r="B233" s="2184" t="s">
        <v>42</v>
      </c>
      <c r="C233" s="2200" t="s">
        <v>1653</v>
      </c>
      <c r="D233" s="2901"/>
      <c r="E233" s="1125">
        <f>SUM(H233/H$11,I233/I$11,J233/J$11,K233/K$11,L233/L$11,M233/M$11,N233/N$11,O233/O$11,P233/P$11)/9*100</f>
        <v>147.13312999452063</v>
      </c>
      <c r="F233" s="2287"/>
      <c r="G233" s="2287"/>
      <c r="H233" s="1163">
        <v>123205230</v>
      </c>
      <c r="I233" s="1146">
        <v>564307315</v>
      </c>
      <c r="J233" s="1146">
        <v>499786180</v>
      </c>
      <c r="K233" s="1146">
        <v>361191488</v>
      </c>
      <c r="L233" s="1146">
        <v>592539694</v>
      </c>
      <c r="M233" s="1146">
        <v>490983136</v>
      </c>
      <c r="N233" s="1146">
        <v>371594131</v>
      </c>
      <c r="O233" s="1146">
        <v>52384907</v>
      </c>
      <c r="P233" s="1146">
        <v>287835697</v>
      </c>
      <c r="Q233" s="2301" t="s">
        <v>276</v>
      </c>
      <c r="R233" s="2302" t="s">
        <v>69</v>
      </c>
      <c r="S233" s="2303">
        <v>1</v>
      </c>
      <c r="T233" s="2311">
        <v>39617</v>
      </c>
      <c r="U233" s="2304" t="s">
        <v>75</v>
      </c>
      <c r="V233" s="2304" t="s">
        <v>277</v>
      </c>
      <c r="W233" s="2305">
        <f ca="1">YEARFRAC(T233,W$6)</f>
        <v>5.8583333333333334</v>
      </c>
      <c r="X233" s="48"/>
    </row>
    <row r="234" spans="1:24" ht="12" customHeight="1">
      <c r="A234" s="48">
        <v>222</v>
      </c>
      <c r="B234" s="2040" t="s">
        <v>42</v>
      </c>
      <c r="C234" s="3244" t="s">
        <v>1919</v>
      </c>
      <c r="D234" s="2190"/>
      <c r="E234" s="1125">
        <f>SUM(H234/H$11,I234/I$11,J234/J$11,K234/K$11,L234/L$11,M234/M$11,N234/N$11,O234/O$11,P234/P$11)/9*100</f>
        <v>147.36647157195995</v>
      </c>
      <c r="F234" s="2259"/>
      <c r="G234" s="2259"/>
      <c r="H234" s="902">
        <v>128641104</v>
      </c>
      <c r="I234" s="1151">
        <v>561118105</v>
      </c>
      <c r="J234" s="1151">
        <v>499721298</v>
      </c>
      <c r="K234" s="1151">
        <v>353851100</v>
      </c>
      <c r="L234" s="1151">
        <v>593412205</v>
      </c>
      <c r="M234" s="1151">
        <v>487195849</v>
      </c>
      <c r="N234" s="1143">
        <v>390370758</v>
      </c>
      <c r="O234" s="1151">
        <v>50356677</v>
      </c>
      <c r="P234" s="1151">
        <v>284875451</v>
      </c>
      <c r="Q234" s="2306" t="s">
        <v>240</v>
      </c>
      <c r="R234" s="2330" t="s">
        <v>69</v>
      </c>
      <c r="S234" s="2307">
        <v>1</v>
      </c>
      <c r="T234" s="2308">
        <v>39719</v>
      </c>
      <c r="U234" s="2309" t="s">
        <v>197</v>
      </c>
      <c r="V234" s="2309" t="s">
        <v>107</v>
      </c>
      <c r="W234" s="2310">
        <f ca="1">YEARFRAC(T234,W$6)</f>
        <v>5.5805555555555557</v>
      </c>
      <c r="X234" s="48">
        <v>222</v>
      </c>
    </row>
    <row r="235" spans="1:24" ht="12" customHeight="1">
      <c r="A235" s="48"/>
      <c r="B235" s="2037" t="s">
        <v>42</v>
      </c>
      <c r="C235" s="2217" t="s">
        <v>303</v>
      </c>
      <c r="D235" s="2191"/>
      <c r="E235" s="1125">
        <f>SUM(H235/H$11,I235/I$11,J235/J$11,K235/K$11,L235/L$11,M235/M$11,N235/N$11,O235/O$11,P235/P$11)/9*100</f>
        <v>147.38405990288476</v>
      </c>
      <c r="F235" s="2072"/>
      <c r="G235" s="2071"/>
      <c r="H235" s="1128">
        <v>121119522</v>
      </c>
      <c r="I235" s="1128">
        <v>579242558</v>
      </c>
      <c r="J235" s="1128">
        <v>528982786</v>
      </c>
      <c r="K235" s="1128">
        <v>364315442</v>
      </c>
      <c r="L235" s="1128">
        <v>585896363</v>
      </c>
      <c r="M235" s="1128">
        <v>489921518</v>
      </c>
      <c r="N235" s="1128">
        <v>404632368</v>
      </c>
      <c r="O235" s="1128">
        <v>46880770</v>
      </c>
      <c r="P235" s="1128">
        <v>288321827</v>
      </c>
      <c r="Q235" s="2290" t="s">
        <v>304</v>
      </c>
      <c r="R235" s="2291" t="s">
        <v>69</v>
      </c>
      <c r="S235" s="2292">
        <v>1</v>
      </c>
      <c r="T235" s="2299">
        <v>39826</v>
      </c>
      <c r="U235" s="2294" t="s">
        <v>77</v>
      </c>
      <c r="V235" s="2294" t="s">
        <v>305</v>
      </c>
      <c r="W235" s="2295">
        <f ca="1">YEARFRAC(T235,W$6)</f>
        <v>5.2888888888888888</v>
      </c>
      <c r="X235" s="48"/>
    </row>
    <row r="236" spans="1:24" ht="12" customHeight="1">
      <c r="A236" s="48">
        <v>224</v>
      </c>
      <c r="B236" s="2037" t="s">
        <v>42</v>
      </c>
      <c r="C236" s="1304" t="s">
        <v>2139</v>
      </c>
      <c r="D236" s="2061"/>
      <c r="E236" s="1125">
        <f>SUM(H236/H$11,I236/I$11,J236/J$11,K236/K$11,L236/L$11,M236/M$11,N236/N$11,O236/O$11,P236/P$11)/9*100</f>
        <v>147.47120580716714</v>
      </c>
      <c r="F236" s="2070">
        <f>65.6+55.2+75.7+87.5+68.9+69+97.1+83.4+75.4</f>
        <v>677.8</v>
      </c>
      <c r="G236" s="2071"/>
      <c r="H236" s="1140">
        <v>126080999</v>
      </c>
      <c r="I236" s="1141">
        <v>573814138</v>
      </c>
      <c r="J236" s="1141">
        <v>531363220</v>
      </c>
      <c r="K236" s="1141">
        <v>357558039</v>
      </c>
      <c r="L236" s="1141">
        <v>589054933</v>
      </c>
      <c r="M236" s="1141">
        <v>488494018</v>
      </c>
      <c r="N236" s="1128">
        <v>440352548</v>
      </c>
      <c r="O236" s="1141">
        <v>45169753</v>
      </c>
      <c r="P236" s="1141">
        <v>271680632</v>
      </c>
      <c r="Q236" s="2296" t="s">
        <v>2140</v>
      </c>
      <c r="R236" s="2297" t="s">
        <v>65</v>
      </c>
      <c r="S236" s="2298">
        <v>1</v>
      </c>
      <c r="T236" s="2299">
        <v>41688</v>
      </c>
      <c r="U236" s="2300" t="s">
        <v>80</v>
      </c>
      <c r="V236" s="2300" t="s">
        <v>1883</v>
      </c>
      <c r="W236" s="2295">
        <f ca="1">YEARFRAC(T236,W$6)</f>
        <v>0.19166666666666668</v>
      </c>
      <c r="X236" s="48">
        <v>224</v>
      </c>
    </row>
    <row r="237" spans="1:24" ht="12" customHeight="1">
      <c r="A237" s="48"/>
      <c r="B237" s="3224" t="s">
        <v>1431</v>
      </c>
      <c r="C237" s="3281" t="s">
        <v>1729</v>
      </c>
      <c r="D237" s="3352"/>
      <c r="E237" s="1125">
        <f>SUM(H237/H$11,I237/I$11,J237/J$11,K237/K$11,L237/L$11,M237/M$11,N237/N$11,O237/O$11,P237/P$11)/9*100</f>
        <v>147.7516422169308</v>
      </c>
      <c r="F237" s="3415"/>
      <c r="G237" s="3415"/>
      <c r="H237" s="1144">
        <v>114984931</v>
      </c>
      <c r="I237" s="1145">
        <v>573584209</v>
      </c>
      <c r="J237" s="1145">
        <v>530284960</v>
      </c>
      <c r="K237" s="1145">
        <v>363810029</v>
      </c>
      <c r="L237" s="1145">
        <v>588684739</v>
      </c>
      <c r="M237" s="1145">
        <v>488608806</v>
      </c>
      <c r="N237" s="1146">
        <v>435273450</v>
      </c>
      <c r="O237" s="1145">
        <v>46774447</v>
      </c>
      <c r="P237" s="1145">
        <v>291792623</v>
      </c>
      <c r="Q237" s="3527" t="s">
        <v>154</v>
      </c>
      <c r="R237" s="3570" t="s">
        <v>69</v>
      </c>
      <c r="S237" s="3612">
        <v>1</v>
      </c>
      <c r="T237" s="3650">
        <v>36516</v>
      </c>
      <c r="U237" s="3681" t="s">
        <v>77</v>
      </c>
      <c r="V237" s="3681" t="s">
        <v>864</v>
      </c>
      <c r="W237" s="3704">
        <f ca="1">YEARFRAC(T237,W$6)</f>
        <v>14.347222222222221</v>
      </c>
      <c r="X237" s="48"/>
    </row>
    <row r="238" spans="1:24" ht="12" customHeight="1">
      <c r="A238" s="48">
        <v>226</v>
      </c>
      <c r="B238" s="2165" t="s">
        <v>1431</v>
      </c>
      <c r="C238" s="3245" t="s">
        <v>310</v>
      </c>
      <c r="D238" s="2712"/>
      <c r="E238" s="1125">
        <f>SUM(H238/H$11,I238/I$11,J238/J$11,K238/K$11,L238/L$11,M238/M$11,N238/N$11,O238/O$11,P238/P$11)/9*100</f>
        <v>147.76681871814648</v>
      </c>
      <c r="F238" s="2171"/>
      <c r="G238" s="2171"/>
      <c r="H238" s="902">
        <v>135296235</v>
      </c>
      <c r="I238" s="1143">
        <v>582648318</v>
      </c>
      <c r="J238" s="1143">
        <v>503706006</v>
      </c>
      <c r="K238" s="1143">
        <v>350127372</v>
      </c>
      <c r="L238" s="1143">
        <v>609160738</v>
      </c>
      <c r="M238" s="1143">
        <v>492148775</v>
      </c>
      <c r="N238" s="1143">
        <v>354961760</v>
      </c>
      <c r="O238" s="1143">
        <v>55851851</v>
      </c>
      <c r="P238" s="1151">
        <v>253911382</v>
      </c>
      <c r="Q238" s="2534" t="s">
        <v>311</v>
      </c>
      <c r="R238" s="2535" t="s">
        <v>69</v>
      </c>
      <c r="S238" s="2554">
        <v>1</v>
      </c>
      <c r="T238" s="2536">
        <v>35553</v>
      </c>
      <c r="U238" s="2537" t="s">
        <v>312</v>
      </c>
      <c r="V238" s="2537" t="s">
        <v>907</v>
      </c>
      <c r="W238" s="2538">
        <f ca="1">YEARFRAC(T238,W$6)</f>
        <v>16.983333333333334</v>
      </c>
      <c r="X238" s="48">
        <v>226</v>
      </c>
    </row>
    <row r="239" spans="1:24" ht="12" customHeight="1">
      <c r="A239" s="48"/>
      <c r="B239" s="2113" t="s">
        <v>1431</v>
      </c>
      <c r="C239" s="2882" t="s">
        <v>315</v>
      </c>
      <c r="D239" s="2157"/>
      <c r="E239" s="1125">
        <f>SUM(H239/H$11,I239/I$11,J239/J$11,K239/K$11,L239/L$11,M239/M$11,N239/N$11,O239/O$11,P239/P$11)/9*100</f>
        <v>148.09762914414193</v>
      </c>
      <c r="F239" s="3416"/>
      <c r="G239" s="3470"/>
      <c r="H239" s="1127">
        <v>113267053</v>
      </c>
      <c r="I239" s="1128">
        <v>573588289</v>
      </c>
      <c r="J239" s="1128">
        <v>530282802</v>
      </c>
      <c r="K239" s="1128">
        <v>363814953</v>
      </c>
      <c r="L239" s="1128">
        <v>588684449</v>
      </c>
      <c r="M239" s="1128">
        <v>488608422</v>
      </c>
      <c r="N239" s="1128">
        <v>435272370</v>
      </c>
      <c r="O239" s="1128">
        <v>48497803</v>
      </c>
      <c r="P239" s="1128">
        <v>291794075</v>
      </c>
      <c r="Q239" s="2522" t="s">
        <v>154</v>
      </c>
      <c r="R239" s="2523" t="s">
        <v>145</v>
      </c>
      <c r="S239" s="2524">
        <v>1</v>
      </c>
      <c r="T239" s="2525">
        <v>35977</v>
      </c>
      <c r="U239" s="2526" t="s">
        <v>77</v>
      </c>
      <c r="V239" s="2526" t="s">
        <v>314</v>
      </c>
      <c r="W239" s="2527">
        <f ca="1">YEARFRAC(T239,W$6)</f>
        <v>15.822222222222223</v>
      </c>
      <c r="X239" s="48"/>
    </row>
    <row r="240" spans="1:24" ht="12" customHeight="1">
      <c r="A240" s="48">
        <v>228</v>
      </c>
      <c r="B240" s="2107" t="s">
        <v>42</v>
      </c>
      <c r="C240" s="2108" t="s">
        <v>1580</v>
      </c>
      <c r="D240" s="2160" t="s">
        <v>41</v>
      </c>
      <c r="E240" s="1125">
        <f>SUM(H240/H$11,I240/I$11,J240/J$11,K240/K$11,L240/L$11,M240/M$11,N240/N$11,O240/O$11,P240/P$11)/9*100</f>
        <v>148.41446996210931</v>
      </c>
      <c r="F240" s="2169"/>
      <c r="G240" s="2170"/>
      <c r="H240" s="1127">
        <v>113365154</v>
      </c>
      <c r="I240" s="1128">
        <v>552114298</v>
      </c>
      <c r="J240" s="1128">
        <v>529652896</v>
      </c>
      <c r="K240" s="1128">
        <v>370464774</v>
      </c>
      <c r="L240" s="1128">
        <v>587875931</v>
      </c>
      <c r="M240" s="1128">
        <v>490009961</v>
      </c>
      <c r="N240" s="1128">
        <v>439654316</v>
      </c>
      <c r="O240" s="1128">
        <v>47893821</v>
      </c>
      <c r="P240" s="1128">
        <v>301908844</v>
      </c>
      <c r="Q240" s="2522" t="s">
        <v>164</v>
      </c>
      <c r="R240" s="2523" t="s">
        <v>69</v>
      </c>
      <c r="S240" s="3589">
        <v>4</v>
      </c>
      <c r="T240" s="2525">
        <v>39551</v>
      </c>
      <c r="U240" s="2526" t="s">
        <v>75</v>
      </c>
      <c r="V240" s="2526" t="s">
        <v>165</v>
      </c>
      <c r="W240" s="2527">
        <f ca="1">YEARFRAC(T240,W$6)</f>
        <v>6.0388888888888888</v>
      </c>
      <c r="X240" s="48">
        <v>228</v>
      </c>
    </row>
    <row r="241" spans="1:24" ht="12" customHeight="1">
      <c r="A241" s="48"/>
      <c r="B241" s="2158" t="s">
        <v>1431</v>
      </c>
      <c r="C241" s="3282" t="s">
        <v>822</v>
      </c>
      <c r="D241" s="2166" t="s">
        <v>41</v>
      </c>
      <c r="E241" s="1125">
        <f>SUM(H241/H$11,I241/I$11,J241/J$11,K241/K$11,L241/L$11,M241/M$11,N241/N$11,O241/O$11,P241/P$11)/9*100</f>
        <v>149.00049594515278</v>
      </c>
      <c r="F241" s="2177"/>
      <c r="G241" s="2177"/>
      <c r="H241" s="1144">
        <v>129910596</v>
      </c>
      <c r="I241" s="1145">
        <v>514253250</v>
      </c>
      <c r="J241" s="1145">
        <v>519639028</v>
      </c>
      <c r="K241" s="1145">
        <v>379350358</v>
      </c>
      <c r="L241" s="1145">
        <v>593149296</v>
      </c>
      <c r="M241" s="1145">
        <v>489318744</v>
      </c>
      <c r="N241" s="1146">
        <v>356461434</v>
      </c>
      <c r="O241" s="1145">
        <v>52740720</v>
      </c>
      <c r="P241" s="1145">
        <v>310403084</v>
      </c>
      <c r="Q241" s="2528" t="s">
        <v>309</v>
      </c>
      <c r="R241" s="2529" t="s">
        <v>145</v>
      </c>
      <c r="S241" s="2530">
        <v>1</v>
      </c>
      <c r="T241" s="2531">
        <v>34851</v>
      </c>
      <c r="U241" s="2532" t="s">
        <v>285</v>
      </c>
      <c r="V241" s="2532" t="s">
        <v>905</v>
      </c>
      <c r="W241" s="2533">
        <f ca="1">YEARFRAC(T241,W$6)</f>
        <v>18.905555555555555</v>
      </c>
      <c r="X241" s="48"/>
    </row>
    <row r="242" spans="1:24" ht="12" customHeight="1">
      <c r="A242" s="48">
        <v>230</v>
      </c>
      <c r="B242" s="2121" t="s">
        <v>42</v>
      </c>
      <c r="C242" s="2899" t="s">
        <v>824</v>
      </c>
      <c r="D242" s="2123" t="s">
        <v>41</v>
      </c>
      <c r="E242" s="1125">
        <f>SUM(H242/H$11,I242/I$11,J242/J$11,K242/K$11,L242/L$11,M242/M$11,N242/N$11,O242/O$11,P242/P$11)/9*100</f>
        <v>149.69173201198441</v>
      </c>
      <c r="F242" s="3009">
        <f>3778+1772+1406+1190+2166+1697+923+5260+671</f>
        <v>18863</v>
      </c>
      <c r="G242" s="2171"/>
      <c r="H242" s="907">
        <v>132361955</v>
      </c>
      <c r="I242" s="1143">
        <v>569599932</v>
      </c>
      <c r="J242" s="1143">
        <v>511972375</v>
      </c>
      <c r="K242" s="1143">
        <v>341904923</v>
      </c>
      <c r="L242" s="1143">
        <v>596833844</v>
      </c>
      <c r="M242" s="1143">
        <v>490312383</v>
      </c>
      <c r="N242" s="1143">
        <v>398305266</v>
      </c>
      <c r="O242" s="1143">
        <v>55378737</v>
      </c>
      <c r="P242" s="1143">
        <v>275873372</v>
      </c>
      <c r="Q242" s="2534" t="s">
        <v>317</v>
      </c>
      <c r="R242" s="2535" t="s">
        <v>69</v>
      </c>
      <c r="S242" s="2554">
        <v>1</v>
      </c>
      <c r="T242" s="3010">
        <v>34711</v>
      </c>
      <c r="U242" s="2537" t="s">
        <v>73</v>
      </c>
      <c r="V242" s="2537" t="s">
        <v>2068</v>
      </c>
      <c r="W242" s="2538">
        <f ca="1">YEARFRAC(T242,W$6)</f>
        <v>19.291666666666668</v>
      </c>
      <c r="X242" s="48">
        <v>230</v>
      </c>
    </row>
    <row r="243" spans="1:24" ht="12" customHeight="1">
      <c r="A243" s="48"/>
      <c r="B243" s="2124" t="s">
        <v>42</v>
      </c>
      <c r="C243" s="2127" t="s">
        <v>886</v>
      </c>
      <c r="D243" s="2713"/>
      <c r="E243" s="1125">
        <f>SUM(H243/H$11,I243/I$11,J243/J$11,K243/K$11,L243/L$11,M243/M$11,N243/N$11,O243/O$11,P243/P$11)/9*100</f>
        <v>149.844200835447</v>
      </c>
      <c r="F243" s="2175"/>
      <c r="G243" s="2176"/>
      <c r="H243" s="1140">
        <v>126987113</v>
      </c>
      <c r="I243" s="1128">
        <v>572837639</v>
      </c>
      <c r="J243" s="1141">
        <v>530765416</v>
      </c>
      <c r="K243" s="1141">
        <v>379523449</v>
      </c>
      <c r="L243" s="1141">
        <v>591417913</v>
      </c>
      <c r="M243" s="1141">
        <v>487494148</v>
      </c>
      <c r="N243" s="1128">
        <v>345286247</v>
      </c>
      <c r="O243" s="1141">
        <v>52555563</v>
      </c>
      <c r="P243" s="1141">
        <v>307212064</v>
      </c>
      <c r="Q243" s="2548" t="s">
        <v>877</v>
      </c>
      <c r="R243" s="2549" t="s">
        <v>145</v>
      </c>
      <c r="S243" s="2550">
        <v>1</v>
      </c>
      <c r="T243" s="2551">
        <v>36371</v>
      </c>
      <c r="U243" s="2552" t="s">
        <v>75</v>
      </c>
      <c r="V243" s="2552" t="s">
        <v>2064</v>
      </c>
      <c r="W243" s="2527">
        <f ca="1">YEARFRAC(T243,W$6)</f>
        <v>14.741666666666667</v>
      </c>
      <c r="X243" s="48"/>
    </row>
    <row r="244" spans="1:24" ht="12" customHeight="1">
      <c r="A244" s="48">
        <v>232</v>
      </c>
      <c r="B244" s="2124" t="s">
        <v>42</v>
      </c>
      <c r="C244" s="2127" t="s">
        <v>1598</v>
      </c>
      <c r="D244" s="2714"/>
      <c r="E244" s="1125">
        <f>SUM(H244/H$11,I244/I$11,J244/J$11,K244/K$11,L244/L$11,M244/M$11,N244/N$11,O244/O$11,P244/P$11)/9*100</f>
        <v>150.30246468814877</v>
      </c>
      <c r="F244" s="2175"/>
      <c r="G244" s="2176"/>
      <c r="H244" s="1140">
        <v>134090584</v>
      </c>
      <c r="I244" s="1141">
        <v>570351649</v>
      </c>
      <c r="J244" s="1141">
        <v>534251008</v>
      </c>
      <c r="K244" s="1141">
        <v>342905475</v>
      </c>
      <c r="L244" s="1141">
        <v>596889737</v>
      </c>
      <c r="M244" s="1141">
        <v>490886780</v>
      </c>
      <c r="N244" s="1128">
        <v>402267633</v>
      </c>
      <c r="O244" s="1141">
        <v>53043904</v>
      </c>
      <c r="P244" s="1141">
        <v>280915604</v>
      </c>
      <c r="Q244" s="2548" t="s">
        <v>317</v>
      </c>
      <c r="R244" s="2549" t="s">
        <v>145</v>
      </c>
      <c r="S244" s="2550">
        <v>1</v>
      </c>
      <c r="T244" s="2551">
        <v>36270</v>
      </c>
      <c r="U244" s="2552" t="s">
        <v>236</v>
      </c>
      <c r="V244" s="2552" t="s">
        <v>2068</v>
      </c>
      <c r="W244" s="2527">
        <f ca="1">YEARFRAC(T244,W$6)</f>
        <v>15.019444444444444</v>
      </c>
      <c r="X244" s="48">
        <v>232</v>
      </c>
    </row>
    <row r="245" spans="1:24" ht="12" customHeight="1">
      <c r="A245" s="48"/>
      <c r="B245" s="2161" t="s">
        <v>42</v>
      </c>
      <c r="C245" s="2954" t="s">
        <v>2121</v>
      </c>
      <c r="D245" s="2166" t="s">
        <v>41</v>
      </c>
      <c r="E245" s="1125">
        <f>SUM(H245/H$11,I245/I$11,J245/J$11,K245/K$11,L245/L$11,M245/M$11,N245/N$11,O245/O$11,P245/P$11)/9*100</f>
        <v>150.59401226142987</v>
      </c>
      <c r="F245" s="2718">
        <f>22+125+112+73+144+121+103+8+83</f>
        <v>791</v>
      </c>
      <c r="G245" s="2173"/>
      <c r="H245" s="1163">
        <v>128134732</v>
      </c>
      <c r="I245" s="1146">
        <v>579775902</v>
      </c>
      <c r="J245" s="1146">
        <v>539825963</v>
      </c>
      <c r="K245" s="1146">
        <v>365205490</v>
      </c>
      <c r="L245" s="1146">
        <v>603650858</v>
      </c>
      <c r="M245" s="1146">
        <v>498817179</v>
      </c>
      <c r="N245" s="1146">
        <v>452438588</v>
      </c>
      <c r="O245" s="1146">
        <v>45991052</v>
      </c>
      <c r="P245" s="1146">
        <v>280824880</v>
      </c>
      <c r="Q245" s="2539" t="s">
        <v>2119</v>
      </c>
      <c r="R245" s="3571" t="s">
        <v>65</v>
      </c>
      <c r="S245" s="2540">
        <v>1</v>
      </c>
      <c r="T245" s="2541">
        <v>41637</v>
      </c>
      <c r="U245" s="2542" t="s">
        <v>78</v>
      </c>
      <c r="V245" s="2542" t="s">
        <v>2120</v>
      </c>
      <c r="W245" s="2533">
        <f ca="1">YEARFRAC(T245,W$6)</f>
        <v>0.32777777777777778</v>
      </c>
      <c r="X245" s="48"/>
    </row>
    <row r="246" spans="1:24" ht="12" customHeight="1">
      <c r="A246" s="48">
        <v>234</v>
      </c>
      <c r="B246" s="2121" t="s">
        <v>42</v>
      </c>
      <c r="C246" s="2159" t="s">
        <v>1731</v>
      </c>
      <c r="D246" s="2712"/>
      <c r="E246" s="1125">
        <f>SUM(H246/H$11,I246/I$11,J246/J$11,K246/K$11,L246/L$11,M246/M$11,N246/N$11,O246/O$11,P246/P$11)/9*100</f>
        <v>151.00999950519989</v>
      </c>
      <c r="F246" s="2171"/>
      <c r="G246" s="2171"/>
      <c r="H246" s="902">
        <v>125077776</v>
      </c>
      <c r="I246" s="1151">
        <v>571804640</v>
      </c>
      <c r="J246" s="1151">
        <v>533774823</v>
      </c>
      <c r="K246" s="1151">
        <v>365560640</v>
      </c>
      <c r="L246" s="1151">
        <v>588188604</v>
      </c>
      <c r="M246" s="1151">
        <v>489781176</v>
      </c>
      <c r="N246" s="1143">
        <v>454795439</v>
      </c>
      <c r="O246" s="1151">
        <v>51498310</v>
      </c>
      <c r="P246" s="1151">
        <v>277858193</v>
      </c>
      <c r="Q246" s="2534" t="s">
        <v>326</v>
      </c>
      <c r="R246" s="2535" t="s">
        <v>69</v>
      </c>
      <c r="S246" s="2554">
        <v>1</v>
      </c>
      <c r="T246" s="2536">
        <v>35653</v>
      </c>
      <c r="U246" s="2537" t="s">
        <v>80</v>
      </c>
      <c r="V246" s="2537" t="s">
        <v>118</v>
      </c>
      <c r="W246" s="2538">
        <f ca="1">YEARFRAC(T246,W$6)</f>
        <v>16.711111111111112</v>
      </c>
      <c r="X246" s="48">
        <v>234</v>
      </c>
    </row>
    <row r="247" spans="1:24" ht="12" customHeight="1">
      <c r="A247" s="48"/>
      <c r="B247" s="2124" t="s">
        <v>42</v>
      </c>
      <c r="C247" s="3053" t="s">
        <v>1730</v>
      </c>
      <c r="D247" s="2160" t="s">
        <v>41</v>
      </c>
      <c r="E247" s="1125">
        <f>SUM(H247/H$11,I247/I$11,J247/J$11,K247/K$11,L247/L$11,M247/M$11,N247/N$11,O247/O$11,P247/P$11)/9*100</f>
        <v>151.12003026357343</v>
      </c>
      <c r="F247" s="2175"/>
      <c r="G247" s="2176"/>
      <c r="H247" s="1127">
        <v>184719119</v>
      </c>
      <c r="I247" s="1141">
        <v>568154153</v>
      </c>
      <c r="J247" s="1128">
        <v>565514093</v>
      </c>
      <c r="K247" s="1128">
        <v>420438761</v>
      </c>
      <c r="L247" s="1128">
        <v>590141390</v>
      </c>
      <c r="M247" s="1128">
        <v>509723756</v>
      </c>
      <c r="N247" s="1128">
        <v>341268733</v>
      </c>
      <c r="O247" s="1128">
        <v>41767324</v>
      </c>
      <c r="P247" s="1128">
        <v>213572518</v>
      </c>
      <c r="Q247" s="2548" t="s">
        <v>628</v>
      </c>
      <c r="R247" s="2549" t="s">
        <v>69</v>
      </c>
      <c r="S247" s="2550">
        <v>1</v>
      </c>
      <c r="T247" s="2551">
        <v>35566</v>
      </c>
      <c r="U247" s="2552" t="s">
        <v>80</v>
      </c>
      <c r="V247" s="2552" t="s">
        <v>627</v>
      </c>
      <c r="W247" s="2527">
        <f ca="1">YEARFRAC(T247,W$6)</f>
        <v>16.947222222222223</v>
      </c>
      <c r="X247" s="48"/>
    </row>
    <row r="248" spans="1:24" ht="12" customHeight="1">
      <c r="A248" s="48">
        <v>236</v>
      </c>
      <c r="B248" s="2124" t="s">
        <v>42</v>
      </c>
      <c r="C248" s="2880" t="s">
        <v>1732</v>
      </c>
      <c r="D248" s="2713"/>
      <c r="E248" s="1125">
        <f>SUM(H248/H$11,I248/I$11,J248/J$11,K248/K$11,L248/L$11,M248/M$11,N248/N$11,O248/O$11,P248/P$11)/9*100</f>
        <v>151.64461672597957</v>
      </c>
      <c r="F248" s="2169"/>
      <c r="G248" s="2170"/>
      <c r="H248" s="1128">
        <v>122032252</v>
      </c>
      <c r="I248" s="1141">
        <v>572867052</v>
      </c>
      <c r="J248" s="1128">
        <v>530855292</v>
      </c>
      <c r="K248" s="1128">
        <v>382712892</v>
      </c>
      <c r="L248" s="1128">
        <v>586241020</v>
      </c>
      <c r="M248" s="1128">
        <v>488600384</v>
      </c>
      <c r="N248" s="1128">
        <v>448934400</v>
      </c>
      <c r="O248" s="1128">
        <v>46870900</v>
      </c>
      <c r="P248" s="1128">
        <v>310814804</v>
      </c>
      <c r="Q248" s="2548" t="s">
        <v>318</v>
      </c>
      <c r="R248" s="2549" t="s">
        <v>69</v>
      </c>
      <c r="S248" s="2550">
        <v>1</v>
      </c>
      <c r="T248" s="2551">
        <v>39317</v>
      </c>
      <c r="U248" s="2552" t="s">
        <v>319</v>
      </c>
      <c r="V248" s="2552" t="s">
        <v>320</v>
      </c>
      <c r="W248" s="2527">
        <f ca="1">YEARFRAC(T248,W$6)</f>
        <v>6.677777777777778</v>
      </c>
      <c r="X248" s="48">
        <v>236</v>
      </c>
    </row>
    <row r="249" spans="1:24" ht="12" customHeight="1">
      <c r="A249" s="48"/>
      <c r="B249" s="2161" t="s">
        <v>42</v>
      </c>
      <c r="C249" s="2707" t="s">
        <v>1395</v>
      </c>
      <c r="D249" s="2166" t="s">
        <v>41</v>
      </c>
      <c r="E249" s="1125">
        <f>SUM(H249/H$11,I249/I$11,J249/J$11,K249/K$11,L249/L$11,M249/M$11,N249/N$11,O249/O$11,P249/P$11)/9*100</f>
        <v>152.25993241437911</v>
      </c>
      <c r="F249" s="2718">
        <f>3006+2045+2057+2107+1961+1528+2036+794+2677</f>
        <v>18211</v>
      </c>
      <c r="G249" s="2718"/>
      <c r="H249" s="1163">
        <v>125226684</v>
      </c>
      <c r="I249" s="1146">
        <v>592687961</v>
      </c>
      <c r="J249" s="1146">
        <v>542178672</v>
      </c>
      <c r="K249" s="1146">
        <v>364442031</v>
      </c>
      <c r="L249" s="1146">
        <v>589369343</v>
      </c>
      <c r="M249" s="1146">
        <v>493608318</v>
      </c>
      <c r="N249" s="1146">
        <v>458378688</v>
      </c>
      <c r="O249" s="1146">
        <v>48557820</v>
      </c>
      <c r="P249" s="1146">
        <v>293773926</v>
      </c>
      <c r="Q249" s="2539" t="s">
        <v>1394</v>
      </c>
      <c r="R249" s="2180" t="s">
        <v>69</v>
      </c>
      <c r="S249" s="2540">
        <v>1</v>
      </c>
      <c r="T249" s="2541">
        <v>39420</v>
      </c>
      <c r="U249" s="2542" t="s">
        <v>77</v>
      </c>
      <c r="V249" s="2542" t="s">
        <v>308</v>
      </c>
      <c r="W249" s="2533">
        <f ca="1">YEARFRAC(T249,W$6)</f>
        <v>6.3972222222222221</v>
      </c>
      <c r="X249" s="48"/>
    </row>
    <row r="250" spans="1:24" ht="12" customHeight="1">
      <c r="A250" s="48">
        <v>238</v>
      </c>
      <c r="B250" s="2165" t="s">
        <v>1431</v>
      </c>
      <c r="C250" s="2159" t="s">
        <v>324</v>
      </c>
      <c r="D250" s="2990"/>
      <c r="E250" s="1125">
        <f>SUM(H250/H$11,I250/I$11,J250/J$11,K250/K$11,L250/L$11,M250/M$11,N250/N$11,O250/O$11,P250/P$11)/9*100</f>
        <v>152.92091703715477</v>
      </c>
      <c r="F250" s="2171"/>
      <c r="G250" s="2171"/>
      <c r="H250" s="902">
        <v>124664755</v>
      </c>
      <c r="I250" s="1151">
        <v>569383818</v>
      </c>
      <c r="J250" s="1151">
        <v>528151681</v>
      </c>
      <c r="K250" s="1151">
        <v>378246404</v>
      </c>
      <c r="L250" s="1151">
        <v>591305957</v>
      </c>
      <c r="M250" s="1151">
        <v>486929447</v>
      </c>
      <c r="N250" s="1143">
        <v>441529280</v>
      </c>
      <c r="O250" s="1143">
        <v>52104095</v>
      </c>
      <c r="P250" s="1151">
        <v>304817372</v>
      </c>
      <c r="Q250" s="2534" t="s">
        <v>325</v>
      </c>
      <c r="R250" s="2535" t="s">
        <v>69</v>
      </c>
      <c r="S250" s="2554">
        <v>1</v>
      </c>
      <c r="T250" s="2536">
        <v>36766</v>
      </c>
      <c r="U250" s="2537" t="s">
        <v>75</v>
      </c>
      <c r="V250" s="2537" t="s">
        <v>314</v>
      </c>
      <c r="W250" s="2538">
        <f ca="1">YEARFRAC(T250,W$6)</f>
        <v>13.66388888888889</v>
      </c>
      <c r="X250" s="48">
        <v>238</v>
      </c>
    </row>
    <row r="251" spans="1:24" ht="12" customHeight="1">
      <c r="A251" s="48"/>
      <c r="B251" s="2124" t="s">
        <v>42</v>
      </c>
      <c r="C251" s="2120" t="s">
        <v>1404</v>
      </c>
      <c r="D251" s="2160" t="s">
        <v>41</v>
      </c>
      <c r="E251" s="1125">
        <f>SUM(H251/H$11,I251/I$11,J251/J$11,K251/K$11,L251/L$11,M251/M$11,N251/N$11,O251/O$11,P251/P$11)/9*100</f>
        <v>153.39176621176617</v>
      </c>
      <c r="F251" s="2178">
        <f>34.3+168.01+173.98+108.4+109.6+90.3+146.2+18.8+140.7</f>
        <v>990.29</v>
      </c>
      <c r="G251" s="2179"/>
      <c r="H251" s="1127">
        <v>124576501</v>
      </c>
      <c r="I251" s="1128">
        <v>599297584</v>
      </c>
      <c r="J251" s="1128">
        <v>549182671</v>
      </c>
      <c r="K251" s="1128">
        <v>371911997</v>
      </c>
      <c r="L251" s="1128">
        <v>582357437</v>
      </c>
      <c r="M251" s="1128">
        <v>488786885</v>
      </c>
      <c r="N251" s="1128">
        <v>467498307</v>
      </c>
      <c r="O251" s="1128">
        <v>47829036</v>
      </c>
      <c r="P251" s="1128">
        <v>303134539</v>
      </c>
      <c r="Q251" s="2548" t="s">
        <v>1403</v>
      </c>
      <c r="R251" s="2553" t="s">
        <v>69</v>
      </c>
      <c r="S251" s="2550">
        <v>1</v>
      </c>
      <c r="T251" s="2551">
        <v>41192</v>
      </c>
      <c r="U251" s="2552" t="s">
        <v>80</v>
      </c>
      <c r="V251" s="2552" t="s">
        <v>314</v>
      </c>
      <c r="W251" s="2527">
        <f ca="1">YEARFRAC(T251,W$6)</f>
        <v>1.5472222222222223</v>
      </c>
      <c r="X251" s="48"/>
    </row>
    <row r="252" spans="1:24" ht="12" customHeight="1">
      <c r="A252" s="48">
        <v>240</v>
      </c>
      <c r="B252" s="2124" t="s">
        <v>42</v>
      </c>
      <c r="C252" s="2127" t="s">
        <v>321</v>
      </c>
      <c r="D252" s="2713"/>
      <c r="E252" s="1125">
        <f>SUM(H252/H$11,I252/I$11,J252/J$11,K252/K$11,L252/L$11,M252/M$11,N252/N$11,O252/O$11,P252/P$11)/9*100</f>
        <v>153.39515973514801</v>
      </c>
      <c r="F252" s="2169"/>
      <c r="G252" s="2170"/>
      <c r="H252" s="1140">
        <v>126037228</v>
      </c>
      <c r="I252" s="1141">
        <v>544315793</v>
      </c>
      <c r="J252" s="1141">
        <v>531799352</v>
      </c>
      <c r="K252" s="1141">
        <v>394674714</v>
      </c>
      <c r="L252" s="1141">
        <v>592367033</v>
      </c>
      <c r="M252" s="1141">
        <v>488980573</v>
      </c>
      <c r="N252" s="1128">
        <v>451536806</v>
      </c>
      <c r="O252" s="1141">
        <v>47917297</v>
      </c>
      <c r="P252" s="1141">
        <v>322436582</v>
      </c>
      <c r="Q252" s="2522" t="s">
        <v>322</v>
      </c>
      <c r="R252" s="2523" t="s">
        <v>145</v>
      </c>
      <c r="S252" s="2524">
        <v>1</v>
      </c>
      <c r="T252" s="2525">
        <v>34943</v>
      </c>
      <c r="U252" s="2526" t="s">
        <v>323</v>
      </c>
      <c r="V252" s="2526" t="s">
        <v>2065</v>
      </c>
      <c r="W252" s="2527">
        <f ca="1">YEARFRAC(T252,W$6)</f>
        <v>18.655555555555555</v>
      </c>
      <c r="X252" s="48">
        <v>240</v>
      </c>
    </row>
    <row r="253" spans="1:24" ht="12" customHeight="1">
      <c r="A253" s="48"/>
      <c r="B253" s="2161" t="s">
        <v>42</v>
      </c>
      <c r="C253" s="3283" t="s">
        <v>327</v>
      </c>
      <c r="D253" s="3353"/>
      <c r="E253" s="1125">
        <f>SUM(H253/H$11,I253/I$11,J253/J$11,K253/K$11,L253/L$11,M253/M$11,N253/N$11,O253/O$11,P253/P$11)/9*100</f>
        <v>153.854634552052</v>
      </c>
      <c r="F253" s="2173"/>
      <c r="G253" s="2173"/>
      <c r="H253" s="1163">
        <v>129118947</v>
      </c>
      <c r="I253" s="1146">
        <v>576231616</v>
      </c>
      <c r="J253" s="1146">
        <v>529736997</v>
      </c>
      <c r="K253" s="1145">
        <v>377549924</v>
      </c>
      <c r="L253" s="1145">
        <v>594090706</v>
      </c>
      <c r="M253" s="1146">
        <v>490825485</v>
      </c>
      <c r="N253" s="1146">
        <v>459546746</v>
      </c>
      <c r="O253" s="1146">
        <v>49004918</v>
      </c>
      <c r="P253" s="1146">
        <v>307324028</v>
      </c>
      <c r="Q253" s="2528" t="s">
        <v>316</v>
      </c>
      <c r="R253" s="2529" t="s">
        <v>69</v>
      </c>
      <c r="S253" s="2530">
        <v>1</v>
      </c>
      <c r="T253" s="2541">
        <v>39575</v>
      </c>
      <c r="U253" s="2532" t="s">
        <v>77</v>
      </c>
      <c r="V253" s="2532" t="s">
        <v>305</v>
      </c>
      <c r="W253" s="2533">
        <f ca="1">YEARFRAC(T253,W$6)</f>
        <v>5.9722222222222223</v>
      </c>
      <c r="X253" s="48"/>
    </row>
    <row r="254" spans="1:24" ht="12" customHeight="1">
      <c r="A254" s="48">
        <v>242</v>
      </c>
      <c r="B254" s="2125" t="s">
        <v>42</v>
      </c>
      <c r="C254" s="2881" t="s">
        <v>1405</v>
      </c>
      <c r="D254" s="2123" t="s">
        <v>41</v>
      </c>
      <c r="E254" s="1125">
        <f>SUM(H254/H$11,I254/I$11,J254/J$11,K254/K$11,L254/L$11,M254/M$11,N254/N$11,O254/O$11,P254/P$11)/9*100</f>
        <v>154.67601363845847</v>
      </c>
      <c r="F254" s="3381">
        <f>176+744+651+395+622+516+480+86+402</f>
        <v>4072</v>
      </c>
      <c r="G254" s="3381"/>
      <c r="H254" s="902">
        <v>150595241</v>
      </c>
      <c r="I254" s="1151">
        <v>589439845</v>
      </c>
      <c r="J254" s="1151">
        <v>515649453</v>
      </c>
      <c r="K254" s="1151">
        <v>348535101</v>
      </c>
      <c r="L254" s="1151">
        <v>603070573</v>
      </c>
      <c r="M254" s="1151">
        <v>492959669</v>
      </c>
      <c r="N254" s="1143">
        <v>377805449</v>
      </c>
      <c r="O254" s="1151">
        <v>59089449</v>
      </c>
      <c r="P254" s="1151">
        <v>280170313</v>
      </c>
      <c r="Q254" s="2543" t="s">
        <v>1407</v>
      </c>
      <c r="R254" s="3542" t="s">
        <v>65</v>
      </c>
      <c r="S254" s="2545">
        <v>1</v>
      </c>
      <c r="T254" s="2546">
        <v>40890</v>
      </c>
      <c r="U254" s="2547" t="s">
        <v>464</v>
      </c>
      <c r="V254" s="2547" t="s">
        <v>1406</v>
      </c>
      <c r="W254" s="2538">
        <f ca="1">YEARFRAC(T254,W$6)</f>
        <v>2.3722222222222222</v>
      </c>
      <c r="X254" s="48">
        <v>242</v>
      </c>
    </row>
    <row r="255" spans="1:24" ht="12" customHeight="1">
      <c r="A255" s="48"/>
      <c r="B255" s="2162" t="s">
        <v>42</v>
      </c>
      <c r="C255" s="3053" t="s">
        <v>1733</v>
      </c>
      <c r="D255" s="3354"/>
      <c r="E255" s="1125">
        <f>SUM(H255/H$11,I255/I$11,J255/J$11,K255/K$11,L255/L$11,M255/M$11,N255/N$11,O255/O$11,P255/P$11)/9*100</f>
        <v>154.82936990857758</v>
      </c>
      <c r="F255" s="3417"/>
      <c r="G255" s="3471"/>
      <c r="H255" s="1127">
        <v>131502022</v>
      </c>
      <c r="I255" s="1141">
        <v>578317805</v>
      </c>
      <c r="J255" s="1141">
        <v>534158509</v>
      </c>
      <c r="K255" s="1128">
        <v>368927074</v>
      </c>
      <c r="L255" s="1141">
        <v>588145482</v>
      </c>
      <c r="M255" s="1128">
        <v>487951181</v>
      </c>
      <c r="N255" s="1128">
        <v>450558018</v>
      </c>
      <c r="O255" s="1128">
        <v>51264391</v>
      </c>
      <c r="P255" s="1128">
        <v>314459996</v>
      </c>
      <c r="Q255" s="3528" t="s">
        <v>631</v>
      </c>
      <c r="R255" s="3572" t="s">
        <v>69</v>
      </c>
      <c r="S255" s="3613">
        <v>1</v>
      </c>
      <c r="T255" s="3651">
        <v>40290</v>
      </c>
      <c r="U255" s="3682" t="s">
        <v>206</v>
      </c>
      <c r="V255" s="3682" t="s">
        <v>1883</v>
      </c>
      <c r="W255" s="2527">
        <f ca="1">YEARFRAC(T255,W$6)</f>
        <v>4.0138888888888893</v>
      </c>
      <c r="X255" s="48"/>
    </row>
    <row r="256" spans="1:24" ht="12" customHeight="1">
      <c r="A256" s="48">
        <v>244</v>
      </c>
      <c r="B256" s="2107" t="s">
        <v>42</v>
      </c>
      <c r="C256" s="2108" t="s">
        <v>1734</v>
      </c>
      <c r="D256" s="2157"/>
      <c r="E256" s="1125">
        <f>SUM(H256/H$11,I256/I$11,J256/J$11,K256/K$11,L256/L$11,M256/M$11,N256/N$11,O256/O$11,P256/P$11)/9*100</f>
        <v>155.09995066971868</v>
      </c>
      <c r="F256" s="2169"/>
      <c r="G256" s="2170"/>
      <c r="H256" s="1127">
        <v>132799561</v>
      </c>
      <c r="I256" s="1128">
        <v>572240377</v>
      </c>
      <c r="J256" s="1128">
        <v>528590987</v>
      </c>
      <c r="K256" s="1128">
        <v>379614714</v>
      </c>
      <c r="L256" s="1128">
        <v>591526180</v>
      </c>
      <c r="M256" s="1128">
        <v>487658896</v>
      </c>
      <c r="N256" s="1128">
        <v>439676186</v>
      </c>
      <c r="O256" s="1128">
        <v>53221795</v>
      </c>
      <c r="P256" s="1128">
        <v>309456079</v>
      </c>
      <c r="Q256" s="2522" t="s">
        <v>120</v>
      </c>
      <c r="R256" s="2523" t="s">
        <v>69</v>
      </c>
      <c r="S256" s="2524">
        <v>1</v>
      </c>
      <c r="T256" s="2525">
        <v>39001</v>
      </c>
      <c r="U256" s="2526" t="s">
        <v>80</v>
      </c>
      <c r="V256" s="2526" t="s">
        <v>397</v>
      </c>
      <c r="W256" s="2527">
        <f ca="1">YEARFRAC(T256,W$6)</f>
        <v>7.5444444444444443</v>
      </c>
      <c r="X256" s="48">
        <v>244</v>
      </c>
    </row>
    <row r="257" spans="1:24" ht="12" customHeight="1">
      <c r="A257" s="48"/>
      <c r="B257" s="3225" t="s">
        <v>1431</v>
      </c>
      <c r="C257" s="3284" t="s">
        <v>667</v>
      </c>
      <c r="D257" s="3355" t="s">
        <v>41</v>
      </c>
      <c r="E257" s="1125">
        <f>SUM(H257/H$11,I257/I$11,J257/J$11,K257/K$11,L257/L$11,M257/M$11,N257/N$11,O257/O$11,P257/P$11)/9*100</f>
        <v>155.12375607900404</v>
      </c>
      <c r="F257" s="3418">
        <f>137+206+137+210+165+196+217+85+406</f>
        <v>1759</v>
      </c>
      <c r="G257" s="3418">
        <f>53+12+12+72+21+14+21+79+28</f>
        <v>312</v>
      </c>
      <c r="H257" s="1163">
        <v>132001289</v>
      </c>
      <c r="I257" s="1146">
        <v>569541795</v>
      </c>
      <c r="J257" s="1146">
        <v>526447451</v>
      </c>
      <c r="K257" s="1146">
        <v>372198787</v>
      </c>
      <c r="L257" s="1146">
        <v>590804948</v>
      </c>
      <c r="M257" s="1146">
        <v>487766927</v>
      </c>
      <c r="N257" s="1146">
        <v>429356027</v>
      </c>
      <c r="O257" s="1146">
        <v>59052142</v>
      </c>
      <c r="P257" s="1146">
        <v>295140549</v>
      </c>
      <c r="Q257" s="3529" t="s">
        <v>120</v>
      </c>
      <c r="R257" s="3573" t="s">
        <v>65</v>
      </c>
      <c r="S257" s="3614">
        <v>8</v>
      </c>
      <c r="T257" s="3652">
        <v>39379</v>
      </c>
      <c r="U257" s="3683" t="s">
        <v>80</v>
      </c>
      <c r="V257" s="3683" t="s">
        <v>2063</v>
      </c>
      <c r="W257" s="3705">
        <f ca="1">YEARFRAC(T257,W$6)</f>
        <v>6.5083333333333337</v>
      </c>
      <c r="X257" s="48"/>
    </row>
    <row r="258" spans="1:24" ht="12" customHeight="1">
      <c r="A258" s="48">
        <v>246</v>
      </c>
      <c r="B258" s="2121" t="s">
        <v>42</v>
      </c>
      <c r="C258" s="2648" t="s">
        <v>1597</v>
      </c>
      <c r="D258" s="2712"/>
      <c r="E258" s="1125">
        <f>SUM(H258/H$11,I258/I$11,J258/J$11,K258/K$11,L258/L$11,M258/M$11,N258/N$11,O258/O$11,P258/P$11)/9*100</f>
        <v>155.53510617151221</v>
      </c>
      <c r="F258" s="2171"/>
      <c r="G258" s="2171"/>
      <c r="H258" s="907">
        <v>130274779</v>
      </c>
      <c r="I258" s="1143">
        <v>571777004</v>
      </c>
      <c r="J258" s="1143">
        <v>533304691</v>
      </c>
      <c r="K258" s="1143">
        <v>381302596</v>
      </c>
      <c r="L258" s="1143">
        <v>592949451</v>
      </c>
      <c r="M258" s="1143">
        <v>489191732</v>
      </c>
      <c r="N258" s="1143">
        <v>451733892</v>
      </c>
      <c r="O258" s="1143">
        <v>52894607</v>
      </c>
      <c r="P258" s="1143">
        <v>312359898</v>
      </c>
      <c r="Q258" s="2534" t="s">
        <v>334</v>
      </c>
      <c r="R258" s="2535" t="s">
        <v>145</v>
      </c>
      <c r="S258" s="2554">
        <v>1</v>
      </c>
      <c r="T258" s="2536">
        <v>35457</v>
      </c>
      <c r="U258" s="3667" t="s">
        <v>335</v>
      </c>
      <c r="V258" s="2537" t="s">
        <v>1884</v>
      </c>
      <c r="W258" s="2538">
        <f ca="1">YEARFRAC(T258,W$6)</f>
        <v>17.25</v>
      </c>
      <c r="X258" s="48">
        <v>246</v>
      </c>
    </row>
    <row r="259" spans="1:24" ht="12" customHeight="1">
      <c r="A259" s="48"/>
      <c r="B259" s="2107" t="s">
        <v>42</v>
      </c>
      <c r="C259" s="2108" t="s">
        <v>329</v>
      </c>
      <c r="D259" s="2157"/>
      <c r="E259" s="1125">
        <f>SUM(H259/H$11,I259/I$11,J259/J$11,K259/K$11,L259/L$11,M259/M$11,N259/N$11,O259/O$11,P259/P$11)/9*100</f>
        <v>155.821005756445</v>
      </c>
      <c r="F259" s="2169"/>
      <c r="G259" s="2170"/>
      <c r="H259" s="1140">
        <v>132402103</v>
      </c>
      <c r="I259" s="1141">
        <v>570736865</v>
      </c>
      <c r="J259" s="1141">
        <v>540336003</v>
      </c>
      <c r="K259" s="1141">
        <v>395545157</v>
      </c>
      <c r="L259" s="1141">
        <v>606556827</v>
      </c>
      <c r="M259" s="1141">
        <v>492153779</v>
      </c>
      <c r="N259" s="1128">
        <v>372489875</v>
      </c>
      <c r="O259" s="1141">
        <v>55429853</v>
      </c>
      <c r="P259" s="1141">
        <v>328978899</v>
      </c>
      <c r="Q259" s="2522" t="s">
        <v>330</v>
      </c>
      <c r="R259" s="2523" t="s">
        <v>69</v>
      </c>
      <c r="S259" s="2524">
        <v>1</v>
      </c>
      <c r="T259" s="2525">
        <v>36533</v>
      </c>
      <c r="U259" s="2526" t="s">
        <v>331</v>
      </c>
      <c r="V259" s="2526" t="s">
        <v>807</v>
      </c>
      <c r="W259" s="2527">
        <f ca="1">YEARFRAC(T259,W$6)</f>
        <v>14.302777777777777</v>
      </c>
      <c r="X259" s="48"/>
    </row>
    <row r="260" spans="1:24" ht="12" customHeight="1">
      <c r="A260" s="48">
        <v>248</v>
      </c>
      <c r="B260" s="2124" t="s">
        <v>42</v>
      </c>
      <c r="C260" s="2880" t="s">
        <v>1735</v>
      </c>
      <c r="D260" s="2713"/>
      <c r="E260" s="1125">
        <f>SUM(H260/H$11,I260/I$11,J260/J$11,K260/K$11,L260/L$11,M260/M$11,N260/N$11,O260/O$11,P260/P$11)/9*100</f>
        <v>155.84649970242566</v>
      </c>
      <c r="F260" s="2172">
        <f>17.58+46.31+51.89+57.89+41.29+33.31+53.5+8.18+68.18</f>
        <v>378.13</v>
      </c>
      <c r="G260" s="2170"/>
      <c r="H260" s="1127">
        <v>130410172</v>
      </c>
      <c r="I260" s="1141">
        <v>573707768</v>
      </c>
      <c r="J260" s="1128">
        <v>531625004</v>
      </c>
      <c r="K260" s="1128">
        <v>383539272</v>
      </c>
      <c r="L260" s="1128">
        <v>594807932</v>
      </c>
      <c r="M260" s="1128">
        <v>490609868</v>
      </c>
      <c r="N260" s="1128">
        <v>445656548</v>
      </c>
      <c r="O260" s="1128">
        <v>53470440</v>
      </c>
      <c r="P260" s="1128">
        <v>314314436</v>
      </c>
      <c r="Q260" s="2548" t="s">
        <v>318</v>
      </c>
      <c r="R260" s="2549" t="s">
        <v>69</v>
      </c>
      <c r="S260" s="2550">
        <v>1</v>
      </c>
      <c r="T260" s="2551">
        <v>39317</v>
      </c>
      <c r="U260" s="2552" t="s">
        <v>319</v>
      </c>
      <c r="V260" s="2552" t="s">
        <v>314</v>
      </c>
      <c r="W260" s="2527">
        <f ca="1">YEARFRAC(T260,W$6)</f>
        <v>6.677777777777778</v>
      </c>
      <c r="X260" s="48">
        <v>248</v>
      </c>
    </row>
    <row r="261" spans="1:24" ht="12" customHeight="1">
      <c r="A261" s="48"/>
      <c r="B261" s="2158" t="s">
        <v>1431</v>
      </c>
      <c r="C261" s="2164" t="s">
        <v>782</v>
      </c>
      <c r="D261" s="3356"/>
      <c r="E261" s="1125">
        <f>SUM(H261/H$11,I261/I$11,J261/J$11,K261/K$11,L261/L$11,M261/M$11,N261/N$11,O261/O$11,P261/P$11)/9*100</f>
        <v>155.91710032998512</v>
      </c>
      <c r="F261" s="3419">
        <f>95+74+0+123+43+28+168+64+10</f>
        <v>605</v>
      </c>
      <c r="G261" s="2177"/>
      <c r="H261" s="1144">
        <v>146374158</v>
      </c>
      <c r="I261" s="1145">
        <v>571482712</v>
      </c>
      <c r="J261" s="1145">
        <v>534592994</v>
      </c>
      <c r="K261" s="3488">
        <v>352644412</v>
      </c>
      <c r="L261" s="1145">
        <v>592017480</v>
      </c>
      <c r="M261" s="3488">
        <v>489970179</v>
      </c>
      <c r="N261" s="1146">
        <v>456583402</v>
      </c>
      <c r="O261" s="1145">
        <v>60686389</v>
      </c>
      <c r="P261" s="1145">
        <v>257318245</v>
      </c>
      <c r="Q261" s="2528" t="s">
        <v>663</v>
      </c>
      <c r="R261" s="2529" t="s">
        <v>69</v>
      </c>
      <c r="S261" s="2530">
        <v>1</v>
      </c>
      <c r="T261" s="3653">
        <v>40458</v>
      </c>
      <c r="U261" s="2532" t="s">
        <v>366</v>
      </c>
      <c r="V261" s="2532" t="s">
        <v>351</v>
      </c>
      <c r="W261" s="2533">
        <f ca="1">YEARFRAC(T261,W$6)</f>
        <v>3.5555555555555554</v>
      </c>
      <c r="X261" s="48"/>
    </row>
    <row r="262" spans="1:24" ht="12" customHeight="1">
      <c r="A262" s="48">
        <v>250</v>
      </c>
      <c r="B262" s="2125" t="s">
        <v>42</v>
      </c>
      <c r="C262" s="2122" t="s">
        <v>875</v>
      </c>
      <c r="D262" s="2123" t="s">
        <v>41</v>
      </c>
      <c r="E262" s="1125">
        <f>SUM(H262/H$11,I262/I$11,J262/J$11,K262/K$11,L262/L$11,M262/M$11,N262/N$11,O262/O$11,P262/P$11)/9*100</f>
        <v>155.97555424548025</v>
      </c>
      <c r="F262" s="2174"/>
      <c r="G262" s="2174"/>
      <c r="H262" s="907">
        <v>139934909</v>
      </c>
      <c r="I262" s="1143">
        <v>615267423</v>
      </c>
      <c r="J262" s="1143">
        <v>579881609</v>
      </c>
      <c r="K262" s="1143">
        <v>361537993</v>
      </c>
      <c r="L262" s="1143">
        <v>612353606</v>
      </c>
      <c r="M262" s="1143">
        <v>505371128</v>
      </c>
      <c r="N262" s="1143">
        <v>398732637</v>
      </c>
      <c r="O262" s="1143">
        <v>53963377</v>
      </c>
      <c r="P262" s="1143">
        <v>287274234</v>
      </c>
      <c r="Q262" s="2543" t="s">
        <v>874</v>
      </c>
      <c r="R262" s="2544" t="s">
        <v>145</v>
      </c>
      <c r="S262" s="2545">
        <v>1</v>
      </c>
      <c r="T262" s="2546">
        <v>36990</v>
      </c>
      <c r="U262" s="3668" t="s">
        <v>117</v>
      </c>
      <c r="V262" s="3668" t="s">
        <v>873</v>
      </c>
      <c r="W262" s="2538">
        <f ca="1">YEARFRAC(T262,W$6)</f>
        <v>13.05</v>
      </c>
      <c r="X262" s="48">
        <v>250</v>
      </c>
    </row>
    <row r="263" spans="1:24" ht="12" customHeight="1">
      <c r="A263" s="48"/>
      <c r="B263" s="2107" t="s">
        <v>42</v>
      </c>
      <c r="C263" s="1304" t="s">
        <v>2126</v>
      </c>
      <c r="D263" s="2713"/>
      <c r="E263" s="1125">
        <f>SUM(H263/H$11,I263/I$11,J263/J$11,K263/K$11,L263/L$11,M263/M$11,N263/N$11,O263/O$11,P263/P$11)/9*100</f>
        <v>156.01434185898694</v>
      </c>
      <c r="F263" s="2178">
        <f>5.9+15.9+13.9+19.7+15.5+12.5+18.3+3.8+23.9</f>
        <v>129.4</v>
      </c>
      <c r="G263" s="3472"/>
      <c r="H263" s="1127">
        <v>135206431</v>
      </c>
      <c r="I263" s="1141">
        <v>572586498</v>
      </c>
      <c r="J263" s="1128">
        <v>529204055</v>
      </c>
      <c r="K263" s="1128">
        <v>378973030</v>
      </c>
      <c r="L263" s="1128">
        <v>592626804</v>
      </c>
      <c r="M263" s="1128">
        <v>488461447</v>
      </c>
      <c r="N263" s="1128">
        <v>446234714</v>
      </c>
      <c r="O263" s="1128">
        <v>53575579</v>
      </c>
      <c r="P263" s="1128">
        <v>310462784</v>
      </c>
      <c r="Q263" s="2548" t="s">
        <v>2125</v>
      </c>
      <c r="R263" s="2549" t="s">
        <v>69</v>
      </c>
      <c r="S263" s="2550">
        <v>8</v>
      </c>
      <c r="T263" s="2551"/>
      <c r="U263" s="2552" t="s">
        <v>206</v>
      </c>
      <c r="V263" s="2552" t="s">
        <v>2066</v>
      </c>
      <c r="W263" s="2527">
        <f ca="1">YEARFRAC(T263,W$6)</f>
        <v>114.325</v>
      </c>
      <c r="X263" s="48"/>
    </row>
    <row r="264" spans="1:24" ht="12" customHeight="1">
      <c r="A264" s="48">
        <v>252</v>
      </c>
      <c r="B264" s="2107" t="s">
        <v>42</v>
      </c>
      <c r="C264" s="2880" t="s">
        <v>2122</v>
      </c>
      <c r="D264" s="3327"/>
      <c r="E264" s="1125">
        <f>SUM(H264/H$11,I264/I$11,J264/J$11,K264/K$11,L264/L$11,M264/M$11,N264/N$11,O264/O$11,P264/P$11)/9*100</f>
        <v>156.26935151231328</v>
      </c>
      <c r="F264" s="3382">
        <f>7.6+9.8+9.3+11.64+12.47+4.15+2.36+21.9+5.8</f>
        <v>85.02</v>
      </c>
      <c r="G264" s="3438"/>
      <c r="H264" s="1140">
        <v>135038527</v>
      </c>
      <c r="I264" s="1141">
        <v>577990939</v>
      </c>
      <c r="J264" s="1141">
        <v>530857663</v>
      </c>
      <c r="K264" s="1141">
        <v>379106650</v>
      </c>
      <c r="L264" s="1141">
        <v>592643328</v>
      </c>
      <c r="M264" s="1141">
        <v>488510967</v>
      </c>
      <c r="N264" s="1128">
        <v>448643543</v>
      </c>
      <c r="O264" s="1141">
        <v>53499232</v>
      </c>
      <c r="P264" s="1141">
        <v>310273811</v>
      </c>
      <c r="Q264" s="2548" t="s">
        <v>2125</v>
      </c>
      <c r="R264" s="2549" t="s">
        <v>69</v>
      </c>
      <c r="S264" s="3590">
        <v>8</v>
      </c>
      <c r="T264" s="2551">
        <v>40875</v>
      </c>
      <c r="U264" s="2552" t="s">
        <v>206</v>
      </c>
      <c r="V264" s="2552" t="s">
        <v>2066</v>
      </c>
      <c r="W264" s="2527">
        <f ca="1">YEARFRAC(T264,W$6)</f>
        <v>2.4138888888888888</v>
      </c>
      <c r="X264" s="48">
        <v>252</v>
      </c>
    </row>
    <row r="265" spans="1:24" ht="12" customHeight="1">
      <c r="A265" s="48"/>
      <c r="B265" s="2161" t="s">
        <v>42</v>
      </c>
      <c r="C265" s="3067" t="s">
        <v>1762</v>
      </c>
      <c r="D265" s="2160" t="s">
        <v>41</v>
      </c>
      <c r="E265" s="1125">
        <f>SUM(H265/H$11,I265/I$11,J265/J$11,K265/K$11,L265/L$11,M265/M$11,N265/N$11,O265/O$11,P265/P$11)/9*100</f>
        <v>156.42114617598455</v>
      </c>
      <c r="F265" s="2180">
        <f>268.6+106+241.9+2453.4+92.9+104.3+504.2+193.6+4032.3</f>
        <v>7997.2000000000007</v>
      </c>
      <c r="G265" s="2180"/>
      <c r="H265" s="1163">
        <v>124770892</v>
      </c>
      <c r="I265" s="1146">
        <v>654297503</v>
      </c>
      <c r="J265" s="1146">
        <v>578654423</v>
      </c>
      <c r="K265" s="1146">
        <v>379950045</v>
      </c>
      <c r="L265" s="1146">
        <v>653516292</v>
      </c>
      <c r="M265" s="1146">
        <v>544145651</v>
      </c>
      <c r="N265" s="1146">
        <v>462227189</v>
      </c>
      <c r="O265" s="1146">
        <v>46619126</v>
      </c>
      <c r="P265" s="1146">
        <v>274294190</v>
      </c>
      <c r="Q265" s="3530" t="s">
        <v>1759</v>
      </c>
      <c r="R265" s="2180" t="s">
        <v>69</v>
      </c>
      <c r="S265" s="2540">
        <v>1</v>
      </c>
      <c r="T265" s="3654">
        <v>41456</v>
      </c>
      <c r="U265" s="3684" t="s">
        <v>75</v>
      </c>
      <c r="V265" s="3684" t="s">
        <v>314</v>
      </c>
      <c r="W265" s="2533">
        <f ca="1">YEARFRAC(T265,W$6)</f>
        <v>0.82222222222222219</v>
      </c>
      <c r="X265" s="48"/>
    </row>
    <row r="266" spans="1:24" ht="12" customHeight="1">
      <c r="A266" s="48">
        <v>254</v>
      </c>
      <c r="B266" s="2165" t="s">
        <v>1431</v>
      </c>
      <c r="C266" s="2159" t="s">
        <v>783</v>
      </c>
      <c r="D266" s="2990"/>
      <c r="E266" s="1125">
        <f>SUM(H266/H$11,I266/I$11,J266/J$11,K266/K$11,L266/L$11,M266/M$11,N266/N$11,O266/O$11,P266/P$11)/9*100</f>
        <v>156.70600620966448</v>
      </c>
      <c r="F266" s="2171"/>
      <c r="G266" s="2171"/>
      <c r="H266" s="907">
        <v>134962165</v>
      </c>
      <c r="I266" s="1151">
        <v>570013535</v>
      </c>
      <c r="J266" s="1151">
        <v>529655066</v>
      </c>
      <c r="K266" s="1151">
        <v>380440699</v>
      </c>
      <c r="L266" s="1151">
        <v>590811778</v>
      </c>
      <c r="M266" s="1151">
        <v>488247614</v>
      </c>
      <c r="N266" s="1143">
        <v>438803257</v>
      </c>
      <c r="O266" s="1151">
        <v>59659758</v>
      </c>
      <c r="P266" s="1151">
        <v>295590011</v>
      </c>
      <c r="Q266" s="2534" t="s">
        <v>120</v>
      </c>
      <c r="R266" s="3543" t="s">
        <v>65</v>
      </c>
      <c r="S266" s="3591">
        <v>8</v>
      </c>
      <c r="T266" s="3010">
        <v>39379</v>
      </c>
      <c r="U266" s="2537" t="s">
        <v>80</v>
      </c>
      <c r="V266" s="2537" t="s">
        <v>2063</v>
      </c>
      <c r="W266" s="2538">
        <f ca="1">YEARFRAC(T266,W$6)</f>
        <v>6.5083333333333337</v>
      </c>
      <c r="X266" s="48">
        <v>254</v>
      </c>
    </row>
    <row r="267" spans="1:24" ht="12" customHeight="1">
      <c r="A267" s="48"/>
      <c r="B267" s="2107" t="s">
        <v>42</v>
      </c>
      <c r="C267" s="2989" t="s">
        <v>1736</v>
      </c>
      <c r="D267" s="2160" t="s">
        <v>41</v>
      </c>
      <c r="E267" s="1125">
        <f>SUM(H267/H$11,I267/I$11,J267/J$11,K267/K$11,L267/L$11,M267/M$11,N267/N$11,O267/O$11,P267/P$11)/9*100</f>
        <v>156.75713897402511</v>
      </c>
      <c r="F267" s="2169"/>
      <c r="G267" s="2170"/>
      <c r="H267" s="1128">
        <v>130006531</v>
      </c>
      <c r="I267" s="1141">
        <v>584810626</v>
      </c>
      <c r="J267" s="1128">
        <v>523804497</v>
      </c>
      <c r="K267" s="1128">
        <v>402704755</v>
      </c>
      <c r="L267" s="1128">
        <v>588579801</v>
      </c>
      <c r="M267" s="1128">
        <v>490630093</v>
      </c>
      <c r="N267" s="1128">
        <v>456991600</v>
      </c>
      <c r="O267" s="1128">
        <v>47307974</v>
      </c>
      <c r="P267" s="1128">
        <v>340024951</v>
      </c>
      <c r="Q267" s="2522" t="s">
        <v>185</v>
      </c>
      <c r="R267" s="2523" t="s">
        <v>69</v>
      </c>
      <c r="S267" s="2524">
        <v>1</v>
      </c>
      <c r="T267" s="2525">
        <v>39188</v>
      </c>
      <c r="U267" s="2526" t="s">
        <v>75</v>
      </c>
      <c r="V267" s="2526" t="s">
        <v>282</v>
      </c>
      <c r="W267" s="2527">
        <f ca="1">YEARFRAC(T267,W$6)</f>
        <v>7.0305555555555559</v>
      </c>
      <c r="X267" s="48"/>
    </row>
    <row r="268" spans="1:24" ht="12" customHeight="1">
      <c r="A268" s="48">
        <v>256</v>
      </c>
      <c r="B268" s="2113" t="s">
        <v>1431</v>
      </c>
      <c r="C268" s="2882" t="s">
        <v>362</v>
      </c>
      <c r="D268" s="2156"/>
      <c r="E268" s="1125">
        <f>SUM(H268/H$11,I268/I$11,J268/J$11,K268/K$11,L268/L$11,M268/M$11,N268/N$11,O268/O$11,P268/P$11)/9*100</f>
        <v>157.03969317348739</v>
      </c>
      <c r="F268" s="2169"/>
      <c r="G268" s="2170"/>
      <c r="H268" s="1140">
        <v>128549872</v>
      </c>
      <c r="I268" s="1141">
        <v>579535798</v>
      </c>
      <c r="J268" s="1141">
        <v>532862775</v>
      </c>
      <c r="K268" s="1141">
        <v>385353967</v>
      </c>
      <c r="L268" s="1141">
        <v>591561807</v>
      </c>
      <c r="M268" s="1141">
        <v>489162147</v>
      </c>
      <c r="N268" s="1128">
        <v>477180230</v>
      </c>
      <c r="O268" s="1141">
        <v>53769745</v>
      </c>
      <c r="P268" s="1141">
        <v>312661434</v>
      </c>
      <c r="Q268" s="2522" t="s">
        <v>136</v>
      </c>
      <c r="R268" s="2523" t="s">
        <v>145</v>
      </c>
      <c r="S268" s="2524">
        <v>1</v>
      </c>
      <c r="T268" s="2525">
        <v>35007</v>
      </c>
      <c r="U268" s="2526" t="s">
        <v>75</v>
      </c>
      <c r="V268" s="2526" t="s">
        <v>864</v>
      </c>
      <c r="W268" s="2527">
        <f ca="1">YEARFRAC(T268,W$6)</f>
        <v>18.480555555555554</v>
      </c>
      <c r="X268" s="48">
        <v>256</v>
      </c>
    </row>
    <row r="269" spans="1:24" ht="12" customHeight="1">
      <c r="A269" s="48"/>
      <c r="B269" s="2163" t="s">
        <v>42</v>
      </c>
      <c r="C269" s="2164" t="s">
        <v>1737</v>
      </c>
      <c r="D269" s="2166" t="s">
        <v>41</v>
      </c>
      <c r="E269" s="1125">
        <f>SUM(H269/H$11,I269/I$11,J269/J$11,K269/K$11,L269/L$11,M269/M$11,N269/N$11,O269/O$11,P269/P$11)/9*100</f>
        <v>157.17719271549777</v>
      </c>
      <c r="F269" s="3419">
        <f>42+0+0+75+32+26+61+22+114</f>
        <v>372</v>
      </c>
      <c r="G269" s="3419">
        <f>3.4+5.8+5.3+8.2+4.9+4.6+9+1.7+10.9</f>
        <v>53.800000000000004</v>
      </c>
      <c r="H269" s="1163">
        <v>134298028</v>
      </c>
      <c r="I269" s="1145">
        <v>571864393</v>
      </c>
      <c r="J269" s="1145">
        <v>533079977</v>
      </c>
      <c r="K269" s="1145">
        <v>387558733</v>
      </c>
      <c r="L269" s="1145">
        <v>591772244</v>
      </c>
      <c r="M269" s="1145">
        <v>488128103</v>
      </c>
      <c r="N269" s="1146">
        <v>454798979</v>
      </c>
      <c r="O269" s="1145">
        <v>55162675</v>
      </c>
      <c r="P269" s="1145">
        <v>310090294</v>
      </c>
      <c r="Q269" s="2528" t="s">
        <v>336</v>
      </c>
      <c r="R269" s="2529" t="s">
        <v>69</v>
      </c>
      <c r="S269" s="2530">
        <v>1</v>
      </c>
      <c r="T269" s="3653">
        <v>39370</v>
      </c>
      <c r="U269" s="2532" t="s">
        <v>206</v>
      </c>
      <c r="V269" s="2532" t="s">
        <v>1885</v>
      </c>
      <c r="W269" s="2533">
        <f ca="1">YEARFRAC(T269,W$6)</f>
        <v>6.5333333333333332</v>
      </c>
      <c r="X269" s="48"/>
    </row>
    <row r="270" spans="1:24" ht="12" customHeight="1">
      <c r="A270" s="48">
        <v>258</v>
      </c>
      <c r="B270" s="2125" t="s">
        <v>42</v>
      </c>
      <c r="C270" s="2122" t="s">
        <v>890</v>
      </c>
      <c r="D270" s="2126"/>
      <c r="E270" s="1125">
        <f>SUM(H270/H$11,I270/I$11,J270/J$11,K270/K$11,L270/L$11,M270/M$11,N270/N$11,O270/O$11,P270/P$11)/9*100</f>
        <v>157.31464803638553</v>
      </c>
      <c r="F270" s="2174"/>
      <c r="G270" s="2174"/>
      <c r="H270" s="902">
        <v>132442344</v>
      </c>
      <c r="I270" s="1151">
        <v>575588176</v>
      </c>
      <c r="J270" s="1151">
        <v>533710071</v>
      </c>
      <c r="K270" s="1151">
        <v>385054868</v>
      </c>
      <c r="L270" s="1151">
        <v>591628398</v>
      </c>
      <c r="M270" s="1151">
        <v>488624070</v>
      </c>
      <c r="N270" s="1143">
        <v>455451053</v>
      </c>
      <c r="O270" s="1151">
        <v>54183882</v>
      </c>
      <c r="P270" s="1151">
        <v>319852021</v>
      </c>
      <c r="Q270" s="2543" t="s">
        <v>889</v>
      </c>
      <c r="R270" s="3544" t="s">
        <v>145</v>
      </c>
      <c r="S270" s="2545">
        <v>1</v>
      </c>
      <c r="T270" s="2546">
        <v>35620</v>
      </c>
      <c r="U270" s="2547" t="s">
        <v>206</v>
      </c>
      <c r="V270" s="3668" t="s">
        <v>117</v>
      </c>
      <c r="W270" s="2538">
        <f ca="1">YEARFRAC(T270,W$6)</f>
        <v>16.8</v>
      </c>
      <c r="X270" s="48">
        <v>258</v>
      </c>
    </row>
    <row r="271" spans="1:24" ht="12" customHeight="1">
      <c r="A271" s="48"/>
      <c r="B271" s="2113" t="s">
        <v>1431</v>
      </c>
      <c r="C271" s="2114" t="s">
        <v>1738</v>
      </c>
      <c r="D271" s="2118" t="s">
        <v>41</v>
      </c>
      <c r="E271" s="1125">
        <f>SUM(H271/H$11,I271/I$11,J271/J$11,K271/K$11,L271/L$11,M271/M$11,N271/N$11,O271/O$11,P271/P$11)/9*100</f>
        <v>157.35216276734323</v>
      </c>
      <c r="F271" s="2128"/>
      <c r="G271" s="2129"/>
      <c r="H271" s="853">
        <v>132442344</v>
      </c>
      <c r="I271" s="865">
        <v>575587061</v>
      </c>
      <c r="J271" s="865">
        <v>533684449</v>
      </c>
      <c r="K271" s="865">
        <v>386155781</v>
      </c>
      <c r="L271" s="865">
        <v>591637934</v>
      </c>
      <c r="M271" s="865">
        <v>488620590</v>
      </c>
      <c r="N271" s="854">
        <v>455389159</v>
      </c>
      <c r="O271" s="865">
        <v>54169917</v>
      </c>
      <c r="P271" s="865">
        <v>319850718</v>
      </c>
      <c r="Q271" s="2555" t="s">
        <v>356</v>
      </c>
      <c r="R271" s="2556" t="s">
        <v>145</v>
      </c>
      <c r="S271" s="2557">
        <v>1</v>
      </c>
      <c r="T271" s="2575">
        <v>34274</v>
      </c>
      <c r="U271" s="2559" t="s">
        <v>1775</v>
      </c>
      <c r="V271" s="2559" t="s">
        <v>1776</v>
      </c>
      <c r="W271" s="2560">
        <f ca="1">YEARFRAC(T271,W$6)</f>
        <v>20.488888888888887</v>
      </c>
      <c r="X271" s="48"/>
    </row>
    <row r="272" spans="1:24" ht="12" customHeight="1">
      <c r="A272" s="48">
        <v>260</v>
      </c>
      <c r="B272" s="2110" t="s">
        <v>42</v>
      </c>
      <c r="C272" s="2117" t="s">
        <v>343</v>
      </c>
      <c r="D272" s="2112"/>
      <c r="E272" s="1125">
        <f>SUM(H272/H$11,I272/I$11,J272/J$11,K272/K$11,L272/L$11,M272/M$11,N272/N$11,O272/O$11,P272/P$11)/9*100</f>
        <v>157.47972709193792</v>
      </c>
      <c r="F272" s="2130"/>
      <c r="G272" s="2131"/>
      <c r="H272" s="855">
        <v>132237361</v>
      </c>
      <c r="I272" s="857">
        <v>573231300</v>
      </c>
      <c r="J272" s="857">
        <v>532105412</v>
      </c>
      <c r="K272" s="857">
        <v>389704571</v>
      </c>
      <c r="L272" s="857">
        <v>591581747</v>
      </c>
      <c r="M272" s="857">
        <v>488389399</v>
      </c>
      <c r="N272" s="871">
        <v>450514241</v>
      </c>
      <c r="O272" s="857">
        <v>54477772</v>
      </c>
      <c r="P272" s="871">
        <v>322923702</v>
      </c>
      <c r="Q272" s="2561" t="s">
        <v>344</v>
      </c>
      <c r="R272" s="2562" t="s">
        <v>145</v>
      </c>
      <c r="S272" s="2563">
        <v>1</v>
      </c>
      <c r="T272" s="2564">
        <v>34090</v>
      </c>
      <c r="U272" s="2565" t="s">
        <v>75</v>
      </c>
      <c r="V272" s="2565" t="s">
        <v>117</v>
      </c>
      <c r="W272" s="2560">
        <f ca="1">YEARFRAC(T272,W$6)</f>
        <v>20.988888888888887</v>
      </c>
      <c r="X272" s="48">
        <v>260</v>
      </c>
    </row>
    <row r="273" spans="1:24" ht="12" customHeight="1">
      <c r="A273" s="48"/>
      <c r="B273" s="2107" t="s">
        <v>42</v>
      </c>
      <c r="C273" s="2114" t="s">
        <v>337</v>
      </c>
      <c r="D273" s="2115"/>
      <c r="E273" s="1125">
        <f>SUM(H273/H$11,I273/I$11,J273/J$11,K273/K$11,L273/L$11,M273/M$11,N273/N$11,O273/O$11,P273/P$11)/9*100</f>
        <v>157.50264161145265</v>
      </c>
      <c r="F273" s="2128"/>
      <c r="G273" s="2129"/>
      <c r="H273" s="868">
        <v>133150238</v>
      </c>
      <c r="I273" s="854">
        <v>571131082</v>
      </c>
      <c r="J273" s="854">
        <v>534321267</v>
      </c>
      <c r="K273" s="854">
        <v>386931812</v>
      </c>
      <c r="L273" s="854">
        <v>592713348</v>
      </c>
      <c r="M273" s="854">
        <v>489210409</v>
      </c>
      <c r="N273" s="854">
        <v>452684500</v>
      </c>
      <c r="O273" s="854">
        <v>54547013</v>
      </c>
      <c r="P273" s="854">
        <v>320783214</v>
      </c>
      <c r="Q273" s="2555" t="s">
        <v>338</v>
      </c>
      <c r="R273" s="2556" t="s">
        <v>145</v>
      </c>
      <c r="S273" s="2557">
        <v>1</v>
      </c>
      <c r="T273" s="2575">
        <v>34456</v>
      </c>
      <c r="U273" s="2559" t="s">
        <v>80</v>
      </c>
      <c r="V273" s="2559" t="s">
        <v>2067</v>
      </c>
      <c r="W273" s="2571">
        <f ca="1">YEARFRAC(T273,W$6)</f>
        <v>19.986111111111111</v>
      </c>
      <c r="X273" s="48"/>
    </row>
    <row r="274" spans="1:24" ht="12" customHeight="1">
      <c r="A274" s="48">
        <v>262</v>
      </c>
      <c r="B274" s="2110" t="s">
        <v>42</v>
      </c>
      <c r="C274" s="2688" t="s">
        <v>2012</v>
      </c>
      <c r="D274" s="2118" t="s">
        <v>41</v>
      </c>
      <c r="E274" s="1125">
        <f>SUM(H274/H$11,I274/I$11,J274/J$11,K274/K$11,L274/L$11,M274/M$11,N274/N$11,O274/O$11,P274/P$11)/9*100</f>
        <v>157.51533244702861</v>
      </c>
      <c r="F274" s="2133">
        <f>24.95+76.13+70.04+70.97+70.64+61.08+60.47+8.69+61.81</f>
        <v>504.78</v>
      </c>
      <c r="G274" s="2140"/>
      <c r="H274" s="868">
        <v>138693661</v>
      </c>
      <c r="I274" s="865">
        <v>584920839</v>
      </c>
      <c r="J274" s="854">
        <v>547921053</v>
      </c>
      <c r="K274" s="854">
        <v>389980475</v>
      </c>
      <c r="L274" s="854">
        <v>603526610</v>
      </c>
      <c r="M274" s="854">
        <v>499802272</v>
      </c>
      <c r="N274" s="854">
        <v>472061645</v>
      </c>
      <c r="O274" s="854">
        <v>50504614</v>
      </c>
      <c r="P274" s="854">
        <v>298598696</v>
      </c>
      <c r="Q274" s="2566" t="s">
        <v>2011</v>
      </c>
      <c r="R274" s="2699" t="s">
        <v>65</v>
      </c>
      <c r="S274" s="2568">
        <v>1</v>
      </c>
      <c r="T274" s="2569">
        <v>41506</v>
      </c>
      <c r="U274" s="2570" t="s">
        <v>78</v>
      </c>
      <c r="V274" s="2570" t="s">
        <v>662</v>
      </c>
      <c r="W274" s="2560">
        <f ca="1">YEARFRAC(T274,W$6)</f>
        <v>0.68611111111111112</v>
      </c>
      <c r="X274" s="48">
        <v>262</v>
      </c>
    </row>
    <row r="275" spans="1:24" ht="12" customHeight="1">
      <c r="A275" s="48"/>
      <c r="B275" s="2144" t="s">
        <v>42</v>
      </c>
      <c r="C275" s="2145" t="s">
        <v>348</v>
      </c>
      <c r="D275" s="2146"/>
      <c r="E275" s="1125">
        <f>SUM(H275/H$11,I275/I$11,J275/J$11,K275/K$11,L275/L$11,M275/M$11,N275/N$11,O275/O$11,P275/P$11)/9*100</f>
        <v>157.59833751422119</v>
      </c>
      <c r="F275" s="2136"/>
      <c r="G275" s="2137"/>
      <c r="H275" s="873">
        <v>132218880</v>
      </c>
      <c r="I275" s="869">
        <v>571861611</v>
      </c>
      <c r="J275" s="869">
        <v>532998518</v>
      </c>
      <c r="K275" s="3489">
        <v>386388042</v>
      </c>
      <c r="L275" s="869">
        <v>609149792</v>
      </c>
      <c r="M275" s="3489">
        <v>488182368</v>
      </c>
      <c r="N275" s="870">
        <v>454773941</v>
      </c>
      <c r="O275" s="869">
        <v>54519654</v>
      </c>
      <c r="P275" s="869">
        <v>318864650</v>
      </c>
      <c r="Q275" s="2576" t="s">
        <v>349</v>
      </c>
      <c r="R275" s="2577" t="s">
        <v>145</v>
      </c>
      <c r="S275" s="2578">
        <v>1</v>
      </c>
      <c r="T275" s="2581">
        <v>34402</v>
      </c>
      <c r="U275" s="2580" t="s">
        <v>117</v>
      </c>
      <c r="V275" s="2580" t="s">
        <v>118</v>
      </c>
      <c r="W275" s="2571">
        <f ca="1">YEARFRAC(T275,W$6)</f>
        <v>20.133333333333333</v>
      </c>
      <c r="X275" s="48"/>
    </row>
    <row r="276" spans="1:24" ht="12" customHeight="1">
      <c r="A276" s="48">
        <v>264</v>
      </c>
      <c r="B276" s="2110" t="s">
        <v>42</v>
      </c>
      <c r="C276" s="2117" t="s">
        <v>1739</v>
      </c>
      <c r="D276" s="2112"/>
      <c r="E276" s="1125">
        <f>SUM(H276/H$11,I276/I$11,J276/J$11,K276/K$11,L276/L$11,M276/M$11,N276/N$11,O276/O$11,P276/P$11)/9*100</f>
        <v>157.61894430523685</v>
      </c>
      <c r="F276" s="2130"/>
      <c r="G276" s="2131"/>
      <c r="H276" s="855">
        <v>132872076</v>
      </c>
      <c r="I276" s="857">
        <v>570364613</v>
      </c>
      <c r="J276" s="857">
        <v>532713478</v>
      </c>
      <c r="K276" s="857">
        <v>387192577</v>
      </c>
      <c r="L276" s="857">
        <v>596935770</v>
      </c>
      <c r="M276" s="857">
        <v>488009979</v>
      </c>
      <c r="N276" s="871">
        <v>453127853</v>
      </c>
      <c r="O276" s="857">
        <v>54615984</v>
      </c>
      <c r="P276" s="857">
        <v>322213775</v>
      </c>
      <c r="Q276" s="2561" t="s">
        <v>339</v>
      </c>
      <c r="R276" s="2562" t="s">
        <v>145</v>
      </c>
      <c r="S276" s="2563">
        <v>1</v>
      </c>
      <c r="T276" s="2564">
        <v>34410</v>
      </c>
      <c r="U276" s="2565" t="s">
        <v>179</v>
      </c>
      <c r="V276" s="2565" t="s">
        <v>118</v>
      </c>
      <c r="W276" s="2560">
        <f ca="1">YEARFRAC(T276,W$6)</f>
        <v>20.111111111111111</v>
      </c>
      <c r="X276" s="48">
        <v>264</v>
      </c>
    </row>
    <row r="277" spans="1:24" ht="12" customHeight="1">
      <c r="A277" s="48"/>
      <c r="B277" s="2107" t="s">
        <v>42</v>
      </c>
      <c r="C277" s="1304" t="s">
        <v>2099</v>
      </c>
      <c r="D277" s="2150"/>
      <c r="E277" s="1125">
        <f>SUM(H277/H$11,I277/I$11,J277/J$11,K277/K$11,L277/L$11,M277/M$11,N277/N$11,O277/O$11,P277/P$11)/9*100</f>
        <v>157.93937795134869</v>
      </c>
      <c r="F277" s="2133">
        <f>703+1284+1668+787+1614+302+267+419+885</f>
        <v>7929</v>
      </c>
      <c r="G277" s="2154"/>
      <c r="H277" s="868">
        <v>160180929</v>
      </c>
      <c r="I277" s="865">
        <v>574315788</v>
      </c>
      <c r="J277" s="854">
        <v>521619107</v>
      </c>
      <c r="K277" s="854">
        <v>336793411</v>
      </c>
      <c r="L277" s="854">
        <v>603454547</v>
      </c>
      <c r="M277" s="854">
        <v>452132085</v>
      </c>
      <c r="N277" s="854">
        <v>286326540</v>
      </c>
      <c r="O277" s="854">
        <v>67440386</v>
      </c>
      <c r="P277" s="854">
        <v>338526252</v>
      </c>
      <c r="Q277" s="2566" t="s">
        <v>701</v>
      </c>
      <c r="R277" s="2567" t="s">
        <v>69</v>
      </c>
      <c r="S277" s="2568">
        <v>1</v>
      </c>
      <c r="T277" s="2569">
        <v>41615</v>
      </c>
      <c r="U277" s="2570" t="s">
        <v>77</v>
      </c>
      <c r="V277" s="2570" t="s">
        <v>940</v>
      </c>
      <c r="W277" s="2571">
        <f ca="1">YEARFRAC(T277,W$6)</f>
        <v>0.3888888888888889</v>
      </c>
      <c r="X277" s="48"/>
    </row>
    <row r="278" spans="1:24" ht="12" customHeight="1">
      <c r="A278" s="48">
        <v>266</v>
      </c>
      <c r="B278" s="2162" t="s">
        <v>42</v>
      </c>
      <c r="C278" s="762" t="s">
        <v>1611</v>
      </c>
      <c r="D278" s="2150"/>
      <c r="E278" s="1125">
        <f>SUM(H278/H$11,I278/I$11,J278/J$11,K278/K$11,L278/L$11,M278/M$11,N278/N$11,O278/O$11,P278/P$11)/9*100</f>
        <v>158.06284418874634</v>
      </c>
      <c r="F278" s="3383">
        <f>603+1114+1466+668+1679+333+275+123+927</f>
        <v>7188</v>
      </c>
      <c r="G278" s="2181"/>
      <c r="H278" s="868">
        <v>160176687</v>
      </c>
      <c r="I278" s="865">
        <v>574315788</v>
      </c>
      <c r="J278" s="854">
        <v>521619107</v>
      </c>
      <c r="K278" s="854">
        <v>336765791</v>
      </c>
      <c r="L278" s="854">
        <v>603454547</v>
      </c>
      <c r="M278" s="854">
        <v>452132085</v>
      </c>
      <c r="N278" s="854">
        <v>286326540</v>
      </c>
      <c r="O278" s="854">
        <v>67785842</v>
      </c>
      <c r="P278" s="854">
        <v>338526252</v>
      </c>
      <c r="Q278" s="2566" t="s">
        <v>701</v>
      </c>
      <c r="R278" s="2567" t="s">
        <v>69</v>
      </c>
      <c r="S278" s="2568">
        <v>1</v>
      </c>
      <c r="T278" s="2569">
        <v>41176</v>
      </c>
      <c r="U278" s="2570" t="s">
        <v>77</v>
      </c>
      <c r="V278" s="2570" t="s">
        <v>940</v>
      </c>
      <c r="W278" s="2560">
        <f ca="1">YEARFRAC(T278,W$6)</f>
        <v>1.5916666666666666</v>
      </c>
      <c r="X278" s="48">
        <v>266</v>
      </c>
    </row>
    <row r="279" spans="1:24" ht="12" customHeight="1">
      <c r="A279" s="48"/>
      <c r="B279" s="2144" t="s">
        <v>42</v>
      </c>
      <c r="C279" s="2153" t="s">
        <v>1740</v>
      </c>
      <c r="D279" s="2146"/>
      <c r="E279" s="1125">
        <f>SUM(H279/H$11,I279/I$11,J279/J$11,K279/K$11,L279/L$11,M279/M$11,N279/N$11,O279/O$11,P279/P$11)/9*100</f>
        <v>158.16700342020704</v>
      </c>
      <c r="F279" s="2183">
        <f>9.6+21+20+17.3+8.3+6.7+15.1+4.8+27.2</f>
        <v>130</v>
      </c>
      <c r="G279" s="3473">
        <f>2+14+13+4.9+1.7+1.9+6+1+6.6</f>
        <v>51.1</v>
      </c>
      <c r="H279" s="872">
        <v>134232108</v>
      </c>
      <c r="I279" s="869">
        <v>571427898</v>
      </c>
      <c r="J279" s="869">
        <v>534004654</v>
      </c>
      <c r="K279" s="869">
        <v>387820923</v>
      </c>
      <c r="L279" s="869">
        <v>591758006</v>
      </c>
      <c r="M279" s="869">
        <v>488490199</v>
      </c>
      <c r="N279" s="870">
        <v>455557843</v>
      </c>
      <c r="O279" s="869">
        <v>55027876</v>
      </c>
      <c r="P279" s="869">
        <v>323386834</v>
      </c>
      <c r="Q279" s="2576" t="s">
        <v>336</v>
      </c>
      <c r="R279" s="2577" t="s">
        <v>69</v>
      </c>
      <c r="S279" s="3615">
        <v>8</v>
      </c>
      <c r="T279" s="2581">
        <v>40195</v>
      </c>
      <c r="U279" s="2580" t="s">
        <v>636</v>
      </c>
      <c r="V279" s="2580" t="s">
        <v>1885</v>
      </c>
      <c r="W279" s="2571">
        <f ca="1">YEARFRAC(T279,W$6)</f>
        <v>4.2777777777777777</v>
      </c>
      <c r="X279" s="48"/>
    </row>
    <row r="280" spans="1:24" ht="12" customHeight="1">
      <c r="A280" s="48">
        <v>268</v>
      </c>
      <c r="B280" s="2110" t="s">
        <v>42</v>
      </c>
      <c r="C280" s="3069" t="s">
        <v>1615</v>
      </c>
      <c r="D280" s="2148" t="s">
        <v>41</v>
      </c>
      <c r="E280" s="1125">
        <f>SUM(H280/H$11,I280/I$11,J280/J$11,K280/K$11,L280/L$11,M280/M$11,N280/N$11,O280/O$11,P280/P$11)/9*100</f>
        <v>158.24042797124426</v>
      </c>
      <c r="F280" s="2142">
        <f>46.7+38.6+43.2+71.6+41.1+31.5+49.1+21.3+108.3</f>
        <v>451.40000000000003</v>
      </c>
      <c r="G280" s="3076"/>
      <c r="H280" s="855">
        <v>134836370</v>
      </c>
      <c r="I280" s="857">
        <v>572002583</v>
      </c>
      <c r="J280" s="857">
        <v>532811909</v>
      </c>
      <c r="K280" s="857">
        <v>387709033</v>
      </c>
      <c r="L280" s="857">
        <v>591765755</v>
      </c>
      <c r="M280" s="857">
        <v>488121798</v>
      </c>
      <c r="N280" s="871">
        <v>453803564</v>
      </c>
      <c r="O280" s="857">
        <v>55274997</v>
      </c>
      <c r="P280" s="857">
        <v>323168805</v>
      </c>
      <c r="Q280" s="2582" t="s">
        <v>1616</v>
      </c>
      <c r="R280" s="3081" t="s">
        <v>65</v>
      </c>
      <c r="S280" s="2584">
        <v>1</v>
      </c>
      <c r="T280" s="3633">
        <v>41049</v>
      </c>
      <c r="U280" s="2586" t="s">
        <v>80</v>
      </c>
      <c r="V280" s="2586" t="s">
        <v>314</v>
      </c>
      <c r="W280" s="2560">
        <f ca="1">YEARFRAC(T280,W$6)</f>
        <v>1.9361111111111111</v>
      </c>
      <c r="X280" s="48">
        <v>268</v>
      </c>
    </row>
    <row r="281" spans="1:24" ht="12" customHeight="1">
      <c r="A281" s="48"/>
      <c r="B281" s="2107" t="s">
        <v>42</v>
      </c>
      <c r="C281" s="2108" t="s">
        <v>1741</v>
      </c>
      <c r="D281" s="2115"/>
      <c r="E281" s="1125">
        <f>SUM(H281/H$11,I281/I$11,J281/J$11,K281/K$11,L281/L$11,M281/M$11,N281/N$11,O281/O$11,P281/P$11)/9*100</f>
        <v>158.2644231643724</v>
      </c>
      <c r="F281" s="2182">
        <f>149+158+161+261+166+118+221+138+376</f>
        <v>1748</v>
      </c>
      <c r="G281" s="2129"/>
      <c r="H281" s="868">
        <v>135580283</v>
      </c>
      <c r="I281" s="854">
        <v>573656380</v>
      </c>
      <c r="J281" s="854">
        <v>529148708</v>
      </c>
      <c r="K281" s="854">
        <v>381295064</v>
      </c>
      <c r="L281" s="854">
        <v>592192162</v>
      </c>
      <c r="M281" s="854">
        <v>488140980</v>
      </c>
      <c r="N281" s="854">
        <v>444517717</v>
      </c>
      <c r="O281" s="854">
        <v>59423230</v>
      </c>
      <c r="P281" s="854">
        <v>310840324</v>
      </c>
      <c r="Q281" s="2555" t="s">
        <v>334</v>
      </c>
      <c r="R281" s="2556" t="s">
        <v>69</v>
      </c>
      <c r="S281" s="2557">
        <v>1</v>
      </c>
      <c r="T281" s="2575">
        <v>36253</v>
      </c>
      <c r="U281" s="3007" t="s">
        <v>117</v>
      </c>
      <c r="V281" s="2559" t="s">
        <v>1886</v>
      </c>
      <c r="W281" s="2571">
        <f ca="1">YEARFRAC(T281,W$6)</f>
        <v>15.066666666666666</v>
      </c>
      <c r="X281" s="48"/>
    </row>
    <row r="282" spans="1:24" ht="12" customHeight="1">
      <c r="A282" s="48">
        <v>270</v>
      </c>
      <c r="B282" s="2107" t="s">
        <v>42</v>
      </c>
      <c r="C282" s="2114" t="s">
        <v>1777</v>
      </c>
      <c r="D282" s="2115"/>
      <c r="E282" s="1125">
        <f>SUM(H282/H$11,I282/I$11,J282/J$11,K282/K$11,L282/L$11,M282/M$11,N282/N$11,O282/O$11,P282/P$11)/9*100</f>
        <v>158.37038173075146</v>
      </c>
      <c r="F282" s="2128"/>
      <c r="G282" s="2129"/>
      <c r="H282" s="853">
        <v>134359757</v>
      </c>
      <c r="I282" s="865">
        <v>574442972</v>
      </c>
      <c r="J282" s="865">
        <v>534311720</v>
      </c>
      <c r="K282" s="865">
        <v>388810200</v>
      </c>
      <c r="L282" s="865">
        <v>593713023</v>
      </c>
      <c r="M282" s="865">
        <v>489596059</v>
      </c>
      <c r="N282" s="854">
        <v>453539700</v>
      </c>
      <c r="O282" s="865">
        <v>55071335</v>
      </c>
      <c r="P282" s="865">
        <v>323847532</v>
      </c>
      <c r="Q282" s="2555" t="s">
        <v>359</v>
      </c>
      <c r="R282" s="2556" t="s">
        <v>145</v>
      </c>
      <c r="S282" s="2557">
        <v>1</v>
      </c>
      <c r="T282" s="2575">
        <v>35387</v>
      </c>
      <c r="U282" s="2559" t="s">
        <v>75</v>
      </c>
      <c r="V282" s="2559" t="s">
        <v>118</v>
      </c>
      <c r="W282" s="2560">
        <f ca="1">YEARFRAC(T282,W$6)</f>
        <v>17.441666666666666</v>
      </c>
      <c r="X282" s="48">
        <v>270</v>
      </c>
    </row>
    <row r="283" spans="1:24" ht="12" customHeight="1">
      <c r="A283" s="48"/>
      <c r="B283" s="2144" t="s">
        <v>42</v>
      </c>
      <c r="C283" s="2145" t="s">
        <v>352</v>
      </c>
      <c r="D283" s="2146"/>
      <c r="E283" s="1125">
        <f>SUM(H283/H$11,I283/I$11,J283/J$11,K283/K$11,L283/L$11,M283/M$11,N283/N$11,O283/O$11,P283/P$11)/9*100</f>
        <v>158.51767589553594</v>
      </c>
      <c r="F283" s="2136"/>
      <c r="G283" s="2137"/>
      <c r="H283" s="873">
        <v>134707393</v>
      </c>
      <c r="I283" s="869">
        <v>572554135</v>
      </c>
      <c r="J283" s="869">
        <v>532130174</v>
      </c>
      <c r="K283" s="869">
        <v>389625412</v>
      </c>
      <c r="L283" s="869">
        <v>593172292</v>
      </c>
      <c r="M283" s="869">
        <v>489077382</v>
      </c>
      <c r="N283" s="870">
        <v>450153726</v>
      </c>
      <c r="O283" s="869">
        <v>55530641</v>
      </c>
      <c r="P283" s="869">
        <v>326167315</v>
      </c>
      <c r="Q283" s="2576" t="s">
        <v>353</v>
      </c>
      <c r="R283" s="2577" t="s">
        <v>145</v>
      </c>
      <c r="S283" s="2578">
        <v>1</v>
      </c>
      <c r="T283" s="2579">
        <v>33993</v>
      </c>
      <c r="U283" s="2580" t="s">
        <v>271</v>
      </c>
      <c r="V283" s="2580" t="s">
        <v>397</v>
      </c>
      <c r="W283" s="2571">
        <f ca="1">YEARFRAC(T283,W$6)</f>
        <v>21.258333333333333</v>
      </c>
      <c r="X283" s="48"/>
    </row>
    <row r="284" spans="1:24" ht="12" customHeight="1">
      <c r="A284" s="48">
        <v>272</v>
      </c>
      <c r="B284" s="2167" t="s">
        <v>1431</v>
      </c>
      <c r="C284" s="2111" t="s">
        <v>1742</v>
      </c>
      <c r="D284" s="2168"/>
      <c r="E284" s="1125">
        <f>SUM(H284/H$11,I284/I$11,J284/J$11,K284/K$11,L284/L$11,M284/M$11,N284/N$11,O284/O$11,P284/P$11)/9*100</f>
        <v>158.61897325835744</v>
      </c>
      <c r="F284" s="2130"/>
      <c r="G284" s="2131"/>
      <c r="H284" s="855">
        <v>134688487</v>
      </c>
      <c r="I284" s="857">
        <v>571435820</v>
      </c>
      <c r="J284" s="857">
        <v>533984202</v>
      </c>
      <c r="K284" s="857">
        <v>388707398</v>
      </c>
      <c r="L284" s="857">
        <v>591778840</v>
      </c>
      <c r="M284" s="857">
        <v>488469311</v>
      </c>
      <c r="N284" s="871">
        <v>455858586</v>
      </c>
      <c r="O284" s="857">
        <v>55524841</v>
      </c>
      <c r="P284" s="857">
        <v>325379419</v>
      </c>
      <c r="Q284" s="2561" t="s">
        <v>350</v>
      </c>
      <c r="R284" s="2562" t="s">
        <v>69</v>
      </c>
      <c r="S284" s="2563">
        <v>1</v>
      </c>
      <c r="T284" s="2564">
        <v>37748</v>
      </c>
      <c r="U284" s="2565" t="s">
        <v>77</v>
      </c>
      <c r="V284" s="2565" t="s">
        <v>351</v>
      </c>
      <c r="W284" s="2560">
        <f ca="1">YEARFRAC(T284,W$6)</f>
        <v>10.972222222222221</v>
      </c>
      <c r="X284" s="48">
        <v>272</v>
      </c>
    </row>
    <row r="285" spans="1:24" ht="12" customHeight="1">
      <c r="A285" s="48"/>
      <c r="B285" s="2107" t="s">
        <v>42</v>
      </c>
      <c r="C285" s="2114" t="s">
        <v>1743</v>
      </c>
      <c r="D285" s="2115"/>
      <c r="E285" s="1125">
        <f>SUM(H285/H$11,I285/I$11,J285/J$11,K285/K$11,L285/L$11,M285/M$11,N285/N$11,O285/O$11,P285/P$11)/9*100</f>
        <v>159.0385985304975</v>
      </c>
      <c r="F285" s="2128"/>
      <c r="G285" s="2129"/>
      <c r="H285" s="853">
        <v>135015772</v>
      </c>
      <c r="I285" s="865">
        <v>571765416</v>
      </c>
      <c r="J285" s="865">
        <v>534556464</v>
      </c>
      <c r="K285" s="865">
        <v>389848137</v>
      </c>
      <c r="L285" s="865">
        <v>593082411</v>
      </c>
      <c r="M285" s="865">
        <v>489076112</v>
      </c>
      <c r="N285" s="854">
        <v>457767478</v>
      </c>
      <c r="O285" s="865">
        <v>55648776</v>
      </c>
      <c r="P285" s="865">
        <v>327055639</v>
      </c>
      <c r="Q285" s="2555" t="s">
        <v>332</v>
      </c>
      <c r="R285" s="2556" t="s">
        <v>145</v>
      </c>
      <c r="S285" s="2557">
        <v>1</v>
      </c>
      <c r="T285" s="2558">
        <v>35042</v>
      </c>
      <c r="U285" s="2559" t="s">
        <v>75</v>
      </c>
      <c r="V285" s="2559" t="s">
        <v>1878</v>
      </c>
      <c r="W285" s="2571">
        <f ca="1">YEARFRAC(T285,W$6)</f>
        <v>18.383333333333333</v>
      </c>
      <c r="X285" s="48"/>
    </row>
    <row r="286" spans="1:24" ht="12" customHeight="1">
      <c r="A286" s="48">
        <v>274</v>
      </c>
      <c r="B286" s="2113" t="s">
        <v>1431</v>
      </c>
      <c r="C286" s="2108" t="s">
        <v>781</v>
      </c>
      <c r="D286" s="2109"/>
      <c r="E286" s="1125">
        <f>SUM(H286/H$11,I286/I$11,J286/J$11,K286/K$11,L286/L$11,M286/M$11,N286/N$11,O286/O$11,P286/P$11)/9*100</f>
        <v>159.23690303641803</v>
      </c>
      <c r="F286" s="2128"/>
      <c r="G286" s="2129"/>
      <c r="H286" s="853">
        <v>139521304</v>
      </c>
      <c r="I286" s="865">
        <v>573075186</v>
      </c>
      <c r="J286" s="865">
        <v>530104300</v>
      </c>
      <c r="K286" s="865">
        <v>381657973</v>
      </c>
      <c r="L286" s="865">
        <v>593011791</v>
      </c>
      <c r="M286" s="865">
        <v>488740679</v>
      </c>
      <c r="N286" s="854">
        <v>444419172</v>
      </c>
      <c r="O286" s="865">
        <v>60277915</v>
      </c>
      <c r="P286" s="865">
        <v>310467892</v>
      </c>
      <c r="Q286" s="2555" t="s">
        <v>334</v>
      </c>
      <c r="R286" s="2556" t="s">
        <v>69</v>
      </c>
      <c r="S286" s="2557">
        <v>1</v>
      </c>
      <c r="T286" s="2575">
        <v>38346</v>
      </c>
      <c r="U286" s="2559" t="s">
        <v>135</v>
      </c>
      <c r="V286" s="2559" t="s">
        <v>397</v>
      </c>
      <c r="W286" s="2560">
        <f ca="1">YEARFRAC(T286,W$6)</f>
        <v>9.3388888888888886</v>
      </c>
      <c r="X286" s="48">
        <v>274</v>
      </c>
    </row>
    <row r="287" spans="1:24" ht="12" customHeight="1">
      <c r="A287" s="48"/>
      <c r="B287" s="2144" t="s">
        <v>42</v>
      </c>
      <c r="C287" s="3285" t="s">
        <v>360</v>
      </c>
      <c r="D287" s="2119" t="s">
        <v>41</v>
      </c>
      <c r="E287" s="1125">
        <f>SUM(H287/H$11,I287/I$11,J287/J$11,K287/K$11,L287/L$11,M287/M$11,N287/N$11,O287/O$11,P287/P$11)/9*100</f>
        <v>159.59179854608533</v>
      </c>
      <c r="F287" s="2136"/>
      <c r="G287" s="2137"/>
      <c r="H287" s="872">
        <v>133374487</v>
      </c>
      <c r="I287" s="870">
        <v>606693487</v>
      </c>
      <c r="J287" s="870">
        <v>535149075</v>
      </c>
      <c r="K287" s="870">
        <v>388251939</v>
      </c>
      <c r="L287" s="870">
        <v>609160814</v>
      </c>
      <c r="M287" s="870">
        <v>490486557</v>
      </c>
      <c r="N287" s="870">
        <v>456278902</v>
      </c>
      <c r="O287" s="870">
        <v>54723495</v>
      </c>
      <c r="P287" s="870">
        <v>323633222</v>
      </c>
      <c r="Q287" s="2576" t="s">
        <v>361</v>
      </c>
      <c r="R287" s="2577" t="s">
        <v>145</v>
      </c>
      <c r="S287" s="2578">
        <v>1</v>
      </c>
      <c r="T287" s="2579">
        <v>34233</v>
      </c>
      <c r="U287" s="2580" t="s">
        <v>108</v>
      </c>
      <c r="V287" s="2580" t="s">
        <v>1778</v>
      </c>
      <c r="W287" s="2571">
        <f ca="1">YEARFRAC(T287,W$6)</f>
        <v>20.6</v>
      </c>
      <c r="X287" s="48"/>
    </row>
    <row r="288" spans="1:24" ht="12" customHeight="1">
      <c r="A288" s="48">
        <v>276</v>
      </c>
      <c r="B288" s="2167" t="s">
        <v>1431</v>
      </c>
      <c r="C288" s="3070" t="s">
        <v>1921</v>
      </c>
      <c r="D288" s="2112"/>
      <c r="E288" s="1125">
        <f>SUM(H288/H$11,I288/I$11,J288/J$11,K288/K$11,L288/L$11,M288/M$11,N288/N$11,O288/O$11,P288/P$11)/9*100</f>
        <v>159.86477168782525</v>
      </c>
      <c r="F288" s="2141">
        <f>29+31+23+62+21+15+24+11+39</f>
        <v>255</v>
      </c>
      <c r="G288" s="2131"/>
      <c r="H288" s="871">
        <v>137626506</v>
      </c>
      <c r="I288" s="871">
        <v>571870646</v>
      </c>
      <c r="J288" s="871">
        <v>533078498</v>
      </c>
      <c r="K288" s="871">
        <v>387116812</v>
      </c>
      <c r="L288" s="871">
        <v>591371951</v>
      </c>
      <c r="M288" s="871">
        <v>488019468</v>
      </c>
      <c r="N288" s="871">
        <v>449905509</v>
      </c>
      <c r="O288" s="871">
        <v>61603814</v>
      </c>
      <c r="P288" s="871">
        <v>310697814</v>
      </c>
      <c r="Q288" s="2561" t="s">
        <v>120</v>
      </c>
      <c r="R288" s="2562" t="s">
        <v>69</v>
      </c>
      <c r="S288" s="2563">
        <v>1</v>
      </c>
      <c r="T288" s="2564">
        <v>40901</v>
      </c>
      <c r="U288" s="2565" t="s">
        <v>80</v>
      </c>
      <c r="V288" s="2565" t="s">
        <v>2063</v>
      </c>
      <c r="W288" s="2560">
        <f ca="1">YEARFRAC(T288,W$6)</f>
        <v>2.3416666666666668</v>
      </c>
      <c r="X288" s="48">
        <v>276</v>
      </c>
    </row>
    <row r="289" spans="1:24" ht="12" customHeight="1">
      <c r="A289" s="48"/>
      <c r="B289" s="2113" t="s">
        <v>1431</v>
      </c>
      <c r="C289" s="2108" t="s">
        <v>354</v>
      </c>
      <c r="D289" s="2115"/>
      <c r="E289" s="1125">
        <f>SUM(H289/H$11,I289/I$11,J289/J$11,K289/K$11,L289/L$11,M289/M$11,N289/N$11,O289/O$11,P289/P$11)/9*100</f>
        <v>160.273945831476</v>
      </c>
      <c r="F289" s="2136"/>
      <c r="G289" s="2129"/>
      <c r="H289" s="853">
        <v>136595571</v>
      </c>
      <c r="I289" s="854">
        <v>571408194</v>
      </c>
      <c r="J289" s="854">
        <v>533918204</v>
      </c>
      <c r="K289" s="854">
        <v>388506095</v>
      </c>
      <c r="L289" s="854">
        <v>591744013</v>
      </c>
      <c r="M289" s="854">
        <v>488454861</v>
      </c>
      <c r="N289" s="854">
        <v>455514505</v>
      </c>
      <c r="O289" s="854">
        <v>59735051</v>
      </c>
      <c r="P289" s="865">
        <v>323283760</v>
      </c>
      <c r="Q289" s="2555" t="s">
        <v>355</v>
      </c>
      <c r="R289" s="2556" t="s">
        <v>69</v>
      </c>
      <c r="S289" s="2557">
        <v>1</v>
      </c>
      <c r="T289" s="2575">
        <v>37985</v>
      </c>
      <c r="U289" s="2559" t="s">
        <v>75</v>
      </c>
      <c r="V289" s="2559" t="s">
        <v>1778</v>
      </c>
      <c r="W289" s="2571">
        <f ca="1">YEARFRAC(T289,W$6)</f>
        <v>10.324999999999999</v>
      </c>
      <c r="X289" s="48"/>
    </row>
    <row r="290" spans="1:24" ht="12" customHeight="1">
      <c r="A290" s="48">
        <v>278</v>
      </c>
      <c r="B290" s="2107" t="s">
        <v>42</v>
      </c>
      <c r="C290" s="2114" t="s">
        <v>377</v>
      </c>
      <c r="D290" s="2115"/>
      <c r="E290" s="1125">
        <f>SUM(H290/H$11,I290/I$11,J290/J$11,K290/K$11,L290/L$11,M290/M$11,N290/N$11,O290/O$11,P290/P$11)/9*100</f>
        <v>160.45064735355041</v>
      </c>
      <c r="F290" s="2128"/>
      <c r="G290" s="2129"/>
      <c r="H290" s="853">
        <v>143552934</v>
      </c>
      <c r="I290" s="865">
        <v>606693376</v>
      </c>
      <c r="J290" s="865">
        <v>567693321</v>
      </c>
      <c r="K290" s="865">
        <v>373070047</v>
      </c>
      <c r="L290" s="865">
        <v>609160704</v>
      </c>
      <c r="M290" s="865">
        <v>492148736</v>
      </c>
      <c r="N290" s="854">
        <v>452686200</v>
      </c>
      <c r="O290" s="865">
        <v>56411847</v>
      </c>
      <c r="P290" s="865">
        <v>303792807</v>
      </c>
      <c r="Q290" s="2555" t="s">
        <v>376</v>
      </c>
      <c r="R290" s="2556" t="s">
        <v>145</v>
      </c>
      <c r="S290" s="2557">
        <v>1</v>
      </c>
      <c r="T290" s="2575">
        <v>35246</v>
      </c>
      <c r="U290" s="2559" t="s">
        <v>285</v>
      </c>
      <c r="V290" s="2559" t="s">
        <v>1878</v>
      </c>
      <c r="W290" s="2560">
        <f ca="1">YEARFRAC(T290,W$6)</f>
        <v>17.824999999999999</v>
      </c>
      <c r="X290" s="48">
        <v>278</v>
      </c>
    </row>
    <row r="291" spans="1:24" ht="12" customHeight="1">
      <c r="A291" s="48"/>
      <c r="B291" s="2144" t="s">
        <v>42</v>
      </c>
      <c r="C291" s="2145" t="s">
        <v>375</v>
      </c>
      <c r="D291" s="2146"/>
      <c r="E291" s="1125">
        <f>SUM(H291/H$11,I291/I$11,J291/J$11,K291/K$11,L291/L$11,M291/M$11,N291/N$11,O291/O$11,P291/P$11)/9*100</f>
        <v>160.45064735355041</v>
      </c>
      <c r="F291" s="2136"/>
      <c r="G291" s="2137"/>
      <c r="H291" s="873">
        <v>143552934</v>
      </c>
      <c r="I291" s="869">
        <v>606693376</v>
      </c>
      <c r="J291" s="869">
        <v>567693321</v>
      </c>
      <c r="K291" s="869">
        <v>373070047</v>
      </c>
      <c r="L291" s="869">
        <v>609160704</v>
      </c>
      <c r="M291" s="869">
        <v>492148736</v>
      </c>
      <c r="N291" s="870">
        <v>452686200</v>
      </c>
      <c r="O291" s="869">
        <v>56411847</v>
      </c>
      <c r="P291" s="869">
        <v>303792807</v>
      </c>
      <c r="Q291" s="2576" t="s">
        <v>376</v>
      </c>
      <c r="R291" s="2577" t="s">
        <v>145</v>
      </c>
      <c r="S291" s="2578">
        <v>1</v>
      </c>
      <c r="T291" s="2579">
        <v>33923</v>
      </c>
      <c r="U291" s="2580" t="s">
        <v>285</v>
      </c>
      <c r="V291" s="2580" t="s">
        <v>1878</v>
      </c>
      <c r="W291" s="2571">
        <f ca="1">YEARFRAC(T291,W$6)</f>
        <v>21.45</v>
      </c>
      <c r="X291" s="48"/>
    </row>
    <row r="292" spans="1:24" ht="12" customHeight="1">
      <c r="A292" s="48">
        <v>280</v>
      </c>
      <c r="B292" s="2167" t="s">
        <v>1431</v>
      </c>
      <c r="C292" s="2111" t="s">
        <v>364</v>
      </c>
      <c r="D292" s="2168"/>
      <c r="E292" s="1125">
        <f>SUM(H292/H$11,I292/I$11,J292/J$11,K292/K$11,L292/L$11,M292/M$11,N292/N$11,O292/O$11,P292/P$11)/9*100</f>
        <v>160.74557841880721</v>
      </c>
      <c r="F292" s="2130"/>
      <c r="G292" s="2131"/>
      <c r="H292" s="855">
        <v>137053280</v>
      </c>
      <c r="I292" s="857">
        <v>575346128</v>
      </c>
      <c r="J292" s="857">
        <v>505354328</v>
      </c>
      <c r="K292" s="857">
        <v>390847864</v>
      </c>
      <c r="L292" s="857">
        <v>595501256</v>
      </c>
      <c r="M292" s="857">
        <v>491679632</v>
      </c>
      <c r="N292" s="871">
        <v>459313632</v>
      </c>
      <c r="O292" s="857">
        <v>60288824</v>
      </c>
      <c r="P292" s="857">
        <v>328097152</v>
      </c>
      <c r="Q292" s="2561" t="s">
        <v>365</v>
      </c>
      <c r="R292" s="2562" t="s">
        <v>69</v>
      </c>
      <c r="S292" s="2563">
        <v>1</v>
      </c>
      <c r="T292" s="2564">
        <v>38405</v>
      </c>
      <c r="U292" s="2565" t="s">
        <v>73</v>
      </c>
      <c r="V292" s="2565" t="s">
        <v>117</v>
      </c>
      <c r="W292" s="2560">
        <f ca="1">YEARFRAC(T292,W$6)</f>
        <v>9.1805555555555554</v>
      </c>
      <c r="X292" s="48">
        <v>280</v>
      </c>
    </row>
    <row r="293" spans="1:24" ht="12" customHeight="1">
      <c r="A293" s="48"/>
      <c r="B293" s="2107" t="s">
        <v>42</v>
      </c>
      <c r="C293" s="3286" t="s">
        <v>2044</v>
      </c>
      <c r="D293" s="2118" t="s">
        <v>41</v>
      </c>
      <c r="E293" s="1125">
        <f>SUM(H293/H$11,I293/I$11,J293/J$11,K293/K$11,L293/L$11,M293/M$11,N293/N$11,O293/O$11,P293/P$11)/9*100</f>
        <v>160.79947015347059</v>
      </c>
      <c r="F293" s="2133">
        <f>112.9+132.5+158.2+316.7+111.7+88.3+282.9+78.8+474.1</f>
        <v>1756.1</v>
      </c>
      <c r="G293" s="2134"/>
      <c r="H293" s="868">
        <v>131074014</v>
      </c>
      <c r="I293" s="865">
        <v>606693385</v>
      </c>
      <c r="J293" s="854">
        <v>577854473</v>
      </c>
      <c r="K293" s="854">
        <v>408889075</v>
      </c>
      <c r="L293" s="854">
        <v>609161737</v>
      </c>
      <c r="M293" s="854">
        <v>492148745</v>
      </c>
      <c r="N293" s="854">
        <v>506609996</v>
      </c>
      <c r="O293" s="854">
        <v>50208430</v>
      </c>
      <c r="P293" s="854">
        <v>312135097</v>
      </c>
      <c r="Q293" s="2555" t="s">
        <v>2043</v>
      </c>
      <c r="R293" s="3574" t="s">
        <v>65</v>
      </c>
      <c r="S293" s="2557">
        <v>1</v>
      </c>
      <c r="T293" s="2575">
        <v>40621</v>
      </c>
      <c r="U293" s="2559" t="s">
        <v>179</v>
      </c>
      <c r="V293" s="3007" t="s">
        <v>117</v>
      </c>
      <c r="W293" s="2571">
        <f ca="1">YEARFRAC(T293,W$6)</f>
        <v>3.1055555555555556</v>
      </c>
      <c r="X293" s="48"/>
    </row>
    <row r="294" spans="1:24" ht="12" customHeight="1">
      <c r="A294" s="48">
        <v>282</v>
      </c>
      <c r="B294" s="2113" t="s">
        <v>1431</v>
      </c>
      <c r="C294" s="2108" t="s">
        <v>1578</v>
      </c>
      <c r="D294" s="2118" t="s">
        <v>41</v>
      </c>
      <c r="E294" s="1125">
        <f>SUM(H294/H$11,I294/I$11,J294/J$11,K294/K$11,L294/L$11,M294/M$11,N294/N$11,O294/O$11,P294/P$11)/9*100</f>
        <v>160.92543369496906</v>
      </c>
      <c r="F294" s="2172">
        <f>103+203+114+237+150+70+50+145+62</f>
        <v>1134</v>
      </c>
      <c r="G294" s="2170"/>
      <c r="H294" s="1127">
        <v>137677037</v>
      </c>
      <c r="I294" s="1128">
        <v>571417347</v>
      </c>
      <c r="J294" s="1128">
        <v>533938954</v>
      </c>
      <c r="K294" s="1128">
        <v>388998319</v>
      </c>
      <c r="L294" s="1128">
        <v>591718258</v>
      </c>
      <c r="M294" s="1128">
        <v>488407996</v>
      </c>
      <c r="N294" s="1128">
        <v>455777802</v>
      </c>
      <c r="O294" s="1128">
        <v>60741264</v>
      </c>
      <c r="P294" s="1128">
        <v>324358544</v>
      </c>
      <c r="Q294" s="3511" t="s">
        <v>357</v>
      </c>
      <c r="R294" s="3545" t="s">
        <v>69</v>
      </c>
      <c r="S294" s="2524">
        <v>1</v>
      </c>
      <c r="T294" s="3087">
        <v>40435</v>
      </c>
      <c r="U294" s="2526" t="s">
        <v>108</v>
      </c>
      <c r="V294" s="2526" t="s">
        <v>358</v>
      </c>
      <c r="W294" s="2527">
        <f ca="1">YEARFRAC(T294,W$6)</f>
        <v>3.6194444444444445</v>
      </c>
      <c r="X294" s="48">
        <v>282</v>
      </c>
    </row>
    <row r="295" spans="1:24" ht="12" customHeight="1">
      <c r="A295" s="48"/>
      <c r="B295" s="2161" t="s">
        <v>42</v>
      </c>
      <c r="C295" s="2164" t="s">
        <v>1577</v>
      </c>
      <c r="D295" s="2166" t="s">
        <v>41</v>
      </c>
      <c r="E295" s="1125">
        <f>SUM(H295/H$11,I295/I$11,J295/J$11,K295/K$11,L295/L$11,M295/M$11,N295/N$11,O295/O$11,P295/P$11)/9*100</f>
        <v>161.67397116052001</v>
      </c>
      <c r="F295" s="2173"/>
      <c r="G295" s="2173"/>
      <c r="H295" s="1163">
        <v>138191843</v>
      </c>
      <c r="I295" s="1145">
        <v>572091331</v>
      </c>
      <c r="J295" s="1145">
        <v>534022871</v>
      </c>
      <c r="K295" s="3488">
        <v>392501125</v>
      </c>
      <c r="L295" s="1145">
        <v>592998719</v>
      </c>
      <c r="M295" s="3488">
        <v>488808013</v>
      </c>
      <c r="N295" s="1146">
        <v>456243113</v>
      </c>
      <c r="O295" s="1145">
        <v>60946631</v>
      </c>
      <c r="P295" s="1145">
        <v>329231242</v>
      </c>
      <c r="Q295" s="2539" t="s">
        <v>363</v>
      </c>
      <c r="R295" s="3082" t="s">
        <v>69</v>
      </c>
      <c r="S295" s="2540">
        <v>1</v>
      </c>
      <c r="T295" s="3654">
        <v>34796</v>
      </c>
      <c r="U295" s="2542" t="s">
        <v>75</v>
      </c>
      <c r="V295" s="2542" t="s">
        <v>865</v>
      </c>
      <c r="W295" s="2533">
        <f ca="1">YEARFRAC(T295,W$6)</f>
        <v>19.055555555555557</v>
      </c>
      <c r="X295" s="48"/>
    </row>
    <row r="296" spans="1:24" ht="12" customHeight="1">
      <c r="A296" s="48">
        <v>284</v>
      </c>
      <c r="B296" s="2165" t="s">
        <v>1431</v>
      </c>
      <c r="C296" s="3246" t="s">
        <v>1922</v>
      </c>
      <c r="D296" s="2990"/>
      <c r="E296" s="1125">
        <f>SUM(H296/H$11,I296/I$11,J296/J$11,K296/K$11,L296/L$11,M296/M$11,N296/N$11,O296/O$11,P296/P$11)/9*100</f>
        <v>161.6742005442137</v>
      </c>
      <c r="F296" s="3009">
        <f>27+18+27+38+20+15+22+41+24</f>
        <v>232</v>
      </c>
      <c r="G296" s="2171"/>
      <c r="H296" s="907">
        <v>139384034</v>
      </c>
      <c r="I296" s="1143">
        <v>571859445</v>
      </c>
      <c r="J296" s="1143">
        <v>533078498</v>
      </c>
      <c r="K296" s="3487">
        <v>391776056</v>
      </c>
      <c r="L296" s="1143">
        <v>591671228</v>
      </c>
      <c r="M296" s="3487">
        <v>488141632</v>
      </c>
      <c r="N296" s="1143">
        <v>454867278</v>
      </c>
      <c r="O296" s="1143">
        <v>62129895</v>
      </c>
      <c r="P296" s="1143">
        <v>323077882</v>
      </c>
      <c r="Q296" s="2534" t="s">
        <v>120</v>
      </c>
      <c r="R296" s="2535" t="s">
        <v>69</v>
      </c>
      <c r="S296" s="2554">
        <v>1</v>
      </c>
      <c r="T296" s="3010">
        <v>40901</v>
      </c>
      <c r="U296" s="2537" t="s">
        <v>80</v>
      </c>
      <c r="V296" s="2537" t="s">
        <v>118</v>
      </c>
      <c r="W296" s="2538">
        <f ca="1">YEARFRAC(T296,W$6)</f>
        <v>2.3416666666666668</v>
      </c>
      <c r="X296" s="48">
        <v>284</v>
      </c>
    </row>
    <row r="297" spans="1:24" ht="12" customHeight="1">
      <c r="A297" s="48"/>
      <c r="B297" s="2124" t="s">
        <v>42</v>
      </c>
      <c r="C297" s="2127" t="s">
        <v>1744</v>
      </c>
      <c r="D297" s="3073" t="s">
        <v>41</v>
      </c>
      <c r="E297" s="1125">
        <f>SUM(H297/H$11,I297/I$11,J297/J$11,K297/K$11,L297/L$11,M297/M$11,N297/N$11,O297/O$11,P297/P$11)/9*100</f>
        <v>161.78947155702835</v>
      </c>
      <c r="F297" s="2135"/>
      <c r="G297" s="2134"/>
      <c r="H297" s="868">
        <v>144273129</v>
      </c>
      <c r="I297" s="854">
        <v>614748338</v>
      </c>
      <c r="J297" s="854">
        <v>559321403</v>
      </c>
      <c r="K297" s="854">
        <v>388333151</v>
      </c>
      <c r="L297" s="854">
        <v>614628727</v>
      </c>
      <c r="M297" s="854">
        <v>505573853</v>
      </c>
      <c r="N297" s="854">
        <v>460907811</v>
      </c>
      <c r="O297" s="854">
        <v>56243939</v>
      </c>
      <c r="P297" s="854">
        <v>301062372</v>
      </c>
      <c r="Q297" s="2566" t="s">
        <v>378</v>
      </c>
      <c r="R297" s="2567" t="s">
        <v>145</v>
      </c>
      <c r="S297" s="2568">
        <v>1</v>
      </c>
      <c r="T297" s="2569">
        <v>34213</v>
      </c>
      <c r="U297" s="2570" t="s">
        <v>66</v>
      </c>
      <c r="V297" s="2570" t="s">
        <v>379</v>
      </c>
      <c r="W297" s="2560">
        <f ca="1">YEARFRAC(T297,W$6)</f>
        <v>20.655555555555555</v>
      </c>
      <c r="X297" s="48"/>
    </row>
    <row r="298" spans="1:24" ht="12" customHeight="1">
      <c r="A298" s="48">
        <v>286</v>
      </c>
      <c r="B298" s="2110" t="s">
        <v>42</v>
      </c>
      <c r="C298" s="2111" t="s">
        <v>1576</v>
      </c>
      <c r="D298" s="2148" t="s">
        <v>41</v>
      </c>
      <c r="E298" s="1125">
        <f>SUM(H298/H$11,I298/I$11,J298/J$11,K298/K$11,L298/L$11,M298/M$11,N298/N$11,O298/O$11,P298/P$11)/9*100</f>
        <v>161.8646268312059</v>
      </c>
      <c r="F298" s="2130"/>
      <c r="G298" s="2131"/>
      <c r="H298" s="867">
        <v>138444442</v>
      </c>
      <c r="I298" s="857">
        <v>573118960</v>
      </c>
      <c r="J298" s="871">
        <v>532537175</v>
      </c>
      <c r="K298" s="871">
        <v>392754718</v>
      </c>
      <c r="L298" s="871">
        <v>593172508</v>
      </c>
      <c r="M298" s="871">
        <v>488997944</v>
      </c>
      <c r="N298" s="871">
        <v>455957138</v>
      </c>
      <c r="O298" s="871">
        <v>61371609</v>
      </c>
      <c r="P298" s="871">
        <v>329123783</v>
      </c>
      <c r="Q298" s="2561" t="s">
        <v>363</v>
      </c>
      <c r="R298" s="2562" t="s">
        <v>69</v>
      </c>
      <c r="S298" s="2563">
        <v>1</v>
      </c>
      <c r="T298" s="2564">
        <v>38621</v>
      </c>
      <c r="U298" s="2565" t="s">
        <v>80</v>
      </c>
      <c r="V298" s="2565" t="s">
        <v>865</v>
      </c>
      <c r="W298" s="2560">
        <f ca="1">YEARFRAC(T298,W$6)</f>
        <v>8.5861111111111104</v>
      </c>
      <c r="X298" s="48">
        <v>286</v>
      </c>
    </row>
    <row r="299" spans="1:24" ht="12" customHeight="1">
      <c r="A299" s="48"/>
      <c r="B299" s="2113" t="s">
        <v>1431</v>
      </c>
      <c r="C299" s="2127" t="s">
        <v>863</v>
      </c>
      <c r="D299" s="2150"/>
      <c r="E299" s="1125">
        <f>SUM(H299/H$11,I299/I$11,J299/J$11,K299/K$11,L299/L$11,M299/M$11,N299/N$11,O299/O$11,P299/P$11)/9*100</f>
        <v>162.1692714786744</v>
      </c>
      <c r="F299" s="2135"/>
      <c r="G299" s="2134"/>
      <c r="H299" s="853">
        <v>139691772</v>
      </c>
      <c r="I299" s="865">
        <v>574624469</v>
      </c>
      <c r="J299" s="865">
        <v>536809075</v>
      </c>
      <c r="K299" s="865">
        <v>390991585</v>
      </c>
      <c r="L299" s="865">
        <v>592620300</v>
      </c>
      <c r="M299" s="865">
        <v>488729980</v>
      </c>
      <c r="N299" s="854">
        <v>461860618</v>
      </c>
      <c r="O299" s="865">
        <v>61467173</v>
      </c>
      <c r="P299" s="865">
        <v>325853170</v>
      </c>
      <c r="Q299" s="2566" t="s">
        <v>862</v>
      </c>
      <c r="R299" s="2567" t="s">
        <v>145</v>
      </c>
      <c r="S299" s="2568">
        <v>1</v>
      </c>
      <c r="T299" s="2569">
        <v>35923</v>
      </c>
      <c r="U299" s="2570" t="s">
        <v>179</v>
      </c>
      <c r="V299" s="2570" t="s">
        <v>864</v>
      </c>
      <c r="W299" s="2571">
        <f ca="1">YEARFRAC(T299,W$6)</f>
        <v>15.969444444444445</v>
      </c>
      <c r="X299" s="48"/>
    </row>
    <row r="300" spans="1:24" ht="12" customHeight="1">
      <c r="A300" s="48">
        <v>288</v>
      </c>
      <c r="B300" s="2113" t="s">
        <v>1431</v>
      </c>
      <c r="C300" s="2108" t="s">
        <v>937</v>
      </c>
      <c r="D300" s="2109"/>
      <c r="E300" s="1125">
        <f>SUM(H300/H$11,I300/I$11,J300/J$11,K300/K$11,L300/L$11,M300/M$11,N300/N$11,O300/O$11,P300/P$11)/9*100</f>
        <v>163.18264688779092</v>
      </c>
      <c r="F300" s="2128"/>
      <c r="G300" s="2129"/>
      <c r="H300" s="853">
        <v>141049951</v>
      </c>
      <c r="I300" s="865">
        <v>580232931</v>
      </c>
      <c r="J300" s="865">
        <v>537532952</v>
      </c>
      <c r="K300" s="865">
        <v>397704207</v>
      </c>
      <c r="L300" s="865">
        <v>594078412</v>
      </c>
      <c r="M300" s="865">
        <v>488116070</v>
      </c>
      <c r="N300" s="854">
        <v>460316026</v>
      </c>
      <c r="O300" s="865">
        <v>58030274</v>
      </c>
      <c r="P300" s="865">
        <v>347463317</v>
      </c>
      <c r="Q300" s="2555" t="s">
        <v>287</v>
      </c>
      <c r="R300" s="2556" t="s">
        <v>69</v>
      </c>
      <c r="S300" s="2557">
        <v>1</v>
      </c>
      <c r="T300" s="2575">
        <v>37345</v>
      </c>
      <c r="U300" s="2559" t="s">
        <v>135</v>
      </c>
      <c r="V300" s="2559" t="s">
        <v>118</v>
      </c>
      <c r="W300" s="2560">
        <f ca="1">YEARFRAC(T300,W$6)</f>
        <v>12.074999999999999</v>
      </c>
      <c r="X300" s="48">
        <v>288</v>
      </c>
    </row>
    <row r="301" spans="1:24" ht="12" customHeight="1">
      <c r="A301" s="48"/>
      <c r="B301" s="2116" t="s">
        <v>42</v>
      </c>
      <c r="C301" s="3287" t="s">
        <v>1745</v>
      </c>
      <c r="D301" s="2695"/>
      <c r="E301" s="1125">
        <f>SUM(H301/H$11,I301/I$11,J301/J$11,K301/K$11,L301/L$11,M301/M$11,N301/N$11,O301/O$11,P301/P$11)/9*100</f>
        <v>163.23789470482427</v>
      </c>
      <c r="F301" s="2696"/>
      <c r="G301" s="2143"/>
      <c r="H301" s="872">
        <v>146235037</v>
      </c>
      <c r="I301" s="870">
        <v>603563962</v>
      </c>
      <c r="J301" s="870">
        <v>556749135</v>
      </c>
      <c r="K301" s="870">
        <v>390375738</v>
      </c>
      <c r="L301" s="870">
        <v>593463109</v>
      </c>
      <c r="M301" s="870">
        <v>491652347</v>
      </c>
      <c r="N301" s="870">
        <v>496764514</v>
      </c>
      <c r="O301" s="870">
        <v>52423547</v>
      </c>
      <c r="P301" s="870">
        <v>330190245</v>
      </c>
      <c r="Q301" s="2572" t="s">
        <v>630</v>
      </c>
      <c r="R301" s="3083" t="s">
        <v>69</v>
      </c>
      <c r="S301" s="2573">
        <v>1</v>
      </c>
      <c r="T301" s="2588">
        <v>40212</v>
      </c>
      <c r="U301" s="2574" t="s">
        <v>75</v>
      </c>
      <c r="V301" s="2574" t="s">
        <v>314</v>
      </c>
      <c r="W301" s="2571">
        <f ca="1">YEARFRAC(T301,W$6)</f>
        <v>4.2333333333333334</v>
      </c>
      <c r="X301" s="48"/>
    </row>
    <row r="302" spans="1:24" ht="12" customHeight="1">
      <c r="A302" s="48">
        <v>290</v>
      </c>
      <c r="B302" s="2110" t="s">
        <v>42</v>
      </c>
      <c r="C302" s="3071" t="s">
        <v>404</v>
      </c>
      <c r="D302" s="3328" t="s">
        <v>41</v>
      </c>
      <c r="E302" s="1125">
        <f>SUM(H302/H$11,I302/I$11,J302/J$11,K302/K$11,L302/L$11,M302/M$11,N302/N$11,O302/O$11,P302/P$11)/9*100</f>
        <v>163.2615938991853</v>
      </c>
      <c r="F302" s="2130"/>
      <c r="G302" s="2131"/>
      <c r="H302" s="855">
        <v>148235430</v>
      </c>
      <c r="I302" s="857">
        <v>685634950</v>
      </c>
      <c r="J302" s="857">
        <v>576581183</v>
      </c>
      <c r="K302" s="857">
        <v>378931996</v>
      </c>
      <c r="L302" s="857">
        <v>711664602</v>
      </c>
      <c r="M302" s="857">
        <v>580629614</v>
      </c>
      <c r="N302" s="871">
        <v>384768214</v>
      </c>
      <c r="O302" s="857">
        <v>55628460</v>
      </c>
      <c r="P302" s="857">
        <v>272777080</v>
      </c>
      <c r="Q302" s="2561" t="s">
        <v>208</v>
      </c>
      <c r="R302" s="2562" t="s">
        <v>69</v>
      </c>
      <c r="S302" s="2563">
        <v>1</v>
      </c>
      <c r="T302" s="2564">
        <v>39042</v>
      </c>
      <c r="U302" s="2565" t="s">
        <v>108</v>
      </c>
      <c r="V302" s="2565" t="s">
        <v>405</v>
      </c>
      <c r="W302" s="2560">
        <f ca="1">YEARFRAC(T302,W$6)</f>
        <v>7.4333333333333336</v>
      </c>
      <c r="X302" s="48">
        <v>290</v>
      </c>
    </row>
    <row r="303" spans="1:24" ht="12" customHeight="1">
      <c r="A303" s="48"/>
      <c r="B303" s="2107" t="s">
        <v>42</v>
      </c>
      <c r="C303" s="2155" t="s">
        <v>1654</v>
      </c>
      <c r="D303" s="2115"/>
      <c r="E303" s="1125">
        <f>SUM(H303/H$11,I303/I$11,J303/J$11,K303/K$11,L303/L$11,M303/M$11,N303/N$11,O303/O$11,P303/P$11)/9*100</f>
        <v>163.29478938042809</v>
      </c>
      <c r="F303" s="2128"/>
      <c r="G303" s="2129"/>
      <c r="H303" s="868">
        <v>147758757</v>
      </c>
      <c r="I303" s="854">
        <v>526494408</v>
      </c>
      <c r="J303" s="854">
        <v>488069390</v>
      </c>
      <c r="K303" s="854">
        <v>398333387</v>
      </c>
      <c r="L303" s="854">
        <v>601186782</v>
      </c>
      <c r="M303" s="854">
        <v>491375033</v>
      </c>
      <c r="N303" s="854">
        <v>346142035</v>
      </c>
      <c r="O303" s="854">
        <v>73237530</v>
      </c>
      <c r="P303" s="854">
        <v>360907868</v>
      </c>
      <c r="Q303" s="2555" t="s">
        <v>276</v>
      </c>
      <c r="R303" s="2556" t="s">
        <v>69</v>
      </c>
      <c r="S303" s="2557">
        <v>1</v>
      </c>
      <c r="T303" s="2575">
        <v>39600</v>
      </c>
      <c r="U303" s="2559" t="s">
        <v>75</v>
      </c>
      <c r="V303" s="2559" t="s">
        <v>277</v>
      </c>
      <c r="W303" s="2571">
        <f ca="1">YEARFRAC(T303,W$6)</f>
        <v>5.9055555555555559</v>
      </c>
      <c r="X303" s="48"/>
    </row>
    <row r="304" spans="1:24" ht="12" customHeight="1">
      <c r="A304" s="48">
        <v>292</v>
      </c>
      <c r="B304" s="2113" t="s">
        <v>1431</v>
      </c>
      <c r="C304" s="2108" t="s">
        <v>369</v>
      </c>
      <c r="D304" s="2109"/>
      <c r="E304" s="1125">
        <f>SUM(H304/H$11,I304/I$11,J304/J$11,K304/K$11,L304/L$11,M304/M$11,N304/N$11,O304/O$11,P304/P$11)/9*100</f>
        <v>163.8411107123942</v>
      </c>
      <c r="F304" s="2128"/>
      <c r="G304" s="2129"/>
      <c r="H304" s="857">
        <v>144816426</v>
      </c>
      <c r="I304" s="865">
        <v>571638182</v>
      </c>
      <c r="J304" s="865">
        <v>538660036</v>
      </c>
      <c r="K304" s="865">
        <v>394229250</v>
      </c>
      <c r="L304" s="865">
        <v>593045668</v>
      </c>
      <c r="M304" s="865">
        <v>489325203</v>
      </c>
      <c r="N304" s="854">
        <v>480335560</v>
      </c>
      <c r="O304" s="865">
        <v>57622209</v>
      </c>
      <c r="P304" s="865">
        <v>343978709</v>
      </c>
      <c r="Q304" s="2555" t="s">
        <v>370</v>
      </c>
      <c r="R304" s="2556" t="s">
        <v>69</v>
      </c>
      <c r="S304" s="2557">
        <v>1</v>
      </c>
      <c r="T304" s="2575">
        <v>38169</v>
      </c>
      <c r="U304" s="2559" t="s">
        <v>80</v>
      </c>
      <c r="V304" s="2559" t="s">
        <v>118</v>
      </c>
      <c r="W304" s="2560">
        <f ca="1">YEARFRAC(T304,W$6)</f>
        <v>9.8222222222222229</v>
      </c>
      <c r="X304" s="48">
        <v>292</v>
      </c>
    </row>
    <row r="305" spans="1:24" ht="12" customHeight="1">
      <c r="A305" s="48"/>
      <c r="B305" s="2152" t="s">
        <v>1431</v>
      </c>
      <c r="C305" s="2145" t="s">
        <v>394</v>
      </c>
      <c r="D305" s="3357"/>
      <c r="E305" s="1125">
        <f>SUM(H305/H$11,I305/I$11,J305/J$11,K305/K$11,L305/L$11,M305/M$11,N305/N$11,O305/O$11,P305/P$11)/9*100</f>
        <v>164.38530377664512</v>
      </c>
      <c r="F305" s="2136"/>
      <c r="G305" s="2137"/>
      <c r="H305" s="2905">
        <v>139030874</v>
      </c>
      <c r="I305" s="869">
        <v>606693376</v>
      </c>
      <c r="J305" s="869">
        <v>577854491</v>
      </c>
      <c r="K305" s="869">
        <v>415305156</v>
      </c>
      <c r="L305" s="869">
        <v>609160704</v>
      </c>
      <c r="M305" s="869">
        <v>492148736</v>
      </c>
      <c r="N305" s="870">
        <v>460754751</v>
      </c>
      <c r="O305" s="869">
        <v>57830591</v>
      </c>
      <c r="P305" s="869">
        <v>328074111</v>
      </c>
      <c r="Q305" s="2576" t="s">
        <v>395</v>
      </c>
      <c r="R305" s="2577" t="s">
        <v>145</v>
      </c>
      <c r="S305" s="2578">
        <v>1</v>
      </c>
      <c r="T305" s="2579">
        <v>37425</v>
      </c>
      <c r="U305" s="2580" t="s">
        <v>174</v>
      </c>
      <c r="V305" s="2580" t="s">
        <v>118</v>
      </c>
      <c r="W305" s="2571">
        <f ca="1">YEARFRAC(T305,W$6)</f>
        <v>11.858333333333333</v>
      </c>
      <c r="X305" s="48"/>
    </row>
    <row r="306" spans="1:24" ht="12" customHeight="1">
      <c r="A306" s="48">
        <v>294</v>
      </c>
      <c r="B306" s="2110" t="s">
        <v>42</v>
      </c>
      <c r="C306" s="3071" t="s">
        <v>401</v>
      </c>
      <c r="D306" s="2148" t="s">
        <v>41</v>
      </c>
      <c r="E306" s="1125">
        <f>SUM(H306/H$11,I306/I$11,J306/J$11,K306/K$11,L306/L$11,M306/M$11,N306/N$11,O306/O$11,P306/P$11)/9*100</f>
        <v>164.61996198273843</v>
      </c>
      <c r="F306" s="2130"/>
      <c r="G306" s="2131"/>
      <c r="H306" s="855">
        <v>148184944</v>
      </c>
      <c r="I306" s="871">
        <v>685291599</v>
      </c>
      <c r="J306" s="871">
        <v>634923928</v>
      </c>
      <c r="K306" s="871">
        <v>389260049</v>
      </c>
      <c r="L306" s="871">
        <v>756489385</v>
      </c>
      <c r="M306" s="871">
        <v>633300733</v>
      </c>
      <c r="N306" s="871">
        <v>379679795</v>
      </c>
      <c r="O306" s="871">
        <v>55644938</v>
      </c>
      <c r="P306" s="857">
        <v>237885459</v>
      </c>
      <c r="Q306" s="2561" t="s">
        <v>402</v>
      </c>
      <c r="R306" s="2562" t="s">
        <v>69</v>
      </c>
      <c r="S306" s="2563">
        <v>1</v>
      </c>
      <c r="T306" s="2564">
        <v>39079</v>
      </c>
      <c r="U306" s="2565" t="s">
        <v>108</v>
      </c>
      <c r="V306" s="2565" t="s">
        <v>403</v>
      </c>
      <c r="W306" s="2560">
        <f ca="1">YEARFRAC(T306,W$6)</f>
        <v>7.3305555555555557</v>
      </c>
      <c r="X306" s="48">
        <v>294</v>
      </c>
    </row>
    <row r="307" spans="1:24" ht="12" customHeight="1">
      <c r="A307" s="48"/>
      <c r="B307" s="991" t="s">
        <v>42</v>
      </c>
      <c r="C307" s="3288" t="s">
        <v>371</v>
      </c>
      <c r="D307" s="3074" t="s">
        <v>41</v>
      </c>
      <c r="E307" s="1142">
        <f>SUM(H307/H$11,I307/I$11,J307/J$11,K307/K$11,L307/L$11,M307/M$11,N307/N$11,O307/O$11,P307/P$11)/9*100</f>
        <v>164.88111494513672</v>
      </c>
      <c r="F307" s="3392"/>
      <c r="G307" s="3445"/>
      <c r="H307" s="2997">
        <v>141175944</v>
      </c>
      <c r="I307" s="854">
        <v>571833729</v>
      </c>
      <c r="J307" s="854">
        <v>535284844</v>
      </c>
      <c r="K307" s="854">
        <v>406530100</v>
      </c>
      <c r="L307" s="854">
        <v>593935569</v>
      </c>
      <c r="M307" s="854">
        <v>489212932</v>
      </c>
      <c r="N307" s="854">
        <v>465103693</v>
      </c>
      <c r="O307" s="854">
        <v>60190459</v>
      </c>
      <c r="P307" s="854">
        <v>355925340</v>
      </c>
      <c r="Q307" s="3518" t="s">
        <v>372</v>
      </c>
      <c r="R307" s="3553" t="s">
        <v>145</v>
      </c>
      <c r="S307" s="3598">
        <v>1</v>
      </c>
      <c r="T307" s="3640">
        <v>33099</v>
      </c>
      <c r="U307" s="3673" t="s">
        <v>117</v>
      </c>
      <c r="V307" s="3673" t="s">
        <v>864</v>
      </c>
      <c r="W307" s="1058">
        <f ca="1">YEARFRAC(T307,W$6)</f>
        <v>23.702777777777779</v>
      </c>
      <c r="X307" s="48"/>
    </row>
    <row r="308" spans="1:24" ht="12" customHeight="1">
      <c r="A308" s="48">
        <v>296</v>
      </c>
      <c r="B308" s="2124" t="s">
        <v>42</v>
      </c>
      <c r="C308" s="2127" t="s">
        <v>879</v>
      </c>
      <c r="D308" s="2151"/>
      <c r="E308" s="1125">
        <f>SUM(H308/H$11,I308/I$11,J308/J$11,K308/K$11,L308/L$11,M308/M$11,N308/N$11,O308/O$11,P308/P$11)/9*100</f>
        <v>164.90726770938105</v>
      </c>
      <c r="F308" s="2135"/>
      <c r="G308" s="2134"/>
      <c r="H308" s="853">
        <v>141175944</v>
      </c>
      <c r="I308" s="854">
        <v>571833729</v>
      </c>
      <c r="J308" s="865">
        <v>535284844</v>
      </c>
      <c r="K308" s="865">
        <v>406530100</v>
      </c>
      <c r="L308" s="865">
        <v>593934937</v>
      </c>
      <c r="M308" s="865">
        <v>489212932</v>
      </c>
      <c r="N308" s="854">
        <v>465102891</v>
      </c>
      <c r="O308" s="865">
        <v>60263688</v>
      </c>
      <c r="P308" s="865">
        <v>355920482</v>
      </c>
      <c r="Q308" s="2566" t="s">
        <v>878</v>
      </c>
      <c r="R308" s="2567" t="s">
        <v>145</v>
      </c>
      <c r="S308" s="2568">
        <v>1</v>
      </c>
      <c r="T308" s="2569">
        <v>34034</v>
      </c>
      <c r="U308" s="2570" t="s">
        <v>80</v>
      </c>
      <c r="V308" s="2570" t="s">
        <v>517</v>
      </c>
      <c r="W308" s="2560">
        <f ca="1">YEARFRAC(T308,W$6)</f>
        <v>21.141666666666666</v>
      </c>
      <c r="X308" s="48">
        <v>296</v>
      </c>
    </row>
    <row r="309" spans="1:24" ht="12" customHeight="1">
      <c r="A309" s="48"/>
      <c r="B309" s="2116" t="s">
        <v>42</v>
      </c>
      <c r="C309" s="2898" t="s">
        <v>832</v>
      </c>
      <c r="D309" s="2118"/>
      <c r="E309" s="1125">
        <f>SUM(H309/H$11,I309/I$11,J309/J$11,K309/K$11,L309/L$11,M309/M$11,N309/N$11,O309/O$11,P309/P$11)/9*100</f>
        <v>164.93073198770333</v>
      </c>
      <c r="F309" s="2696"/>
      <c r="G309" s="2143"/>
      <c r="H309" s="872">
        <v>141316303</v>
      </c>
      <c r="I309" s="870">
        <v>571833729</v>
      </c>
      <c r="J309" s="870">
        <v>535284844</v>
      </c>
      <c r="K309" s="870">
        <v>406607520</v>
      </c>
      <c r="L309" s="870">
        <v>593751699</v>
      </c>
      <c r="M309" s="870">
        <v>489212932</v>
      </c>
      <c r="N309" s="870">
        <v>465135014</v>
      </c>
      <c r="O309" s="870">
        <v>60263688</v>
      </c>
      <c r="P309" s="870">
        <v>355922860</v>
      </c>
      <c r="Q309" s="2572" t="s">
        <v>137</v>
      </c>
      <c r="R309" s="2587" t="s">
        <v>145</v>
      </c>
      <c r="S309" s="2573">
        <v>1</v>
      </c>
      <c r="T309" s="2588">
        <v>35065</v>
      </c>
      <c r="U309" s="2574" t="s">
        <v>80</v>
      </c>
      <c r="V309" s="2574" t="s">
        <v>865</v>
      </c>
      <c r="W309" s="2571">
        <f ca="1">YEARFRAC(T309,W$6)</f>
        <v>18.322222222222223</v>
      </c>
      <c r="X309" s="48"/>
    </row>
    <row r="310" spans="1:24" ht="12" customHeight="1">
      <c r="A310" s="48">
        <v>298</v>
      </c>
      <c r="B310" s="2167" t="s">
        <v>1431</v>
      </c>
      <c r="C310" s="2111" t="s">
        <v>1746</v>
      </c>
      <c r="D310" s="2112"/>
      <c r="E310" s="1125">
        <f>SUM(H310/H$11,I310/I$11,J310/J$11,K310/K$11,L310/L$11,M310/M$11,N310/N$11,O310/O$11,P310/P$11)/9*100</f>
        <v>165.03258447523629</v>
      </c>
      <c r="F310" s="2130"/>
      <c r="G310" s="2131"/>
      <c r="H310" s="867">
        <v>150358411</v>
      </c>
      <c r="I310" s="871">
        <v>582780563</v>
      </c>
      <c r="J310" s="871">
        <v>544029935</v>
      </c>
      <c r="K310" s="871">
        <v>398308760</v>
      </c>
      <c r="L310" s="871">
        <v>607533112</v>
      </c>
      <c r="M310" s="871">
        <v>499407432</v>
      </c>
      <c r="N310" s="871">
        <v>461389784</v>
      </c>
      <c r="O310" s="871">
        <v>59058861</v>
      </c>
      <c r="P310" s="871">
        <v>334946239</v>
      </c>
      <c r="Q310" s="2561" t="s">
        <v>373</v>
      </c>
      <c r="R310" s="2562" t="s">
        <v>69</v>
      </c>
      <c r="S310" s="2563">
        <v>1</v>
      </c>
      <c r="T310" s="2564">
        <v>36180</v>
      </c>
      <c r="U310" s="2565" t="s">
        <v>374</v>
      </c>
      <c r="V310" s="2565" t="s">
        <v>865</v>
      </c>
      <c r="W310" s="2560">
        <f ca="1">YEARFRAC(T310,W$6)</f>
        <v>15.269444444444444</v>
      </c>
      <c r="X310" s="48">
        <v>298</v>
      </c>
    </row>
    <row r="311" spans="1:24" ht="12" customHeight="1">
      <c r="A311" s="48"/>
      <c r="B311" s="2107" t="s">
        <v>42</v>
      </c>
      <c r="C311" s="2114" t="s">
        <v>1887</v>
      </c>
      <c r="D311" s="2115"/>
      <c r="E311" s="1125">
        <f>SUM(H311/H$11,I311/I$11,J311/J$11,K311/K$11,L311/L$11,M311/M$11,N311/N$11,O311/O$11,P311/P$11)/9*100</f>
        <v>165.08134305448064</v>
      </c>
      <c r="F311" s="2128"/>
      <c r="G311" s="2129"/>
      <c r="H311" s="853">
        <v>141175944</v>
      </c>
      <c r="I311" s="865">
        <v>573524810</v>
      </c>
      <c r="J311" s="865">
        <v>529579517</v>
      </c>
      <c r="K311" s="865">
        <v>406037900</v>
      </c>
      <c r="L311" s="865">
        <v>593728247</v>
      </c>
      <c r="M311" s="865">
        <v>489212932</v>
      </c>
      <c r="N311" s="854">
        <v>464548511</v>
      </c>
      <c r="O311" s="865">
        <v>61347921</v>
      </c>
      <c r="P311" s="865">
        <v>354795750</v>
      </c>
      <c r="Q311" s="2555" t="s">
        <v>334</v>
      </c>
      <c r="R311" s="2556" t="s">
        <v>145</v>
      </c>
      <c r="S311" s="2557">
        <v>1</v>
      </c>
      <c r="T311" s="2575">
        <v>33923</v>
      </c>
      <c r="U311" s="2559" t="s">
        <v>135</v>
      </c>
      <c r="V311" s="2559" t="s">
        <v>1888</v>
      </c>
      <c r="W311" s="2571">
        <f ca="1">YEARFRAC(T311,W$6)</f>
        <v>21.45</v>
      </c>
      <c r="X311" s="48"/>
    </row>
    <row r="312" spans="1:24" ht="12" customHeight="1">
      <c r="A312" s="48">
        <v>300</v>
      </c>
      <c r="B312" s="2107" t="s">
        <v>42</v>
      </c>
      <c r="C312" s="2127" t="s">
        <v>1747</v>
      </c>
      <c r="D312" s="3075"/>
      <c r="E312" s="1125">
        <f>SUM(H312/H$11,I312/I$11,J312/J$11,K312/K$11,L312/L$11,M312/M$11,N312/N$11,O312/O$11,P312/P$11)/9*100</f>
        <v>165.81467889013098</v>
      </c>
      <c r="F312" s="2135"/>
      <c r="G312" s="2134"/>
      <c r="H312" s="853">
        <v>141176247</v>
      </c>
      <c r="I312" s="854">
        <v>571834032</v>
      </c>
      <c r="J312" s="854">
        <v>535285147</v>
      </c>
      <c r="K312" s="854">
        <v>406608729</v>
      </c>
      <c r="L312" s="854">
        <v>593710796</v>
      </c>
      <c r="M312" s="854">
        <v>488994035</v>
      </c>
      <c r="N312" s="854">
        <v>465094090</v>
      </c>
      <c r="O312" s="854">
        <v>62785292</v>
      </c>
      <c r="P312" s="865">
        <v>355923253</v>
      </c>
      <c r="Q312" s="2566" t="s">
        <v>831</v>
      </c>
      <c r="R312" s="2567" t="s">
        <v>145</v>
      </c>
      <c r="S312" s="2568">
        <v>1</v>
      </c>
      <c r="T312" s="2569">
        <v>34617</v>
      </c>
      <c r="U312" s="2570" t="s">
        <v>80</v>
      </c>
      <c r="V312" s="2570" t="s">
        <v>314</v>
      </c>
      <c r="W312" s="2560">
        <f ca="1">YEARFRAC(T312,W$6)</f>
        <v>19.547222222222221</v>
      </c>
      <c r="X312" s="48">
        <v>300</v>
      </c>
    </row>
    <row r="313" spans="1:24" ht="12" customHeight="1">
      <c r="A313" s="48"/>
      <c r="B313" s="2152" t="s">
        <v>1431</v>
      </c>
      <c r="C313" s="2153" t="s">
        <v>382</v>
      </c>
      <c r="D313" s="2109"/>
      <c r="E313" s="1125">
        <f>SUM(H313/H$11,I313/I$11,J313/J$11,K313/K$11,L313/L$11,M313/M$11,N313/N$11,O313/O$11,P313/P$11)/9*100</f>
        <v>165.89217128721239</v>
      </c>
      <c r="F313" s="2136"/>
      <c r="G313" s="2137"/>
      <c r="H313" s="873">
        <v>135623701</v>
      </c>
      <c r="I313" s="869">
        <v>588353137</v>
      </c>
      <c r="J313" s="869">
        <v>556981232</v>
      </c>
      <c r="K313" s="869">
        <v>540018812</v>
      </c>
      <c r="L313" s="869">
        <v>591835044</v>
      </c>
      <c r="M313" s="869">
        <v>489444776</v>
      </c>
      <c r="N313" s="870">
        <v>508817311</v>
      </c>
      <c r="O313" s="869">
        <v>51177473</v>
      </c>
      <c r="P313" s="869">
        <v>312373597</v>
      </c>
      <c r="Q313" s="2576" t="s">
        <v>383</v>
      </c>
      <c r="R313" s="2577" t="s">
        <v>69</v>
      </c>
      <c r="S313" s="2578">
        <v>1</v>
      </c>
      <c r="T313" s="2579">
        <v>36489</v>
      </c>
      <c r="U313" s="2580" t="s">
        <v>135</v>
      </c>
      <c r="V313" s="2580" t="s">
        <v>384</v>
      </c>
      <c r="W313" s="2571">
        <f ca="1">YEARFRAC(T313,W$6)</f>
        <v>14.422222222222222</v>
      </c>
      <c r="X313" s="48"/>
    </row>
    <row r="314" spans="1:24" ht="12" customHeight="1">
      <c r="A314" s="48">
        <v>302</v>
      </c>
      <c r="B314" s="3068" t="s">
        <v>42</v>
      </c>
      <c r="C314" s="3247" t="s">
        <v>624</v>
      </c>
      <c r="D314" s="2151"/>
      <c r="E314" s="1125">
        <f>SUM(H314/H$11,I314/I$11,J314/J$11,K314/K$11,L314/L$11,M314/M$11,N314/N$11,O314/O$11,P314/P$11)/9*100</f>
        <v>168.04283657747584</v>
      </c>
      <c r="F314" s="3384"/>
      <c r="G314" s="3077"/>
      <c r="H314" s="867">
        <v>140228194</v>
      </c>
      <c r="I314" s="857">
        <v>566523088</v>
      </c>
      <c r="J314" s="857">
        <v>511939426</v>
      </c>
      <c r="K314" s="857">
        <v>709240453</v>
      </c>
      <c r="L314" s="857">
        <v>593365180</v>
      </c>
      <c r="M314" s="857">
        <v>488342365</v>
      </c>
      <c r="N314" s="871">
        <v>409062096</v>
      </c>
      <c r="O314" s="871">
        <v>52762560</v>
      </c>
      <c r="P314" s="857">
        <v>309564382</v>
      </c>
      <c r="Q314" s="2582" t="s">
        <v>619</v>
      </c>
      <c r="R314" s="2583" t="s">
        <v>69</v>
      </c>
      <c r="S314" s="2584">
        <v>1</v>
      </c>
      <c r="T314" s="2585">
        <v>35657</v>
      </c>
      <c r="U314" s="2586" t="s">
        <v>80</v>
      </c>
      <c r="V314" s="2586" t="s">
        <v>139</v>
      </c>
      <c r="W314" s="2560">
        <f ca="1">YEARFRAC(T314,W$6)</f>
        <v>16.7</v>
      </c>
      <c r="X314" s="48">
        <v>302</v>
      </c>
    </row>
    <row r="315" spans="1:24" ht="12" customHeight="1">
      <c r="A315" s="48"/>
      <c r="B315" s="2107" t="s">
        <v>42</v>
      </c>
      <c r="C315" s="2155" t="s">
        <v>340</v>
      </c>
      <c r="D315" s="2118" t="s">
        <v>41</v>
      </c>
      <c r="E315" s="1125">
        <f>SUM(H315/H$11,I315/I$11,J315/J$11,K315/K$11,L315/L$11,M315/M$11,N315/N$11,O315/O$11,P315/P$11)/9*100</f>
        <v>168.20375702611602</v>
      </c>
      <c r="F315" s="2128"/>
      <c r="G315" s="2129"/>
      <c r="H315" s="853">
        <v>151223772</v>
      </c>
      <c r="I315" s="865">
        <v>523739228</v>
      </c>
      <c r="J315" s="865">
        <v>490775167</v>
      </c>
      <c r="K315" s="865">
        <v>413024029</v>
      </c>
      <c r="L315" s="865">
        <v>595440304</v>
      </c>
      <c r="M315" s="865">
        <v>487096394</v>
      </c>
      <c r="N315" s="854">
        <v>353864455</v>
      </c>
      <c r="O315" s="865">
        <v>78503478</v>
      </c>
      <c r="P315" s="865">
        <v>384504724</v>
      </c>
      <c r="Q315" s="2555" t="s">
        <v>341</v>
      </c>
      <c r="R315" s="2556" t="s">
        <v>69</v>
      </c>
      <c r="S315" s="2557">
        <v>1</v>
      </c>
      <c r="T315" s="2575">
        <v>39597</v>
      </c>
      <c r="U315" s="2559" t="s">
        <v>77</v>
      </c>
      <c r="V315" s="2559" t="s">
        <v>342</v>
      </c>
      <c r="W315" s="2571">
        <f ca="1">YEARFRAC(T315,W$6)</f>
        <v>5.9111111111111114</v>
      </c>
      <c r="X315" s="48"/>
    </row>
    <row r="316" spans="1:24" ht="12" customHeight="1">
      <c r="A316" s="48">
        <v>304</v>
      </c>
      <c r="B316" s="2167" t="s">
        <v>1431</v>
      </c>
      <c r="C316" s="2155" t="s">
        <v>1575</v>
      </c>
      <c r="D316" s="2109"/>
      <c r="E316" s="1125">
        <f>SUM(H316/H$11,I316/I$11,J316/J$11,K316/K$11,L316/L$11,M316/M$11,N316/N$11,O316/O$11,P316/P$11)/9*100</f>
        <v>168.21484979594109</v>
      </c>
      <c r="F316" s="2128"/>
      <c r="G316" s="2129"/>
      <c r="H316" s="853">
        <v>138604952</v>
      </c>
      <c r="I316" s="865">
        <v>571408438</v>
      </c>
      <c r="J316" s="865">
        <v>533918721</v>
      </c>
      <c r="K316" s="2021">
        <v>393187823</v>
      </c>
      <c r="L316" s="865">
        <v>594009823</v>
      </c>
      <c r="M316" s="2021">
        <v>488500774</v>
      </c>
      <c r="N316" s="854">
        <v>543332087</v>
      </c>
      <c r="O316" s="865">
        <v>63297836</v>
      </c>
      <c r="P316" s="865">
        <v>355358506</v>
      </c>
      <c r="Q316" s="2555" t="s">
        <v>387</v>
      </c>
      <c r="R316" s="2556" t="s">
        <v>69</v>
      </c>
      <c r="S316" s="2557">
        <v>1</v>
      </c>
      <c r="T316" s="2558">
        <v>37411</v>
      </c>
      <c r="U316" s="2559" t="s">
        <v>117</v>
      </c>
      <c r="V316" s="2559" t="s">
        <v>117</v>
      </c>
      <c r="W316" s="2560">
        <f ca="1">YEARFRAC(T316,W$6)</f>
        <v>11.897222222222222</v>
      </c>
      <c r="X316" s="48">
        <v>304</v>
      </c>
    </row>
    <row r="317" spans="1:24" ht="12" customHeight="1">
      <c r="A317" s="48"/>
      <c r="B317" s="2144" t="s">
        <v>42</v>
      </c>
      <c r="C317" s="2145" t="s">
        <v>385</v>
      </c>
      <c r="D317" s="2146"/>
      <c r="E317" s="1125">
        <f>SUM(H317/H$11,I317/I$11,J317/J$11,K317/K$11,L317/L$11,M317/M$11,N317/N$11,O317/O$11,P317/P$11)/9*100</f>
        <v>168.64408575590306</v>
      </c>
      <c r="F317" s="2136"/>
      <c r="G317" s="2137"/>
      <c r="H317" s="872">
        <v>145029016</v>
      </c>
      <c r="I317" s="870">
        <v>571722929</v>
      </c>
      <c r="J317" s="870">
        <v>535944370</v>
      </c>
      <c r="K317" s="870">
        <v>416552857</v>
      </c>
      <c r="L317" s="870">
        <v>594359538</v>
      </c>
      <c r="M317" s="870">
        <v>489331750</v>
      </c>
      <c r="N317" s="870">
        <v>469264594</v>
      </c>
      <c r="O317" s="870">
        <v>63034639</v>
      </c>
      <c r="P317" s="870">
        <v>375918055</v>
      </c>
      <c r="Q317" s="2576" t="s">
        <v>386</v>
      </c>
      <c r="R317" s="2577" t="s">
        <v>145</v>
      </c>
      <c r="S317" s="2578">
        <v>1</v>
      </c>
      <c r="T317" s="2579">
        <v>35537</v>
      </c>
      <c r="U317" s="2580" t="s">
        <v>80</v>
      </c>
      <c r="V317" s="2580" t="s">
        <v>1890</v>
      </c>
      <c r="W317" s="2571">
        <f ca="1">YEARFRAC(T317,W$6)</f>
        <v>17.027777777777779</v>
      </c>
      <c r="X317" s="48"/>
    </row>
    <row r="318" spans="1:24" ht="12" customHeight="1">
      <c r="A318" s="48">
        <v>306</v>
      </c>
      <c r="B318" s="2167" t="s">
        <v>1431</v>
      </c>
      <c r="C318" s="3248" t="s">
        <v>690</v>
      </c>
      <c r="D318" s="2148" t="s">
        <v>41</v>
      </c>
      <c r="E318" s="1125">
        <f>SUM(H318/H$11,I318/I$11,J318/J$11,K318/K$11,L318/L$11,M318/M$11,N318/N$11,O318/O$11,P318/P$11)/9*100</f>
        <v>169.31456617326518</v>
      </c>
      <c r="F318" s="3385">
        <f>10+10+7+12+10+13+80+46+17</f>
        <v>205</v>
      </c>
      <c r="G318" s="3439"/>
      <c r="H318" s="855">
        <v>142313725</v>
      </c>
      <c r="I318" s="857">
        <v>599893422</v>
      </c>
      <c r="J318" s="857">
        <v>565797333</v>
      </c>
      <c r="K318" s="857">
        <v>419179550</v>
      </c>
      <c r="L318" s="857">
        <v>592168980</v>
      </c>
      <c r="M318" s="857">
        <v>497103228</v>
      </c>
      <c r="N318" s="871">
        <v>525440952</v>
      </c>
      <c r="O318" s="857">
        <v>57713283</v>
      </c>
      <c r="P318" s="857">
        <v>359511935</v>
      </c>
      <c r="Q318" s="3512" t="s">
        <v>689</v>
      </c>
      <c r="R318" s="3546" t="s">
        <v>69</v>
      </c>
      <c r="S318" s="3592">
        <v>2</v>
      </c>
      <c r="T318" s="3634">
        <v>39665</v>
      </c>
      <c r="U318" s="3669" t="s">
        <v>75</v>
      </c>
      <c r="V318" s="3669" t="s">
        <v>1890</v>
      </c>
      <c r="W318" s="2560">
        <f ca="1">YEARFRAC(T318,W$6)</f>
        <v>5.7277777777777779</v>
      </c>
      <c r="X318" s="48">
        <v>306</v>
      </c>
    </row>
    <row r="319" spans="1:24" ht="12" customHeight="1">
      <c r="A319" s="48"/>
      <c r="B319" s="2107" t="s">
        <v>42</v>
      </c>
      <c r="C319" s="2108" t="s">
        <v>408</v>
      </c>
      <c r="D319" s="2118" t="s">
        <v>41</v>
      </c>
      <c r="E319" s="1125">
        <f>SUM(H319/H$11,I319/I$11,J319/J$11,K319/K$11,L319/L$11,M319/M$11,N319/N$11,O319/O$11,P319/P$11)/9*100</f>
        <v>170.40027572594292</v>
      </c>
      <c r="F319" s="2128"/>
      <c r="G319" s="2129"/>
      <c r="H319" s="853">
        <v>145677124</v>
      </c>
      <c r="I319" s="865">
        <v>598508852</v>
      </c>
      <c r="J319" s="865">
        <v>557077882</v>
      </c>
      <c r="K319" s="865">
        <v>418627931</v>
      </c>
      <c r="L319" s="865">
        <v>593176844</v>
      </c>
      <c r="M319" s="865">
        <v>489560240</v>
      </c>
      <c r="N319" s="854">
        <v>511948858</v>
      </c>
      <c r="O319" s="865">
        <v>61412767</v>
      </c>
      <c r="P319" s="865">
        <v>362341685</v>
      </c>
      <c r="Q319" s="2555" t="s">
        <v>409</v>
      </c>
      <c r="R319" s="2556" t="s">
        <v>69</v>
      </c>
      <c r="S319" s="2557">
        <v>1</v>
      </c>
      <c r="T319" s="2575">
        <v>38558</v>
      </c>
      <c r="U319" s="2559" t="s">
        <v>77</v>
      </c>
      <c r="V319" s="2559" t="s">
        <v>410</v>
      </c>
      <c r="W319" s="2571">
        <f ca="1">YEARFRAC(T319,W$6)</f>
        <v>8.7555555555555564</v>
      </c>
      <c r="X319" s="48"/>
    </row>
    <row r="320" spans="1:24" ht="12" customHeight="1">
      <c r="A320" s="48">
        <v>308</v>
      </c>
      <c r="B320" s="2124" t="s">
        <v>42</v>
      </c>
      <c r="C320" s="2880" t="s">
        <v>2123</v>
      </c>
      <c r="D320" s="2151"/>
      <c r="E320" s="1125">
        <f>SUM(H320/H$11,I320/I$11,J320/J$11,K320/K$11,L320/L$11,M320/M$11,N320/N$11,O320/O$11,P320/P$11)/9*100</f>
        <v>171.20335128861794</v>
      </c>
      <c r="F320" s="3386">
        <f>6.16+3.08+4.66+6.37+0.98+1.31+0.91+6.75+2.48</f>
        <v>32.699999999999996</v>
      </c>
      <c r="G320" s="3440"/>
      <c r="H320" s="853">
        <v>148714097</v>
      </c>
      <c r="I320" s="865">
        <v>578381110</v>
      </c>
      <c r="J320" s="865">
        <v>534120822</v>
      </c>
      <c r="K320" s="865">
        <v>427680353</v>
      </c>
      <c r="L320" s="865">
        <v>593327688</v>
      </c>
      <c r="M320" s="865">
        <v>488208935</v>
      </c>
      <c r="N320" s="854">
        <v>466820524</v>
      </c>
      <c r="O320" s="865">
        <v>64251834</v>
      </c>
      <c r="P320" s="865">
        <v>389880629</v>
      </c>
      <c r="Q320" s="2566" t="s">
        <v>2124</v>
      </c>
      <c r="R320" s="2567" t="s">
        <v>69</v>
      </c>
      <c r="S320" s="2568">
        <v>1</v>
      </c>
      <c r="T320" s="2569">
        <v>40553</v>
      </c>
      <c r="U320" s="2570" t="s">
        <v>206</v>
      </c>
      <c r="V320" s="2570" t="s">
        <v>1889</v>
      </c>
      <c r="W320" s="2560">
        <f ca="1">YEARFRAC(T320,W$6)</f>
        <v>3.2972222222222221</v>
      </c>
      <c r="X320" s="48">
        <v>308</v>
      </c>
    </row>
    <row r="321" spans="1:24" ht="12" customHeight="1">
      <c r="A321" s="48"/>
      <c r="B321" s="2116" t="s">
        <v>42</v>
      </c>
      <c r="C321" s="3287" t="s">
        <v>1655</v>
      </c>
      <c r="D321" s="2695"/>
      <c r="E321" s="1125">
        <f>SUM(H321/H$11,I321/I$11,J321/J$11,K321/K$11,L321/L$11,M321/M$11,N321/N$11,O321/O$11,P321/P$11)/9*100</f>
        <v>171.50393644548947</v>
      </c>
      <c r="F321" s="2696"/>
      <c r="G321" s="2143"/>
      <c r="H321" s="872">
        <v>151856085</v>
      </c>
      <c r="I321" s="870">
        <v>603944758</v>
      </c>
      <c r="J321" s="870">
        <v>558310847</v>
      </c>
      <c r="K321" s="870">
        <v>423167754</v>
      </c>
      <c r="L321" s="870">
        <v>593703905</v>
      </c>
      <c r="M321" s="870">
        <v>491908835</v>
      </c>
      <c r="N321" s="870">
        <v>507996662</v>
      </c>
      <c r="O321" s="870">
        <v>58973568</v>
      </c>
      <c r="P321" s="870">
        <v>371542080</v>
      </c>
      <c r="Q321" s="2572" t="s">
        <v>630</v>
      </c>
      <c r="R321" s="3083" t="s">
        <v>69</v>
      </c>
      <c r="S321" s="2573">
        <v>1</v>
      </c>
      <c r="T321" s="2588">
        <v>40212</v>
      </c>
      <c r="U321" s="2574" t="s">
        <v>75</v>
      </c>
      <c r="V321" s="2574" t="s">
        <v>314</v>
      </c>
      <c r="W321" s="2571">
        <f ca="1">YEARFRAC(T321,W$6)</f>
        <v>4.2333333333333334</v>
      </c>
      <c r="X321" s="48"/>
    </row>
    <row r="322" spans="1:24" ht="12" customHeight="1">
      <c r="A322" s="48">
        <v>310</v>
      </c>
      <c r="B322" s="2167" t="s">
        <v>1431</v>
      </c>
      <c r="C322" s="3071" t="s">
        <v>345</v>
      </c>
      <c r="D322" s="2168"/>
      <c r="E322" s="1125">
        <f>SUM(H322/H$11,I322/I$11,J322/J$11,K322/K$11,L322/L$11,M322/M$11,N322/N$11,O322/O$11,P322/P$11)/9*100</f>
        <v>171.53957361339803</v>
      </c>
      <c r="F322" s="2130"/>
      <c r="G322" s="2131"/>
      <c r="H322" s="855">
        <v>134282034</v>
      </c>
      <c r="I322" s="857">
        <v>571408711</v>
      </c>
      <c r="J322" s="857">
        <v>533919289</v>
      </c>
      <c r="K322" s="857">
        <v>709240453</v>
      </c>
      <c r="L322" s="857">
        <v>591745271</v>
      </c>
      <c r="M322" s="857">
        <v>488458850</v>
      </c>
      <c r="N322" s="871">
        <v>455515770</v>
      </c>
      <c r="O322" s="857">
        <v>55027600</v>
      </c>
      <c r="P322" s="857">
        <v>323284354</v>
      </c>
      <c r="Q322" s="2561" t="s">
        <v>346</v>
      </c>
      <c r="R322" s="2562" t="s">
        <v>69</v>
      </c>
      <c r="S322" s="2563">
        <v>1</v>
      </c>
      <c r="T322" s="2564">
        <v>37530</v>
      </c>
      <c r="U322" s="2565" t="s">
        <v>117</v>
      </c>
      <c r="V322" s="2565" t="s">
        <v>347</v>
      </c>
      <c r="W322" s="2560">
        <f ca="1">YEARFRAC(T322,W$6)</f>
        <v>11.572222222222223</v>
      </c>
      <c r="X322" s="48">
        <v>310</v>
      </c>
    </row>
    <row r="323" spans="1:24" ht="12" customHeight="1">
      <c r="A323" s="48"/>
      <c r="B323" s="2107" t="s">
        <v>42</v>
      </c>
      <c r="C323" s="2114" t="s">
        <v>1748</v>
      </c>
      <c r="D323" s="2115"/>
      <c r="E323" s="1125">
        <f>SUM(H323/H$11,I323/I$11,J323/J$11,K323/K$11,L323/L$11,M323/M$11,N323/N$11,O323/O$11,P323/P$11)/9*100</f>
        <v>171.54698987483607</v>
      </c>
      <c r="F323" s="2128"/>
      <c r="G323" s="2129"/>
      <c r="H323" s="853">
        <v>146286570</v>
      </c>
      <c r="I323" s="865">
        <v>606693404</v>
      </c>
      <c r="J323" s="865">
        <v>577854491</v>
      </c>
      <c r="K323" s="865">
        <v>420478460</v>
      </c>
      <c r="L323" s="865">
        <v>609160731</v>
      </c>
      <c r="M323" s="865">
        <v>492148768</v>
      </c>
      <c r="N323" s="854">
        <v>491886634</v>
      </c>
      <c r="O323" s="865">
        <v>61510034</v>
      </c>
      <c r="P323" s="865">
        <v>370063769</v>
      </c>
      <c r="Q323" s="2555" t="s">
        <v>419</v>
      </c>
      <c r="R323" s="2556" t="s">
        <v>145</v>
      </c>
      <c r="S323" s="2557">
        <v>1</v>
      </c>
      <c r="T323" s="2575">
        <v>33742</v>
      </c>
      <c r="U323" s="2559" t="s">
        <v>77</v>
      </c>
      <c r="V323" s="2559" t="s">
        <v>420</v>
      </c>
      <c r="W323" s="2571">
        <f ca="1">YEARFRAC(T323,W$6)</f>
        <v>21.941666666666666</v>
      </c>
      <c r="X323" s="48"/>
    </row>
    <row r="324" spans="1:24" ht="12" customHeight="1">
      <c r="A324" s="48">
        <v>312</v>
      </c>
      <c r="B324" s="2107" t="s">
        <v>42</v>
      </c>
      <c r="C324" s="2114" t="s">
        <v>392</v>
      </c>
      <c r="D324" s="2115"/>
      <c r="E324" s="1125">
        <f>SUM(H324/H$11,I324/I$11,J324/J$11,K324/K$11,L324/L$11,M324/M$11,N324/N$11,O324/O$11,P324/P$11)/9*100</f>
        <v>172.07208438266684</v>
      </c>
      <c r="F324" s="2128"/>
      <c r="G324" s="2129"/>
      <c r="H324" s="868">
        <v>151723252</v>
      </c>
      <c r="I324" s="854">
        <v>571234910</v>
      </c>
      <c r="J324" s="854">
        <v>533324758</v>
      </c>
      <c r="K324" s="854">
        <v>425164028</v>
      </c>
      <c r="L324" s="854">
        <v>593802482</v>
      </c>
      <c r="M324" s="854">
        <v>487943517</v>
      </c>
      <c r="N324" s="854">
        <v>472202316</v>
      </c>
      <c r="O324" s="854">
        <v>65900083</v>
      </c>
      <c r="P324" s="854">
        <v>388625579</v>
      </c>
      <c r="Q324" s="2555" t="s">
        <v>393</v>
      </c>
      <c r="R324" s="2556" t="s">
        <v>145</v>
      </c>
      <c r="S324" s="2557">
        <v>1</v>
      </c>
      <c r="T324" s="2575">
        <v>32924</v>
      </c>
      <c r="U324" s="2559" t="s">
        <v>80</v>
      </c>
      <c r="V324" s="2559" t="s">
        <v>107</v>
      </c>
      <c r="W324" s="2560">
        <f ca="1">YEARFRAC(T324,W$6)</f>
        <v>24.18611111111111</v>
      </c>
      <c r="X324" s="48">
        <v>312</v>
      </c>
    </row>
    <row r="325" spans="1:24" ht="12" customHeight="1">
      <c r="A325" s="48"/>
      <c r="B325" s="3226" t="s">
        <v>42</v>
      </c>
      <c r="C325" s="3289" t="s">
        <v>390</v>
      </c>
      <c r="D325" s="3358" t="s">
        <v>41</v>
      </c>
      <c r="E325" s="1142">
        <f>SUM(H325/H$11,I325/I$11,J325/J$11,K325/K$11,L325/L$11,M325/M$11,N325/N$11,O325/O$11,P325/P$11)/9*100</f>
        <v>172.07208438266684</v>
      </c>
      <c r="F325" s="3420"/>
      <c r="G325" s="3474"/>
      <c r="H325" s="873">
        <v>151723252</v>
      </c>
      <c r="I325" s="869">
        <v>571234910</v>
      </c>
      <c r="J325" s="869">
        <v>533324758</v>
      </c>
      <c r="K325" s="870">
        <v>425164028</v>
      </c>
      <c r="L325" s="870">
        <v>593802482</v>
      </c>
      <c r="M325" s="870">
        <v>487943517</v>
      </c>
      <c r="N325" s="870">
        <v>472202316</v>
      </c>
      <c r="O325" s="870">
        <v>65900083</v>
      </c>
      <c r="P325" s="870">
        <v>388625579</v>
      </c>
      <c r="Q325" s="3531" t="s">
        <v>391</v>
      </c>
      <c r="R325" s="3575" t="s">
        <v>145</v>
      </c>
      <c r="S325" s="3616">
        <v>1</v>
      </c>
      <c r="T325" s="3655">
        <v>32605</v>
      </c>
      <c r="U325" s="3685" t="s">
        <v>135</v>
      </c>
      <c r="V325" s="3685" t="s">
        <v>107</v>
      </c>
      <c r="W325" s="1058">
        <f ca="1">YEARFRAC(T325,W$6)</f>
        <v>25.055555555555557</v>
      </c>
      <c r="X325" s="48"/>
    </row>
    <row r="326" spans="1:24" ht="12" customHeight="1">
      <c r="A326" s="48">
        <v>314</v>
      </c>
      <c r="B326" s="2167" t="s">
        <v>1431</v>
      </c>
      <c r="C326" s="2111" t="s">
        <v>406</v>
      </c>
      <c r="D326" s="2148" t="s">
        <v>41</v>
      </c>
      <c r="E326" s="1125">
        <f>SUM(H326/H$11,I326/I$11,J326/J$11,K326/K$11,L326/L$11,M326/M$11,N326/N$11,O326/O$11,P326/P$11)/9*100</f>
        <v>172.25681815426793</v>
      </c>
      <c r="F326" s="2130"/>
      <c r="G326" s="2131"/>
      <c r="H326" s="867">
        <v>151801230</v>
      </c>
      <c r="I326" s="871">
        <v>571517925</v>
      </c>
      <c r="J326" s="871">
        <v>533588753</v>
      </c>
      <c r="K326" s="871">
        <v>425375158</v>
      </c>
      <c r="L326" s="871">
        <v>598442109</v>
      </c>
      <c r="M326" s="871">
        <v>488185566</v>
      </c>
      <c r="N326" s="871">
        <v>472434598</v>
      </c>
      <c r="O326" s="871">
        <v>65936774</v>
      </c>
      <c r="P326" s="871">
        <v>388817927</v>
      </c>
      <c r="Q326" s="2561" t="s">
        <v>407</v>
      </c>
      <c r="R326" s="2562" t="s">
        <v>69</v>
      </c>
      <c r="S326" s="2563">
        <v>1</v>
      </c>
      <c r="T326" s="2564">
        <v>37564</v>
      </c>
      <c r="U326" s="2565" t="s">
        <v>75</v>
      </c>
      <c r="V326" s="2565" t="s">
        <v>1890</v>
      </c>
      <c r="W326" s="2560">
        <f ca="1">YEARFRAC(T326,W$6)</f>
        <v>11.480555555555556</v>
      </c>
      <c r="X326" s="48">
        <v>314</v>
      </c>
    </row>
    <row r="327" spans="1:24" ht="12" customHeight="1">
      <c r="A327" s="48"/>
      <c r="B327" s="3227" t="s">
        <v>1431</v>
      </c>
      <c r="C327" s="2120" t="s">
        <v>1749</v>
      </c>
      <c r="D327" s="2150"/>
      <c r="E327" s="1125">
        <f>SUM(H327/H$11,I327/I$11,J327/J$11,K327/K$11,L327/L$11,M327/M$11,N327/N$11,O327/O$11,P327/P$11)/9*100</f>
        <v>172.50330512706614</v>
      </c>
      <c r="F327" s="2135"/>
      <c r="G327" s="2134"/>
      <c r="H327" s="2997">
        <v>151723397</v>
      </c>
      <c r="I327" s="865">
        <v>571204721</v>
      </c>
      <c r="J327" s="854">
        <v>533310113</v>
      </c>
      <c r="K327" s="854">
        <v>425164172</v>
      </c>
      <c r="L327" s="854">
        <v>593789237</v>
      </c>
      <c r="M327" s="854">
        <v>489335032</v>
      </c>
      <c r="N327" s="854">
        <v>472141549</v>
      </c>
      <c r="O327" s="854">
        <v>67006775</v>
      </c>
      <c r="P327" s="854">
        <v>388622254</v>
      </c>
      <c r="Q327" s="2566" t="s">
        <v>655</v>
      </c>
      <c r="R327" s="2567" t="s">
        <v>69</v>
      </c>
      <c r="S327" s="2568">
        <v>1</v>
      </c>
      <c r="T327" s="2569">
        <v>39711</v>
      </c>
      <c r="U327" s="2570" t="s">
        <v>489</v>
      </c>
      <c r="V327" s="2701" t="s">
        <v>117</v>
      </c>
      <c r="W327" s="2571">
        <f ca="1">YEARFRAC(T327,W$6)</f>
        <v>5.6027777777777779</v>
      </c>
      <c r="X327" s="48"/>
    </row>
    <row r="328" spans="1:24" ht="12" customHeight="1">
      <c r="A328" s="48">
        <v>316</v>
      </c>
      <c r="B328" s="2124" t="s">
        <v>42</v>
      </c>
      <c r="C328" s="762" t="s">
        <v>2046</v>
      </c>
      <c r="D328" s="2118" t="s">
        <v>41</v>
      </c>
      <c r="E328" s="1125">
        <f>SUM(H328/H$11,I328/I$11,J328/J$11,K328/K$11,L328/L$11,M328/M$11,N328/N$11,O328/O$11,P328/P$11)/9*100</f>
        <v>172.53117554575758</v>
      </c>
      <c r="F328" s="3386">
        <f>3+13+16+16+13+10+14+3+20</f>
        <v>108</v>
      </c>
      <c r="G328" s="3441"/>
      <c r="H328" s="853">
        <v>153267782</v>
      </c>
      <c r="I328" s="865">
        <v>600018025</v>
      </c>
      <c r="J328" s="865">
        <v>557804922</v>
      </c>
      <c r="K328" s="865">
        <v>417061736</v>
      </c>
      <c r="L328" s="865">
        <v>594114184</v>
      </c>
      <c r="M328" s="865">
        <v>489331362</v>
      </c>
      <c r="N328" s="854">
        <v>513784469</v>
      </c>
      <c r="O328" s="875">
        <v>62423499</v>
      </c>
      <c r="P328" s="875">
        <v>368193126</v>
      </c>
      <c r="Q328" s="2566" t="s">
        <v>665</v>
      </c>
      <c r="R328" s="2567" t="s">
        <v>69</v>
      </c>
      <c r="S328" s="3085">
        <v>8</v>
      </c>
      <c r="T328" s="2569">
        <v>41534</v>
      </c>
      <c r="U328" s="2570" t="s">
        <v>206</v>
      </c>
      <c r="V328" s="2570" t="s">
        <v>314</v>
      </c>
      <c r="W328" s="2560">
        <f ca="1">YEARFRAC(T328,W$6)</f>
        <v>0.61111111111111116</v>
      </c>
      <c r="X328" s="48">
        <v>316</v>
      </c>
    </row>
    <row r="329" spans="1:24" ht="12" customHeight="1">
      <c r="A329" s="48"/>
      <c r="B329" s="2116" t="s">
        <v>42</v>
      </c>
      <c r="C329" s="3072" t="s">
        <v>711</v>
      </c>
      <c r="D329" s="2119" t="s">
        <v>41</v>
      </c>
      <c r="E329" s="1125">
        <f>SUM(H329/H$11,I329/I$11,J329/J$11,K329/K$11,L329/L$11,M329/M$11,N329/N$11,O329/O$11,P329/P$11)/9*100</f>
        <v>172.5445586300936</v>
      </c>
      <c r="F329" s="2132">
        <f>7.5+19.55+22.42+31.83+26.2+19.38+42.69+3.86+22.78</f>
        <v>196.21</v>
      </c>
      <c r="G329" s="3078"/>
      <c r="H329" s="872">
        <v>153267202</v>
      </c>
      <c r="I329" s="870">
        <v>600021696</v>
      </c>
      <c r="J329" s="870">
        <v>557864532</v>
      </c>
      <c r="K329" s="870">
        <v>417184725</v>
      </c>
      <c r="L329" s="870">
        <v>594178629</v>
      </c>
      <c r="M329" s="870">
        <v>489537460</v>
      </c>
      <c r="N329" s="870">
        <v>513801125</v>
      </c>
      <c r="O329" s="870">
        <v>62423207</v>
      </c>
      <c r="P329" s="870">
        <v>368188442</v>
      </c>
      <c r="Q329" s="2572" t="s">
        <v>665</v>
      </c>
      <c r="R329" s="3083" t="s">
        <v>69</v>
      </c>
      <c r="S329" s="3617">
        <v>8</v>
      </c>
      <c r="T329" s="2588">
        <v>40984</v>
      </c>
      <c r="U329" s="2574" t="s">
        <v>206</v>
      </c>
      <c r="V329" s="2574" t="s">
        <v>314</v>
      </c>
      <c r="W329" s="2571">
        <f ca="1">YEARFRAC(T329,W$6)</f>
        <v>2.1138888888888889</v>
      </c>
      <c r="X329" s="48"/>
    </row>
    <row r="330" spans="1:24" ht="12" customHeight="1">
      <c r="A330" s="48">
        <v>318</v>
      </c>
      <c r="B330" s="2110" t="s">
        <v>42</v>
      </c>
      <c r="C330" s="2117" t="s">
        <v>399</v>
      </c>
      <c r="D330" s="2112"/>
      <c r="E330" s="1125">
        <f>SUM(H330/H$11,I330/I$11,J330/J$11,K330/K$11,L330/L$11,M330/M$11,N330/N$11,O330/O$11,P330/P$11)/9*100</f>
        <v>172.58106061475181</v>
      </c>
      <c r="F330" s="2130"/>
      <c r="G330" s="2131"/>
      <c r="H330" s="855">
        <v>151981185</v>
      </c>
      <c r="I330" s="857">
        <v>573058365</v>
      </c>
      <c r="J330" s="857">
        <v>535175594</v>
      </c>
      <c r="K330" s="857">
        <v>426890804</v>
      </c>
      <c r="L330" s="857">
        <v>593948040</v>
      </c>
      <c r="M330" s="857">
        <v>488560940</v>
      </c>
      <c r="N330" s="871">
        <v>474043050</v>
      </c>
      <c r="O330" s="857">
        <v>66082080</v>
      </c>
      <c r="P330" s="857">
        <v>390352206</v>
      </c>
      <c r="Q330" s="3080" t="s">
        <v>400</v>
      </c>
      <c r="R330" s="3084" t="s">
        <v>145</v>
      </c>
      <c r="S330" s="3086">
        <v>1</v>
      </c>
      <c r="T330" s="3635">
        <v>35759</v>
      </c>
      <c r="U330" s="3089" t="s">
        <v>117</v>
      </c>
      <c r="V330" s="3089" t="s">
        <v>117</v>
      </c>
      <c r="W330" s="2560">
        <f ca="1">YEARFRAC(T330,W$6)</f>
        <v>16.422222222222221</v>
      </c>
      <c r="X330" s="48">
        <v>318</v>
      </c>
    </row>
    <row r="331" spans="1:24" ht="12" customHeight="1">
      <c r="A331" s="48"/>
      <c r="B331" s="2124" t="s">
        <v>42</v>
      </c>
      <c r="C331" s="3290" t="s">
        <v>396</v>
      </c>
      <c r="D331" s="2118" t="s">
        <v>41</v>
      </c>
      <c r="E331" s="1125">
        <f>SUM(H331/H$11,I331/I$11,J331/J$11,K331/K$11,L331/L$11,M331/M$11,N331/N$11,O331/O$11,P331/P$11)/9*100</f>
        <v>172.58115208784679</v>
      </c>
      <c r="F331" s="2135"/>
      <c r="G331" s="2134"/>
      <c r="H331" s="868">
        <v>151988699</v>
      </c>
      <c r="I331" s="854">
        <v>573051801</v>
      </c>
      <c r="J331" s="854">
        <v>535170065</v>
      </c>
      <c r="K331" s="854">
        <v>426844087</v>
      </c>
      <c r="L331" s="854">
        <v>593940220</v>
      </c>
      <c r="M331" s="854">
        <v>488556066</v>
      </c>
      <c r="N331" s="854">
        <v>474041220</v>
      </c>
      <c r="O331" s="854">
        <v>66092097</v>
      </c>
      <c r="P331" s="854">
        <v>390324005</v>
      </c>
      <c r="Q331" s="2566" t="s">
        <v>334</v>
      </c>
      <c r="R331" s="2567" t="s">
        <v>145</v>
      </c>
      <c r="S331" s="2568">
        <v>1</v>
      </c>
      <c r="T331" s="2569">
        <v>32605</v>
      </c>
      <c r="U331" s="2570" t="s">
        <v>135</v>
      </c>
      <c r="V331" s="2570" t="s">
        <v>397</v>
      </c>
      <c r="W331" s="2571">
        <f ca="1">YEARFRAC(T331,W$6)</f>
        <v>25.055555555555557</v>
      </c>
      <c r="X331" s="48"/>
    </row>
    <row r="332" spans="1:24" ht="12" customHeight="1">
      <c r="A332" s="48">
        <v>320</v>
      </c>
      <c r="B332" s="2113" t="s">
        <v>1431</v>
      </c>
      <c r="C332" s="2114" t="s">
        <v>398</v>
      </c>
      <c r="D332" s="2115"/>
      <c r="E332" s="1125">
        <f>SUM(H332/H$11,I332/I$11,J332/J$11,K332/K$11,L332/L$11,M332/M$11,N332/N$11,O332/O$11,P332/P$11)/9*100</f>
        <v>172.58116188144731</v>
      </c>
      <c r="F332" s="2128"/>
      <c r="G332" s="2129"/>
      <c r="H332" s="868">
        <v>151988699</v>
      </c>
      <c r="I332" s="854">
        <v>573051801</v>
      </c>
      <c r="J332" s="854">
        <v>535170065</v>
      </c>
      <c r="K332" s="854">
        <v>426844087</v>
      </c>
      <c r="L332" s="854">
        <v>593940220</v>
      </c>
      <c r="M332" s="854">
        <v>488556066</v>
      </c>
      <c r="N332" s="854">
        <v>474041220</v>
      </c>
      <c r="O332" s="854">
        <v>66092124</v>
      </c>
      <c r="P332" s="854">
        <v>390324005</v>
      </c>
      <c r="Q332" s="2555" t="s">
        <v>246</v>
      </c>
      <c r="R332" s="2556" t="s">
        <v>145</v>
      </c>
      <c r="S332" s="2557">
        <v>1</v>
      </c>
      <c r="T332" s="2575">
        <v>33734</v>
      </c>
      <c r="U332" s="2559" t="s">
        <v>80</v>
      </c>
      <c r="V332" s="2559" t="s">
        <v>117</v>
      </c>
      <c r="W332" s="2560">
        <f ca="1">YEARFRAC(T332,W$6)</f>
        <v>21.963888888888889</v>
      </c>
      <c r="X332" s="48">
        <v>320</v>
      </c>
    </row>
    <row r="333" spans="1:24" ht="12" customHeight="1">
      <c r="A333" s="48"/>
      <c r="B333" s="3228" t="s">
        <v>1431</v>
      </c>
      <c r="C333" s="3072" t="s">
        <v>1750</v>
      </c>
      <c r="D333" s="2119"/>
      <c r="E333" s="1125">
        <f>SUM(H333/H$11,I333/I$11,J333/J$11,K333/K$11,L333/L$11,M333/M$11,N333/N$11,O333/O$11,P333/P$11)/9*100</f>
        <v>172.61413280218051</v>
      </c>
      <c r="F333" s="2696"/>
      <c r="G333" s="2143"/>
      <c r="H333" s="872">
        <v>151988724</v>
      </c>
      <c r="I333" s="870">
        <v>573051821</v>
      </c>
      <c r="J333" s="870">
        <v>535170084</v>
      </c>
      <c r="K333" s="870">
        <v>426844112</v>
      </c>
      <c r="L333" s="870">
        <v>593942360</v>
      </c>
      <c r="M333" s="870">
        <v>488556090</v>
      </c>
      <c r="N333" s="870">
        <v>474041282</v>
      </c>
      <c r="O333" s="870">
        <v>66182827</v>
      </c>
      <c r="P333" s="870">
        <v>390324181</v>
      </c>
      <c r="Q333" s="2572" t="s">
        <v>825</v>
      </c>
      <c r="R333" s="2587" t="s">
        <v>69</v>
      </c>
      <c r="S333" s="2573">
        <v>1</v>
      </c>
      <c r="T333" s="2588">
        <v>36222</v>
      </c>
      <c r="U333" s="2574" t="s">
        <v>80</v>
      </c>
      <c r="V333" s="2574" t="s">
        <v>829</v>
      </c>
      <c r="W333" s="2571">
        <f ca="1">YEARFRAC(T333,W$6)</f>
        <v>15.15</v>
      </c>
      <c r="X333" s="48"/>
    </row>
    <row r="334" spans="1:24" ht="12" customHeight="1">
      <c r="A334" s="48">
        <v>322</v>
      </c>
      <c r="B334" s="2147" t="s">
        <v>42</v>
      </c>
      <c r="C334" s="2117" t="s">
        <v>894</v>
      </c>
      <c r="D334" s="2148"/>
      <c r="E334" s="1125">
        <f>SUM(H334/H$11,I334/I$11,J334/J$11,K334/K$11,L334/L$11,M334/M$11,N334/N$11,O334/O$11,P334/P$11)/9*100</f>
        <v>172.6141526522901</v>
      </c>
      <c r="F334" s="2130"/>
      <c r="G334" s="2131"/>
      <c r="H334" s="855">
        <v>151988751</v>
      </c>
      <c r="I334" s="857">
        <v>573051849</v>
      </c>
      <c r="J334" s="857">
        <v>535170113</v>
      </c>
      <c r="K334" s="857">
        <v>426844139</v>
      </c>
      <c r="L334" s="857">
        <v>593942389</v>
      </c>
      <c r="M334" s="857">
        <v>488556118</v>
      </c>
      <c r="N334" s="871">
        <v>474041308</v>
      </c>
      <c r="O334" s="857">
        <v>66182850</v>
      </c>
      <c r="P334" s="3079">
        <v>390324207</v>
      </c>
      <c r="Q334" s="2561" t="s">
        <v>895</v>
      </c>
      <c r="R334" s="2562" t="s">
        <v>145</v>
      </c>
      <c r="S334" s="2563">
        <v>1</v>
      </c>
      <c r="T334" s="2564">
        <v>36548</v>
      </c>
      <c r="U334" s="2565" t="s">
        <v>464</v>
      </c>
      <c r="V334" s="3692" t="s">
        <v>117</v>
      </c>
      <c r="W334" s="2560">
        <f ca="1">YEARFRAC(T334,W$6)</f>
        <v>14.261111111111111</v>
      </c>
      <c r="X334" s="48">
        <v>322</v>
      </c>
    </row>
    <row r="335" spans="1:24" ht="12" customHeight="1">
      <c r="A335" s="48"/>
      <c r="B335" s="2692" t="s">
        <v>42</v>
      </c>
      <c r="C335" s="3291" t="s">
        <v>1751</v>
      </c>
      <c r="D335" s="2694"/>
      <c r="E335" s="1125">
        <f>SUM(H335/H$11,I335/I$11,J335/J$11,K335/K$11,L335/L$11,M335/M$11,N335/N$11,O335/O$11,P335/P$11)/9*100</f>
        <v>173.06651453602331</v>
      </c>
      <c r="F335" s="2135"/>
      <c r="G335" s="2134"/>
      <c r="H335" s="853">
        <v>151778634</v>
      </c>
      <c r="I335" s="865">
        <v>659991863</v>
      </c>
      <c r="J335" s="865">
        <v>595582337</v>
      </c>
      <c r="K335" s="865">
        <v>411579302</v>
      </c>
      <c r="L335" s="865">
        <v>661650020</v>
      </c>
      <c r="M335" s="865">
        <v>544935432</v>
      </c>
      <c r="N335" s="854">
        <v>505211412</v>
      </c>
      <c r="O335" s="865">
        <v>58081318</v>
      </c>
      <c r="P335" s="865">
        <v>330288191</v>
      </c>
      <c r="Q335" s="2698" t="s">
        <v>413</v>
      </c>
      <c r="R335" s="3576" t="s">
        <v>69</v>
      </c>
      <c r="S335" s="3618">
        <v>1</v>
      </c>
      <c r="T335" s="2700">
        <v>39660</v>
      </c>
      <c r="U335" s="2702" t="s">
        <v>75</v>
      </c>
      <c r="V335" s="2702" t="s">
        <v>414</v>
      </c>
      <c r="W335" s="2571">
        <f ca="1">YEARFRAC(T335,W$6)</f>
        <v>5.7416666666666663</v>
      </c>
      <c r="X335" s="48"/>
    </row>
    <row r="336" spans="1:24" ht="12" customHeight="1">
      <c r="A336" s="48">
        <v>324</v>
      </c>
      <c r="B336" s="2124" t="s">
        <v>42</v>
      </c>
      <c r="C336" s="1304" t="s">
        <v>2101</v>
      </c>
      <c r="D336" s="2118" t="s">
        <v>41</v>
      </c>
      <c r="E336" s="1125">
        <f>SUM(H336/H$11,I336/I$11,J336/J$11,K336/K$11,L336/L$11,M336/M$11,N336/N$11,O336/O$11,P336/P$11)/9*100</f>
        <v>173.44590296579617</v>
      </c>
      <c r="F336" s="2133">
        <f>5+21+20+19+23+19+20+4+23</f>
        <v>154</v>
      </c>
      <c r="G336" s="2140"/>
      <c r="H336" s="853">
        <v>166272001</v>
      </c>
      <c r="I336" s="865">
        <v>584421068</v>
      </c>
      <c r="J336" s="865">
        <v>518268582</v>
      </c>
      <c r="K336" s="865">
        <v>397874678</v>
      </c>
      <c r="L336" s="865">
        <v>608651166</v>
      </c>
      <c r="M336" s="865">
        <v>498902432</v>
      </c>
      <c r="N336" s="854">
        <v>421572078</v>
      </c>
      <c r="O336" s="865">
        <v>72911271</v>
      </c>
      <c r="P336" s="865">
        <v>376144737</v>
      </c>
      <c r="Q336" s="3513" t="s">
        <v>2100</v>
      </c>
      <c r="R336" s="2699" t="s">
        <v>65</v>
      </c>
      <c r="S336" s="3085">
        <v>8</v>
      </c>
      <c r="T336" s="2569">
        <v>41620</v>
      </c>
      <c r="U336" s="2570" t="s">
        <v>464</v>
      </c>
      <c r="V336" s="2570" t="s">
        <v>277</v>
      </c>
      <c r="W336" s="2560">
        <f ca="1">YEARFRAC(T336,W$6)</f>
        <v>0.375</v>
      </c>
      <c r="X336" s="48">
        <v>324</v>
      </c>
    </row>
    <row r="337" spans="1:24" ht="12" customHeight="1">
      <c r="A337" s="48"/>
      <c r="B337" s="2152" t="s">
        <v>1431</v>
      </c>
      <c r="C337" s="2153" t="s">
        <v>388</v>
      </c>
      <c r="D337" s="3357"/>
      <c r="E337" s="1125">
        <f>SUM(H337/H$11,I337/I$11,J337/J$11,K337/K$11,L337/L$11,M337/M$11,N337/N$11,O337/O$11,P337/P$11)/9*100</f>
        <v>174.37206757879849</v>
      </c>
      <c r="F337" s="2136"/>
      <c r="G337" s="2137"/>
      <c r="H337" s="873">
        <v>157914044</v>
      </c>
      <c r="I337" s="869">
        <v>594422484</v>
      </c>
      <c r="J337" s="869">
        <v>551724028</v>
      </c>
      <c r="K337" s="869">
        <v>427225052</v>
      </c>
      <c r="L337" s="869">
        <v>592416284</v>
      </c>
      <c r="M337" s="869">
        <v>491022344</v>
      </c>
      <c r="N337" s="870">
        <v>489146168</v>
      </c>
      <c r="O337" s="869">
        <v>69552236</v>
      </c>
      <c r="P337" s="869">
        <v>360661644</v>
      </c>
      <c r="Q337" s="2576" t="s">
        <v>389</v>
      </c>
      <c r="R337" s="2577" t="s">
        <v>69</v>
      </c>
      <c r="S337" s="2578">
        <v>1</v>
      </c>
      <c r="T337" s="2579">
        <v>38129</v>
      </c>
      <c r="U337" s="2580" t="s">
        <v>80</v>
      </c>
      <c r="V337" s="2580" t="s">
        <v>118</v>
      </c>
      <c r="W337" s="2571">
        <f ca="1">YEARFRAC(T337,W$6)</f>
        <v>9.9305555555555554</v>
      </c>
      <c r="X337" s="48"/>
    </row>
    <row r="338" spans="1:24" ht="12" customHeight="1">
      <c r="A338" s="48">
        <v>326</v>
      </c>
      <c r="B338" s="2147" t="s">
        <v>42</v>
      </c>
      <c r="C338" s="2149" t="s">
        <v>787</v>
      </c>
      <c r="D338" s="2148" t="s">
        <v>41</v>
      </c>
      <c r="E338" s="1125">
        <f>SUM(H338/H$11,I338/I$11,J338/J$11,K338/K$11,L338/L$11,M338/M$11,N338/N$11,O338/O$11,P338/P$11)/9*100</f>
        <v>174.5075055337889</v>
      </c>
      <c r="F338" s="2138"/>
      <c r="G338" s="2139"/>
      <c r="H338" s="867">
        <v>149012826</v>
      </c>
      <c r="I338" s="871">
        <v>597403704</v>
      </c>
      <c r="J338" s="871">
        <v>558983196</v>
      </c>
      <c r="K338" s="871">
        <v>426550106</v>
      </c>
      <c r="L338" s="871">
        <v>594745868</v>
      </c>
      <c r="M338" s="871">
        <v>490726086</v>
      </c>
      <c r="N338" s="871">
        <v>512545082</v>
      </c>
      <c r="O338" s="871">
        <v>65125438</v>
      </c>
      <c r="P338" s="871">
        <v>386370602</v>
      </c>
      <c r="Q338" s="3514" t="s">
        <v>411</v>
      </c>
      <c r="R338" s="3547" t="s">
        <v>145</v>
      </c>
      <c r="S338" s="3593">
        <v>1</v>
      </c>
      <c r="T338" s="3088">
        <v>33179</v>
      </c>
      <c r="U338" s="3090" t="s">
        <v>77</v>
      </c>
      <c r="V338" s="2586" t="s">
        <v>412</v>
      </c>
      <c r="W338" s="2560">
        <f ca="1">YEARFRAC(T338,W$6)</f>
        <v>23.486111111111111</v>
      </c>
      <c r="X338" s="48">
        <v>326</v>
      </c>
    </row>
    <row r="339" spans="1:24" ht="12" customHeight="1">
      <c r="A339" s="48"/>
      <c r="B339" s="2124" t="s">
        <v>42</v>
      </c>
      <c r="C339" s="2120" t="s">
        <v>666</v>
      </c>
      <c r="D339" s="2118" t="s">
        <v>41</v>
      </c>
      <c r="E339" s="1125">
        <f>SUM(H339/H$11,I339/I$11,J339/J$11,K339/K$11,L339/L$11,M339/M$11,N339/N$11,O339/O$11,P339/P$11)/9*100</f>
        <v>175.80956950875481</v>
      </c>
      <c r="F339" s="2133"/>
      <c r="G339" s="2154"/>
      <c r="H339" s="868">
        <v>157457532</v>
      </c>
      <c r="I339" s="854">
        <v>602172336</v>
      </c>
      <c r="J339" s="854">
        <v>559043798</v>
      </c>
      <c r="K339" s="854">
        <v>427039210</v>
      </c>
      <c r="L339" s="854">
        <v>595427627</v>
      </c>
      <c r="M339" s="854">
        <v>490100815</v>
      </c>
      <c r="N339" s="854">
        <v>517148030</v>
      </c>
      <c r="O339" s="854">
        <v>64159907</v>
      </c>
      <c r="P339" s="854">
        <v>385151701</v>
      </c>
      <c r="Q339" s="2566" t="s">
        <v>665</v>
      </c>
      <c r="R339" s="2589" t="s">
        <v>69</v>
      </c>
      <c r="S339" s="2568">
        <v>1</v>
      </c>
      <c r="T339" s="2569">
        <v>40525</v>
      </c>
      <c r="U339" s="2570" t="s">
        <v>206</v>
      </c>
      <c r="V339" s="2570" t="s">
        <v>314</v>
      </c>
      <c r="W339" s="2571">
        <f ca="1">YEARFRAC(T339,W$6)</f>
        <v>3.3722222222222222</v>
      </c>
      <c r="X339" s="48"/>
    </row>
    <row r="340" spans="1:24" ht="12" customHeight="1">
      <c r="A340" s="48">
        <v>328</v>
      </c>
      <c r="B340" s="2124" t="s">
        <v>42</v>
      </c>
      <c r="C340" s="1304" t="s">
        <v>2141</v>
      </c>
      <c r="D340" s="2148"/>
      <c r="E340" s="1125">
        <f>SUM(H340/H$11,I340/I$11,J340/J$11,K340/K$11,L340/L$11,M340/M$11,N340/N$11,O340/O$11,P340/P$11)/9*100</f>
        <v>176.87441729730446</v>
      </c>
      <c r="F340" s="2133">
        <f>263+256+254+373+294+229+336+139+688</f>
        <v>2832</v>
      </c>
      <c r="G340" s="2134"/>
      <c r="H340" s="853">
        <v>157507918</v>
      </c>
      <c r="I340" s="865">
        <v>577149214</v>
      </c>
      <c r="J340" s="865">
        <v>540393875</v>
      </c>
      <c r="K340" s="865">
        <v>440770959</v>
      </c>
      <c r="L340" s="865">
        <v>594521197</v>
      </c>
      <c r="M340" s="865">
        <v>488972129</v>
      </c>
      <c r="N340" s="854">
        <v>483192089</v>
      </c>
      <c r="O340" s="865">
        <v>68166964</v>
      </c>
      <c r="P340" s="865">
        <v>409052895</v>
      </c>
      <c r="Q340" s="2566" t="s">
        <v>2138</v>
      </c>
      <c r="R340" s="2567" t="s">
        <v>69</v>
      </c>
      <c r="S340" s="2568">
        <v>1</v>
      </c>
      <c r="T340" s="2569">
        <v>41716</v>
      </c>
      <c r="U340" s="2570" t="s">
        <v>77</v>
      </c>
      <c r="V340" s="2570" t="s">
        <v>314</v>
      </c>
      <c r="W340" s="2560">
        <f ca="1">YEARFRAC(T340,W$6)</f>
        <v>0.10833333333333334</v>
      </c>
      <c r="X340" s="48">
        <v>328</v>
      </c>
    </row>
    <row r="341" spans="1:24" ht="12" customHeight="1">
      <c r="A341" s="48"/>
      <c r="B341" s="2144" t="s">
        <v>42</v>
      </c>
      <c r="C341" s="2898" t="s">
        <v>880</v>
      </c>
      <c r="D341" s="2119"/>
      <c r="E341" s="1125">
        <f>SUM(H341/H$11,I341/I$11,J341/J$11,K341/K$11,L341/L$11,M341/M$11,N341/N$11,O341/O$11,P341/P$11)/9*100</f>
        <v>177.35069871435957</v>
      </c>
      <c r="F341" s="2696"/>
      <c r="G341" s="2143"/>
      <c r="H341" s="872">
        <v>156074027</v>
      </c>
      <c r="I341" s="870">
        <v>573977769</v>
      </c>
      <c r="J341" s="870">
        <v>537814040</v>
      </c>
      <c r="K341" s="870">
        <v>438834503</v>
      </c>
      <c r="L341" s="870">
        <v>596429024</v>
      </c>
      <c r="M341" s="870">
        <v>490738753</v>
      </c>
      <c r="N341" s="870">
        <v>478931485</v>
      </c>
      <c r="O341" s="870">
        <v>68954525</v>
      </c>
      <c r="P341" s="870">
        <v>419318894</v>
      </c>
      <c r="Q341" s="2572" t="s">
        <v>881</v>
      </c>
      <c r="R341" s="2587" t="s">
        <v>145</v>
      </c>
      <c r="S341" s="2573">
        <v>1</v>
      </c>
      <c r="T341" s="2588">
        <v>33872</v>
      </c>
      <c r="U341" s="2574" t="s">
        <v>80</v>
      </c>
      <c r="V341" s="3066" t="s">
        <v>884</v>
      </c>
      <c r="W341" s="2571">
        <f ca="1">YEARFRAC(T341,W$6)</f>
        <v>21.588888888888889</v>
      </c>
      <c r="X341" s="48"/>
    </row>
    <row r="342" spans="1:24" ht="12" customHeight="1">
      <c r="A342" s="48">
        <v>330</v>
      </c>
      <c r="B342" s="2147" t="s">
        <v>42</v>
      </c>
      <c r="C342" s="3052" t="s">
        <v>426</v>
      </c>
      <c r="D342" s="2151"/>
      <c r="E342" s="1125">
        <f>SUM(H342/H$11,I342/I$11,J342/J$11,K342/K$11,L342/L$11,M342/M$11,N342/N$11,O342/O$11,P342/P$11)/9*100</f>
        <v>177.75066835376933</v>
      </c>
      <c r="F342" s="2138"/>
      <c r="G342" s="2139"/>
      <c r="H342" s="867">
        <v>172936657</v>
      </c>
      <c r="I342" s="871">
        <v>681391203</v>
      </c>
      <c r="J342" s="871">
        <v>614642180</v>
      </c>
      <c r="K342" s="871">
        <v>401244546</v>
      </c>
      <c r="L342" s="871">
        <v>711127696</v>
      </c>
      <c r="M342" s="871">
        <v>580529019</v>
      </c>
      <c r="N342" s="871">
        <v>438014407</v>
      </c>
      <c r="O342" s="871">
        <v>72511166</v>
      </c>
      <c r="P342" s="871">
        <v>277990711</v>
      </c>
      <c r="Q342" s="2582" t="s">
        <v>421</v>
      </c>
      <c r="R342" s="2583" t="s">
        <v>69</v>
      </c>
      <c r="S342" s="2584">
        <v>1</v>
      </c>
      <c r="T342" s="2585">
        <v>39378</v>
      </c>
      <c r="U342" s="2586" t="s">
        <v>108</v>
      </c>
      <c r="V342" s="2586" t="s">
        <v>422</v>
      </c>
      <c r="W342" s="2560">
        <f ca="1">YEARFRAC(T342,W$6)</f>
        <v>6.5111111111111111</v>
      </c>
      <c r="X342" s="48">
        <v>330</v>
      </c>
    </row>
    <row r="343" spans="1:24" ht="12" customHeight="1">
      <c r="A343" s="48"/>
      <c r="B343" s="2124" t="s">
        <v>42</v>
      </c>
      <c r="C343" s="3292" t="s">
        <v>1389</v>
      </c>
      <c r="D343" s="2118" t="s">
        <v>41</v>
      </c>
      <c r="E343" s="1125">
        <f>SUM(H343/H$11,I343/I$11,J343/J$11,K343/K$11,L343/L$11,M343/M$11,N343/N$11,O343/O$11,P343/P$11)/9*100</f>
        <v>180.21750553919836</v>
      </c>
      <c r="F343" s="2133">
        <f>104+134+104+214+131+74+168+45+240</f>
        <v>1214</v>
      </c>
      <c r="G343" s="2140"/>
      <c r="H343" s="868">
        <v>158090980</v>
      </c>
      <c r="I343" s="854">
        <v>700838346</v>
      </c>
      <c r="J343" s="854">
        <v>621124881</v>
      </c>
      <c r="K343" s="854">
        <v>425409492</v>
      </c>
      <c r="L343" s="854">
        <v>729735998</v>
      </c>
      <c r="M343" s="854">
        <v>599469278</v>
      </c>
      <c r="N343" s="854">
        <v>481961257</v>
      </c>
      <c r="O343" s="854">
        <v>62567819</v>
      </c>
      <c r="P343" s="854">
        <v>331269997</v>
      </c>
      <c r="Q343" s="2566" t="s">
        <v>1388</v>
      </c>
      <c r="R343" s="2589" t="s">
        <v>69</v>
      </c>
      <c r="S343" s="2568">
        <v>1</v>
      </c>
      <c r="T343" s="2569">
        <v>39647</v>
      </c>
      <c r="U343" s="2570" t="s">
        <v>1021</v>
      </c>
      <c r="V343" s="2570" t="s">
        <v>1387</v>
      </c>
      <c r="W343" s="2590">
        <f ca="1">YEARFRAC(T343,W$6)</f>
        <v>5.7750000000000004</v>
      </c>
      <c r="X343" s="48"/>
    </row>
    <row r="344" spans="1:24" ht="12" customHeight="1">
      <c r="A344" s="48">
        <v>332</v>
      </c>
      <c r="B344" s="2107" t="s">
        <v>42</v>
      </c>
      <c r="C344" s="2989" t="s">
        <v>1596</v>
      </c>
      <c r="D344" s="2109"/>
      <c r="E344" s="1125">
        <f>SUM(H344/H$11,I344/I$11,J344/J$11,K344/K$11,L344/L$11,M344/M$11,N344/N$11,O344/O$11,P344/P$11)/9*100</f>
        <v>180.96280722856659</v>
      </c>
      <c r="F344" s="2128"/>
      <c r="G344" s="2129"/>
      <c r="H344" s="853">
        <v>148014069</v>
      </c>
      <c r="I344" s="865">
        <v>653678795</v>
      </c>
      <c r="J344" s="865">
        <v>593672817</v>
      </c>
      <c r="K344" s="865">
        <v>454824337</v>
      </c>
      <c r="L344" s="865">
        <v>658835333</v>
      </c>
      <c r="M344" s="865">
        <v>542961081</v>
      </c>
      <c r="N344" s="854">
        <v>511725857</v>
      </c>
      <c r="O344" s="865">
        <v>66042985</v>
      </c>
      <c r="P344" s="865">
        <v>382852238</v>
      </c>
      <c r="Q344" s="2555" t="s">
        <v>434</v>
      </c>
      <c r="R344" s="2556" t="s">
        <v>145</v>
      </c>
      <c r="S344" s="2557">
        <v>1</v>
      </c>
      <c r="T344" s="2558">
        <v>38188</v>
      </c>
      <c r="U344" s="2559" t="s">
        <v>77</v>
      </c>
      <c r="V344" s="2559" t="s">
        <v>435</v>
      </c>
      <c r="W344" s="2560">
        <f ca="1">YEARFRAC(T344,W$6)</f>
        <v>9.7694444444444439</v>
      </c>
      <c r="X344" s="48">
        <v>332</v>
      </c>
    </row>
    <row r="345" spans="1:24" ht="12" customHeight="1">
      <c r="A345" s="48"/>
      <c r="B345" s="2144" t="s">
        <v>42</v>
      </c>
      <c r="C345" s="3285" t="s">
        <v>1163</v>
      </c>
      <c r="D345" s="2146"/>
      <c r="E345" s="1125">
        <f>SUM(H345/H$11,I345/I$11,J345/J$11,K345/K$11,L345/L$11,M345/M$11,N345/N$11,O345/O$11,P345/P$11)/9*100</f>
        <v>181.14578369250026</v>
      </c>
      <c r="F345" s="2183">
        <f>1235+2670+1905+2150+1202+934+1606+740+3470</f>
        <v>15912</v>
      </c>
      <c r="G345" s="3473"/>
      <c r="H345" s="873">
        <v>163301497</v>
      </c>
      <c r="I345" s="3485">
        <v>582222964</v>
      </c>
      <c r="J345" s="869">
        <v>559800543</v>
      </c>
      <c r="K345" s="869">
        <v>441175011</v>
      </c>
      <c r="L345" s="869">
        <v>598705381</v>
      </c>
      <c r="M345" s="869">
        <v>491751878</v>
      </c>
      <c r="N345" s="870">
        <v>503098229</v>
      </c>
      <c r="O345" s="869">
        <v>73413117</v>
      </c>
      <c r="P345" s="869">
        <v>405888056</v>
      </c>
      <c r="Q345" s="2576" t="s">
        <v>1165</v>
      </c>
      <c r="R345" s="2577" t="s">
        <v>145</v>
      </c>
      <c r="S345" s="2578">
        <v>1</v>
      </c>
      <c r="T345" s="2579">
        <v>34129</v>
      </c>
      <c r="U345" s="2580" t="s">
        <v>80</v>
      </c>
      <c r="V345" s="2580" t="s">
        <v>865</v>
      </c>
      <c r="W345" s="2571">
        <f ca="1">YEARFRAC(T345,W$6)</f>
        <v>20.883333333333333</v>
      </c>
      <c r="X345" s="48"/>
    </row>
    <row r="346" spans="1:24" ht="12" customHeight="1">
      <c r="A346" s="48">
        <v>334</v>
      </c>
      <c r="B346" s="2125" t="s">
        <v>42</v>
      </c>
      <c r="C346" s="3249" t="s">
        <v>1164</v>
      </c>
      <c r="D346" s="2151"/>
      <c r="E346" s="1125">
        <f>SUM(H346/H$11,I346/I$11,J346/J$11,K346/K$11,L346/L$11,M346/M$11,N346/N$11,O346/O$11,P346/P$11)/9*100</f>
        <v>181.14578684300221</v>
      </c>
      <c r="F346" s="2142">
        <f>420+878+632+704+305+236+462+265+1236</f>
        <v>5138</v>
      </c>
      <c r="G346" s="2139"/>
      <c r="H346" s="857">
        <v>163301501</v>
      </c>
      <c r="I346" s="857">
        <v>582222968</v>
      </c>
      <c r="J346" s="857">
        <v>559800547</v>
      </c>
      <c r="K346" s="857">
        <v>441175015</v>
      </c>
      <c r="L346" s="857">
        <v>598705385</v>
      </c>
      <c r="M346" s="857">
        <v>491751882</v>
      </c>
      <c r="N346" s="871">
        <v>503098233</v>
      </c>
      <c r="O346" s="857">
        <v>73413121</v>
      </c>
      <c r="P346" s="857">
        <v>405888060</v>
      </c>
      <c r="Q346" s="3056" t="s">
        <v>461</v>
      </c>
      <c r="R346" s="3058" t="s">
        <v>145</v>
      </c>
      <c r="S346" s="3594">
        <v>1</v>
      </c>
      <c r="T346" s="3063">
        <v>36465</v>
      </c>
      <c r="U346" s="3065" t="s">
        <v>80</v>
      </c>
      <c r="V346" s="3065" t="s">
        <v>118</v>
      </c>
      <c r="W346" s="2560">
        <f ca="1">YEARFRAC(T346,W$6)</f>
        <v>14.488888888888889</v>
      </c>
      <c r="X346" s="48">
        <v>334</v>
      </c>
    </row>
    <row r="347" spans="1:24" ht="12" customHeight="1">
      <c r="A347" s="48"/>
      <c r="B347" s="2107" t="s">
        <v>42</v>
      </c>
      <c r="C347" s="2114" t="s">
        <v>423</v>
      </c>
      <c r="D347" s="2115"/>
      <c r="E347" s="1125">
        <f>SUM(H347/H$11,I347/I$11,J347/J$11,K347/K$11,L347/L$11,M347/M$11,N347/N$11,O347/O$11,P347/P$11)/9*100</f>
        <v>181.21756226714933</v>
      </c>
      <c r="F347" s="2128"/>
      <c r="G347" s="2129"/>
      <c r="H347" s="853">
        <v>176645361</v>
      </c>
      <c r="I347" s="865">
        <v>604513821</v>
      </c>
      <c r="J347" s="865">
        <v>571685309</v>
      </c>
      <c r="K347" s="865">
        <v>449838949</v>
      </c>
      <c r="L347" s="865">
        <v>595402681</v>
      </c>
      <c r="M347" s="865">
        <v>492148770</v>
      </c>
      <c r="N347" s="854">
        <v>526388609</v>
      </c>
      <c r="O347" s="865">
        <v>65513171</v>
      </c>
      <c r="P347" s="865">
        <v>385409574</v>
      </c>
      <c r="Q347" s="2555" t="s">
        <v>424</v>
      </c>
      <c r="R347" s="2556" t="s">
        <v>145</v>
      </c>
      <c r="S347" s="2557">
        <v>1</v>
      </c>
      <c r="T347" s="2575">
        <v>33213</v>
      </c>
      <c r="U347" s="2559" t="s">
        <v>75</v>
      </c>
      <c r="V347" s="2559" t="s">
        <v>118</v>
      </c>
      <c r="W347" s="2571">
        <f ca="1">YEARFRAC(T347,W$6)</f>
        <v>23.391666666666666</v>
      </c>
      <c r="X347" s="48"/>
    </row>
    <row r="348" spans="1:24" ht="12" customHeight="1">
      <c r="A348" s="48">
        <v>336</v>
      </c>
      <c r="B348" s="2110" t="s">
        <v>42</v>
      </c>
      <c r="C348" s="2117" t="s">
        <v>429</v>
      </c>
      <c r="D348" s="2112"/>
      <c r="E348" s="1125">
        <f>SUM(H348/H$11,I348/I$11,J348/J$11,K348/K$11,L348/L$11,M348/M$11,N348/N$11,O348/O$11,P348/P$11)/9*100</f>
        <v>181.30733596868447</v>
      </c>
      <c r="F348" s="2130"/>
      <c r="G348" s="2131"/>
      <c r="H348" s="855">
        <v>156683423</v>
      </c>
      <c r="I348" s="857">
        <v>606693416</v>
      </c>
      <c r="J348" s="857">
        <v>577854464</v>
      </c>
      <c r="K348" s="857">
        <v>460939462</v>
      </c>
      <c r="L348" s="857">
        <v>609160704</v>
      </c>
      <c r="M348" s="857">
        <v>492148736</v>
      </c>
      <c r="N348" s="871">
        <v>524743104</v>
      </c>
      <c r="O348" s="857">
        <v>69265389</v>
      </c>
      <c r="P348" s="857">
        <v>399527117</v>
      </c>
      <c r="Q348" s="2561" t="s">
        <v>430</v>
      </c>
      <c r="R348" s="2562" t="s">
        <v>145</v>
      </c>
      <c r="S348" s="2563">
        <v>1</v>
      </c>
      <c r="T348" s="3062">
        <v>34318</v>
      </c>
      <c r="U348" s="2565" t="s">
        <v>80</v>
      </c>
      <c r="V348" s="2565" t="s">
        <v>118</v>
      </c>
      <c r="W348" s="2560">
        <f ca="1">YEARFRAC(T348,W$6)</f>
        <v>20.366666666666667</v>
      </c>
      <c r="X348" s="48">
        <v>336</v>
      </c>
    </row>
    <row r="349" spans="1:24" ht="12" customHeight="1">
      <c r="A349" s="48"/>
      <c r="B349" s="2124" t="s">
        <v>42</v>
      </c>
      <c r="C349" s="3292" t="s">
        <v>1372</v>
      </c>
      <c r="D349" s="2118" t="s">
        <v>41</v>
      </c>
      <c r="E349" s="1125">
        <f>SUM(H349/H$11,I349/I$11,J349/J$11,K349/K$11,L349/L$11,M349/M$11,N349/N$11,O349/O$11,P349/P$11)/9*100</f>
        <v>181.46670684830104</v>
      </c>
      <c r="F349" s="2133">
        <f>378+543+0+1169+1198+941+1045+336+1611</f>
        <v>7221</v>
      </c>
      <c r="G349" s="2140"/>
      <c r="H349" s="868">
        <v>180515631</v>
      </c>
      <c r="I349" s="854">
        <v>551494670</v>
      </c>
      <c r="J349" s="854">
        <v>536137124</v>
      </c>
      <c r="K349" s="854">
        <v>393382398</v>
      </c>
      <c r="L349" s="854">
        <v>605053256</v>
      </c>
      <c r="M349" s="854">
        <v>492722427</v>
      </c>
      <c r="N349" s="854">
        <v>420229089</v>
      </c>
      <c r="O349" s="854">
        <v>90235489</v>
      </c>
      <c r="P349" s="854">
        <v>383081243</v>
      </c>
      <c r="Q349" s="2566" t="s">
        <v>1373</v>
      </c>
      <c r="R349" s="2589" t="s">
        <v>69</v>
      </c>
      <c r="S349" s="2568">
        <v>1</v>
      </c>
      <c r="T349" s="2569">
        <v>38891</v>
      </c>
      <c r="U349" s="2570" t="s">
        <v>80</v>
      </c>
      <c r="V349" s="2570" t="s">
        <v>1410</v>
      </c>
      <c r="W349" s="2571">
        <f ca="1">YEARFRAC(T349,W$6)</f>
        <v>7.8444444444444441</v>
      </c>
      <c r="X349" s="48"/>
    </row>
    <row r="350" spans="1:24" ht="12" customHeight="1">
      <c r="A350" s="48">
        <v>338</v>
      </c>
      <c r="B350" s="2107" t="s">
        <v>42</v>
      </c>
      <c r="C350" s="2114" t="s">
        <v>380</v>
      </c>
      <c r="D350" s="2115"/>
      <c r="E350" s="1125">
        <f>SUM(H350/H$11,I350/I$11,J350/J$11,K350/K$11,L350/L$11,M350/M$11,N350/N$11,O350/O$11,P350/P$11)/9*100</f>
        <v>181.76117840382929</v>
      </c>
      <c r="F350" s="2128"/>
      <c r="G350" s="2129"/>
      <c r="H350" s="853">
        <v>226438387</v>
      </c>
      <c r="I350" s="865">
        <v>604202398</v>
      </c>
      <c r="J350" s="865">
        <v>547605043</v>
      </c>
      <c r="K350" s="865">
        <v>635167573</v>
      </c>
      <c r="L350" s="865">
        <v>593714653</v>
      </c>
      <c r="M350" s="865">
        <v>492262742</v>
      </c>
      <c r="N350" s="854">
        <v>376985641</v>
      </c>
      <c r="O350" s="865">
        <v>55093521</v>
      </c>
      <c r="P350" s="865">
        <v>323962016</v>
      </c>
      <c r="Q350" s="2555" t="s">
        <v>381</v>
      </c>
      <c r="R350" s="2556" t="s">
        <v>145</v>
      </c>
      <c r="S350" s="2557">
        <v>1</v>
      </c>
      <c r="T350" s="2575">
        <v>35201</v>
      </c>
      <c r="U350" s="2559" t="s">
        <v>331</v>
      </c>
      <c r="V350" s="2559" t="s">
        <v>865</v>
      </c>
      <c r="W350" s="2560">
        <f ca="1">YEARFRAC(T350,W$6)</f>
        <v>17.947222222222223</v>
      </c>
      <c r="X350" s="48">
        <v>338</v>
      </c>
    </row>
    <row r="351" spans="1:24" ht="12" customHeight="1">
      <c r="A351" s="48"/>
      <c r="B351" s="2152" t="s">
        <v>1431</v>
      </c>
      <c r="C351" s="2145" t="s">
        <v>1753</v>
      </c>
      <c r="D351" s="2146"/>
      <c r="E351" s="1125">
        <f>SUM(H351/H$11,I351/I$11,J351/J$11,K351/K$11,L351/L$11,M351/M$11,N351/N$11,O351/O$11,P351/P$11)/9*100</f>
        <v>182.41296496064587</v>
      </c>
      <c r="F351" s="2136"/>
      <c r="G351" s="2137"/>
      <c r="H351" s="873">
        <v>156721691</v>
      </c>
      <c r="I351" s="869">
        <v>606693486</v>
      </c>
      <c r="J351" s="869">
        <v>577823670</v>
      </c>
      <c r="K351" s="869">
        <v>503220158</v>
      </c>
      <c r="L351" s="869">
        <v>609160812</v>
      </c>
      <c r="M351" s="869">
        <v>492148854</v>
      </c>
      <c r="N351" s="870">
        <v>499915176</v>
      </c>
      <c r="O351" s="869">
        <v>69703966</v>
      </c>
      <c r="P351" s="869">
        <v>402540441</v>
      </c>
      <c r="Q351" s="2576" t="s">
        <v>120</v>
      </c>
      <c r="R351" s="2577" t="s">
        <v>145</v>
      </c>
      <c r="S351" s="2578">
        <v>1</v>
      </c>
      <c r="T351" s="2579">
        <v>32947</v>
      </c>
      <c r="U351" s="2580" t="s">
        <v>80</v>
      </c>
      <c r="V351" s="2580" t="s">
        <v>427</v>
      </c>
      <c r="W351" s="2571">
        <f ca="1">YEARFRAC(T351,W$6)</f>
        <v>24.116666666666667</v>
      </c>
      <c r="X351" s="48"/>
    </row>
    <row r="352" spans="1:24" ht="12" customHeight="1">
      <c r="A352" s="48">
        <v>340</v>
      </c>
      <c r="B352" s="3210" t="s">
        <v>42</v>
      </c>
      <c r="C352" s="3250" t="s">
        <v>673</v>
      </c>
      <c r="D352" s="3329"/>
      <c r="E352" s="1125">
        <f>SUM(H352/H$11,I352/I$11,J352/J$11,K352/K$11,L352/L$11,M352/M$11,N352/N$11,O352/O$11,P352/P$11)/9*100</f>
        <v>182.73280130873795</v>
      </c>
      <c r="F352" s="2142">
        <f>24.086+18.875+20.1+32.245+21.559+11.575+14.398+33.4+24.5</f>
        <v>200.738</v>
      </c>
      <c r="G352" s="2139"/>
      <c r="H352" s="867">
        <v>162368147</v>
      </c>
      <c r="I352" s="857">
        <v>599535798</v>
      </c>
      <c r="J352" s="871">
        <v>569564510</v>
      </c>
      <c r="K352" s="871">
        <v>462059456</v>
      </c>
      <c r="L352" s="871">
        <v>608872478</v>
      </c>
      <c r="M352" s="871">
        <v>491191099</v>
      </c>
      <c r="N352" s="871">
        <v>533570647</v>
      </c>
      <c r="O352" s="871">
        <v>71610827</v>
      </c>
      <c r="P352" s="871">
        <v>395493110</v>
      </c>
      <c r="Q352" s="3515" t="s">
        <v>674</v>
      </c>
      <c r="R352" s="3548" t="s">
        <v>65</v>
      </c>
      <c r="S352" s="3595">
        <v>8</v>
      </c>
      <c r="T352" s="3636">
        <v>40444</v>
      </c>
      <c r="U352" s="3670" t="s">
        <v>425</v>
      </c>
      <c r="V352" s="3670" t="s">
        <v>1890</v>
      </c>
      <c r="W352" s="2560">
        <f ca="1">YEARFRAC(T352,W$6)</f>
        <v>3.5944444444444446</v>
      </c>
      <c r="X352" s="48">
        <v>340</v>
      </c>
    </row>
    <row r="353" spans="1:24" ht="12" customHeight="1">
      <c r="A353" s="48"/>
      <c r="B353" s="2162" t="s">
        <v>42</v>
      </c>
      <c r="C353" s="2120" t="s">
        <v>948</v>
      </c>
      <c r="D353" s="2150"/>
      <c r="E353" s="1125">
        <f>SUM(H353/H$11,I353/I$11,J353/J$11,K353/K$11,L353/L$11,M353/M$11,N353/N$11,O353/O$11,P353/P$11)/9*100</f>
        <v>183.44105870943622</v>
      </c>
      <c r="F353" s="3383">
        <f>6.08+13.92+13.36+14.86+13.91+10.86+15.63+4.09+18.05</f>
        <v>110.75999999999999</v>
      </c>
      <c r="G353" s="3475"/>
      <c r="H353" s="868">
        <v>163145709</v>
      </c>
      <c r="I353" s="865">
        <v>601807761</v>
      </c>
      <c r="J353" s="865">
        <v>572174103</v>
      </c>
      <c r="K353" s="865">
        <v>460372409</v>
      </c>
      <c r="L353" s="865">
        <v>598252514</v>
      </c>
      <c r="M353" s="865">
        <v>491659686</v>
      </c>
      <c r="N353" s="854">
        <v>545516169</v>
      </c>
      <c r="O353" s="854">
        <v>65708379</v>
      </c>
      <c r="P353" s="865">
        <v>427484718</v>
      </c>
      <c r="Q353" s="2566" t="s">
        <v>947</v>
      </c>
      <c r="R353" s="2567" t="s">
        <v>69</v>
      </c>
      <c r="S353" s="2568">
        <v>1</v>
      </c>
      <c r="T353" s="2569">
        <v>40621</v>
      </c>
      <c r="U353" s="2701" t="s">
        <v>206</v>
      </c>
      <c r="V353" s="2570" t="s">
        <v>949</v>
      </c>
      <c r="W353" s="2571">
        <f ca="1">YEARFRAC(T353,W$6)</f>
        <v>3.1055555555555556</v>
      </c>
      <c r="X353" s="48"/>
    </row>
    <row r="354" spans="1:24" ht="12" customHeight="1">
      <c r="A354" s="48">
        <v>342</v>
      </c>
      <c r="B354" s="2107" t="s">
        <v>42</v>
      </c>
      <c r="C354" s="2108" t="s">
        <v>778</v>
      </c>
      <c r="D354" s="2109"/>
      <c r="E354" s="1125">
        <f>SUM(H354/H$11,I354/I$11,J354/J$11,K354/K$11,L354/L$11,M354/M$11,N354/N$11,O354/O$11,P354/P$11)/9*100</f>
        <v>183.53920580252685</v>
      </c>
      <c r="F354" s="2128"/>
      <c r="G354" s="2129"/>
      <c r="H354" s="853">
        <v>132108152</v>
      </c>
      <c r="I354" s="865">
        <v>625020330</v>
      </c>
      <c r="J354" s="865">
        <v>577557428</v>
      </c>
      <c r="K354" s="2021">
        <v>421543283</v>
      </c>
      <c r="L354" s="865">
        <v>647658954</v>
      </c>
      <c r="M354" s="2021">
        <v>535061976</v>
      </c>
      <c r="N354" s="854">
        <v>479364367</v>
      </c>
      <c r="O354" s="865">
        <v>93353819</v>
      </c>
      <c r="P354" s="865">
        <v>379811544</v>
      </c>
      <c r="Q354" s="2555" t="s">
        <v>287</v>
      </c>
      <c r="R354" s="2556" t="s">
        <v>69</v>
      </c>
      <c r="S354" s="2557">
        <v>1</v>
      </c>
      <c r="T354" s="2558">
        <v>37547</v>
      </c>
      <c r="U354" s="2559" t="s">
        <v>312</v>
      </c>
      <c r="V354" s="2559" t="s">
        <v>415</v>
      </c>
      <c r="W354" s="2560">
        <f ca="1">YEARFRAC(T354,W$6)</f>
        <v>11.525</v>
      </c>
      <c r="X354" s="48">
        <v>342</v>
      </c>
    </row>
    <row r="355" spans="1:24" ht="12" customHeight="1">
      <c r="A355" s="48"/>
      <c r="B355" s="2144" t="s">
        <v>42</v>
      </c>
      <c r="C355" s="2153" t="s">
        <v>1656</v>
      </c>
      <c r="D355" s="2146"/>
      <c r="E355" s="1125">
        <f>SUM(H355/H$11,I355/I$11,J355/J$11,K355/K$11,L355/L$11,M355/M$11,N355/N$11,O355/O$11,P355/P$11)/9*100</f>
        <v>185.00128554658355</v>
      </c>
      <c r="F355" s="2136"/>
      <c r="G355" s="2137"/>
      <c r="H355" s="873">
        <v>186196824</v>
      </c>
      <c r="I355" s="869">
        <v>606693377</v>
      </c>
      <c r="J355" s="869">
        <v>577854465</v>
      </c>
      <c r="K355" s="869">
        <v>432499963</v>
      </c>
      <c r="L355" s="869">
        <v>609160705</v>
      </c>
      <c r="M355" s="869">
        <v>492148737</v>
      </c>
      <c r="N355" s="870">
        <v>479686070</v>
      </c>
      <c r="O355" s="869">
        <v>77435107</v>
      </c>
      <c r="P355" s="869">
        <v>386163583</v>
      </c>
      <c r="Q355" s="2576" t="s">
        <v>124</v>
      </c>
      <c r="R355" s="2577" t="s">
        <v>69</v>
      </c>
      <c r="S355" s="2578">
        <v>1</v>
      </c>
      <c r="T355" s="2581">
        <v>38620</v>
      </c>
      <c r="U355" s="2580" t="s">
        <v>75</v>
      </c>
      <c r="V355" s="2580" t="s">
        <v>422</v>
      </c>
      <c r="W355" s="2571">
        <f ca="1">YEARFRAC(T355,W$6)</f>
        <v>8.5888888888888886</v>
      </c>
      <c r="X355" s="48"/>
    </row>
    <row r="356" spans="1:24" ht="12" customHeight="1">
      <c r="A356" s="48">
        <v>344</v>
      </c>
      <c r="B356" s="2107" t="s">
        <v>42</v>
      </c>
      <c r="C356" s="762" t="s">
        <v>2079</v>
      </c>
      <c r="D356" s="3330"/>
      <c r="E356" s="1125">
        <f>SUM(H356/H$11,I356/I$11,J356/J$11,K356/K$11,L356/L$11,M356/M$11,N356/N$11,O356/O$11,P356/P$11)/9*100</f>
        <v>185.29193754137893</v>
      </c>
      <c r="F356" s="2133">
        <f>24.5+40.9+34.9+38.6+35.4+27.4+46.6+8.8+46.1</f>
        <v>303.20000000000005</v>
      </c>
      <c r="G356" s="2154"/>
      <c r="H356" s="868">
        <v>168883279</v>
      </c>
      <c r="I356" s="865">
        <v>616427705</v>
      </c>
      <c r="J356" s="854">
        <v>574752117</v>
      </c>
      <c r="K356" s="854">
        <v>441878827</v>
      </c>
      <c r="L356" s="854">
        <v>611950730</v>
      </c>
      <c r="M356" s="854">
        <v>502746266</v>
      </c>
      <c r="N356" s="854">
        <v>537539981</v>
      </c>
      <c r="O356" s="854">
        <v>70859763</v>
      </c>
      <c r="P356" s="854">
        <v>414539912</v>
      </c>
      <c r="Q356" s="2566" t="s">
        <v>932</v>
      </c>
      <c r="R356" s="2567" t="s">
        <v>69</v>
      </c>
      <c r="S356" s="2568">
        <v>1</v>
      </c>
      <c r="T356" s="2569">
        <v>41576</v>
      </c>
      <c r="U356" s="2570" t="s">
        <v>2080</v>
      </c>
      <c r="V356" s="2570" t="s">
        <v>1890</v>
      </c>
      <c r="W356" s="2571">
        <f ca="1">YEARFRAC(T356,W$6)</f>
        <v>0.49444444444444446</v>
      </c>
      <c r="X356" s="48">
        <v>344</v>
      </c>
    </row>
    <row r="357" spans="1:24" ht="12" customHeight="1">
      <c r="A357" s="48"/>
      <c r="B357" s="3229" t="s">
        <v>1431</v>
      </c>
      <c r="C357" s="3293" t="s">
        <v>446</v>
      </c>
      <c r="D357" s="3359"/>
      <c r="E357" s="1125">
        <f>SUM(H357/H$11,I357/I$11,J357/J$11,K357/K$11,L357/L$11,M357/M$11,N357/N$11,O357/O$11,P357/P$11)/9*100</f>
        <v>186.16820845016099</v>
      </c>
      <c r="F357" s="2995"/>
      <c r="G357" s="2996"/>
      <c r="H357" s="912">
        <v>156683447</v>
      </c>
      <c r="I357" s="909">
        <v>660887078</v>
      </c>
      <c r="J357" s="909">
        <v>601234654</v>
      </c>
      <c r="K357" s="909">
        <v>460939485</v>
      </c>
      <c r="L357" s="909">
        <v>662897933</v>
      </c>
      <c r="M357" s="909">
        <v>545905595</v>
      </c>
      <c r="N357" s="905">
        <v>524743137</v>
      </c>
      <c r="O357" s="909">
        <v>69265377</v>
      </c>
      <c r="P357" s="909">
        <v>399527142</v>
      </c>
      <c r="Q357" s="2999" t="s">
        <v>447</v>
      </c>
      <c r="R357" s="3001" t="s">
        <v>145</v>
      </c>
      <c r="S357" s="3003">
        <v>1</v>
      </c>
      <c r="T357" s="3005">
        <v>35976</v>
      </c>
      <c r="U357" s="3008" t="s">
        <v>117</v>
      </c>
      <c r="V357" s="3008" t="s">
        <v>118</v>
      </c>
      <c r="W357" s="2591">
        <f ca="1">YEARFRAC(T357,W$6)</f>
        <v>15.824999999999999</v>
      </c>
      <c r="X357" s="48"/>
    </row>
    <row r="358" spans="1:24" ht="12" customHeight="1">
      <c r="A358" s="48">
        <v>346</v>
      </c>
      <c r="B358" s="2121" t="s">
        <v>42</v>
      </c>
      <c r="C358" s="2648" t="s">
        <v>444</v>
      </c>
      <c r="D358" s="2712"/>
      <c r="E358" s="1125">
        <f>SUM(H358/H$11,I358/I$11,J358/J$11,K358/K$11,L358/L$11,M358/M$11,N358/N$11,O358/O$11,P358/P$11)/9*100</f>
        <v>186.16821868929216</v>
      </c>
      <c r="F358" s="3035"/>
      <c r="G358" s="3039"/>
      <c r="H358" s="902">
        <v>156683460</v>
      </c>
      <c r="I358" s="906">
        <v>660887091</v>
      </c>
      <c r="J358" s="906">
        <v>601234667</v>
      </c>
      <c r="K358" s="906">
        <v>460939498</v>
      </c>
      <c r="L358" s="906">
        <v>662897946</v>
      </c>
      <c r="M358" s="906">
        <v>545905608</v>
      </c>
      <c r="N358" s="903">
        <v>524743150</v>
      </c>
      <c r="O358" s="906">
        <v>69265390</v>
      </c>
      <c r="P358" s="906">
        <v>399527155</v>
      </c>
      <c r="Q358" s="3055" t="s">
        <v>445</v>
      </c>
      <c r="R358" s="3057" t="s">
        <v>145</v>
      </c>
      <c r="S358" s="3059">
        <v>1</v>
      </c>
      <c r="T358" s="3637">
        <v>34845</v>
      </c>
      <c r="U358" s="3064" t="s">
        <v>80</v>
      </c>
      <c r="V358" s="3064" t="s">
        <v>118</v>
      </c>
      <c r="W358" s="2592">
        <f ca="1">YEARFRAC(T358,W$6)</f>
        <v>18.919444444444444</v>
      </c>
      <c r="X358" s="48">
        <v>346</v>
      </c>
    </row>
    <row r="359" spans="1:24" ht="12" customHeight="1">
      <c r="A359" s="48"/>
      <c r="B359" s="2124" t="s">
        <v>42</v>
      </c>
      <c r="C359" s="2127" t="s">
        <v>893</v>
      </c>
      <c r="D359" s="3360"/>
      <c r="E359" s="1125">
        <f>SUM(H359/H$11,I359/I$11,J359/J$11,K359/K$11,L359/L$11,M359/M$11,N359/N$11,O359/O$11,P359/P$11)/9*100</f>
        <v>186.19988139648109</v>
      </c>
      <c r="F359" s="2133"/>
      <c r="G359" s="2140"/>
      <c r="H359" s="864">
        <v>156683423</v>
      </c>
      <c r="I359" s="854">
        <v>660887055</v>
      </c>
      <c r="J359" s="854">
        <v>601234632</v>
      </c>
      <c r="K359" s="854">
        <v>460939462</v>
      </c>
      <c r="L359" s="854">
        <v>662897773</v>
      </c>
      <c r="M359" s="854">
        <v>545905568</v>
      </c>
      <c r="N359" s="854">
        <v>524743071</v>
      </c>
      <c r="O359" s="854">
        <v>69352702</v>
      </c>
      <c r="P359" s="854">
        <v>399527291</v>
      </c>
      <c r="Q359" s="3513" t="s">
        <v>892</v>
      </c>
      <c r="R359" s="2589" t="s">
        <v>145</v>
      </c>
      <c r="S359" s="2568">
        <v>1</v>
      </c>
      <c r="T359" s="3061">
        <v>34156</v>
      </c>
      <c r="U359" s="2701" t="s">
        <v>117</v>
      </c>
      <c r="V359" s="2701" t="s">
        <v>117</v>
      </c>
      <c r="W359" s="2571">
        <f ca="1">YEARFRAC(T359,W$6)</f>
        <v>20.808333333333334</v>
      </c>
      <c r="X359" s="48"/>
    </row>
    <row r="360" spans="1:24" ht="12" customHeight="1">
      <c r="A360" s="48">
        <v>348</v>
      </c>
      <c r="B360" s="2107" t="s">
        <v>42</v>
      </c>
      <c r="C360" s="2114" t="s">
        <v>428</v>
      </c>
      <c r="D360" s="2991"/>
      <c r="E360" s="1125">
        <f>SUM(H360/H$11,I360/I$11,J360/J$11,K360/K$11,L360/L$11,M360/M$11,N360/N$11,O360/O$11,P360/P$11)/9*100</f>
        <v>187.2636161464693</v>
      </c>
      <c r="F360" s="2128"/>
      <c r="G360" s="2129"/>
      <c r="H360" s="865">
        <v>173625961</v>
      </c>
      <c r="I360" s="865">
        <v>606693417</v>
      </c>
      <c r="J360" s="865">
        <v>565695553</v>
      </c>
      <c r="K360" s="865">
        <v>426542920</v>
      </c>
      <c r="L360" s="865">
        <v>609160745</v>
      </c>
      <c r="M360" s="865">
        <v>492148777</v>
      </c>
      <c r="N360" s="854">
        <v>494484725</v>
      </c>
      <c r="O360" s="865">
        <v>78828772</v>
      </c>
      <c r="P360" s="865">
        <v>436304204</v>
      </c>
      <c r="Q360" s="2555" t="s">
        <v>301</v>
      </c>
      <c r="R360" s="2556" t="s">
        <v>145</v>
      </c>
      <c r="S360" s="2557">
        <v>1</v>
      </c>
      <c r="T360" s="2575">
        <v>33154</v>
      </c>
      <c r="U360" s="2559" t="s">
        <v>80</v>
      </c>
      <c r="V360" s="2559" t="s">
        <v>118</v>
      </c>
      <c r="W360" s="2571">
        <f ca="1">YEARFRAC(T360,W$6)</f>
        <v>23.552777777777777</v>
      </c>
      <c r="X360" s="48">
        <v>348</v>
      </c>
    </row>
    <row r="361" spans="1:24" ht="12" customHeight="1">
      <c r="A361" s="48"/>
      <c r="B361" s="2987" t="s">
        <v>42</v>
      </c>
      <c r="C361" s="3293" t="s">
        <v>431</v>
      </c>
      <c r="D361" s="2649" t="s">
        <v>41</v>
      </c>
      <c r="E361" s="1125">
        <f>SUM(H361/H$11,I361/I$11,J361/J$11,K361/K$11,L361/L$11,M361/M$11,N361/N$11,O361/O$11,P361/P$11)/9*100</f>
        <v>188.40201912136746</v>
      </c>
      <c r="F361" s="2995"/>
      <c r="G361" s="2996"/>
      <c r="H361" s="905">
        <v>174809940</v>
      </c>
      <c r="I361" s="905">
        <v>606691328</v>
      </c>
      <c r="J361" s="905">
        <v>574941263</v>
      </c>
      <c r="K361" s="905">
        <v>436030884</v>
      </c>
      <c r="L361" s="905">
        <v>609160707</v>
      </c>
      <c r="M361" s="905">
        <v>492148739</v>
      </c>
      <c r="N361" s="905">
        <v>490673754</v>
      </c>
      <c r="O361" s="905">
        <v>80097169</v>
      </c>
      <c r="P361" s="905">
        <v>436589590</v>
      </c>
      <c r="Q361" s="2999" t="s">
        <v>432</v>
      </c>
      <c r="R361" s="3001" t="s">
        <v>145</v>
      </c>
      <c r="S361" s="3003">
        <v>1</v>
      </c>
      <c r="T361" s="3656">
        <v>35297</v>
      </c>
      <c r="U361" s="3008" t="s">
        <v>78</v>
      </c>
      <c r="V361" s="3008" t="s">
        <v>433</v>
      </c>
      <c r="W361" s="2591">
        <f ca="1">YEARFRAC(T361,W$6)</f>
        <v>17.68611111111111</v>
      </c>
      <c r="X361" s="48"/>
    </row>
    <row r="362" spans="1:24" ht="12" customHeight="1">
      <c r="A362" s="48">
        <v>350</v>
      </c>
      <c r="B362" s="2165" t="s">
        <v>1431</v>
      </c>
      <c r="C362" s="2705" t="s">
        <v>1752</v>
      </c>
      <c r="D362" s="2990"/>
      <c r="E362" s="1125">
        <f>SUM(H362/H$11,I362/I$11,J362/J$11,K362/K$11,L362/L$11,M362/M$11,N362/N$11,O362/O$11,P362/P$11)/9*100</f>
        <v>189.74860368113258</v>
      </c>
      <c r="F362" s="3035"/>
      <c r="G362" s="3039"/>
      <c r="H362" s="906">
        <v>156721691</v>
      </c>
      <c r="I362" s="906">
        <v>606693486</v>
      </c>
      <c r="J362" s="906">
        <v>577854572</v>
      </c>
      <c r="K362" s="906">
        <v>503220158</v>
      </c>
      <c r="L362" s="906">
        <v>596575957</v>
      </c>
      <c r="M362" s="906">
        <v>492148854</v>
      </c>
      <c r="N362" s="903">
        <v>581732771</v>
      </c>
      <c r="O362" s="906">
        <v>73991782</v>
      </c>
      <c r="P362" s="906">
        <v>437834493</v>
      </c>
      <c r="Q362" s="3055" t="s">
        <v>120</v>
      </c>
      <c r="R362" s="3057" t="s">
        <v>145</v>
      </c>
      <c r="S362" s="3059">
        <v>1</v>
      </c>
      <c r="T362" s="3060">
        <v>32573</v>
      </c>
      <c r="U362" s="3064" t="s">
        <v>80</v>
      </c>
      <c r="V362" s="3064" t="s">
        <v>439</v>
      </c>
      <c r="W362" s="2592">
        <f ca="1">YEARFRAC(T362,W$6)</f>
        <v>25.141666666666666</v>
      </c>
      <c r="X362" s="48">
        <v>350</v>
      </c>
    </row>
    <row r="363" spans="1:24" ht="12" customHeight="1">
      <c r="A363" s="48"/>
      <c r="B363" s="2124" t="s">
        <v>42</v>
      </c>
      <c r="C363" s="2120" t="s">
        <v>1371</v>
      </c>
      <c r="D363" s="3054" t="s">
        <v>41</v>
      </c>
      <c r="E363" s="1125">
        <f>SUM(H363/H$11,I363/I$11,J363/J$11,K363/K$11,L363/L$11,M363/M$11,N363/N$11,O363/O$11,P363/P$11)/9*100</f>
        <v>190.15727318741088</v>
      </c>
      <c r="F363" s="2133">
        <f>1.9+3.3+3.5+4.89+5.59+3.9+6.2+0.91+9.7</f>
        <v>39.89</v>
      </c>
      <c r="G363" s="2140"/>
      <c r="H363" s="864">
        <v>165637194</v>
      </c>
      <c r="I363" s="854">
        <v>601247817</v>
      </c>
      <c r="J363" s="854">
        <v>564432479</v>
      </c>
      <c r="K363" s="854">
        <v>487950017</v>
      </c>
      <c r="L363" s="854">
        <v>594537076</v>
      </c>
      <c r="M363" s="854">
        <v>489448485</v>
      </c>
      <c r="N363" s="854">
        <v>544044973</v>
      </c>
      <c r="O363" s="854">
        <v>73302434</v>
      </c>
      <c r="P363" s="854">
        <v>465372286</v>
      </c>
      <c r="Q363" s="2566" t="s">
        <v>1370</v>
      </c>
      <c r="R363" s="2589" t="s">
        <v>69</v>
      </c>
      <c r="S363" s="2568">
        <v>1</v>
      </c>
      <c r="T363" s="2569">
        <v>41073</v>
      </c>
      <c r="U363" s="2570" t="s">
        <v>78</v>
      </c>
      <c r="V363" s="2570" t="s">
        <v>314</v>
      </c>
      <c r="W363" s="2571">
        <f ca="1">YEARFRAC(T363,W$6)</f>
        <v>1.8722222222222222</v>
      </c>
      <c r="X363" s="48"/>
    </row>
    <row r="364" spans="1:24" ht="12" customHeight="1">
      <c r="A364" s="48">
        <v>352</v>
      </c>
      <c r="B364" s="2107" t="s">
        <v>42</v>
      </c>
      <c r="C364" s="2120" t="s">
        <v>1574</v>
      </c>
      <c r="D364" s="3331"/>
      <c r="E364" s="1125">
        <f>SUM(H364/H$11,I364/I$11,J364/J$11,K364/K$11,L364/L$11,M364/M$11,N364/N$11,O364/O$11,P364/P$11)/9*100</f>
        <v>190.95222747780207</v>
      </c>
      <c r="F364" s="2133">
        <f>550+1563+1412+1518+2333+1835+899+218+1349</f>
        <v>11677</v>
      </c>
      <c r="G364" s="2134"/>
      <c r="H364" s="864">
        <v>112843675</v>
      </c>
      <c r="I364" s="854">
        <v>555962718</v>
      </c>
      <c r="J364" s="854">
        <v>492526513</v>
      </c>
      <c r="K364" s="854">
        <v>304220495</v>
      </c>
      <c r="L364" s="854">
        <v>610169522</v>
      </c>
      <c r="M364" s="854">
        <v>504299398</v>
      </c>
      <c r="N364" s="854">
        <v>333363963</v>
      </c>
      <c r="O364" s="854">
        <v>209375744</v>
      </c>
      <c r="P364" s="854">
        <v>183844928</v>
      </c>
      <c r="Q364" s="2555" t="s">
        <v>418</v>
      </c>
      <c r="R364" s="2556" t="s">
        <v>69</v>
      </c>
      <c r="S364" s="2557">
        <v>1</v>
      </c>
      <c r="T364" s="2575">
        <v>41028</v>
      </c>
      <c r="U364" s="3007" t="s">
        <v>117</v>
      </c>
      <c r="V364" s="2559" t="s">
        <v>148</v>
      </c>
      <c r="W364" s="2571">
        <f ca="1">YEARFRAC(T364,W$6)</f>
        <v>1.9944444444444445</v>
      </c>
      <c r="X364" s="48">
        <v>352</v>
      </c>
    </row>
    <row r="365" spans="1:24" ht="12" customHeight="1">
      <c r="A365" s="48"/>
      <c r="B365" s="2987" t="s">
        <v>42</v>
      </c>
      <c r="C365" s="3293" t="s">
        <v>436</v>
      </c>
      <c r="D365" s="2993"/>
      <c r="E365" s="1125">
        <f>SUM(H365/H$11,I365/I$11,J365/J$11,K365/K$11,L365/L$11,M365/M$11,N365/N$11,O365/O$11,P365/P$11)/9*100</f>
        <v>191.71932244256621</v>
      </c>
      <c r="F365" s="2995"/>
      <c r="G365" s="2996"/>
      <c r="H365" s="912">
        <v>141176080</v>
      </c>
      <c r="I365" s="909">
        <v>571833866</v>
      </c>
      <c r="J365" s="909">
        <v>535284982</v>
      </c>
      <c r="K365" s="909">
        <v>406530237</v>
      </c>
      <c r="L365" s="909">
        <v>609160873</v>
      </c>
      <c r="M365" s="909">
        <v>489213065</v>
      </c>
      <c r="N365" s="905">
        <v>565989042</v>
      </c>
      <c r="O365" s="909">
        <v>93353819</v>
      </c>
      <c r="P365" s="909">
        <v>493427189</v>
      </c>
      <c r="Q365" s="2999" t="s">
        <v>437</v>
      </c>
      <c r="R365" s="3001" t="s">
        <v>145</v>
      </c>
      <c r="S365" s="3003">
        <v>1</v>
      </c>
      <c r="T365" s="3656">
        <v>33428</v>
      </c>
      <c r="U365" s="3008" t="s">
        <v>438</v>
      </c>
      <c r="V365" s="3008" t="s">
        <v>118</v>
      </c>
      <c r="W365" s="2591">
        <f ca="1">YEARFRAC(T365,W$6)</f>
        <v>22.8</v>
      </c>
      <c r="X365" s="48"/>
    </row>
    <row r="366" spans="1:24" ht="12" customHeight="1">
      <c r="A366" s="48">
        <v>354</v>
      </c>
      <c r="B366" s="2121" t="s">
        <v>42</v>
      </c>
      <c r="C366" s="2122" t="s">
        <v>835</v>
      </c>
      <c r="D366" s="2123"/>
      <c r="E366" s="1125">
        <f>SUM(H366/H$11,I366/I$11,J366/J$11,K366/K$11,L366/L$11,M366/M$11,N366/N$11,O366/O$11,P366/P$11)/9*100</f>
        <v>194.13215506402253</v>
      </c>
      <c r="F366" s="3387"/>
      <c r="G366" s="2903"/>
      <c r="H366" s="907">
        <v>186099051</v>
      </c>
      <c r="I366" s="903">
        <v>606693437</v>
      </c>
      <c r="J366" s="903">
        <v>568483742</v>
      </c>
      <c r="K366" s="906">
        <v>430899690</v>
      </c>
      <c r="L366" s="903">
        <v>606186456</v>
      </c>
      <c r="M366" s="903">
        <v>492148797</v>
      </c>
      <c r="N366" s="903">
        <v>528035592</v>
      </c>
      <c r="O366" s="903">
        <v>82985191</v>
      </c>
      <c r="P366" s="903">
        <v>459677486</v>
      </c>
      <c r="Q366" s="2998" t="s">
        <v>833</v>
      </c>
      <c r="R366" s="3000" t="s">
        <v>145</v>
      </c>
      <c r="S366" s="3002">
        <v>1</v>
      </c>
      <c r="T366" s="3004">
        <v>32939</v>
      </c>
      <c r="U366" s="3006" t="s">
        <v>80</v>
      </c>
      <c r="V366" s="3006" t="s">
        <v>420</v>
      </c>
      <c r="W366" s="2592">
        <f ca="1">YEARFRAC(T366,W$6)</f>
        <v>24.138888888888889</v>
      </c>
      <c r="X366" s="48">
        <v>354</v>
      </c>
    </row>
    <row r="367" spans="1:24" ht="12" customHeight="1">
      <c r="B367" s="2124" t="s">
        <v>42</v>
      </c>
      <c r="C367" s="3294" t="s">
        <v>417</v>
      </c>
      <c r="D367" s="2992" t="s">
        <v>41</v>
      </c>
      <c r="E367" s="1125">
        <f>SUM(H367/H$11,I367/I$11,J367/J$11,K367/K$11,L367/L$11,M367/M$11,N367/N$11,O367/O$11,P367/P$11)/9*100</f>
        <v>194.36255757693453</v>
      </c>
      <c r="F367" s="3421"/>
      <c r="G367" s="3476"/>
      <c r="H367" s="876">
        <v>200898731</v>
      </c>
      <c r="I367" s="865">
        <v>564580202</v>
      </c>
      <c r="J367" s="865">
        <v>507971333</v>
      </c>
      <c r="K367" s="854">
        <v>424188867</v>
      </c>
      <c r="L367" s="854">
        <v>599527755</v>
      </c>
      <c r="M367" s="854">
        <v>486030792</v>
      </c>
      <c r="N367" s="854">
        <v>413503032</v>
      </c>
      <c r="O367" s="854">
        <v>102358782</v>
      </c>
      <c r="P367" s="854">
        <v>446910937</v>
      </c>
      <c r="Q367" s="3532" t="s">
        <v>418</v>
      </c>
      <c r="R367" s="3577" t="s">
        <v>145</v>
      </c>
      <c r="S367" s="3619">
        <v>1</v>
      </c>
      <c r="T367" s="3657">
        <v>33018</v>
      </c>
      <c r="U367" s="3686" t="s">
        <v>80</v>
      </c>
      <c r="V367" s="3686" t="s">
        <v>342</v>
      </c>
      <c r="W367" s="2571">
        <f ca="1">YEARFRAC(T367,W$6)</f>
        <v>23.922222222222221</v>
      </c>
    </row>
    <row r="368" spans="1:24" ht="12" customHeight="1">
      <c r="A368" s="48">
        <v>356</v>
      </c>
      <c r="B368" s="2113" t="s">
        <v>1431</v>
      </c>
      <c r="C368" s="2108" t="s">
        <v>841</v>
      </c>
      <c r="D368" s="2711" t="s">
        <v>41</v>
      </c>
      <c r="E368" s="1125">
        <f>SUM(H368/H$11,I368/I$11,J368/J$11,K368/K$11,L368/L$11,M368/M$11,N368/N$11,O368/O$11,P368/P$11)/9*100</f>
        <v>194.36431109218779</v>
      </c>
      <c r="F368" s="2128"/>
      <c r="G368" s="2129"/>
      <c r="H368" s="876">
        <v>195997345</v>
      </c>
      <c r="I368" s="865">
        <v>606682494</v>
      </c>
      <c r="J368" s="865">
        <v>566651000</v>
      </c>
      <c r="K368" s="865">
        <v>473731970</v>
      </c>
      <c r="L368" s="865">
        <v>609142979</v>
      </c>
      <c r="M368" s="865">
        <v>492148908</v>
      </c>
      <c r="N368" s="854">
        <v>506129491</v>
      </c>
      <c r="O368" s="865">
        <v>83488522</v>
      </c>
      <c r="P368" s="865">
        <v>426829760</v>
      </c>
      <c r="Q368" s="2555" t="s">
        <v>440</v>
      </c>
      <c r="R368" s="2556" t="s">
        <v>69</v>
      </c>
      <c r="S368" s="2557">
        <v>1</v>
      </c>
      <c r="T368" s="2575">
        <v>32509</v>
      </c>
      <c r="U368" s="2559" t="s">
        <v>80</v>
      </c>
      <c r="V368" s="2559" t="s">
        <v>420</v>
      </c>
      <c r="W368" s="2571">
        <f ca="1">YEARFRAC(T368,W$6)</f>
        <v>25.322222222222223</v>
      </c>
      <c r="X368" s="48">
        <v>356</v>
      </c>
    </row>
    <row r="369" spans="1:24" ht="12" customHeight="1">
      <c r="A369" s="48"/>
      <c r="B369" s="3230" t="s">
        <v>42</v>
      </c>
      <c r="C369" s="3027" t="s">
        <v>620</v>
      </c>
      <c r="D369" s="2710"/>
      <c r="E369" s="1125">
        <f>SUM(H369/H$11,I369/I$11,J369/J$11,K369/K$11,L369/L$11,M369/M$11,N369/N$11,O369/O$11,P369/P$11)/9*100</f>
        <v>195.58528485132254</v>
      </c>
      <c r="F369" s="3422"/>
      <c r="G369" s="3477"/>
      <c r="H369" s="904">
        <v>163454076</v>
      </c>
      <c r="I369" s="909">
        <v>632960932</v>
      </c>
      <c r="J369" s="909">
        <v>593170002</v>
      </c>
      <c r="K369" s="909">
        <v>525546879</v>
      </c>
      <c r="L369" s="909">
        <v>624158052</v>
      </c>
      <c r="M369" s="909">
        <v>516872723</v>
      </c>
      <c r="N369" s="905">
        <v>576797521</v>
      </c>
      <c r="O369" s="905">
        <v>67335329</v>
      </c>
      <c r="P369" s="909">
        <v>491295874</v>
      </c>
      <c r="Q369" s="2907" t="s">
        <v>619</v>
      </c>
      <c r="R369" s="2909" t="s">
        <v>69</v>
      </c>
      <c r="S369" s="2911">
        <v>1</v>
      </c>
      <c r="T369" s="2913">
        <v>35657</v>
      </c>
      <c r="U369" s="2916" t="s">
        <v>80</v>
      </c>
      <c r="V369" s="2916" t="s">
        <v>139</v>
      </c>
      <c r="W369" s="2591">
        <f ca="1">YEARFRAC(T369,W$6)</f>
        <v>16.7</v>
      </c>
      <c r="X369" s="48"/>
    </row>
    <row r="370" spans="1:24" ht="12" customHeight="1">
      <c r="A370" s="48">
        <v>358</v>
      </c>
      <c r="B370" s="2125" t="s">
        <v>42</v>
      </c>
      <c r="C370" s="3026" t="s">
        <v>449</v>
      </c>
      <c r="D370" s="2126"/>
      <c r="E370" s="1125">
        <f>SUM(H370/H$11,I370/I$11,J370/J$11,K370/K$11,L370/L$11,M370/M$11,N370/N$11,O370/O$11,P370/P$11)/9*100</f>
        <v>196.17568110779339</v>
      </c>
      <c r="F370" s="3035"/>
      <c r="G370" s="3039"/>
      <c r="H370" s="907">
        <v>167722116</v>
      </c>
      <c r="I370" s="906">
        <v>606131460</v>
      </c>
      <c r="J370" s="903">
        <v>572187758</v>
      </c>
      <c r="K370" s="903">
        <v>527015726</v>
      </c>
      <c r="L370" s="903">
        <v>635606772</v>
      </c>
      <c r="M370" s="903">
        <v>520887712</v>
      </c>
      <c r="N370" s="903">
        <v>536880618</v>
      </c>
      <c r="O370" s="903">
        <v>73496510</v>
      </c>
      <c r="P370" s="903">
        <v>495453892</v>
      </c>
      <c r="Q370" s="2998" t="s">
        <v>318</v>
      </c>
      <c r="R370" s="3000" t="s">
        <v>69</v>
      </c>
      <c r="S370" s="3002">
        <v>1</v>
      </c>
      <c r="T370" s="3004">
        <v>39317</v>
      </c>
      <c r="U370" s="3006" t="s">
        <v>319</v>
      </c>
      <c r="V370" s="3006" t="s">
        <v>450</v>
      </c>
      <c r="W370" s="2592">
        <f ca="1">YEARFRAC(T370,W$6)</f>
        <v>6.677777777777778</v>
      </c>
      <c r="X370" s="48">
        <v>358</v>
      </c>
    </row>
    <row r="371" spans="1:24" ht="12" customHeight="1">
      <c r="B371" s="2124" t="s">
        <v>42</v>
      </c>
      <c r="C371" s="2127" t="s">
        <v>857</v>
      </c>
      <c r="D371" s="2883"/>
      <c r="E371" s="1125">
        <f>SUM(H371/H$11,I371/I$11,J371/J$11,K371/K$11,L371/L$11,M371/M$11,N371/N$11,O371/O$11,P371/P$11)/9*100</f>
        <v>197.10762019339586</v>
      </c>
      <c r="F371" s="2135"/>
      <c r="G371" s="2134"/>
      <c r="H371" s="864">
        <v>169471045</v>
      </c>
      <c r="I371" s="854">
        <v>653153677</v>
      </c>
      <c r="J371" s="854">
        <v>594721458</v>
      </c>
      <c r="K371" s="854">
        <v>485710305</v>
      </c>
      <c r="L371" s="854">
        <v>658520037</v>
      </c>
      <c r="M371" s="854">
        <v>541971227</v>
      </c>
      <c r="N371" s="854">
        <v>523273961</v>
      </c>
      <c r="O371" s="854">
        <v>80157839</v>
      </c>
      <c r="P371" s="854">
        <v>460631104</v>
      </c>
      <c r="Q371" s="2566" t="s">
        <v>460</v>
      </c>
      <c r="R371" s="2567" t="s">
        <v>145</v>
      </c>
      <c r="S371" s="2568">
        <v>1</v>
      </c>
      <c r="T371" s="2569">
        <v>35891</v>
      </c>
      <c r="U371" s="2570" t="s">
        <v>80</v>
      </c>
      <c r="V371" s="2570" t="s">
        <v>856</v>
      </c>
      <c r="W371" s="2571">
        <f ca="1">YEARFRAC(T371,W$6)</f>
        <v>16.058333333333334</v>
      </c>
    </row>
    <row r="372" spans="1:24" ht="12" customHeight="1">
      <c r="A372" s="48">
        <v>360</v>
      </c>
      <c r="B372" s="3211" t="s">
        <v>42</v>
      </c>
      <c r="C372" s="3251" t="s">
        <v>459</v>
      </c>
      <c r="D372" s="3332" t="s">
        <v>41</v>
      </c>
      <c r="E372" s="2638">
        <f>SUM(H372/H$11,I372/I$11,J372/J$11,K372/K$11,L372/L$11,M372/M$11,N372/N$11,O372/O$11,P372/P$11)/9*100</f>
        <v>200.542221015721</v>
      </c>
      <c r="F372" s="3388"/>
      <c r="G372" s="3442"/>
      <c r="H372" s="876">
        <v>175805080</v>
      </c>
      <c r="I372" s="865">
        <v>669159559</v>
      </c>
      <c r="J372" s="865">
        <v>623802200</v>
      </c>
      <c r="K372" s="865">
        <v>482895498</v>
      </c>
      <c r="L372" s="865">
        <v>667582268</v>
      </c>
      <c r="M372" s="865">
        <v>548309361</v>
      </c>
      <c r="N372" s="854">
        <v>578394103</v>
      </c>
      <c r="O372" s="865">
        <v>79552772</v>
      </c>
      <c r="P372" s="865">
        <v>444855793</v>
      </c>
      <c r="Q372" s="3516" t="s">
        <v>460</v>
      </c>
      <c r="R372" s="3549" t="s">
        <v>145</v>
      </c>
      <c r="S372" s="3596">
        <v>1</v>
      </c>
      <c r="T372" s="3638">
        <v>32605</v>
      </c>
      <c r="U372" s="3671" t="s">
        <v>135</v>
      </c>
      <c r="V372" s="3671" t="s">
        <v>448</v>
      </c>
      <c r="W372" s="3702">
        <f ca="1">YEARFRAC(T372,W$6)</f>
        <v>25.055555555555557</v>
      </c>
      <c r="X372" s="48">
        <v>360</v>
      </c>
    </row>
    <row r="373" spans="1:24" ht="12" customHeight="1">
      <c r="B373" s="2084" t="s">
        <v>42</v>
      </c>
      <c r="C373" s="3295" t="s">
        <v>1779</v>
      </c>
      <c r="D373" s="3361"/>
      <c r="E373" s="1125">
        <f>SUM(H373/H$11,I373/I$11,J373/J$11,K373/K$11,L373/L$11,M373/M$11,N373/N$11,O373/O$11,P373/P$11)/9*100</f>
        <v>200.92423038126191</v>
      </c>
      <c r="F373" s="3034"/>
      <c r="G373" s="2103"/>
      <c r="H373" s="905">
        <v>182509000</v>
      </c>
      <c r="I373" s="905">
        <v>618039712</v>
      </c>
      <c r="J373" s="905">
        <v>579734173</v>
      </c>
      <c r="K373" s="905">
        <v>501298621</v>
      </c>
      <c r="L373" s="905">
        <v>612504017</v>
      </c>
      <c r="M373" s="905">
        <v>503418867</v>
      </c>
      <c r="N373" s="905">
        <v>563012167</v>
      </c>
      <c r="O373" s="905">
        <v>79706045</v>
      </c>
      <c r="P373" s="905">
        <v>501362569</v>
      </c>
      <c r="Q373" s="2599" t="s">
        <v>451</v>
      </c>
      <c r="R373" s="2600" t="s">
        <v>69</v>
      </c>
      <c r="S373" s="2601">
        <v>1</v>
      </c>
      <c r="T373" s="2602">
        <v>39249</v>
      </c>
      <c r="U373" s="2603" t="s">
        <v>452</v>
      </c>
      <c r="V373" s="2603" t="s">
        <v>453</v>
      </c>
      <c r="W373" s="2604">
        <f ca="1">YEARFRAC(T373,W$6)</f>
        <v>6.8638888888888889</v>
      </c>
    </row>
    <row r="374" spans="1:24" ht="12" customHeight="1">
      <c r="A374" s="48">
        <v>362</v>
      </c>
      <c r="B374" s="2082" t="s">
        <v>42</v>
      </c>
      <c r="C374" s="3252" t="s">
        <v>1573</v>
      </c>
      <c r="D374" s="2078" t="s">
        <v>41</v>
      </c>
      <c r="E374" s="1125">
        <f>SUM(H374/H$11,I374/I$11,J374/J$11,K374/K$11,L374/L$11,M374/M$11,N374/N$11,O374/O$11,P374/P$11)/9*100</f>
        <v>201.03393241132048</v>
      </c>
      <c r="F374" s="3033">
        <f>1.65+4.8+5.1+4.4+3.59+2.9+4.2+0.81+5.57</f>
        <v>33.019999999999996</v>
      </c>
      <c r="G374" s="3038"/>
      <c r="H374" s="907">
        <v>185110742</v>
      </c>
      <c r="I374" s="903">
        <v>606693376</v>
      </c>
      <c r="J374" s="903">
        <v>576448577</v>
      </c>
      <c r="K374" s="903">
        <v>493734416</v>
      </c>
      <c r="L374" s="903">
        <v>612988659</v>
      </c>
      <c r="M374" s="903">
        <v>503004656</v>
      </c>
      <c r="N374" s="903">
        <v>554449110</v>
      </c>
      <c r="O374" s="903">
        <v>82159471</v>
      </c>
      <c r="P374" s="903">
        <v>500269404</v>
      </c>
      <c r="Q374" s="2605" t="s">
        <v>932</v>
      </c>
      <c r="R374" s="2606" t="s">
        <v>69</v>
      </c>
      <c r="S374" s="2607">
        <v>1</v>
      </c>
      <c r="T374" s="3048">
        <v>40627</v>
      </c>
      <c r="U374" s="2608" t="s">
        <v>77</v>
      </c>
      <c r="V374" s="2608" t="s">
        <v>1890</v>
      </c>
      <c r="W374" s="2609">
        <f ca="1">YEARFRAC(T374,W$6)</f>
        <v>3.088888888888889</v>
      </c>
      <c r="X374" s="48">
        <v>362</v>
      </c>
    </row>
    <row r="375" spans="1:24" ht="12" customHeight="1">
      <c r="B375" s="2079" t="s">
        <v>42</v>
      </c>
      <c r="C375" s="2083" t="s">
        <v>1162</v>
      </c>
      <c r="D375" s="2085"/>
      <c r="E375" s="1125">
        <f>SUM(H375/H$11,I375/I$11,J375/J$11,K375/K$11,L375/L$11,M375/M$11,N375/N$11,O375/O$11,P375/P$11)/9*100</f>
        <v>201.67854221586134</v>
      </c>
      <c r="F375" s="2105"/>
      <c r="G375" s="2100"/>
      <c r="H375" s="876">
        <v>177363765</v>
      </c>
      <c r="I375" s="865">
        <v>669210135</v>
      </c>
      <c r="J375" s="865">
        <v>623873081</v>
      </c>
      <c r="K375" s="865">
        <v>483379781</v>
      </c>
      <c r="L375" s="865">
        <v>667753166</v>
      </c>
      <c r="M375" s="865">
        <v>548340419</v>
      </c>
      <c r="N375" s="854">
        <v>578899995</v>
      </c>
      <c r="O375" s="865">
        <v>81082678</v>
      </c>
      <c r="P375" s="865">
        <v>448598374</v>
      </c>
      <c r="Q375" s="2610" t="s">
        <v>461</v>
      </c>
      <c r="R375" s="2611" t="s">
        <v>145</v>
      </c>
      <c r="S375" s="2612">
        <v>1</v>
      </c>
      <c r="T375" s="2613">
        <v>33686</v>
      </c>
      <c r="U375" s="2614" t="s">
        <v>80</v>
      </c>
      <c r="V375" s="2614" t="s">
        <v>118</v>
      </c>
      <c r="W375" s="2598">
        <f ca="1">YEARFRAC(T375,W$6)</f>
        <v>22.094444444444445</v>
      </c>
    </row>
    <row r="376" spans="1:24" ht="12" customHeight="1">
      <c r="A376" s="48">
        <v>364</v>
      </c>
      <c r="B376" s="2092" t="s">
        <v>1431</v>
      </c>
      <c r="C376" s="2076" t="s">
        <v>441</v>
      </c>
      <c r="D376" s="2080" t="s">
        <v>41</v>
      </c>
      <c r="E376" s="1125">
        <f>SUM(H376/H$11,I376/I$11,J376/J$11,K376/K$11,L376/L$11,M376/M$11,N376/N$11,O376/O$11,P376/P$11)/9*100</f>
        <v>203.31665071769973</v>
      </c>
      <c r="F376" s="2105"/>
      <c r="G376" s="2100"/>
      <c r="H376" s="876">
        <v>194011924</v>
      </c>
      <c r="I376" s="865">
        <v>598846606</v>
      </c>
      <c r="J376" s="865">
        <v>543634744</v>
      </c>
      <c r="K376" s="865">
        <v>513493911</v>
      </c>
      <c r="L376" s="865">
        <v>609160720</v>
      </c>
      <c r="M376" s="865">
        <v>492148757</v>
      </c>
      <c r="N376" s="854">
        <v>475241310</v>
      </c>
      <c r="O376" s="865">
        <v>92929403</v>
      </c>
      <c r="P376" s="865">
        <v>511756379</v>
      </c>
      <c r="Q376" s="2610" t="s">
        <v>442</v>
      </c>
      <c r="R376" s="2611" t="s">
        <v>69</v>
      </c>
      <c r="S376" s="2612">
        <v>1</v>
      </c>
      <c r="T376" s="2613">
        <v>38883</v>
      </c>
      <c r="U376" s="2614" t="s">
        <v>206</v>
      </c>
      <c r="V376" s="2614" t="s">
        <v>443</v>
      </c>
      <c r="W376" s="2598">
        <f ca="1">YEARFRAC(T376,W$6)</f>
        <v>7.8666666666666663</v>
      </c>
      <c r="X376" s="48">
        <v>364</v>
      </c>
    </row>
    <row r="377" spans="1:24" ht="12" customHeight="1">
      <c r="B377" s="2084" t="s">
        <v>42</v>
      </c>
      <c r="C377" s="3296" t="s">
        <v>1657</v>
      </c>
      <c r="D377" s="2086" t="s">
        <v>41</v>
      </c>
      <c r="E377" s="1125">
        <f>SUM(H377/H$11,I377/I$11,J377/J$11,K377/K$11,L377/L$11,M377/M$11,N377/N$11,O377/O$11,P377/P$11)/9*100</f>
        <v>204.55549183648321</v>
      </c>
      <c r="F377" s="2097"/>
      <c r="G377" s="2098"/>
      <c r="H377" s="912">
        <v>182697688</v>
      </c>
      <c r="I377" s="909">
        <v>797075030</v>
      </c>
      <c r="J377" s="909">
        <v>717363180</v>
      </c>
      <c r="K377" s="909">
        <v>477446426</v>
      </c>
      <c r="L377" s="909">
        <v>853203820</v>
      </c>
      <c r="M377" s="909">
        <v>697759152</v>
      </c>
      <c r="N377" s="905">
        <v>573233260</v>
      </c>
      <c r="O377" s="909">
        <v>65452242</v>
      </c>
      <c r="P377" s="909">
        <v>366196150</v>
      </c>
      <c r="Q377" s="2615" t="s">
        <v>477</v>
      </c>
      <c r="R377" s="2616" t="s">
        <v>69</v>
      </c>
      <c r="S377" s="2617">
        <v>1</v>
      </c>
      <c r="T377" s="2618">
        <v>39486</v>
      </c>
      <c r="U377" s="2619" t="s">
        <v>75</v>
      </c>
      <c r="V377" s="2619" t="s">
        <v>478</v>
      </c>
      <c r="W377" s="2604">
        <f ca="1">YEARFRAC(T377,W$6)</f>
        <v>6.2194444444444441</v>
      </c>
    </row>
    <row r="378" spans="1:24" ht="12" customHeight="1">
      <c r="A378" s="48">
        <v>366</v>
      </c>
      <c r="B378" s="3021" t="s">
        <v>1431</v>
      </c>
      <c r="C378" s="2088" t="s">
        <v>838</v>
      </c>
      <c r="D378" s="2078" t="s">
        <v>41</v>
      </c>
      <c r="E378" s="1125">
        <f>SUM(H378/H$11,I378/I$11,J378/J$11,K378/K$11,L378/L$11,M378/M$11,N378/N$11,O378/O$11,P378/P$11)/9*100</f>
        <v>205.47939807125184</v>
      </c>
      <c r="F378" s="2104"/>
      <c r="G378" s="2099"/>
      <c r="H378" s="902">
        <v>192652890</v>
      </c>
      <c r="I378" s="906">
        <v>599488964</v>
      </c>
      <c r="J378" s="906">
        <v>566221133</v>
      </c>
      <c r="K378" s="906">
        <v>465607781</v>
      </c>
      <c r="L378" s="906">
        <v>597441146</v>
      </c>
      <c r="M378" s="906">
        <v>490637404</v>
      </c>
      <c r="N378" s="903">
        <v>548036321</v>
      </c>
      <c r="O378" s="906">
        <v>92845282</v>
      </c>
      <c r="P378" s="906">
        <v>526115123</v>
      </c>
      <c r="Q378" s="2620" t="s">
        <v>440</v>
      </c>
      <c r="R378" s="2621" t="s">
        <v>69</v>
      </c>
      <c r="S378" s="2622">
        <v>1</v>
      </c>
      <c r="T378" s="2623">
        <v>32509</v>
      </c>
      <c r="U378" s="2624" t="s">
        <v>80</v>
      </c>
      <c r="V378" s="2624" t="s">
        <v>454</v>
      </c>
      <c r="W378" s="2609">
        <f ca="1">YEARFRAC(T378,W$6)</f>
        <v>25.322222222222223</v>
      </c>
      <c r="X378" s="48">
        <v>366</v>
      </c>
    </row>
    <row r="379" spans="1:24" ht="12" customHeight="1">
      <c r="B379" s="2079" t="s">
        <v>42</v>
      </c>
      <c r="C379" s="2083" t="s">
        <v>858</v>
      </c>
      <c r="D379" s="2085"/>
      <c r="E379" s="1125">
        <f>SUM(H379/H$11,I379/I$11,J379/J$11,K379/K$11,L379/L$11,M379/M$11,N379/N$11,O379/O$11,P379/P$11)/9*100</f>
        <v>206.41524518598348</v>
      </c>
      <c r="F379" s="2101"/>
      <c r="G379" s="2102"/>
      <c r="H379" s="876">
        <v>200830698</v>
      </c>
      <c r="I379" s="865">
        <v>606693432</v>
      </c>
      <c r="J379" s="865">
        <v>577854520</v>
      </c>
      <c r="K379" s="2021">
        <v>519912738</v>
      </c>
      <c r="L379" s="865">
        <v>609161784</v>
      </c>
      <c r="M379" s="2021">
        <v>492148792</v>
      </c>
      <c r="N379" s="854">
        <v>575376796</v>
      </c>
      <c r="O379" s="865">
        <v>90643506</v>
      </c>
      <c r="P379" s="865">
        <v>474676462</v>
      </c>
      <c r="Q379" s="2593" t="s">
        <v>859</v>
      </c>
      <c r="R379" s="2594" t="s">
        <v>145</v>
      </c>
      <c r="S379" s="2595">
        <v>1</v>
      </c>
      <c r="T379" s="3658">
        <v>36212</v>
      </c>
      <c r="U379" s="2597" t="s">
        <v>75</v>
      </c>
      <c r="V379" s="2597" t="s">
        <v>314</v>
      </c>
      <c r="W379" s="2598">
        <f ca="1">YEARFRAC(T379,W$6)</f>
        <v>15.183333333333334</v>
      </c>
    </row>
    <row r="380" spans="1:24" ht="12" customHeight="1">
      <c r="A380" s="48">
        <v>368</v>
      </c>
      <c r="B380" s="2092" t="s">
        <v>1431</v>
      </c>
      <c r="C380" s="2083" t="s">
        <v>1754</v>
      </c>
      <c r="D380" s="3333"/>
      <c r="E380" s="1125">
        <f>SUM(H380/H$11,I380/I$11,J380/J$11,K380/K$11,L380/L$11,M380/M$11,N380/N$11,O380/O$11,P380/P$11)/9*100</f>
        <v>206.98300485760495</v>
      </c>
      <c r="F380" s="2105"/>
      <c r="G380" s="2100"/>
      <c r="H380" s="876">
        <v>201310872</v>
      </c>
      <c r="I380" s="865">
        <v>606693486</v>
      </c>
      <c r="J380" s="865">
        <v>577854572</v>
      </c>
      <c r="K380" s="865">
        <v>515061428</v>
      </c>
      <c r="L380" s="865">
        <v>609160812</v>
      </c>
      <c r="M380" s="865">
        <v>492148854</v>
      </c>
      <c r="N380" s="854">
        <v>556782402</v>
      </c>
      <c r="O380" s="865">
        <v>87405414</v>
      </c>
      <c r="P380" s="865">
        <v>510258945</v>
      </c>
      <c r="Q380" s="2610" t="s">
        <v>120</v>
      </c>
      <c r="R380" s="2611" t="s">
        <v>145</v>
      </c>
      <c r="S380" s="2612">
        <v>1</v>
      </c>
      <c r="T380" s="2613">
        <v>32947</v>
      </c>
      <c r="U380" s="2614" t="s">
        <v>80</v>
      </c>
      <c r="V380" s="2614" t="s">
        <v>458</v>
      </c>
      <c r="W380" s="2598">
        <f ca="1">YEARFRAC(T380,W$6)</f>
        <v>24.116666666666667</v>
      </c>
      <c r="X380" s="48">
        <v>368</v>
      </c>
    </row>
    <row r="381" spans="1:24" ht="12" customHeight="1">
      <c r="B381" s="2084" t="s">
        <v>42</v>
      </c>
      <c r="C381" s="3297" t="s">
        <v>1755</v>
      </c>
      <c r="D381" s="2086" t="s">
        <v>41</v>
      </c>
      <c r="E381" s="1125">
        <f>SUM(H381/H$11,I381/I$11,J381/J$11,K381/K$11,L381/L$11,M381/M$11,N381/N$11,O381/O$11,P381/P$11)/9*100</f>
        <v>208.06477843770358</v>
      </c>
      <c r="F381" s="3423">
        <f>148+199+0+404+478+388+486+112+519</f>
        <v>2734</v>
      </c>
      <c r="G381" s="2103"/>
      <c r="H381" s="904">
        <v>195520307</v>
      </c>
      <c r="I381" s="905">
        <v>726341326</v>
      </c>
      <c r="J381" s="905">
        <v>655544695</v>
      </c>
      <c r="K381" s="909">
        <v>467983771</v>
      </c>
      <c r="L381" s="909">
        <v>803439653</v>
      </c>
      <c r="M381" s="905">
        <v>653907317</v>
      </c>
      <c r="N381" s="905">
        <v>505757221</v>
      </c>
      <c r="O381" s="905">
        <v>83058263</v>
      </c>
      <c r="P381" s="905">
        <v>423769057</v>
      </c>
      <c r="Q381" s="2615" t="s">
        <v>1166</v>
      </c>
      <c r="R381" s="2616" t="s">
        <v>145</v>
      </c>
      <c r="S381" s="2617">
        <v>1</v>
      </c>
      <c r="T381" s="2602">
        <v>34150</v>
      </c>
      <c r="U381" s="3687" t="s">
        <v>117</v>
      </c>
      <c r="V381" s="3687" t="s">
        <v>420</v>
      </c>
      <c r="W381" s="2604">
        <f ca="1">YEARFRAC(T381,W$6)</f>
        <v>20.824999999999999</v>
      </c>
    </row>
    <row r="382" spans="1:24" ht="12" customHeight="1">
      <c r="A382" s="48">
        <v>370</v>
      </c>
      <c r="B382" s="3212" t="s">
        <v>42</v>
      </c>
      <c r="C382" s="2959" t="s">
        <v>1612</v>
      </c>
      <c r="D382" s="2078" t="s">
        <v>41</v>
      </c>
      <c r="E382" s="1125">
        <f>SUM(H382/H$11,I382/I$11,J382/J$11,K382/K$11,L382/L$11,M382/M$11,N382/N$11,O382/O$11,P382/P$11)/9*100</f>
        <v>208.29904058559362</v>
      </c>
      <c r="F382" s="3033">
        <f>1607+1269+1298+2986+1190+950+2091+982+4224</f>
        <v>16597</v>
      </c>
      <c r="G382" s="2106"/>
      <c r="H382" s="907">
        <v>133035184</v>
      </c>
      <c r="I382" s="906">
        <v>606681892</v>
      </c>
      <c r="J382" s="903">
        <v>529145911</v>
      </c>
      <c r="K382" s="903">
        <v>379711111</v>
      </c>
      <c r="L382" s="903">
        <v>609139052</v>
      </c>
      <c r="M382" s="903">
        <v>487741695</v>
      </c>
      <c r="N382" s="903">
        <v>440331541</v>
      </c>
      <c r="O382" s="903">
        <v>53861065</v>
      </c>
      <c r="P382" s="903">
        <v>1000000000</v>
      </c>
      <c r="Q382" s="2605" t="s">
        <v>336</v>
      </c>
      <c r="R382" s="2606" t="s">
        <v>69</v>
      </c>
      <c r="S382" s="2607">
        <v>1</v>
      </c>
      <c r="T382" s="3048">
        <v>41335</v>
      </c>
      <c r="U382" s="2608" t="s">
        <v>1613</v>
      </c>
      <c r="V382" s="2608" t="s">
        <v>864</v>
      </c>
      <c r="W382" s="2609">
        <f ca="1">YEARFRAC(T382,W$6)</f>
        <v>1.1527777777777777</v>
      </c>
      <c r="X382" s="48">
        <v>370</v>
      </c>
    </row>
    <row r="383" spans="1:24" ht="12" customHeight="1">
      <c r="B383" s="991" t="s">
        <v>42</v>
      </c>
      <c r="C383" s="3288" t="s">
        <v>462</v>
      </c>
      <c r="D383" s="3337"/>
      <c r="E383" s="1142">
        <f>SUM(H383/H$11,I383/I$11,J383/J$11,K383/K$11,L383/L$11,M383/M$11,N383/N$11,O383/O$11,P383/P$11)/9*100</f>
        <v>209.10908977446914</v>
      </c>
      <c r="F383" s="3392"/>
      <c r="G383" s="3445"/>
      <c r="H383" s="876">
        <v>204122002</v>
      </c>
      <c r="I383" s="865">
        <v>606693498</v>
      </c>
      <c r="J383" s="865">
        <v>577854586</v>
      </c>
      <c r="K383" s="865">
        <v>523659439</v>
      </c>
      <c r="L383" s="865">
        <v>609160704</v>
      </c>
      <c r="M383" s="865">
        <v>492148856</v>
      </c>
      <c r="N383" s="854">
        <v>565988995</v>
      </c>
      <c r="O383" s="865">
        <v>93405621</v>
      </c>
      <c r="P383" s="865">
        <v>493427142</v>
      </c>
      <c r="Q383" s="3518" t="s">
        <v>463</v>
      </c>
      <c r="R383" s="3553" t="s">
        <v>145</v>
      </c>
      <c r="S383" s="3598">
        <v>1</v>
      </c>
      <c r="T383" s="3640">
        <v>32439</v>
      </c>
      <c r="U383" s="3673" t="s">
        <v>464</v>
      </c>
      <c r="V383" s="3673" t="s">
        <v>420</v>
      </c>
      <c r="W383" s="1058">
        <f ca="1">YEARFRAC(T383,W$6)</f>
        <v>25.511111111111113</v>
      </c>
    </row>
    <row r="384" spans="1:24" ht="12" customHeight="1">
      <c r="A384" s="48">
        <v>372</v>
      </c>
      <c r="B384" s="2079" t="s">
        <v>42</v>
      </c>
      <c r="C384" s="2076" t="s">
        <v>1392</v>
      </c>
      <c r="D384" s="2080" t="s">
        <v>41</v>
      </c>
      <c r="E384" s="1125">
        <f>SUM(H384/H$11,I384/I$11,J384/J$11,K384/K$11,L384/L$11,M384/M$11,N384/N$11,O384/O$11,P384/P$11)/9*100</f>
        <v>213.03702645472251</v>
      </c>
      <c r="F384" s="2095">
        <f>27+3+0+143+4+2+60+40+209</f>
        <v>488</v>
      </c>
      <c r="G384" s="2096"/>
      <c r="H384" s="864">
        <v>230895612</v>
      </c>
      <c r="I384" s="854">
        <v>601090493</v>
      </c>
      <c r="J384" s="854">
        <v>568252891</v>
      </c>
      <c r="K384" s="854">
        <v>467001226</v>
      </c>
      <c r="L384" s="854">
        <v>599506436</v>
      </c>
      <c r="M384" s="854">
        <v>491869659</v>
      </c>
      <c r="N384" s="854">
        <v>560257802</v>
      </c>
      <c r="O384" s="854">
        <v>93575542</v>
      </c>
      <c r="P384" s="854">
        <v>530436638</v>
      </c>
      <c r="Q384" s="2593" t="s">
        <v>1390</v>
      </c>
      <c r="R384" s="3550" t="s">
        <v>69</v>
      </c>
      <c r="S384" s="2595">
        <v>1</v>
      </c>
      <c r="T384" s="2596">
        <v>40221</v>
      </c>
      <c r="U384" s="2625" t="s">
        <v>117</v>
      </c>
      <c r="V384" s="2597" t="s">
        <v>1391</v>
      </c>
      <c r="W384" s="2598">
        <f ca="1">YEARFRAC(T384,W$6)</f>
        <v>4.208333333333333</v>
      </c>
      <c r="X384" s="48">
        <v>372</v>
      </c>
    </row>
    <row r="385" spans="1:24" ht="12" customHeight="1">
      <c r="B385" s="2077" t="s">
        <v>42</v>
      </c>
      <c r="C385" s="3025" t="s">
        <v>837</v>
      </c>
      <c r="D385" s="2086"/>
      <c r="E385" s="1125">
        <f>SUM(H385/H$11,I385/I$11,J385/J$11,K385/K$11,L385/L$11,M385/M$11,N385/N$11,O385/O$11,P385/P$11)/9*100</f>
        <v>213.93501511811755</v>
      </c>
      <c r="F385" s="3423"/>
      <c r="G385" s="2103"/>
      <c r="H385" s="904">
        <v>206235519</v>
      </c>
      <c r="I385" s="905">
        <v>606693441</v>
      </c>
      <c r="J385" s="905">
        <v>577854528</v>
      </c>
      <c r="K385" s="909">
        <v>530518796</v>
      </c>
      <c r="L385" s="905">
        <v>609161757</v>
      </c>
      <c r="M385" s="905">
        <v>492148770</v>
      </c>
      <c r="N385" s="905">
        <v>575127899</v>
      </c>
      <c r="O385" s="905">
        <v>97988096</v>
      </c>
      <c r="P385" s="905">
        <v>522334609</v>
      </c>
      <c r="Q385" s="2599" t="s">
        <v>836</v>
      </c>
      <c r="R385" s="2600" t="s">
        <v>145</v>
      </c>
      <c r="S385" s="2601">
        <v>1</v>
      </c>
      <c r="T385" s="2602">
        <v>34820</v>
      </c>
      <c r="U385" s="2603" t="s">
        <v>464</v>
      </c>
      <c r="V385" s="2603" t="s">
        <v>556</v>
      </c>
      <c r="W385" s="2604">
        <f ca="1">YEARFRAC(T385,W$6)</f>
        <v>18.988888888888887</v>
      </c>
    </row>
    <row r="386" spans="1:24" ht="12" customHeight="1">
      <c r="A386" s="48">
        <v>374</v>
      </c>
      <c r="B386" s="3212" t="s">
        <v>42</v>
      </c>
      <c r="C386" s="3253" t="s">
        <v>466</v>
      </c>
      <c r="D386" s="3334"/>
      <c r="E386" s="1125">
        <f>SUM(H386/H$11,I386/I$11,J386/J$11,K386/K$11,L386/L$11,M386/M$11,N386/N$11,O386/O$11,P386/P$11)/9*100</f>
        <v>214.19946624937145</v>
      </c>
      <c r="F386" s="2104"/>
      <c r="G386" s="2099"/>
      <c r="H386" s="906">
        <v>197444817</v>
      </c>
      <c r="I386" s="906">
        <v>601356054</v>
      </c>
      <c r="J386" s="906">
        <v>575341901</v>
      </c>
      <c r="K386" s="906">
        <v>528530777</v>
      </c>
      <c r="L386" s="906">
        <v>598375281</v>
      </c>
      <c r="M386" s="906">
        <v>491269047</v>
      </c>
      <c r="N386" s="903">
        <v>579447071</v>
      </c>
      <c r="O386" s="906">
        <v>95096822</v>
      </c>
      <c r="P386" s="906">
        <v>564587326</v>
      </c>
      <c r="Q386" s="2620" t="s">
        <v>467</v>
      </c>
      <c r="R386" s="2621" t="s">
        <v>145</v>
      </c>
      <c r="S386" s="2622">
        <v>1</v>
      </c>
      <c r="T386" s="2623">
        <v>36240</v>
      </c>
      <c r="U386" s="2624" t="s">
        <v>319</v>
      </c>
      <c r="V386" s="2624" t="s">
        <v>468</v>
      </c>
      <c r="W386" s="2609">
        <f ca="1">YEARFRAC(T386,W$6)</f>
        <v>15.1</v>
      </c>
      <c r="X386" s="48">
        <v>374</v>
      </c>
    </row>
    <row r="387" spans="1:24" ht="12" customHeight="1">
      <c r="A387" s="48"/>
      <c r="B387" s="2073" t="s">
        <v>1431</v>
      </c>
      <c r="C387" s="2081" t="s">
        <v>839</v>
      </c>
      <c r="D387" s="2080" t="s">
        <v>41</v>
      </c>
      <c r="E387" s="1125">
        <f>SUM(H387/H$11,I387/I$11,J387/J$11,K387/K$11,L387/L$11,M387/M$11,N387/N$11,O387/O$11,P387/P$11)/9*100</f>
        <v>215.18824756128078</v>
      </c>
      <c r="F387" s="2105"/>
      <c r="G387" s="2100"/>
      <c r="H387" s="876">
        <v>200909716</v>
      </c>
      <c r="I387" s="865">
        <v>600072429</v>
      </c>
      <c r="J387" s="865">
        <v>566771540</v>
      </c>
      <c r="K387" s="865">
        <v>489626559</v>
      </c>
      <c r="L387" s="865">
        <v>597903563</v>
      </c>
      <c r="M387" s="865">
        <v>490803380</v>
      </c>
      <c r="N387" s="854">
        <v>552448788</v>
      </c>
      <c r="O387" s="865">
        <v>103774973</v>
      </c>
      <c r="P387" s="865">
        <v>568714981</v>
      </c>
      <c r="Q387" s="2610" t="s">
        <v>440</v>
      </c>
      <c r="R387" s="2611" t="s">
        <v>69</v>
      </c>
      <c r="S387" s="2612">
        <v>1</v>
      </c>
      <c r="T387" s="2613">
        <v>32509</v>
      </c>
      <c r="U387" s="2614" t="s">
        <v>80</v>
      </c>
      <c r="V387" s="2614" t="s">
        <v>465</v>
      </c>
      <c r="W387" s="2598">
        <f ca="1">YEARFRAC(T387,W$6)</f>
        <v>25.322222222222223</v>
      </c>
      <c r="X387" s="48"/>
    </row>
    <row r="388" spans="1:24" ht="12" customHeight="1">
      <c r="A388" s="48">
        <v>376</v>
      </c>
      <c r="B388" s="2079" t="s">
        <v>42</v>
      </c>
      <c r="C388" s="3254" t="s">
        <v>469</v>
      </c>
      <c r="D388" s="2080" t="s">
        <v>41</v>
      </c>
      <c r="E388" s="1125">
        <f>SUM(H388/H$11,I388/I$11,J388/J$11,K388/K$11,L388/L$11,M388/M$11,N388/N$11,O388/O$11,P388/P$11)/9*100</f>
        <v>215.92621259703023</v>
      </c>
      <c r="F388" s="2101"/>
      <c r="G388" s="2102"/>
      <c r="H388" s="876">
        <v>197858304</v>
      </c>
      <c r="I388" s="865">
        <v>601071104</v>
      </c>
      <c r="J388" s="865">
        <v>573760000</v>
      </c>
      <c r="K388" s="865">
        <v>536207680</v>
      </c>
      <c r="L388" s="865">
        <v>597608960</v>
      </c>
      <c r="M388" s="865">
        <v>490857984</v>
      </c>
      <c r="N388" s="908">
        <v>573739520</v>
      </c>
      <c r="O388" s="865">
        <v>97385984</v>
      </c>
      <c r="P388" s="865">
        <v>575679488</v>
      </c>
      <c r="Q388" s="2593" t="s">
        <v>470</v>
      </c>
      <c r="R388" s="2594" t="s">
        <v>145</v>
      </c>
      <c r="S388" s="2595">
        <v>1</v>
      </c>
      <c r="T388" s="2596">
        <v>33895</v>
      </c>
      <c r="U388" s="2597" t="s">
        <v>80</v>
      </c>
      <c r="V388" s="2597" t="s">
        <v>471</v>
      </c>
      <c r="W388" s="2598">
        <f ca="1">YEARFRAC(T388,W$6)</f>
        <v>21.524999999999999</v>
      </c>
      <c r="X388" s="48">
        <v>376</v>
      </c>
    </row>
    <row r="389" spans="1:24" ht="12" customHeight="1">
      <c r="A389" s="48"/>
      <c r="B389" s="2077" t="s">
        <v>42</v>
      </c>
      <c r="C389" s="3298" t="s">
        <v>473</v>
      </c>
      <c r="D389" s="2086" t="s">
        <v>41</v>
      </c>
      <c r="E389" s="1125">
        <f>SUM(H389/H$11,I389/I$11,J389/J$11,K389/K$11,L389/L$11,M389/M$11,N389/N$11,O389/O$11,P389/P$11)/9*100</f>
        <v>216.10762177357083</v>
      </c>
      <c r="F389" s="2097"/>
      <c r="G389" s="2098"/>
      <c r="H389" s="912">
        <v>199571542</v>
      </c>
      <c r="I389" s="909">
        <v>681373285</v>
      </c>
      <c r="J389" s="909">
        <v>603277109</v>
      </c>
      <c r="K389" s="909">
        <v>498362339</v>
      </c>
      <c r="L389" s="909">
        <v>716031334</v>
      </c>
      <c r="M389" s="909">
        <v>586158474</v>
      </c>
      <c r="N389" s="910">
        <v>504918639</v>
      </c>
      <c r="O389" s="909">
        <v>101283585</v>
      </c>
      <c r="P389" s="909">
        <v>503408283</v>
      </c>
      <c r="Q389" s="2615" t="s">
        <v>474</v>
      </c>
      <c r="R389" s="2616" t="s">
        <v>145</v>
      </c>
      <c r="S389" s="2617">
        <v>1</v>
      </c>
      <c r="T389" s="2618">
        <v>32610</v>
      </c>
      <c r="U389" s="2619" t="s">
        <v>135</v>
      </c>
      <c r="V389" s="2619" t="s">
        <v>475</v>
      </c>
      <c r="W389" s="2604">
        <f ca="1">YEARFRAC(T389,W$6)</f>
        <v>25.041666666666668</v>
      </c>
      <c r="X389" s="48"/>
    </row>
    <row r="390" spans="1:24" ht="12" customHeight="1">
      <c r="A390" s="48">
        <v>378</v>
      </c>
      <c r="B390" s="2082" t="s">
        <v>42</v>
      </c>
      <c r="C390" s="2959" t="s">
        <v>1822</v>
      </c>
      <c r="D390" s="2078" t="s">
        <v>41</v>
      </c>
      <c r="E390" s="1125">
        <f>SUM(H390/H$11,I390/I$11,J390/J$11,K390/K$11,L390/L$11,M390/M$11,N390/N$11,O390/O$11,P390/P$11)/9*100</f>
        <v>216.47972140937674</v>
      </c>
      <c r="F390" s="3033">
        <f>10.5+29.4+17+23.1+29.9+20.4+30.1+3.1+26.4</f>
        <v>189.9</v>
      </c>
      <c r="G390" s="2106"/>
      <c r="H390" s="907">
        <v>215032464</v>
      </c>
      <c r="I390" s="903">
        <v>603177518</v>
      </c>
      <c r="J390" s="903">
        <v>567965222</v>
      </c>
      <c r="K390" s="903">
        <v>479666248</v>
      </c>
      <c r="L390" s="903">
        <v>602049860</v>
      </c>
      <c r="M390" s="903">
        <v>491790752</v>
      </c>
      <c r="N390" s="911">
        <v>550634498</v>
      </c>
      <c r="O390" s="903">
        <v>106248148</v>
      </c>
      <c r="P390" s="903">
        <v>546406448</v>
      </c>
      <c r="Q390" s="2605" t="s">
        <v>1823</v>
      </c>
      <c r="R390" s="3551" t="s">
        <v>65</v>
      </c>
      <c r="S390" s="2607">
        <v>1</v>
      </c>
      <c r="T390" s="3048">
        <v>41487</v>
      </c>
      <c r="U390" s="3050" t="s">
        <v>117</v>
      </c>
      <c r="V390" s="2608" t="s">
        <v>1821</v>
      </c>
      <c r="W390" s="2609">
        <f ca="1">YEARFRAC(T390,W$6)</f>
        <v>0.73888888888888893</v>
      </c>
      <c r="X390" s="48">
        <v>378</v>
      </c>
    </row>
    <row r="391" spans="1:24" ht="12" customHeight="1">
      <c r="A391" s="48"/>
      <c r="B391" s="3020" t="s">
        <v>42</v>
      </c>
      <c r="C391" s="3288" t="s">
        <v>476</v>
      </c>
      <c r="D391" s="3337"/>
      <c r="E391" s="1142">
        <f>SUM(H391/H$11,I391/I$11,J391/J$11,K391/K$11,L391/L$11,M391/M$11,N391/N$11,O391/O$11,P391/P$11)/9*100</f>
        <v>222.37750315139562</v>
      </c>
      <c r="F391" s="3392"/>
      <c r="G391" s="3445"/>
      <c r="H391" s="876">
        <v>207668511</v>
      </c>
      <c r="I391" s="865">
        <v>793059566</v>
      </c>
      <c r="J391" s="865">
        <v>703829315</v>
      </c>
      <c r="K391" s="865">
        <v>523011059</v>
      </c>
      <c r="L391" s="865">
        <v>604469287</v>
      </c>
      <c r="M391" s="865">
        <v>492941891</v>
      </c>
      <c r="N391" s="908">
        <v>576242256</v>
      </c>
      <c r="O391" s="865">
        <v>97337581</v>
      </c>
      <c r="P391" s="865">
        <v>517547331</v>
      </c>
      <c r="Q391" s="3518" t="s">
        <v>74</v>
      </c>
      <c r="R391" s="3553" t="s">
        <v>145</v>
      </c>
      <c r="S391" s="3598">
        <v>1</v>
      </c>
      <c r="T391" s="3640">
        <v>32032</v>
      </c>
      <c r="U391" s="3673" t="s">
        <v>464</v>
      </c>
      <c r="V391" s="3673" t="s">
        <v>118</v>
      </c>
      <c r="W391" s="3051">
        <f ca="1">YEARFRAC(T391,W$6)</f>
        <v>26.625</v>
      </c>
      <c r="X391" s="48"/>
    </row>
    <row r="392" spans="1:24" ht="12" customHeight="1">
      <c r="A392" s="48">
        <v>380</v>
      </c>
      <c r="B392" s="2082" t="s">
        <v>42</v>
      </c>
      <c r="C392" s="2076" t="s">
        <v>1376</v>
      </c>
      <c r="D392" s="2080" t="s">
        <v>41</v>
      </c>
      <c r="E392" s="1125">
        <f>SUM(H392/H$11,I392/I$11,J392/J$11,K392/K$11,L392/L$11,M392/M$11,N392/N$11,O392/O$11,P392/P$11)/9*100</f>
        <v>223.9147105081496</v>
      </c>
      <c r="F392" s="2095">
        <f>12.39+41.43+50.08+29.32+33.99+28.08+26.99+7.16+39.43</f>
        <v>268.87</v>
      </c>
      <c r="G392" s="2096"/>
      <c r="H392" s="864">
        <v>221407712</v>
      </c>
      <c r="I392" s="854">
        <v>551428114</v>
      </c>
      <c r="J392" s="854">
        <v>531374502</v>
      </c>
      <c r="K392" s="854">
        <v>494997780</v>
      </c>
      <c r="L392" s="854">
        <v>602838200</v>
      </c>
      <c r="M392" s="854">
        <v>494512998</v>
      </c>
      <c r="N392" s="908">
        <v>426133150</v>
      </c>
      <c r="O392" s="854">
        <v>126109568</v>
      </c>
      <c r="P392" s="854">
        <v>630848104</v>
      </c>
      <c r="Q392" s="2593" t="s">
        <v>208</v>
      </c>
      <c r="R392" s="3550" t="s">
        <v>69</v>
      </c>
      <c r="S392" s="2595">
        <v>1</v>
      </c>
      <c r="T392" s="2596">
        <v>39556</v>
      </c>
      <c r="U392" s="2597" t="s">
        <v>70</v>
      </c>
      <c r="V392" s="2597" t="s">
        <v>1879</v>
      </c>
      <c r="W392" s="2609">
        <f ca="1">YEARFRAC(T392,W$6)</f>
        <v>6.0250000000000004</v>
      </c>
      <c r="X392" s="48">
        <v>380</v>
      </c>
    </row>
    <row r="393" spans="1:24" ht="12" customHeight="1">
      <c r="A393" s="48"/>
      <c r="B393" s="2075" t="s">
        <v>42</v>
      </c>
      <c r="C393" s="3299" t="s">
        <v>455</v>
      </c>
      <c r="D393" s="2086" t="s">
        <v>41</v>
      </c>
      <c r="E393" s="1125">
        <f>SUM(H393/H$11,I393/I$11,J393/J$11,K393/K$11,L393/L$11,M393/M$11,N393/N$11,O393/O$11,P393/P$11)/9*100</f>
        <v>223.99936904227653</v>
      </c>
      <c r="F393" s="2097"/>
      <c r="G393" s="2098"/>
      <c r="H393" s="904">
        <v>221616869</v>
      </c>
      <c r="I393" s="909">
        <v>551759086</v>
      </c>
      <c r="J393" s="905">
        <v>531757796</v>
      </c>
      <c r="K393" s="905">
        <v>495303273</v>
      </c>
      <c r="L393" s="905">
        <v>603191503</v>
      </c>
      <c r="M393" s="905">
        <v>494813225</v>
      </c>
      <c r="N393" s="910">
        <v>426346134</v>
      </c>
      <c r="O393" s="905">
        <v>126010691</v>
      </c>
      <c r="P393" s="905">
        <v>631241983</v>
      </c>
      <c r="Q393" s="2615" t="s">
        <v>456</v>
      </c>
      <c r="R393" s="2616" t="s">
        <v>69</v>
      </c>
      <c r="S393" s="2617">
        <v>1</v>
      </c>
      <c r="T393" s="2618">
        <v>39431</v>
      </c>
      <c r="U393" s="2619" t="s">
        <v>80</v>
      </c>
      <c r="V393" s="2619" t="s">
        <v>1891</v>
      </c>
      <c r="W393" s="2604">
        <f ca="1">YEARFRAC(T393,W$6)</f>
        <v>6.3666666666666663</v>
      </c>
      <c r="X393" s="48"/>
    </row>
    <row r="394" spans="1:24" ht="12" customHeight="1">
      <c r="A394" s="48">
        <v>382</v>
      </c>
      <c r="B394" s="3212"/>
      <c r="C394" s="3255" t="s">
        <v>934</v>
      </c>
      <c r="D394" s="2078" t="s">
        <v>41</v>
      </c>
      <c r="E394" s="1125">
        <f>SUM(H394/H$11,I394/I$11,J394/J$11,K394/K$11,L394/L$11,M394/M$11,N394/N$11,O394/O$11,P394/P$11)/9*100</f>
        <v>224.36709903384445</v>
      </c>
      <c r="F394" s="2994">
        <f>20.89+50.2+47.9+49.51+56.94+45.3+43.88+12.09+63.48</f>
        <v>390.19</v>
      </c>
      <c r="G394" s="2099"/>
      <c r="H394" s="907">
        <v>221883497</v>
      </c>
      <c r="I394" s="906">
        <v>552234494</v>
      </c>
      <c r="J394" s="903">
        <v>532157646</v>
      </c>
      <c r="K394" s="903">
        <v>496183959</v>
      </c>
      <c r="L394" s="903">
        <v>603730654</v>
      </c>
      <c r="M394" s="903">
        <v>495218678</v>
      </c>
      <c r="N394" s="911">
        <v>427197582</v>
      </c>
      <c r="O394" s="903">
        <v>126387796</v>
      </c>
      <c r="P394" s="903">
        <v>632153014</v>
      </c>
      <c r="Q394" s="2620" t="s">
        <v>457</v>
      </c>
      <c r="R394" s="2621" t="s">
        <v>69</v>
      </c>
      <c r="S394" s="2622">
        <v>1</v>
      </c>
      <c r="T394" s="2623">
        <v>39544</v>
      </c>
      <c r="U394" s="2624" t="s">
        <v>80</v>
      </c>
      <c r="V394" s="2624" t="s">
        <v>416</v>
      </c>
      <c r="W394" s="2609">
        <f ca="1">YEARFRAC(T394,W$6)</f>
        <v>6.0583333333333336</v>
      </c>
      <c r="X394" s="48">
        <v>382</v>
      </c>
    </row>
    <row r="395" spans="1:24" ht="12" customHeight="1">
      <c r="A395" s="48"/>
      <c r="B395" s="2077" t="s">
        <v>42</v>
      </c>
      <c r="C395" s="2076" t="s">
        <v>768</v>
      </c>
      <c r="D395" s="2087"/>
      <c r="E395" s="1125">
        <f>SUM(H395/H$11,I395/I$11,J395/J$11,K395/K$11,L395/L$11,M395/M$11,N395/N$11,O395/O$11,P395/P$11)/9*100</f>
        <v>225.32562803508628</v>
      </c>
      <c r="F395" s="3032">
        <f>26.8+38.1+33.9+37.1+29.5+14.4+6.9+19.9+15.7</f>
        <v>222.3</v>
      </c>
      <c r="G395" s="2100"/>
      <c r="H395" s="876">
        <v>187379609</v>
      </c>
      <c r="I395" s="865">
        <v>939239274</v>
      </c>
      <c r="J395" s="865">
        <v>824572486</v>
      </c>
      <c r="K395" s="865">
        <v>526511196</v>
      </c>
      <c r="L395" s="865">
        <v>908024207</v>
      </c>
      <c r="M395" s="865">
        <v>745677863</v>
      </c>
      <c r="N395" s="908">
        <v>666612277</v>
      </c>
      <c r="O395" s="865">
        <v>72765155</v>
      </c>
      <c r="P395" s="865">
        <v>389368955</v>
      </c>
      <c r="Q395" s="2610" t="s">
        <v>767</v>
      </c>
      <c r="R395" s="3578" t="s">
        <v>65</v>
      </c>
      <c r="S395" s="3620">
        <v>8</v>
      </c>
      <c r="T395" s="2613">
        <v>40928</v>
      </c>
      <c r="U395" s="2614" t="s">
        <v>464</v>
      </c>
      <c r="V395" s="2614" t="s">
        <v>314</v>
      </c>
      <c r="W395" s="2598">
        <f ca="1">YEARFRAC(T395,W$6)</f>
        <v>2.2694444444444444</v>
      </c>
      <c r="X395" s="48"/>
    </row>
    <row r="396" spans="1:24" ht="12" customHeight="1">
      <c r="A396" s="48">
        <v>384</v>
      </c>
      <c r="B396" s="2079" t="s">
        <v>42</v>
      </c>
      <c r="C396" s="2704" t="s">
        <v>1756</v>
      </c>
      <c r="D396" s="2080"/>
      <c r="E396" s="1125">
        <f>SUM(H396/H$11,I396/I$11,J396/J$11,K396/K$11,L396/L$11,M396/M$11,N396/N$11,O396/O$11,P396/P$11)/9*100</f>
        <v>229.87344551322187</v>
      </c>
      <c r="F396" s="2101"/>
      <c r="G396" s="2102"/>
      <c r="H396" s="864">
        <v>202266867</v>
      </c>
      <c r="I396" s="854">
        <v>669307213</v>
      </c>
      <c r="J396" s="854">
        <v>541801280</v>
      </c>
      <c r="K396" s="854">
        <v>593059971</v>
      </c>
      <c r="L396" s="854">
        <v>668130019</v>
      </c>
      <c r="M396" s="854">
        <v>548761681</v>
      </c>
      <c r="N396" s="908">
        <v>581878559</v>
      </c>
      <c r="O396" s="854">
        <v>103649178</v>
      </c>
      <c r="P396" s="854">
        <v>627182671</v>
      </c>
      <c r="Q396" s="2593" t="s">
        <v>326</v>
      </c>
      <c r="R396" s="3550" t="s">
        <v>145</v>
      </c>
      <c r="S396" s="2595">
        <v>1</v>
      </c>
      <c r="T396" s="2596">
        <v>34726</v>
      </c>
      <c r="U396" s="2597" t="s">
        <v>830</v>
      </c>
      <c r="V396" s="2597" t="s">
        <v>1892</v>
      </c>
      <c r="W396" s="2598">
        <f ca="1">YEARFRAC(T396,W$6)</f>
        <v>19.25</v>
      </c>
      <c r="X396" s="48">
        <v>384</v>
      </c>
    </row>
    <row r="397" spans="1:24" ht="12" customHeight="1">
      <c r="B397" s="2879" t="s">
        <v>1431</v>
      </c>
      <c r="C397" s="2081" t="s">
        <v>484</v>
      </c>
      <c r="D397" s="2693"/>
      <c r="E397" s="1125">
        <f>SUM(H397/H$11,I397/I$11,J397/J$11,K397/K$11,L397/L$11,M397/M$11,N397/N$11,O397/O$11,P397/P$11)/9*100</f>
        <v>231.73913273909656</v>
      </c>
      <c r="F397" s="2097"/>
      <c r="G397" s="2098"/>
      <c r="H397" s="912">
        <v>206509238</v>
      </c>
      <c r="I397" s="909">
        <v>782242543</v>
      </c>
      <c r="J397" s="909">
        <v>698281620</v>
      </c>
      <c r="K397" s="909">
        <v>532228408</v>
      </c>
      <c r="L397" s="909">
        <v>809280806</v>
      </c>
      <c r="M397" s="909">
        <v>665070456</v>
      </c>
      <c r="N397" s="3040">
        <v>575982829</v>
      </c>
      <c r="O397" s="909">
        <v>98181472</v>
      </c>
      <c r="P397" s="909">
        <v>524629347</v>
      </c>
      <c r="Q397" s="2615" t="s">
        <v>485</v>
      </c>
      <c r="R397" s="2616" t="s">
        <v>69</v>
      </c>
      <c r="S397" s="2617">
        <v>1</v>
      </c>
      <c r="T397" s="2618">
        <v>36188</v>
      </c>
      <c r="U397" s="2619" t="s">
        <v>206</v>
      </c>
      <c r="V397" s="2619" t="s">
        <v>486</v>
      </c>
      <c r="W397" s="2604">
        <f ca="1">YEARFRAC(T397,W$6)</f>
        <v>15.247222222222222</v>
      </c>
    </row>
    <row r="398" spans="1:24" ht="12" customHeight="1">
      <c r="A398" s="48">
        <v>386</v>
      </c>
      <c r="B398" s="3019" t="s">
        <v>1431</v>
      </c>
      <c r="C398" s="2897" t="s">
        <v>623</v>
      </c>
      <c r="D398" s="3335"/>
      <c r="E398" s="1125">
        <f>SUM(H398/H$11,I398/I$11,J398/J$11,K398/K$11,L398/L$11,M398/M$11,N398/N$11,O398/O$11,P398/P$11)/9*100</f>
        <v>233.27839792692765</v>
      </c>
      <c r="F398" s="3031">
        <f>39.39+97.3+93.59+91.83+102.78+84.5+73.41+22.28+115.48</f>
        <v>720.56</v>
      </c>
      <c r="G398" s="2902"/>
      <c r="H398" s="2904">
        <v>227850479</v>
      </c>
      <c r="I398" s="1102">
        <v>579734564</v>
      </c>
      <c r="J398" s="1102">
        <v>555805771</v>
      </c>
      <c r="K398" s="1102">
        <v>529250421</v>
      </c>
      <c r="L398" s="1102">
        <v>630022731</v>
      </c>
      <c r="M398" s="1102">
        <v>517048693</v>
      </c>
      <c r="N398" s="1100">
        <v>430602927</v>
      </c>
      <c r="O398" s="1102">
        <v>130692325</v>
      </c>
      <c r="P398" s="1102">
        <v>662483540</v>
      </c>
      <c r="Q398" s="2906" t="s">
        <v>177</v>
      </c>
      <c r="R398" s="2908" t="s">
        <v>69</v>
      </c>
      <c r="S398" s="2910">
        <v>1</v>
      </c>
      <c r="T398" s="2912">
        <v>36893</v>
      </c>
      <c r="U398" s="2915" t="s">
        <v>117</v>
      </c>
      <c r="V398" s="2915" t="s">
        <v>472</v>
      </c>
      <c r="W398" s="2626">
        <f ca="1">YEARFRAC(T398,W$6)</f>
        <v>13.319444444444445</v>
      </c>
      <c r="X398" s="48">
        <v>386</v>
      </c>
    </row>
    <row r="399" spans="1:24" ht="12" customHeight="1">
      <c r="B399" s="2084" t="s">
        <v>42</v>
      </c>
      <c r="C399" s="2076" t="s">
        <v>1409</v>
      </c>
      <c r="D399" s="2089" t="s">
        <v>41</v>
      </c>
      <c r="E399" s="1125">
        <f>SUM(H399/H$11,I399/I$11,J399/J$11,K399/K$11,L399/L$11,M399/M$11,N399/N$11,O399/O$11,P399/P$11)/9*100</f>
        <v>233.51563373085239</v>
      </c>
      <c r="F399" s="3029">
        <f>5.1+17.2+14.9+13.5+19.6+16.3+11.1+2.4+13.2</f>
        <v>113.3</v>
      </c>
      <c r="G399" s="3037"/>
      <c r="H399" s="1127">
        <v>206525650</v>
      </c>
      <c r="I399" s="1128">
        <v>615096595</v>
      </c>
      <c r="J399" s="1128">
        <v>594557580</v>
      </c>
      <c r="K399" s="1128">
        <v>666400747</v>
      </c>
      <c r="L399" s="1128">
        <v>593363441</v>
      </c>
      <c r="M399" s="1128">
        <v>492018662</v>
      </c>
      <c r="N399" s="1105">
        <v>632294951</v>
      </c>
      <c r="O399" s="1128">
        <v>90349800</v>
      </c>
      <c r="P399" s="1128">
        <v>709428979</v>
      </c>
      <c r="Q399" s="2633" t="s">
        <v>1402</v>
      </c>
      <c r="R399" s="3044" t="s">
        <v>65</v>
      </c>
      <c r="S399" s="2635">
        <v>1</v>
      </c>
      <c r="T399" s="2636">
        <v>41194</v>
      </c>
      <c r="U399" s="2637" t="s">
        <v>464</v>
      </c>
      <c r="V399" s="2637" t="s">
        <v>139</v>
      </c>
      <c r="W399" s="2632">
        <f ca="1">YEARFRAC(T399,W$6)</f>
        <v>1.5416666666666667</v>
      </c>
    </row>
    <row r="400" spans="1:24" ht="12" customHeight="1">
      <c r="A400" s="48">
        <v>388</v>
      </c>
      <c r="B400" s="2090" t="s">
        <v>42</v>
      </c>
      <c r="C400" s="2704" t="s">
        <v>855</v>
      </c>
      <c r="D400" s="3028"/>
      <c r="E400" s="1125">
        <f>SUM(H400/H$11,I400/I$11,J400/J$11,K400/K$11,L400/L$11,M400/M$11,N400/N$11,O400/O$11,P400/P$11)/9*100</f>
        <v>239.43533404726276</v>
      </c>
      <c r="F400" s="2884"/>
      <c r="G400" s="2884"/>
      <c r="H400" s="1532">
        <v>241449752</v>
      </c>
      <c r="I400" s="1090">
        <v>573751764</v>
      </c>
      <c r="J400" s="1090">
        <v>541801280</v>
      </c>
      <c r="K400" s="1090">
        <v>496340983</v>
      </c>
      <c r="L400" s="1090">
        <v>600843363</v>
      </c>
      <c r="M400" s="1090">
        <v>491155368</v>
      </c>
      <c r="N400" s="1100">
        <v>522098407</v>
      </c>
      <c r="O400" s="1090">
        <v>137751228</v>
      </c>
      <c r="P400" s="1090">
        <v>672486751</v>
      </c>
      <c r="Q400" s="2887" t="s">
        <v>519</v>
      </c>
      <c r="R400" s="2889" t="s">
        <v>145</v>
      </c>
      <c r="S400" s="2891">
        <v>1</v>
      </c>
      <c r="T400" s="2893">
        <v>34452</v>
      </c>
      <c r="U400" s="2895" t="s">
        <v>135</v>
      </c>
      <c r="V400" s="2895" t="s">
        <v>854</v>
      </c>
      <c r="W400" s="2626">
        <f ca="1">YEARFRAC(T400,W$6)</f>
        <v>19.997222222222224</v>
      </c>
      <c r="X400" s="48">
        <v>388</v>
      </c>
    </row>
    <row r="401" spans="1:24" ht="12" customHeight="1">
      <c r="B401" s="3018" t="s">
        <v>42</v>
      </c>
      <c r="C401" s="2647" t="s">
        <v>1757</v>
      </c>
      <c r="D401" s="2089" t="s">
        <v>41</v>
      </c>
      <c r="E401" s="1125">
        <f>SUM(H401/H$11,I401/I$11,J401/J$11,K401/K$11,L401/L$11,M401/M$11,N401/N$11,O401/O$11,P401/P$11)/9*100</f>
        <v>243.63910122920936</v>
      </c>
      <c r="F401" s="2885"/>
      <c r="G401" s="2886"/>
      <c r="H401" s="1127">
        <v>214828663</v>
      </c>
      <c r="I401" s="1128">
        <v>663276049</v>
      </c>
      <c r="J401" s="1128">
        <v>623281118</v>
      </c>
      <c r="K401" s="1128">
        <v>625482827</v>
      </c>
      <c r="L401" s="1128">
        <v>666903149</v>
      </c>
      <c r="M401" s="1128">
        <v>546884027</v>
      </c>
      <c r="N401" s="1541">
        <v>607948948</v>
      </c>
      <c r="O401" s="1128">
        <v>114850295</v>
      </c>
      <c r="P401" s="1128">
        <v>673675014</v>
      </c>
      <c r="Q401" s="2888" t="s">
        <v>480</v>
      </c>
      <c r="R401" s="2890" t="s">
        <v>145</v>
      </c>
      <c r="S401" s="2892">
        <v>1</v>
      </c>
      <c r="T401" s="2894">
        <v>33347</v>
      </c>
      <c r="U401" s="2896" t="s">
        <v>73</v>
      </c>
      <c r="V401" s="2896" t="s">
        <v>117</v>
      </c>
      <c r="W401" s="2632">
        <f ca="1">YEARFRAC(T401,W$6)</f>
        <v>23.022222222222222</v>
      </c>
    </row>
    <row r="402" spans="1:24" ht="12" customHeight="1">
      <c r="A402" s="48">
        <v>390</v>
      </c>
      <c r="B402" s="2090" t="s">
        <v>42</v>
      </c>
      <c r="C402" s="3256" t="s">
        <v>769</v>
      </c>
      <c r="D402" s="2091" t="s">
        <v>41</v>
      </c>
      <c r="E402" s="1125">
        <f>SUM(H402/H$11,I402/I$11,J402/J$11,K402/K$11,L402/L$11,M402/M$11,N402/N$11,O402/O$11,P402/P$11)/9*100</f>
        <v>245.39246735504446</v>
      </c>
      <c r="F402" s="3031">
        <f>35.9+22.2+21.3+62.8+35.8+16.6+11.1+29.43+18.16</f>
        <v>253.29</v>
      </c>
      <c r="G402" s="2902"/>
      <c r="H402" s="2904">
        <v>317034522</v>
      </c>
      <c r="I402" s="1102">
        <v>606693570</v>
      </c>
      <c r="J402" s="1102">
        <v>572360190</v>
      </c>
      <c r="K402" s="1102">
        <v>518154062</v>
      </c>
      <c r="L402" s="1102">
        <v>609161922</v>
      </c>
      <c r="M402" s="1102">
        <v>492148895</v>
      </c>
      <c r="N402" s="1100">
        <v>601275565</v>
      </c>
      <c r="O402" s="1102">
        <v>143621256</v>
      </c>
      <c r="P402" s="1102">
        <v>474403693</v>
      </c>
      <c r="Q402" s="2906" t="s">
        <v>770</v>
      </c>
      <c r="R402" s="2908" t="s">
        <v>69</v>
      </c>
      <c r="S402" s="2910">
        <v>1</v>
      </c>
      <c r="T402" s="2912">
        <v>39998</v>
      </c>
      <c r="U402" s="2915" t="s">
        <v>75</v>
      </c>
      <c r="V402" s="2915" t="s">
        <v>163</v>
      </c>
      <c r="W402" s="2626">
        <f ca="1">YEARFRAC(T402,W$6)</f>
        <v>4.8138888888888891</v>
      </c>
      <c r="X402" s="48">
        <v>390</v>
      </c>
    </row>
    <row r="403" spans="1:24" ht="12" customHeight="1">
      <c r="B403" s="2079" t="s">
        <v>42</v>
      </c>
      <c r="C403" s="3024" t="s">
        <v>1385</v>
      </c>
      <c r="D403" s="2089"/>
      <c r="E403" s="1125">
        <f>SUM(H403/H$11,I403/I$11,J403/J$11,K403/K$11,L403/L$11,M403/M$11,N403/N$11,O403/O$11,P403/P$11)/9*100</f>
        <v>252.04396917693921</v>
      </c>
      <c r="F403" s="3029">
        <f>4+6+6+18+1+1+23+4+32</f>
        <v>95</v>
      </c>
      <c r="G403" s="3037"/>
      <c r="H403" s="1127">
        <v>235315200</v>
      </c>
      <c r="I403" s="1128">
        <v>601718784</v>
      </c>
      <c r="J403" s="1128">
        <v>575811584</v>
      </c>
      <c r="K403" s="1128">
        <v>586432512</v>
      </c>
      <c r="L403" s="1128">
        <v>608722944</v>
      </c>
      <c r="M403" s="1128">
        <v>491913216</v>
      </c>
      <c r="N403" s="1105">
        <v>595677184</v>
      </c>
      <c r="O403" s="1128">
        <v>154152960</v>
      </c>
      <c r="P403" s="1128">
        <v>657330176</v>
      </c>
      <c r="Q403" s="2634" t="s">
        <v>1386</v>
      </c>
      <c r="R403" s="3043" t="s">
        <v>65</v>
      </c>
      <c r="S403" s="2635">
        <v>1</v>
      </c>
      <c r="T403" s="2636">
        <v>34881</v>
      </c>
      <c r="U403" s="2637" t="s">
        <v>80</v>
      </c>
      <c r="V403" s="2637" t="s">
        <v>448</v>
      </c>
      <c r="W403" s="2632">
        <f ca="1">YEARFRAC(T403,W$6)</f>
        <v>18.822222222222223</v>
      </c>
    </row>
    <row r="404" spans="1:24" ht="12" customHeight="1">
      <c r="A404" s="48">
        <v>392</v>
      </c>
      <c r="B404" s="2082" t="s">
        <v>42</v>
      </c>
      <c r="C404" s="3257" t="s">
        <v>483</v>
      </c>
      <c r="D404" s="2078" t="s">
        <v>41</v>
      </c>
      <c r="E404" s="1187">
        <f>SUM(H404/H$11,I404/I$11,J404/J$11,K404/K$11,L404/L$11,M404/M$11,N404/N$11,O404/O$11,P404/P$11)/9*100</f>
        <v>261.41041874747737</v>
      </c>
      <c r="F404" s="3389"/>
      <c r="G404" s="3443"/>
      <c r="H404" s="902">
        <v>256117773</v>
      </c>
      <c r="I404" s="906">
        <v>648629919</v>
      </c>
      <c r="J404" s="906">
        <v>626216114</v>
      </c>
      <c r="K404" s="903">
        <v>589582653</v>
      </c>
      <c r="L404" s="903">
        <v>717762267</v>
      </c>
      <c r="M404" s="903">
        <v>590100445</v>
      </c>
      <c r="N404" s="911">
        <v>485682401</v>
      </c>
      <c r="O404" s="903">
        <v>146366292</v>
      </c>
      <c r="P404" s="903">
        <v>733470937</v>
      </c>
      <c r="Q404" s="3517" t="s">
        <v>474</v>
      </c>
      <c r="R404" s="3552" t="s">
        <v>145</v>
      </c>
      <c r="S404" s="3597">
        <v>1</v>
      </c>
      <c r="T404" s="3639">
        <v>32371</v>
      </c>
      <c r="U404" s="3672" t="s">
        <v>80</v>
      </c>
      <c r="V404" s="3672" t="s">
        <v>475</v>
      </c>
      <c r="W404" s="2609">
        <f ca="1">YEARFRAC(T404,W$6)</f>
        <v>25.697222222222223</v>
      </c>
      <c r="X404" s="48">
        <v>392</v>
      </c>
    </row>
    <row r="405" spans="1:24" ht="12" customHeight="1">
      <c r="A405" s="48"/>
      <c r="B405" s="3017" t="s">
        <v>42</v>
      </c>
      <c r="C405" s="3023" t="s">
        <v>1904</v>
      </c>
      <c r="D405" s="2089" t="s">
        <v>41</v>
      </c>
      <c r="E405" s="1125">
        <f>SUM(H405/H$11,I405/I$11,J405/J$11,K405/K$11,L405/L$11,M405/M$11,N405/N$11,O405/O$11,P405/P$11)/9*100</f>
        <v>261.73745234271206</v>
      </c>
      <c r="F405" s="3030">
        <f>3.6+11+10.4+8.75+5.8+4.6+6.9+1.9+13.6</f>
        <v>66.55</v>
      </c>
      <c r="G405" s="3036"/>
      <c r="H405" s="1127">
        <v>246014863</v>
      </c>
      <c r="I405" s="1128">
        <v>606693380</v>
      </c>
      <c r="J405" s="1128">
        <v>572975512</v>
      </c>
      <c r="K405" s="1128">
        <v>668385041</v>
      </c>
      <c r="L405" s="1128">
        <v>589664714</v>
      </c>
      <c r="M405" s="1128">
        <v>492148740</v>
      </c>
      <c r="N405" s="1105">
        <v>602023590</v>
      </c>
      <c r="O405" s="1128">
        <v>122244724</v>
      </c>
      <c r="P405" s="1128">
        <v>874838690</v>
      </c>
      <c r="Q405" s="3041" t="s">
        <v>619</v>
      </c>
      <c r="R405" s="3042" t="s">
        <v>69</v>
      </c>
      <c r="S405" s="3045">
        <v>1</v>
      </c>
      <c r="T405" s="3047">
        <v>39641</v>
      </c>
      <c r="U405" s="3049" t="s">
        <v>75</v>
      </c>
      <c r="V405" s="3049" t="s">
        <v>139</v>
      </c>
      <c r="W405" s="2632">
        <f ca="1">YEARFRAC(T405,W$6)</f>
        <v>5.791666666666667</v>
      </c>
      <c r="X405" s="48"/>
    </row>
    <row r="406" spans="1:24" ht="12" customHeight="1">
      <c r="A406" s="48">
        <v>394</v>
      </c>
      <c r="B406" s="3016" t="s">
        <v>42</v>
      </c>
      <c r="C406" s="3022" t="s">
        <v>1758</v>
      </c>
      <c r="D406" s="2091" t="s">
        <v>41</v>
      </c>
      <c r="E406" s="1125">
        <f>SUM(H406/H$11,I406/I$11,J406/J$11,K406/K$11,L406/L$11,M406/M$11,N406/N$11,O406/O$11,P406/P$11)/9*100</f>
        <v>262.94967160733142</v>
      </c>
      <c r="F406" s="2902"/>
      <c r="G406" s="2902"/>
      <c r="H406" s="2904">
        <v>275635849</v>
      </c>
      <c r="I406" s="1102">
        <v>582521265</v>
      </c>
      <c r="J406" s="1102">
        <v>568609373</v>
      </c>
      <c r="K406" s="1102">
        <v>556808953</v>
      </c>
      <c r="L406" s="1102">
        <v>604188849</v>
      </c>
      <c r="M406" s="1102">
        <v>492348145</v>
      </c>
      <c r="N406" s="1100">
        <v>562139557</v>
      </c>
      <c r="O406" s="1102">
        <v>150729517</v>
      </c>
      <c r="P406" s="1102">
        <v>779928541</v>
      </c>
      <c r="Q406" s="2906" t="s">
        <v>479</v>
      </c>
      <c r="R406" s="2908" t="s">
        <v>69</v>
      </c>
      <c r="S406" s="2910">
        <v>1</v>
      </c>
      <c r="T406" s="3046">
        <v>37796</v>
      </c>
      <c r="U406" s="2915" t="s">
        <v>77</v>
      </c>
      <c r="V406" s="2915" t="s">
        <v>1880</v>
      </c>
      <c r="W406" s="2626">
        <f ca="1">YEARFRAC(T406,W$6)</f>
        <v>10.841666666666667</v>
      </c>
      <c r="X406" s="48">
        <v>394</v>
      </c>
    </row>
    <row r="407" spans="1:24" ht="12" customHeight="1">
      <c r="B407" s="2079" t="s">
        <v>42</v>
      </c>
      <c r="C407" s="2074" t="s">
        <v>900</v>
      </c>
      <c r="D407" s="2089" t="s">
        <v>41</v>
      </c>
      <c r="E407" s="1125">
        <f>SUM(H407/H$11,I407/I$11,J407/J$11,K407/K$11,L407/L$11,M407/M$11,N407/N$11,O407/O$11,P407/P$11)/9*100</f>
        <v>269.37340956175433</v>
      </c>
      <c r="F407" s="2093"/>
      <c r="G407" s="2094"/>
      <c r="H407" s="1140">
        <v>287218511</v>
      </c>
      <c r="I407" s="1141">
        <v>583505462</v>
      </c>
      <c r="J407" s="1141">
        <v>571535628</v>
      </c>
      <c r="K407" s="1141">
        <v>558792198</v>
      </c>
      <c r="L407" s="1141">
        <v>608442034</v>
      </c>
      <c r="M407" s="1141">
        <v>492019651</v>
      </c>
      <c r="N407" s="1105">
        <v>583143432</v>
      </c>
      <c r="O407" s="1141">
        <v>160260179</v>
      </c>
      <c r="P407" s="1361">
        <v>778930993</v>
      </c>
      <c r="Q407" s="2627" t="s">
        <v>901</v>
      </c>
      <c r="R407" s="2628" t="s">
        <v>145</v>
      </c>
      <c r="S407" s="2629">
        <v>1</v>
      </c>
      <c r="T407" s="2630">
        <v>34490</v>
      </c>
      <c r="U407" s="2631" t="s">
        <v>75</v>
      </c>
      <c r="V407" s="2631" t="s">
        <v>902</v>
      </c>
      <c r="W407" s="2632">
        <f ca="1">YEARFRAC(T407,W$6)</f>
        <v>19.894444444444446</v>
      </c>
    </row>
    <row r="408" spans="1:24" ht="12" customHeight="1">
      <c r="A408" s="48">
        <v>396</v>
      </c>
      <c r="B408" s="2090" t="s">
        <v>42</v>
      </c>
      <c r="C408" s="3258" t="s">
        <v>779</v>
      </c>
      <c r="D408" s="3336"/>
      <c r="E408" s="1125">
        <f>SUM(H408/H$11,I408/I$11,J408/J$11,K408/K$11,L408/L$11,M408/M$11,N408/N$11,O408/O$11,P408/P$11)/9*100</f>
        <v>273.31936727626243</v>
      </c>
      <c r="F408" s="3390">
        <f>731+1021+988+1032+779+381+173+79+86</f>
        <v>5270</v>
      </c>
      <c r="G408" s="3444"/>
      <c r="H408" s="1532">
        <v>306091450</v>
      </c>
      <c r="I408" s="1102">
        <v>623848132</v>
      </c>
      <c r="J408" s="1102">
        <v>575728866</v>
      </c>
      <c r="K408" s="1102">
        <v>708587093</v>
      </c>
      <c r="L408" s="1102">
        <v>606814720</v>
      </c>
      <c r="M408" s="1102">
        <v>494959737</v>
      </c>
      <c r="N408" s="1100">
        <v>589767994</v>
      </c>
      <c r="O408" s="1090">
        <v>135002272</v>
      </c>
      <c r="P408" s="1102">
        <v>806904414</v>
      </c>
      <c r="Q408" s="2887" t="s">
        <v>645</v>
      </c>
      <c r="R408" s="2889" t="s">
        <v>69</v>
      </c>
      <c r="S408" s="2891">
        <v>1</v>
      </c>
      <c r="T408" s="2893">
        <v>40343</v>
      </c>
      <c r="U408" s="2895" t="s">
        <v>174</v>
      </c>
      <c r="V408" s="2895" t="s">
        <v>644</v>
      </c>
      <c r="W408" s="2626">
        <f ca="1">YEARFRAC(T408,W$6)</f>
        <v>3.8694444444444445</v>
      </c>
      <c r="X408" s="48">
        <v>396</v>
      </c>
    </row>
    <row r="409" spans="1:24" ht="12" customHeight="1">
      <c r="B409" s="2079" t="s">
        <v>42</v>
      </c>
      <c r="C409" s="2083" t="s">
        <v>866</v>
      </c>
      <c r="D409" s="2089"/>
      <c r="E409" s="1125">
        <f>SUM(H409/H$11,I409/I$11,J409/J$11,K409/K$11,L409/L$11,M409/M$11,N409/N$11,O409/O$11,P409/P$11)/9*100</f>
        <v>276.70105306246006</v>
      </c>
      <c r="F409" s="3029"/>
      <c r="G409" s="3478"/>
      <c r="H409" s="1127">
        <v>292592712</v>
      </c>
      <c r="I409" s="1141">
        <v>597566038</v>
      </c>
      <c r="J409" s="1141">
        <v>576963261</v>
      </c>
      <c r="K409" s="1141">
        <v>570980282</v>
      </c>
      <c r="L409" s="1141">
        <v>608569854</v>
      </c>
      <c r="M409" s="1141">
        <v>492149020</v>
      </c>
      <c r="N409" s="1105">
        <v>595498659</v>
      </c>
      <c r="O409" s="1128">
        <v>167891040</v>
      </c>
      <c r="P409" s="1141">
        <v>806674258</v>
      </c>
      <c r="Q409" s="2633" t="s">
        <v>867</v>
      </c>
      <c r="R409" s="2634" t="s">
        <v>145</v>
      </c>
      <c r="S409" s="2635">
        <v>1</v>
      </c>
      <c r="T409" s="2636">
        <v>37130</v>
      </c>
      <c r="U409" s="2637" t="s">
        <v>285</v>
      </c>
      <c r="V409" s="3698" t="s">
        <v>490</v>
      </c>
      <c r="W409" s="2632">
        <f ca="1">YEARFRAC(T409,W$6)</f>
        <v>12.666666666666666</v>
      </c>
    </row>
    <row r="410" spans="1:24" ht="12" customHeight="1">
      <c r="A410" s="48">
        <v>398</v>
      </c>
      <c r="B410" s="2073" t="s">
        <v>1431</v>
      </c>
      <c r="C410" s="2081" t="s">
        <v>840</v>
      </c>
      <c r="D410" s="2089" t="s">
        <v>41</v>
      </c>
      <c r="E410" s="1125">
        <f>SUM(H410/H$11,I410/I$11,J410/J$11,K410/K$11,L410/L$11,M410/M$11,N410/N$11,O410/O$11,P410/P$11)/9*100</f>
        <v>296.02897973010602</v>
      </c>
      <c r="F410" s="3391"/>
      <c r="G410" s="2094"/>
      <c r="H410" s="1140">
        <v>305785086</v>
      </c>
      <c r="I410" s="1141">
        <v>604797095</v>
      </c>
      <c r="J410" s="1141">
        <v>567214866</v>
      </c>
      <c r="K410" s="1141">
        <v>708300890</v>
      </c>
      <c r="L410" s="1141">
        <v>603157765</v>
      </c>
      <c r="M410" s="1141">
        <v>492148908</v>
      </c>
      <c r="N410" s="1541">
        <v>568399840</v>
      </c>
      <c r="O410" s="1141">
        <v>188305863</v>
      </c>
      <c r="P410" s="1141">
        <v>878317802</v>
      </c>
      <c r="Q410" s="2627" t="s">
        <v>440</v>
      </c>
      <c r="R410" s="2628" t="s">
        <v>69</v>
      </c>
      <c r="S410" s="2629">
        <v>1</v>
      </c>
      <c r="T410" s="2630">
        <v>31740</v>
      </c>
      <c r="U410" s="2631" t="s">
        <v>80</v>
      </c>
      <c r="V410" s="2631" t="s">
        <v>1880</v>
      </c>
      <c r="W410" s="2632">
        <f ca="1">YEARFRAC(T410,W$6)</f>
        <v>27.425000000000001</v>
      </c>
      <c r="X410" s="48">
        <v>398</v>
      </c>
    </row>
    <row r="411" spans="1:24" ht="12" customHeight="1">
      <c r="B411" s="2079" t="s">
        <v>42</v>
      </c>
      <c r="C411" s="3300" t="s">
        <v>1441</v>
      </c>
      <c r="D411" s="2080" t="s">
        <v>41</v>
      </c>
      <c r="E411" s="1125">
        <f>SUM(H411/H$11,I411/I$11,J411/J$11,K411/K$11,L411/L$11,M411/M$11,N411/N$11,O411/O$11,P411/P$11)/9*100</f>
        <v>298.98414954122427</v>
      </c>
      <c r="F411" s="2101"/>
      <c r="G411" s="2102"/>
      <c r="H411" s="3483">
        <v>266580164</v>
      </c>
      <c r="I411" s="865">
        <v>1023481474</v>
      </c>
      <c r="J411" s="854">
        <v>890561709</v>
      </c>
      <c r="K411" s="854">
        <v>723851863</v>
      </c>
      <c r="L411" s="854">
        <v>1102560485</v>
      </c>
      <c r="M411" s="3490">
        <v>902536014</v>
      </c>
      <c r="N411" s="2697">
        <v>650348104</v>
      </c>
      <c r="O411" s="3490">
        <v>133781250</v>
      </c>
      <c r="P411" s="3490">
        <v>638371905</v>
      </c>
      <c r="Q411" s="2593" t="s">
        <v>1438</v>
      </c>
      <c r="R411" s="2594" t="s">
        <v>145</v>
      </c>
      <c r="S411" s="2595">
        <v>1</v>
      </c>
      <c r="T411" s="2596">
        <v>38119</v>
      </c>
      <c r="U411" s="2597" t="s">
        <v>236</v>
      </c>
      <c r="V411" s="2597" t="s">
        <v>1437</v>
      </c>
      <c r="W411" s="2598">
        <f ca="1">YEARFRAC(T411,W$6)</f>
        <v>9.9583333333333339</v>
      </c>
    </row>
    <row r="412" spans="1:24" ht="12" customHeight="1">
      <c r="A412" s="48">
        <v>400</v>
      </c>
      <c r="B412" s="991" t="s">
        <v>42</v>
      </c>
      <c r="C412" s="3259" t="s">
        <v>487</v>
      </c>
      <c r="D412" s="3337"/>
      <c r="E412" s="1142">
        <f>SUM(H412/H$11,I412/I$11,J412/J$11,K412/K$11,L412/L$11,M412/M$11,N412/N$11,O412/O$11,P412/P$11)/9*100</f>
        <v>301.17698740363909</v>
      </c>
      <c r="F412" s="3392"/>
      <c r="G412" s="3445"/>
      <c r="H412" s="876">
        <v>305784934</v>
      </c>
      <c r="I412" s="865">
        <v>605247633</v>
      </c>
      <c r="J412" s="865">
        <v>577099663</v>
      </c>
      <c r="K412" s="865">
        <v>708300737</v>
      </c>
      <c r="L412" s="865">
        <v>604792372</v>
      </c>
      <c r="M412" s="865">
        <v>493170688</v>
      </c>
      <c r="N412" s="2697">
        <v>605362959</v>
      </c>
      <c r="O412" s="865">
        <v>188305715</v>
      </c>
      <c r="P412" s="865">
        <v>922319710</v>
      </c>
      <c r="Q412" s="3518" t="s">
        <v>1592</v>
      </c>
      <c r="R412" s="3553" t="s">
        <v>145</v>
      </c>
      <c r="S412" s="3598">
        <v>1</v>
      </c>
      <c r="T412" s="3640">
        <v>31473</v>
      </c>
      <c r="U412" s="3673" t="s">
        <v>464</v>
      </c>
      <c r="V412" s="3673" t="s">
        <v>486</v>
      </c>
      <c r="W412" s="1058">
        <f ca="1">YEARFRAC(T412,W$6)</f>
        <v>28.152777777777779</v>
      </c>
      <c r="X412" s="48">
        <v>400</v>
      </c>
    </row>
    <row r="413" spans="1:24" ht="12" customHeight="1">
      <c r="A413" s="48"/>
      <c r="B413" s="2077" t="s">
        <v>42</v>
      </c>
      <c r="C413" s="3298" t="s">
        <v>913</v>
      </c>
      <c r="D413" s="2086"/>
      <c r="E413" s="1125">
        <f>SUM(H413/H$11,I413/I$11,J413/J$11,K413/K$11,L413/L$11,M413/M$11,N413/N$11,O413/O$11,P413/P$11)/9*100</f>
        <v>303.11520113501922</v>
      </c>
      <c r="F413" s="2098"/>
      <c r="G413" s="2098"/>
      <c r="H413" s="912">
        <v>302140962</v>
      </c>
      <c r="I413" s="909">
        <v>606681892</v>
      </c>
      <c r="J413" s="909">
        <v>577835051</v>
      </c>
      <c r="K413" s="909">
        <v>685043925</v>
      </c>
      <c r="L413" s="909">
        <v>609161728</v>
      </c>
      <c r="M413" s="909">
        <v>492148736</v>
      </c>
      <c r="N413" s="910">
        <v>633510400</v>
      </c>
      <c r="O413" s="909">
        <v>197278527</v>
      </c>
      <c r="P413" s="3502">
        <v>907860725</v>
      </c>
      <c r="Q413" s="2615" t="s">
        <v>896</v>
      </c>
      <c r="R413" s="2616" t="s">
        <v>145</v>
      </c>
      <c r="S413" s="2617">
        <v>1</v>
      </c>
      <c r="T413" s="2618">
        <v>33289</v>
      </c>
      <c r="U413" s="2619" t="s">
        <v>916</v>
      </c>
      <c r="V413" s="3687" t="s">
        <v>117</v>
      </c>
      <c r="W413" s="2604">
        <f ca="1">YEARFRAC(T413,W$6)</f>
        <v>23.18611111111111</v>
      </c>
      <c r="X413" s="48"/>
    </row>
    <row r="414" spans="1:24" ht="12" customHeight="1">
      <c r="A414" s="48">
        <v>402</v>
      </c>
      <c r="B414" s="3212" t="s">
        <v>42</v>
      </c>
      <c r="C414" s="3253" t="s">
        <v>909</v>
      </c>
      <c r="D414" s="2078"/>
      <c r="E414" s="1125">
        <f>SUM(H414/H$11,I414/I$11,J414/J$11,K414/K$11,L414/L$11,M414/M$11,N414/N$11,O414/O$11,P414/P$11)/9*100</f>
        <v>306.67098608585223</v>
      </c>
      <c r="F414" s="2099"/>
      <c r="G414" s="2099"/>
      <c r="H414" s="902">
        <v>305958700</v>
      </c>
      <c r="I414" s="906">
        <v>605585568</v>
      </c>
      <c r="J414" s="906">
        <v>577360168</v>
      </c>
      <c r="K414" s="906">
        <v>708744836</v>
      </c>
      <c r="L414" s="906">
        <v>604942600</v>
      </c>
      <c r="M414" s="906">
        <v>493335696</v>
      </c>
      <c r="N414" s="911">
        <v>605575172</v>
      </c>
      <c r="O414" s="906">
        <v>188662140</v>
      </c>
      <c r="P414" s="3499">
        <v>993349340</v>
      </c>
      <c r="Q414" s="2620" t="s">
        <v>910</v>
      </c>
      <c r="R414" s="2621" t="s">
        <v>145</v>
      </c>
      <c r="S414" s="2622">
        <v>1</v>
      </c>
      <c r="T414" s="2623">
        <v>36116</v>
      </c>
      <c r="U414" s="2624" t="s">
        <v>331</v>
      </c>
      <c r="V414" s="3693" t="s">
        <v>117</v>
      </c>
      <c r="W414" s="2609">
        <f ca="1">YEARFRAC(T414,W$6)</f>
        <v>15.444444444444445</v>
      </c>
      <c r="X414" s="48">
        <v>402</v>
      </c>
    </row>
    <row r="415" spans="1:24" ht="12" customHeight="1">
      <c r="A415" s="48"/>
      <c r="B415" s="2075" t="s">
        <v>42</v>
      </c>
      <c r="C415" s="2081" t="s">
        <v>933</v>
      </c>
      <c r="D415" s="2080" t="s">
        <v>41</v>
      </c>
      <c r="E415" s="1125">
        <f>SUM(H415/H$11,I415/I$11,J415/J$11,K415/K$11,L415/L$11,M415/M$11,N415/N$11,O415/O$11,P415/P$11)/9*100</f>
        <v>311.23258060194291</v>
      </c>
      <c r="F415" s="3424">
        <f>31+79+76+70+60+48+61+19+101</f>
        <v>545</v>
      </c>
      <c r="G415" s="2100"/>
      <c r="H415" s="876">
        <v>314657555</v>
      </c>
      <c r="I415" s="865">
        <v>604234832</v>
      </c>
      <c r="J415" s="865">
        <v>573743349</v>
      </c>
      <c r="K415" s="865">
        <v>708722090</v>
      </c>
      <c r="L415" s="865">
        <v>602902794</v>
      </c>
      <c r="M415" s="865">
        <v>491293639</v>
      </c>
      <c r="N415" s="2697">
        <v>612905625</v>
      </c>
      <c r="O415" s="865">
        <v>195851931</v>
      </c>
      <c r="P415" s="865">
        <v>999548758</v>
      </c>
      <c r="Q415" s="2610" t="s">
        <v>488</v>
      </c>
      <c r="R415" s="2611" t="s">
        <v>69</v>
      </c>
      <c r="S415" s="2612">
        <v>1</v>
      </c>
      <c r="T415" s="2613">
        <v>38978</v>
      </c>
      <c r="U415" s="2614" t="s">
        <v>489</v>
      </c>
      <c r="V415" s="2614" t="s">
        <v>490</v>
      </c>
      <c r="W415" s="2598">
        <f ca="1">YEARFRAC(T415,W$6)</f>
        <v>7.6083333333333334</v>
      </c>
      <c r="X415" s="48"/>
    </row>
    <row r="416" spans="1:24" ht="12" customHeight="1">
      <c r="A416" s="48">
        <v>404</v>
      </c>
      <c r="B416" s="3016" t="s">
        <v>42</v>
      </c>
      <c r="C416" s="2988" t="s">
        <v>481</v>
      </c>
      <c r="D416" s="2087"/>
      <c r="E416" s="1125">
        <f>SUM(H416/H$11,I416/I$11,J416/J$11,K416/K$11,L416/L$11,M416/M$11,N416/N$11,O416/O$11,P416/P$11)/9*100</f>
        <v>313.55781983904222</v>
      </c>
      <c r="F416" s="2100"/>
      <c r="G416" s="2100"/>
      <c r="H416" s="864">
        <v>558793009</v>
      </c>
      <c r="I416" s="854">
        <v>583506273</v>
      </c>
      <c r="J416" s="854">
        <v>571536438</v>
      </c>
      <c r="K416" s="854">
        <v>558793009</v>
      </c>
      <c r="L416" s="854">
        <v>608442090</v>
      </c>
      <c r="M416" s="854">
        <v>492020461</v>
      </c>
      <c r="N416" s="2697">
        <v>583144232</v>
      </c>
      <c r="O416" s="854">
        <v>160279490</v>
      </c>
      <c r="P416" s="854">
        <v>778930767</v>
      </c>
      <c r="Q416" s="2610" t="s">
        <v>482</v>
      </c>
      <c r="R416" s="2611" t="s">
        <v>145</v>
      </c>
      <c r="S416" s="2612">
        <v>1</v>
      </c>
      <c r="T416" s="2613">
        <v>34099</v>
      </c>
      <c r="U416" s="2614" t="s">
        <v>464</v>
      </c>
      <c r="V416" s="2614" t="s">
        <v>902</v>
      </c>
      <c r="W416" s="2598">
        <f ca="1">YEARFRAC(T416,W$6)</f>
        <v>20.963888888888889</v>
      </c>
      <c r="X416" s="48">
        <v>404</v>
      </c>
    </row>
    <row r="417" spans="1:24" ht="12" customHeight="1">
      <c r="A417" s="48"/>
      <c r="B417" s="2092" t="s">
        <v>1431</v>
      </c>
      <c r="C417" s="762" t="s">
        <v>1374</v>
      </c>
      <c r="D417" s="2086" t="s">
        <v>41</v>
      </c>
      <c r="E417" s="1125">
        <f>SUM(H417/H$11,I417/I$11,J417/J$11,K417/K$11,L417/L$11,M417/M$11,N417/N$11,O417/O$11,P417/P$11)/9*100</f>
        <v>316.20824297392261</v>
      </c>
      <c r="F417" s="2098"/>
      <c r="G417" s="2098"/>
      <c r="H417" s="912">
        <v>327879378</v>
      </c>
      <c r="I417" s="909">
        <v>606682636</v>
      </c>
      <c r="J417" s="909">
        <v>577835885</v>
      </c>
      <c r="K417" s="909">
        <v>709268653</v>
      </c>
      <c r="L417" s="909">
        <v>609140224</v>
      </c>
      <c r="M417" s="909">
        <v>492104985</v>
      </c>
      <c r="N417" s="905">
        <v>633483161</v>
      </c>
      <c r="O417" s="909">
        <v>200161858</v>
      </c>
      <c r="P417" s="3502">
        <v>1000000336</v>
      </c>
      <c r="Q417" s="3533" t="s">
        <v>89</v>
      </c>
      <c r="R417" s="3579" t="s">
        <v>65</v>
      </c>
      <c r="S417" s="3621">
        <v>1</v>
      </c>
      <c r="T417" s="3659">
        <v>40802</v>
      </c>
      <c r="U417" s="3688" t="s">
        <v>75</v>
      </c>
      <c r="V417" s="3688" t="s">
        <v>897</v>
      </c>
      <c r="W417" s="2604">
        <f ca="1">YEARFRAC(T417,W$6)</f>
        <v>2.6138888888888889</v>
      </c>
      <c r="X417" s="48"/>
    </row>
    <row r="418" spans="1:24" ht="12" customHeight="1">
      <c r="A418" s="48">
        <v>406</v>
      </c>
      <c r="B418" s="3016" t="s">
        <v>42</v>
      </c>
      <c r="C418" s="3022" t="s">
        <v>1375</v>
      </c>
      <c r="D418" s="2089"/>
      <c r="E418" s="1125">
        <f>SUM(H418/H$11,I418/I$11,J418/J$11,K418/K$11,L418/L$11,M418/M$11,N418/N$11,O418/O$11,P418/P$11)/9*100</f>
        <v>320.9928161727716</v>
      </c>
      <c r="F418" s="2094"/>
      <c r="G418" s="2094"/>
      <c r="H418" s="1140">
        <v>336186368</v>
      </c>
      <c r="I418" s="1141">
        <v>606693376</v>
      </c>
      <c r="J418" s="1141">
        <v>577854464</v>
      </c>
      <c r="K418" s="1141">
        <v>711358464</v>
      </c>
      <c r="L418" s="1141">
        <v>609161728</v>
      </c>
      <c r="M418" s="1141">
        <v>492148736</v>
      </c>
      <c r="N418" s="1128">
        <v>633510400</v>
      </c>
      <c r="O418" s="1141">
        <v>209375744</v>
      </c>
      <c r="P418" s="1361">
        <v>1000009216</v>
      </c>
      <c r="Q418" s="2627" t="s">
        <v>896</v>
      </c>
      <c r="R418" s="3554" t="s">
        <v>65</v>
      </c>
      <c r="S418" s="2629">
        <v>1</v>
      </c>
      <c r="T418" s="2630">
        <v>40802</v>
      </c>
      <c r="U418" s="2631" t="s">
        <v>75</v>
      </c>
      <c r="V418" s="2631" t="s">
        <v>897</v>
      </c>
      <c r="W418" s="2626">
        <f ca="1">YEARFRAC(T418,W$6)</f>
        <v>2.6138888888888889</v>
      </c>
      <c r="X418" s="48">
        <v>406</v>
      </c>
    </row>
    <row r="419" spans="1:24" ht="12" customHeight="1">
      <c r="A419" s="48"/>
      <c r="B419" s="991" t="s">
        <v>42</v>
      </c>
      <c r="C419" s="3259" t="s">
        <v>492</v>
      </c>
      <c r="D419" s="3362" t="s">
        <v>41</v>
      </c>
      <c r="E419" s="1142">
        <f>SUM(H419/H$11,I419/I$11,J419/J$11,K419/K$11,L419/L$11,M419/M$11,N419/N$11,O419/O$11,P419/P$11)/9*100</f>
        <v>348.1848820783872</v>
      </c>
      <c r="F419" s="3425"/>
      <c r="G419" s="3425"/>
      <c r="H419" s="2926">
        <v>370236272</v>
      </c>
      <c r="I419" s="2927">
        <v>823195607</v>
      </c>
      <c r="J419" s="2927">
        <v>899777684</v>
      </c>
      <c r="K419" s="2927">
        <v>682430303</v>
      </c>
      <c r="L419" s="1370">
        <v>885160026</v>
      </c>
      <c r="M419" s="2927">
        <v>698480738</v>
      </c>
      <c r="N419" s="3493">
        <v>765346757</v>
      </c>
      <c r="O419" s="1370">
        <v>183328407</v>
      </c>
      <c r="P419" s="1370">
        <v>1006727888</v>
      </c>
      <c r="Q419" s="3534" t="s">
        <v>477</v>
      </c>
      <c r="R419" s="3580" t="s">
        <v>145</v>
      </c>
      <c r="S419" s="3622">
        <v>1</v>
      </c>
      <c r="T419" s="3660">
        <v>31152</v>
      </c>
      <c r="U419" s="3689" t="s">
        <v>80</v>
      </c>
      <c r="V419" s="3689" t="s">
        <v>420</v>
      </c>
      <c r="W419" s="2022">
        <f ca="1">YEARFRAC(T419,W$6)</f>
        <v>29.033333333333335</v>
      </c>
      <c r="X419" s="48"/>
    </row>
    <row r="420" spans="1:24" ht="12" customHeight="1">
      <c r="A420" s="48">
        <v>408</v>
      </c>
      <c r="B420" s="3708"/>
      <c r="C420" s="723"/>
      <c r="D420" s="3709"/>
      <c r="E420" s="1125">
        <f>SUM(H420/H$11,I420/I$11,J420/J$11,K420/K$11,L420/L$11,M420/M$11,N420/N$11,O420/O$11,P420/P$11)/9*100</f>
        <v>0</v>
      </c>
      <c r="F420" s="2934"/>
      <c r="G420" s="2934"/>
      <c r="H420" s="2935"/>
      <c r="I420" s="2936"/>
      <c r="J420" s="2936"/>
      <c r="K420" s="2936"/>
      <c r="L420" s="2936"/>
      <c r="M420" s="2936"/>
      <c r="N420" s="2937"/>
      <c r="O420" s="2936"/>
      <c r="P420" s="2936"/>
      <c r="Q420" s="2938"/>
      <c r="R420" s="2939"/>
      <c r="S420" s="2940"/>
      <c r="T420" s="2941"/>
      <c r="U420" s="2942"/>
      <c r="V420" s="2942"/>
      <c r="W420" s="1096">
        <f ca="1">YEARFRAC(T420,W$6)</f>
        <v>114.325</v>
      </c>
      <c r="X420" s="48">
        <v>408</v>
      </c>
    </row>
    <row r="421" spans="1:24" ht="12" customHeight="1">
      <c r="B421" s="3706"/>
      <c r="C421" s="1004"/>
      <c r="D421" s="3707"/>
      <c r="E421" s="1125">
        <f>SUM(H421/H$11,I421/I$11,J421/J$11,K421/K$11,L421/L$11,M421/M$11,N421/N$11,O421/O$11,P421/P$11)/9*100</f>
        <v>0</v>
      </c>
      <c r="F421" s="1128"/>
      <c r="G421" s="2919"/>
      <c r="H421" s="1140"/>
      <c r="I421" s="1141"/>
      <c r="J421" s="1141"/>
      <c r="K421" s="1141"/>
      <c r="L421" s="1141"/>
      <c r="M421" s="1141"/>
      <c r="N421" s="1128"/>
      <c r="O421" s="1141"/>
      <c r="P421" s="1141"/>
      <c r="Q421" s="1129"/>
      <c r="R421" s="1130"/>
      <c r="S421" s="3623"/>
      <c r="T421" s="1132"/>
      <c r="U421" s="1133"/>
      <c r="V421" s="3699"/>
      <c r="W421" s="1124">
        <f ca="1">YEARFRAC(T421,W$6)</f>
        <v>114.325</v>
      </c>
    </row>
    <row r="422" spans="1:24" ht="12" customHeight="1">
      <c r="A422" s="48">
        <v>410</v>
      </c>
      <c r="B422" s="230" t="s">
        <v>42</v>
      </c>
      <c r="C422" s="2917"/>
      <c r="D422" s="2918"/>
      <c r="E422" s="1125">
        <f t="shared" ref="E374:E426" si="5">SUM(H422/H$11,I422/I$11,J422/J$11,K422/K$11,L422/L$11,M422/M$11,N422/N$11,O422/O$11,P422/P$11)/9*100</f>
        <v>0</v>
      </c>
      <c r="F422" s="2919"/>
      <c r="G422" s="2919"/>
      <c r="H422" s="1140"/>
      <c r="I422" s="1141"/>
      <c r="J422" s="1141"/>
      <c r="K422" s="1141"/>
      <c r="L422" s="1141"/>
      <c r="M422" s="1141"/>
      <c r="N422" s="1128"/>
      <c r="O422" s="1141"/>
      <c r="P422" s="1141"/>
      <c r="Q422" s="1129"/>
      <c r="R422" s="1130"/>
      <c r="S422" s="1131"/>
      <c r="T422" s="2920"/>
      <c r="U422" s="1133"/>
      <c r="V422" s="1133"/>
      <c r="W422" s="1096">
        <f t="shared" ref="W416:W435" ca="1" si="6">YEARFRAC(T422,W$6)</f>
        <v>114.325</v>
      </c>
      <c r="X422" s="48">
        <v>410</v>
      </c>
    </row>
    <row r="423" spans="1:24" ht="12" customHeight="1">
      <c r="B423" s="231" t="s">
        <v>42</v>
      </c>
      <c r="C423" s="2921"/>
      <c r="D423" s="2922"/>
      <c r="E423" s="1125">
        <f t="shared" si="5"/>
        <v>0</v>
      </c>
      <c r="F423" s="2925"/>
      <c r="G423" s="2925"/>
      <c r="H423" s="2926"/>
      <c r="I423" s="2927"/>
      <c r="J423" s="2927"/>
      <c r="K423" s="2927"/>
      <c r="L423" s="2927"/>
      <c r="M423" s="2927"/>
      <c r="N423" s="2928"/>
      <c r="O423" s="2927"/>
      <c r="P423" s="2927"/>
      <c r="Q423" s="2929"/>
      <c r="R423" s="2930"/>
      <c r="S423" s="2931"/>
      <c r="T423" s="2932"/>
      <c r="U423" s="2933"/>
      <c r="V423" s="2933"/>
      <c r="W423" s="1124">
        <f t="shared" ca="1" si="6"/>
        <v>114.325</v>
      </c>
    </row>
    <row r="424" spans="1:24" ht="12" customHeight="1">
      <c r="A424" s="48">
        <v>412</v>
      </c>
      <c r="B424" s="230" t="s">
        <v>42</v>
      </c>
      <c r="C424" s="2923"/>
      <c r="D424" s="2924"/>
      <c r="E424" s="1125">
        <f t="shared" si="5"/>
        <v>0</v>
      </c>
      <c r="F424" s="2934"/>
      <c r="G424" s="2934"/>
      <c r="H424" s="2935"/>
      <c r="I424" s="2936"/>
      <c r="J424" s="2936"/>
      <c r="K424" s="2936"/>
      <c r="L424" s="2936"/>
      <c r="M424" s="2936"/>
      <c r="N424" s="2937"/>
      <c r="O424" s="2936"/>
      <c r="P424" s="2936"/>
      <c r="Q424" s="2938"/>
      <c r="R424" s="2939"/>
      <c r="S424" s="2940"/>
      <c r="T424" s="2941"/>
      <c r="U424" s="2942"/>
      <c r="V424" s="2942"/>
      <c r="W424" s="1096">
        <f t="shared" ca="1" si="6"/>
        <v>114.325</v>
      </c>
      <c r="X424" s="48">
        <v>412</v>
      </c>
    </row>
    <row r="425" spans="1:24" ht="12" customHeight="1">
      <c r="A425" s="48"/>
      <c r="B425" s="231" t="s">
        <v>42</v>
      </c>
      <c r="C425" s="2921"/>
      <c r="D425" s="2922"/>
      <c r="E425" s="1125">
        <f t="shared" si="5"/>
        <v>0</v>
      </c>
      <c r="F425" s="2925"/>
      <c r="G425" s="2925"/>
      <c r="H425" s="2926"/>
      <c r="I425" s="2927"/>
      <c r="J425" s="2927"/>
      <c r="K425" s="2927"/>
      <c r="L425" s="2927"/>
      <c r="M425" s="2927"/>
      <c r="N425" s="2928"/>
      <c r="O425" s="2927"/>
      <c r="P425" s="2927"/>
      <c r="Q425" s="2929"/>
      <c r="R425" s="2930"/>
      <c r="S425" s="2931"/>
      <c r="T425" s="2932"/>
      <c r="U425" s="2933"/>
      <c r="V425" s="2933"/>
      <c r="W425" s="1124">
        <f t="shared" ca="1" si="6"/>
        <v>114.325</v>
      </c>
      <c r="X425" s="48"/>
    </row>
    <row r="426" spans="1:24" ht="12" customHeight="1">
      <c r="A426" s="48">
        <v>414</v>
      </c>
      <c r="B426" s="230" t="s">
        <v>42</v>
      </c>
      <c r="C426" s="2923"/>
      <c r="D426" s="2924"/>
      <c r="E426" s="1125">
        <f t="shared" si="5"/>
        <v>0</v>
      </c>
      <c r="F426" s="2934"/>
      <c r="G426" s="2934"/>
      <c r="H426" s="2935"/>
      <c r="I426" s="2936"/>
      <c r="J426" s="2936"/>
      <c r="K426" s="2936"/>
      <c r="L426" s="2936"/>
      <c r="M426" s="2936"/>
      <c r="N426" s="2937"/>
      <c r="O426" s="2936"/>
      <c r="P426" s="2936"/>
      <c r="Q426" s="2938"/>
      <c r="R426" s="2939"/>
      <c r="S426" s="2940"/>
      <c r="T426" s="2941"/>
      <c r="U426" s="2942"/>
      <c r="V426" s="2942"/>
      <c r="W426" s="1096">
        <f t="shared" ca="1" si="6"/>
        <v>114.325</v>
      </c>
      <c r="X426" s="48">
        <v>414</v>
      </c>
    </row>
    <row r="427" spans="1:24" ht="12" customHeight="1">
      <c r="A427" s="48"/>
      <c r="B427" s="708" t="s">
        <v>1431</v>
      </c>
      <c r="C427" s="213" t="s">
        <v>493</v>
      </c>
      <c r="D427" s="3098"/>
      <c r="E427" s="1226">
        <v>1</v>
      </c>
      <c r="F427" s="1549"/>
      <c r="G427" s="1549"/>
      <c r="H427" s="3091" t="s">
        <v>511</v>
      </c>
      <c r="I427" s="1549" t="s">
        <v>494</v>
      </c>
      <c r="J427" s="1549" t="s">
        <v>494</v>
      </c>
      <c r="K427" s="1549" t="s">
        <v>494</v>
      </c>
      <c r="L427" s="1549" t="s">
        <v>494</v>
      </c>
      <c r="M427" s="1549" t="s">
        <v>494</v>
      </c>
      <c r="N427" s="1549" t="s">
        <v>494</v>
      </c>
      <c r="O427" s="1549" t="s">
        <v>494</v>
      </c>
      <c r="P427" s="1549" t="s">
        <v>494</v>
      </c>
      <c r="Q427" s="3092" t="s">
        <v>496</v>
      </c>
      <c r="R427" s="1549" t="s">
        <v>69</v>
      </c>
      <c r="S427" s="3093">
        <v>1</v>
      </c>
      <c r="T427" s="3094">
        <v>37730</v>
      </c>
      <c r="U427" s="3095" t="s">
        <v>497</v>
      </c>
      <c r="V427" s="3095" t="s">
        <v>118</v>
      </c>
      <c r="W427" s="1550">
        <f t="shared" ca="1" si="6"/>
        <v>11.022222222222222</v>
      </c>
      <c r="X427" s="48"/>
    </row>
    <row r="428" spans="1:24" ht="12" customHeight="1">
      <c r="A428" s="48">
        <v>416</v>
      </c>
      <c r="B428" s="964" t="s">
        <v>42</v>
      </c>
      <c r="C428" s="3097" t="s">
        <v>826</v>
      </c>
      <c r="D428" s="3099"/>
      <c r="E428" s="3101"/>
      <c r="F428" s="3103"/>
      <c r="G428" s="3103"/>
      <c r="H428" s="3105" t="s">
        <v>494</v>
      </c>
      <c r="I428" s="936" t="s">
        <v>495</v>
      </c>
      <c r="J428" s="936" t="s">
        <v>494</v>
      </c>
      <c r="K428" s="936" t="s">
        <v>494</v>
      </c>
      <c r="L428" s="936" t="s">
        <v>494</v>
      </c>
      <c r="M428" s="936" t="s">
        <v>494</v>
      </c>
      <c r="N428" s="936" t="s">
        <v>494</v>
      </c>
      <c r="O428" s="936" t="s">
        <v>494</v>
      </c>
      <c r="P428" s="936" t="s">
        <v>494</v>
      </c>
      <c r="Q428" s="938" t="s">
        <v>827</v>
      </c>
      <c r="R428" s="971" t="s">
        <v>145</v>
      </c>
      <c r="S428" s="939">
        <v>1</v>
      </c>
      <c r="T428" s="940">
        <v>34532</v>
      </c>
      <c r="U428" s="972" t="s">
        <v>80</v>
      </c>
      <c r="V428" s="972" t="s">
        <v>314</v>
      </c>
      <c r="W428" s="941">
        <f t="shared" ca="1" si="6"/>
        <v>19.777777777777779</v>
      </c>
      <c r="X428" s="48">
        <v>416</v>
      </c>
    </row>
    <row r="429" spans="1:24" ht="12" customHeight="1">
      <c r="A429" s="48"/>
      <c r="B429" s="708" t="s">
        <v>1431</v>
      </c>
      <c r="C429" s="213" t="s">
        <v>498</v>
      </c>
      <c r="D429" s="922" t="s">
        <v>41</v>
      </c>
      <c r="E429" s="1025"/>
      <c r="F429" s="214"/>
      <c r="G429" s="214"/>
      <c r="H429" s="919" t="s">
        <v>511</v>
      </c>
      <c r="I429" s="215" t="s">
        <v>494</v>
      </c>
      <c r="J429" s="215" t="s">
        <v>494</v>
      </c>
      <c r="K429" s="215" t="s">
        <v>494</v>
      </c>
      <c r="L429" s="215" t="s">
        <v>494</v>
      </c>
      <c r="M429" s="215" t="s">
        <v>494</v>
      </c>
      <c r="N429" s="215" t="s">
        <v>494</v>
      </c>
      <c r="O429" s="215" t="s">
        <v>494</v>
      </c>
      <c r="P429" s="215" t="s">
        <v>494</v>
      </c>
      <c r="Q429" s="216" t="s">
        <v>499</v>
      </c>
      <c r="R429" s="215" t="s">
        <v>69</v>
      </c>
      <c r="S429" s="244">
        <v>1</v>
      </c>
      <c r="T429" s="859">
        <v>36037</v>
      </c>
      <c r="U429" s="245" t="s">
        <v>135</v>
      </c>
      <c r="V429" s="245" t="s">
        <v>117</v>
      </c>
      <c r="W429" s="314">
        <f t="shared" ca="1" si="6"/>
        <v>15.658333333333333</v>
      </c>
      <c r="X429" s="48"/>
    </row>
    <row r="430" spans="1:24" ht="12" customHeight="1">
      <c r="A430" s="48">
        <v>418</v>
      </c>
      <c r="B430" s="246" t="s">
        <v>42</v>
      </c>
      <c r="C430" s="213" t="s">
        <v>500</v>
      </c>
      <c r="D430" s="923" t="s">
        <v>41</v>
      </c>
      <c r="E430" s="1025"/>
      <c r="F430" s="215"/>
      <c r="G430" s="215"/>
      <c r="H430" s="919" t="s">
        <v>511</v>
      </c>
      <c r="I430" s="215" t="s">
        <v>494</v>
      </c>
      <c r="J430" s="215" t="s">
        <v>494</v>
      </c>
      <c r="K430" s="215" t="s">
        <v>494</v>
      </c>
      <c r="L430" s="215" t="s">
        <v>494</v>
      </c>
      <c r="M430" s="215" t="s">
        <v>494</v>
      </c>
      <c r="N430" s="215" t="s">
        <v>494</v>
      </c>
      <c r="O430" s="215" t="s">
        <v>494</v>
      </c>
      <c r="P430" s="215" t="s">
        <v>494</v>
      </c>
      <c r="Q430" s="216" t="s">
        <v>502</v>
      </c>
      <c r="R430" s="215" t="s">
        <v>69</v>
      </c>
      <c r="S430" s="244">
        <v>1</v>
      </c>
      <c r="T430" s="859">
        <v>38504</v>
      </c>
      <c r="U430" s="245" t="s">
        <v>117</v>
      </c>
      <c r="V430" s="245" t="s">
        <v>1877</v>
      </c>
      <c r="W430" s="314">
        <f t="shared" ca="1" si="6"/>
        <v>8.905555555555555</v>
      </c>
      <c r="X430" s="48">
        <v>418</v>
      </c>
    </row>
    <row r="431" spans="1:24" ht="12" customHeight="1">
      <c r="A431" s="48"/>
      <c r="B431" s="3096" t="s">
        <v>1431</v>
      </c>
      <c r="C431" s="942" t="s">
        <v>503</v>
      </c>
      <c r="D431" s="943"/>
      <c r="E431" s="1027"/>
      <c r="F431" s="944"/>
      <c r="G431" s="944"/>
      <c r="H431" s="945" t="s">
        <v>511</v>
      </c>
      <c r="I431" s="946" t="s">
        <v>494</v>
      </c>
      <c r="J431" s="946" t="s">
        <v>494</v>
      </c>
      <c r="K431" s="946" t="s">
        <v>494</v>
      </c>
      <c r="L431" s="946" t="s">
        <v>494</v>
      </c>
      <c r="M431" s="946" t="s">
        <v>494</v>
      </c>
      <c r="N431" s="946" t="s">
        <v>494</v>
      </c>
      <c r="O431" s="946" t="s">
        <v>494</v>
      </c>
      <c r="P431" s="946" t="s">
        <v>494</v>
      </c>
      <c r="Q431" s="947" t="s">
        <v>504</v>
      </c>
      <c r="R431" s="946" t="s">
        <v>69</v>
      </c>
      <c r="S431" s="948">
        <v>1</v>
      </c>
      <c r="T431" s="949">
        <v>35848</v>
      </c>
      <c r="U431" s="950" t="s">
        <v>75</v>
      </c>
      <c r="V431" s="950" t="s">
        <v>117</v>
      </c>
      <c r="W431" s="951">
        <f t="shared" ca="1" si="6"/>
        <v>16.180555555555557</v>
      </c>
      <c r="X431" s="48"/>
    </row>
    <row r="432" spans="1:24" ht="12" customHeight="1">
      <c r="A432" s="48">
        <v>420</v>
      </c>
      <c r="B432" s="968" t="s">
        <v>1431</v>
      </c>
      <c r="C432" s="2708" t="s">
        <v>2144</v>
      </c>
      <c r="D432" s="3100"/>
      <c r="E432" s="3102"/>
      <c r="F432" s="3104"/>
      <c r="G432" s="3104"/>
      <c r="H432" s="3106">
        <v>195832112</v>
      </c>
      <c r="I432" s="3107">
        <v>599546147</v>
      </c>
      <c r="J432" s="3108" t="s">
        <v>1595</v>
      </c>
      <c r="K432" s="3107">
        <v>466741686</v>
      </c>
      <c r="L432" s="3107">
        <v>597811477</v>
      </c>
      <c r="M432" s="3107">
        <v>491327051</v>
      </c>
      <c r="N432" s="3108" t="s">
        <v>1595</v>
      </c>
      <c r="O432" s="3107">
        <v>95172108</v>
      </c>
      <c r="P432" s="3107">
        <v>526568173</v>
      </c>
      <c r="Q432" s="938" t="s">
        <v>2142</v>
      </c>
      <c r="R432" s="3109" t="s">
        <v>65</v>
      </c>
      <c r="S432" s="939">
        <v>1</v>
      </c>
      <c r="T432" s="940">
        <v>41753</v>
      </c>
      <c r="U432" s="972" t="s">
        <v>80</v>
      </c>
      <c r="V432" s="972" t="s">
        <v>2143</v>
      </c>
      <c r="W432" s="941">
        <f t="shared" ca="1" si="6"/>
        <v>8.3333333333333332E-3</v>
      </c>
      <c r="X432" s="48">
        <v>420</v>
      </c>
    </row>
    <row r="433" spans="1:24" ht="12" customHeight="1">
      <c r="B433" s="708" t="s">
        <v>1431</v>
      </c>
      <c r="C433" s="860" t="s">
        <v>505</v>
      </c>
      <c r="D433" s="922"/>
      <c r="E433" s="1025"/>
      <c r="F433" s="214"/>
      <c r="G433" s="214"/>
      <c r="H433" s="215" t="s">
        <v>511</v>
      </c>
      <c r="I433" s="215" t="s">
        <v>494</v>
      </c>
      <c r="J433" s="215" t="s">
        <v>494</v>
      </c>
      <c r="K433" s="215" t="s">
        <v>494</v>
      </c>
      <c r="L433" s="215" t="s">
        <v>494</v>
      </c>
      <c r="M433" s="215" t="s">
        <v>494</v>
      </c>
      <c r="N433" s="215" t="s">
        <v>494</v>
      </c>
      <c r="O433" s="215" t="s">
        <v>494</v>
      </c>
      <c r="P433" s="215" t="s">
        <v>494</v>
      </c>
      <c r="Q433" s="216" t="s">
        <v>167</v>
      </c>
      <c r="R433" s="215" t="s">
        <v>69</v>
      </c>
      <c r="S433" s="244">
        <v>1</v>
      </c>
      <c r="T433" s="859">
        <v>39084</v>
      </c>
      <c r="U433" s="245" t="s">
        <v>75</v>
      </c>
      <c r="V433" s="245" t="s">
        <v>168</v>
      </c>
      <c r="W433" s="314">
        <f t="shared" ca="1" si="6"/>
        <v>7.3194444444444446</v>
      </c>
    </row>
    <row r="434" spans="1:24" ht="12" customHeight="1">
      <c r="A434" s="48">
        <v>422</v>
      </c>
      <c r="B434" s="246" t="s">
        <v>42</v>
      </c>
      <c r="C434" s="213" t="s">
        <v>506</v>
      </c>
      <c r="D434" s="922" t="s">
        <v>41</v>
      </c>
      <c r="E434" s="1025"/>
      <c r="F434" s="214"/>
      <c r="G434" s="214"/>
      <c r="H434" s="919" t="s">
        <v>511</v>
      </c>
      <c r="I434" s="215" t="s">
        <v>494</v>
      </c>
      <c r="J434" s="215" t="s">
        <v>494</v>
      </c>
      <c r="K434" s="215" t="s">
        <v>494</v>
      </c>
      <c r="L434" s="215" t="s">
        <v>494</v>
      </c>
      <c r="M434" s="215" t="s">
        <v>494</v>
      </c>
      <c r="N434" s="215" t="s">
        <v>494</v>
      </c>
      <c r="O434" s="215" t="s">
        <v>494</v>
      </c>
      <c r="P434" s="215" t="s">
        <v>494</v>
      </c>
      <c r="Q434" s="216" t="s">
        <v>507</v>
      </c>
      <c r="R434" s="215" t="s">
        <v>69</v>
      </c>
      <c r="S434" s="244">
        <v>1</v>
      </c>
      <c r="T434" s="859">
        <v>38247</v>
      </c>
      <c r="U434" s="245" t="s">
        <v>108</v>
      </c>
      <c r="V434" s="245" t="s">
        <v>1877</v>
      </c>
      <c r="W434" s="314">
        <f t="shared" ca="1" si="6"/>
        <v>9.6111111111111107</v>
      </c>
      <c r="X434" s="48">
        <v>422</v>
      </c>
    </row>
    <row r="435" spans="1:24" ht="12" customHeight="1">
      <c r="B435" s="960" t="s">
        <v>42</v>
      </c>
      <c r="C435" s="942" t="s">
        <v>508</v>
      </c>
      <c r="D435" s="1262"/>
      <c r="E435" s="1027"/>
      <c r="F435" s="946"/>
      <c r="G435" s="946"/>
      <c r="H435" s="945" t="s">
        <v>511</v>
      </c>
      <c r="I435" s="946" t="s">
        <v>494</v>
      </c>
      <c r="J435" s="946" t="s">
        <v>494</v>
      </c>
      <c r="K435" s="946" t="s">
        <v>494</v>
      </c>
      <c r="L435" s="946" t="s">
        <v>494</v>
      </c>
      <c r="M435" s="946" t="s">
        <v>494</v>
      </c>
      <c r="N435" s="946" t="s">
        <v>494</v>
      </c>
      <c r="O435" s="946" t="s">
        <v>494</v>
      </c>
      <c r="P435" s="946" t="s">
        <v>494</v>
      </c>
      <c r="Q435" s="947" t="s">
        <v>507</v>
      </c>
      <c r="R435" s="946" t="s">
        <v>69</v>
      </c>
      <c r="S435" s="948">
        <v>1</v>
      </c>
      <c r="T435" s="949">
        <v>38437</v>
      </c>
      <c r="U435" s="950" t="s">
        <v>108</v>
      </c>
      <c r="V435" s="950" t="s">
        <v>1877</v>
      </c>
      <c r="W435" s="951">
        <f t="shared" ca="1" si="6"/>
        <v>9.0861111111111104</v>
      </c>
    </row>
    <row r="436" spans="1:24" ht="12" customHeight="1">
      <c r="A436" s="48">
        <v>424</v>
      </c>
      <c r="B436" s="952" t="s">
        <v>42</v>
      </c>
      <c r="C436" s="953" t="s">
        <v>509</v>
      </c>
      <c r="D436" s="961"/>
      <c r="E436" s="1028"/>
      <c r="F436" s="955"/>
      <c r="G436" s="955"/>
      <c r="H436" s="955" t="s">
        <v>511</v>
      </c>
      <c r="I436" s="955" t="s">
        <v>494</v>
      </c>
      <c r="J436" s="955" t="s">
        <v>494</v>
      </c>
      <c r="K436" s="955" t="s">
        <v>494</v>
      </c>
      <c r="L436" s="955" t="s">
        <v>494</v>
      </c>
      <c r="M436" s="955" t="s">
        <v>494</v>
      </c>
      <c r="N436" s="955" t="s">
        <v>494</v>
      </c>
      <c r="O436" s="955" t="s">
        <v>494</v>
      </c>
      <c r="P436" s="955" t="s">
        <v>494</v>
      </c>
      <c r="Q436" s="956" t="s">
        <v>507</v>
      </c>
      <c r="R436" s="955" t="s">
        <v>69</v>
      </c>
      <c r="S436" s="957">
        <v>1</v>
      </c>
      <c r="T436" s="958">
        <v>38654</v>
      </c>
      <c r="U436" s="959" t="s">
        <v>108</v>
      </c>
      <c r="V436" s="959" t="s">
        <v>1877</v>
      </c>
      <c r="W436" s="941">
        <f t="shared" ref="W436:W468" ca="1" si="7">YEARFRAC(T436,W$6)</f>
        <v>8.4944444444444436</v>
      </c>
      <c r="X436" s="48">
        <v>424</v>
      </c>
    </row>
    <row r="437" spans="1:24" ht="12" customHeight="1">
      <c r="B437" s="709" t="s">
        <v>1431</v>
      </c>
      <c r="C437" s="217" t="s">
        <v>510</v>
      </c>
      <c r="D437" s="924"/>
      <c r="E437" s="1029"/>
      <c r="F437" s="925"/>
      <c r="G437" s="925"/>
      <c r="H437" s="764" t="s">
        <v>511</v>
      </c>
      <c r="I437" s="215" t="s">
        <v>494</v>
      </c>
      <c r="J437" s="215" t="s">
        <v>494</v>
      </c>
      <c r="K437" s="215" t="s">
        <v>494</v>
      </c>
      <c r="L437" s="215" t="s">
        <v>494</v>
      </c>
      <c r="M437" s="215" t="s">
        <v>494</v>
      </c>
      <c r="N437" s="215" t="s">
        <v>494</v>
      </c>
      <c r="O437" s="215" t="s">
        <v>494</v>
      </c>
      <c r="P437" s="215" t="s">
        <v>494</v>
      </c>
      <c r="Q437" s="926" t="s">
        <v>512</v>
      </c>
      <c r="R437" s="925" t="s">
        <v>69</v>
      </c>
      <c r="S437" s="247">
        <v>1</v>
      </c>
      <c r="T437" s="927">
        <v>38708</v>
      </c>
      <c r="U437" s="928" t="s">
        <v>80</v>
      </c>
      <c r="V437" s="928" t="s">
        <v>118</v>
      </c>
      <c r="W437" s="314">
        <f t="shared" ca="1" si="7"/>
        <v>8.3472222222222214</v>
      </c>
    </row>
    <row r="438" spans="1:24" ht="12" customHeight="1">
      <c r="A438" s="48">
        <v>426</v>
      </c>
      <c r="B438" s="1135" t="s">
        <v>42</v>
      </c>
      <c r="C438" s="1138" t="s">
        <v>911</v>
      </c>
      <c r="D438" s="319" t="s">
        <v>41</v>
      </c>
      <c r="E438" s="1229"/>
      <c r="F438" s="1137">
        <f>113.7+150.8+0+441.9+234.1+185.8+247.7+52.6+261.7</f>
        <v>1688.3</v>
      </c>
      <c r="G438" s="1137"/>
      <c r="H438" s="1263">
        <v>106399945</v>
      </c>
      <c r="I438" s="1210">
        <v>545946763</v>
      </c>
      <c r="J438" s="1210" t="s">
        <v>495</v>
      </c>
      <c r="K438" s="1210">
        <v>314421356</v>
      </c>
      <c r="L438" s="1210">
        <v>589988079</v>
      </c>
      <c r="M438" s="1210">
        <v>486967963</v>
      </c>
      <c r="N438" s="1260">
        <v>325999649</v>
      </c>
      <c r="O438" s="1210">
        <v>43408175</v>
      </c>
      <c r="P438" s="1210">
        <v>209153722</v>
      </c>
      <c r="Q438" s="219" t="s">
        <v>214</v>
      </c>
      <c r="R438" s="220" t="s">
        <v>69</v>
      </c>
      <c r="S438" s="247">
        <v>1</v>
      </c>
      <c r="T438" s="861">
        <v>37798</v>
      </c>
      <c r="U438" s="248" t="s">
        <v>75</v>
      </c>
      <c r="V438" s="248" t="s">
        <v>912</v>
      </c>
      <c r="W438" s="314">
        <f t="shared" ca="1" si="7"/>
        <v>10.83611111111111</v>
      </c>
      <c r="X438" s="48">
        <v>426</v>
      </c>
    </row>
    <row r="439" spans="1:24" ht="12" customHeight="1">
      <c r="B439" s="960" t="s">
        <v>42</v>
      </c>
      <c r="C439" s="962" t="s">
        <v>513</v>
      </c>
      <c r="D439" s="943"/>
      <c r="E439" s="1030"/>
      <c r="F439" s="944"/>
      <c r="G439" s="944"/>
      <c r="H439" s="963" t="s">
        <v>511</v>
      </c>
      <c r="I439" s="946" t="s">
        <v>494</v>
      </c>
      <c r="J439" s="946" t="s">
        <v>494</v>
      </c>
      <c r="K439" s="946" t="s">
        <v>494</v>
      </c>
      <c r="L439" s="946" t="s">
        <v>494</v>
      </c>
      <c r="M439" s="946" t="s">
        <v>494</v>
      </c>
      <c r="N439" s="946" t="s">
        <v>494</v>
      </c>
      <c r="O439" s="946" t="s">
        <v>494</v>
      </c>
      <c r="P439" s="946" t="s">
        <v>494</v>
      </c>
      <c r="Q439" s="947" t="s">
        <v>514</v>
      </c>
      <c r="R439" s="946" t="s">
        <v>145</v>
      </c>
      <c r="S439" s="948">
        <v>1</v>
      </c>
      <c r="T439" s="949">
        <v>35892</v>
      </c>
      <c r="U439" s="950" t="s">
        <v>331</v>
      </c>
      <c r="V439" s="950" t="s">
        <v>117</v>
      </c>
      <c r="W439" s="951">
        <f t="shared" ca="1" si="7"/>
        <v>16.055555555555557</v>
      </c>
    </row>
    <row r="440" spans="1:24" ht="12" customHeight="1">
      <c r="A440" s="48">
        <v>428</v>
      </c>
      <c r="B440" s="964" t="s">
        <v>42</v>
      </c>
      <c r="C440" s="965" t="s">
        <v>515</v>
      </c>
      <c r="D440" s="954" t="s">
        <v>41</v>
      </c>
      <c r="E440" s="1031"/>
      <c r="F440" s="966"/>
      <c r="G440" s="966"/>
      <c r="H440" s="937" t="s">
        <v>511</v>
      </c>
      <c r="I440" s="955" t="s">
        <v>494</v>
      </c>
      <c r="J440" s="955" t="s">
        <v>494</v>
      </c>
      <c r="K440" s="955" t="s">
        <v>494</v>
      </c>
      <c r="L440" s="955" t="s">
        <v>494</v>
      </c>
      <c r="M440" s="955" t="s">
        <v>494</v>
      </c>
      <c r="N440" s="955" t="s">
        <v>494</v>
      </c>
      <c r="O440" s="955" t="s">
        <v>494</v>
      </c>
      <c r="P440" s="955" t="s">
        <v>494</v>
      </c>
      <c r="Q440" s="956" t="s">
        <v>516</v>
      </c>
      <c r="R440" s="955" t="s">
        <v>145</v>
      </c>
      <c r="S440" s="957">
        <v>1</v>
      </c>
      <c r="T440" s="958">
        <v>33100</v>
      </c>
      <c r="U440" s="967" t="s">
        <v>117</v>
      </c>
      <c r="V440" s="959" t="s">
        <v>517</v>
      </c>
      <c r="W440" s="941">
        <f t="shared" ca="1" si="7"/>
        <v>23.7</v>
      </c>
      <c r="X440" s="48">
        <v>428</v>
      </c>
    </row>
    <row r="441" spans="1:24" ht="12" customHeight="1">
      <c r="B441" s="710" t="s">
        <v>1431</v>
      </c>
      <c r="C441" s="1136" t="s">
        <v>1382</v>
      </c>
      <c r="D441" s="319"/>
      <c r="E441" s="1026"/>
      <c r="F441" s="210">
        <f>125.3+202.4+38.2+424.3+0+0+147.8+0+79.07+99.9+558.6</f>
        <v>1675.5700000000002</v>
      </c>
      <c r="G441" s="210"/>
      <c r="H441" s="917" t="s">
        <v>494</v>
      </c>
      <c r="I441" s="210">
        <v>241639016</v>
      </c>
      <c r="J441" s="210" t="s">
        <v>494</v>
      </c>
      <c r="K441" s="210">
        <v>482093346</v>
      </c>
      <c r="L441" s="210" t="s">
        <v>495</v>
      </c>
      <c r="M441" s="210" t="s">
        <v>495</v>
      </c>
      <c r="N441" s="210" t="s">
        <v>495</v>
      </c>
      <c r="O441" s="210">
        <v>122234208</v>
      </c>
      <c r="P441" s="210">
        <v>551281775</v>
      </c>
      <c r="Q441" s="211" t="s">
        <v>1378</v>
      </c>
      <c r="R441" s="210" t="s">
        <v>69</v>
      </c>
      <c r="S441" s="242">
        <v>1</v>
      </c>
      <c r="T441" s="858">
        <v>40197</v>
      </c>
      <c r="U441" s="1211" t="s">
        <v>117</v>
      </c>
      <c r="V441" s="1211" t="s">
        <v>117</v>
      </c>
      <c r="W441" s="314">
        <f t="shared" ca="1" si="7"/>
        <v>4.2722222222222221</v>
      </c>
    </row>
    <row r="442" spans="1:24" ht="12" customHeight="1">
      <c r="A442" s="48">
        <v>430</v>
      </c>
      <c r="B442" s="249" t="s">
        <v>42</v>
      </c>
      <c r="C442" s="217" t="s">
        <v>1168</v>
      </c>
      <c r="D442" s="929"/>
      <c r="E442" s="1026"/>
      <c r="F442" s="218"/>
      <c r="G442" s="218"/>
      <c r="H442" s="931" t="s">
        <v>494</v>
      </c>
      <c r="I442" s="210" t="s">
        <v>495</v>
      </c>
      <c r="J442" s="210" t="s">
        <v>494</v>
      </c>
      <c r="K442" s="210" t="s">
        <v>495</v>
      </c>
      <c r="L442" s="210">
        <v>594011053</v>
      </c>
      <c r="M442" s="210" t="s">
        <v>495</v>
      </c>
      <c r="N442" s="210">
        <v>432754083</v>
      </c>
      <c r="O442" s="210">
        <v>42994101</v>
      </c>
      <c r="P442" s="210">
        <v>264953634</v>
      </c>
      <c r="Q442" s="219" t="s">
        <v>313</v>
      </c>
      <c r="R442" s="220" t="s">
        <v>69</v>
      </c>
      <c r="S442" s="247">
        <v>1</v>
      </c>
      <c r="T442" s="861">
        <v>36491</v>
      </c>
      <c r="U442" s="248" t="s">
        <v>75</v>
      </c>
      <c r="V442" s="248" t="s">
        <v>314</v>
      </c>
      <c r="W442" s="314">
        <f t="shared" ca="1" si="7"/>
        <v>14.416666666666666</v>
      </c>
      <c r="X442" s="48">
        <v>430</v>
      </c>
    </row>
    <row r="443" spans="1:24" ht="12" customHeight="1">
      <c r="B443" s="984" t="s">
        <v>42</v>
      </c>
      <c r="C443" s="973" t="s">
        <v>248</v>
      </c>
      <c r="D443" s="1223"/>
      <c r="E443" s="1032"/>
      <c r="F443" s="974"/>
      <c r="G443" s="974"/>
      <c r="H443" s="2000" t="s">
        <v>494</v>
      </c>
      <c r="I443" s="975" t="s">
        <v>495</v>
      </c>
      <c r="J443" s="975" t="s">
        <v>494</v>
      </c>
      <c r="K443" s="975" t="s">
        <v>495</v>
      </c>
      <c r="L443" s="975">
        <v>596458536</v>
      </c>
      <c r="M443" s="975" t="s">
        <v>495</v>
      </c>
      <c r="N443" s="976">
        <v>366982558</v>
      </c>
      <c r="O443" s="975">
        <v>42037642</v>
      </c>
      <c r="P443" s="975">
        <v>221796499</v>
      </c>
      <c r="Q443" s="977" t="s">
        <v>249</v>
      </c>
      <c r="R443" s="975" t="s">
        <v>69</v>
      </c>
      <c r="S443" s="1248">
        <v>8</v>
      </c>
      <c r="T443" s="979">
        <v>39503</v>
      </c>
      <c r="U443" s="980" t="s">
        <v>77</v>
      </c>
      <c r="V443" s="980" t="s">
        <v>268</v>
      </c>
      <c r="W443" s="951">
        <f t="shared" ca="1" si="7"/>
        <v>6.1722222222222225</v>
      </c>
    </row>
    <row r="444" spans="1:24" ht="12" customHeight="1">
      <c r="A444" s="48">
        <v>432</v>
      </c>
      <c r="B444" s="1212" t="s">
        <v>42</v>
      </c>
      <c r="C444" s="1215" t="s">
        <v>518</v>
      </c>
      <c r="D444" s="1221" t="s">
        <v>41</v>
      </c>
      <c r="E444" s="1033"/>
      <c r="F444" s="1233"/>
      <c r="G444" s="1233"/>
      <c r="H444" s="937" t="s">
        <v>511</v>
      </c>
      <c r="I444" s="955" t="s">
        <v>494</v>
      </c>
      <c r="J444" s="955" t="s">
        <v>494</v>
      </c>
      <c r="K444" s="955" t="s">
        <v>494</v>
      </c>
      <c r="L444" s="955" t="s">
        <v>494</v>
      </c>
      <c r="M444" s="955" t="s">
        <v>494</v>
      </c>
      <c r="N444" s="955" t="s">
        <v>494</v>
      </c>
      <c r="O444" s="955" t="s">
        <v>494</v>
      </c>
      <c r="P444" s="955" t="s">
        <v>494</v>
      </c>
      <c r="Q444" s="1240" t="s">
        <v>519</v>
      </c>
      <c r="R444" s="1244" t="s">
        <v>145</v>
      </c>
      <c r="S444" s="1247">
        <v>1</v>
      </c>
      <c r="T444" s="1251">
        <v>36497</v>
      </c>
      <c r="U444" s="1255" t="s">
        <v>117</v>
      </c>
      <c r="V444" s="1255" t="s">
        <v>520</v>
      </c>
      <c r="W444" s="941">
        <f t="shared" ca="1" si="7"/>
        <v>14.4</v>
      </c>
      <c r="X444" s="48">
        <v>432</v>
      </c>
    </row>
    <row r="445" spans="1:24" ht="12" customHeight="1">
      <c r="B445" s="708" t="s">
        <v>1431</v>
      </c>
      <c r="C445" s="213" t="s">
        <v>521</v>
      </c>
      <c r="D445" s="918"/>
      <c r="E445" s="1025"/>
      <c r="F445" s="215"/>
      <c r="G445" s="215"/>
      <c r="H445" s="920" t="s">
        <v>511</v>
      </c>
      <c r="I445" s="215" t="s">
        <v>494</v>
      </c>
      <c r="J445" s="215" t="s">
        <v>494</v>
      </c>
      <c r="K445" s="215" t="s">
        <v>494</v>
      </c>
      <c r="L445" s="215" t="s">
        <v>494</v>
      </c>
      <c r="M445" s="215" t="s">
        <v>494</v>
      </c>
      <c r="N445" s="1261" t="s">
        <v>1595</v>
      </c>
      <c r="O445" s="215" t="s">
        <v>494</v>
      </c>
      <c r="P445" s="215" t="s">
        <v>494</v>
      </c>
      <c r="Q445" s="216" t="s">
        <v>522</v>
      </c>
      <c r="R445" s="215" t="s">
        <v>69</v>
      </c>
      <c r="S445" s="244">
        <v>1</v>
      </c>
      <c r="T445" s="859">
        <v>37663</v>
      </c>
      <c r="U445" s="245" t="s">
        <v>117</v>
      </c>
      <c r="V445" s="245" t="s">
        <v>117</v>
      </c>
      <c r="W445" s="314">
        <f t="shared" ca="1" si="7"/>
        <v>11.21111111111111</v>
      </c>
    </row>
    <row r="446" spans="1:24" ht="12" customHeight="1">
      <c r="A446" s="48">
        <v>434</v>
      </c>
      <c r="B446" s="241" t="s">
        <v>42</v>
      </c>
      <c r="C446" s="323" t="s">
        <v>914</v>
      </c>
      <c r="D446" s="923" t="s">
        <v>41</v>
      </c>
      <c r="E446" s="1026"/>
      <c r="F446" s="222"/>
      <c r="G446" s="222"/>
      <c r="H446" s="930" t="s">
        <v>494</v>
      </c>
      <c r="I446" s="212">
        <v>118246986</v>
      </c>
      <c r="J446" s="212" t="s">
        <v>494</v>
      </c>
      <c r="K446" s="212" t="s">
        <v>495</v>
      </c>
      <c r="L446" s="212" t="s">
        <v>495</v>
      </c>
      <c r="M446" s="212">
        <v>484981835</v>
      </c>
      <c r="N446" s="210" t="s">
        <v>495</v>
      </c>
      <c r="O446" s="212">
        <v>40811822</v>
      </c>
      <c r="P446" s="212" t="s">
        <v>495</v>
      </c>
      <c r="Q446" s="219" t="s">
        <v>917</v>
      </c>
      <c r="R446" s="220" t="s">
        <v>69</v>
      </c>
      <c r="S446" s="247">
        <v>1</v>
      </c>
      <c r="T446" s="861">
        <v>39898</v>
      </c>
      <c r="U446" s="250" t="s">
        <v>117</v>
      </c>
      <c r="V446" s="248" t="s">
        <v>915</v>
      </c>
      <c r="W446" s="314">
        <f t="shared" ca="1" si="7"/>
        <v>5.0861111111111112</v>
      </c>
      <c r="X446" s="48">
        <v>434</v>
      </c>
    </row>
    <row r="447" spans="1:24" ht="12" customHeight="1">
      <c r="B447" s="960" t="s">
        <v>42</v>
      </c>
      <c r="C447" s="962" t="s">
        <v>523</v>
      </c>
      <c r="D447" s="943"/>
      <c r="E447" s="1227"/>
      <c r="F447" s="944"/>
      <c r="G447" s="944"/>
      <c r="H447" s="981" t="s">
        <v>511</v>
      </c>
      <c r="I447" s="976" t="s">
        <v>494</v>
      </c>
      <c r="J447" s="976" t="s">
        <v>494</v>
      </c>
      <c r="K447" s="976" t="s">
        <v>494</v>
      </c>
      <c r="L447" s="976" t="s">
        <v>494</v>
      </c>
      <c r="M447" s="976" t="s">
        <v>494</v>
      </c>
      <c r="N447" s="976" t="s">
        <v>494</v>
      </c>
      <c r="O447" s="976" t="s">
        <v>494</v>
      </c>
      <c r="P447" s="976" t="s">
        <v>494</v>
      </c>
      <c r="Q447" s="947" t="s">
        <v>524</v>
      </c>
      <c r="R447" s="946" t="s">
        <v>145</v>
      </c>
      <c r="S447" s="948">
        <v>1</v>
      </c>
      <c r="T447" s="949">
        <v>35373</v>
      </c>
      <c r="U447" s="950" t="s">
        <v>77</v>
      </c>
      <c r="V447" s="950" t="s">
        <v>117</v>
      </c>
      <c r="W447" s="951">
        <f t="shared" ca="1" si="7"/>
        <v>17.480555555555554</v>
      </c>
    </row>
    <row r="448" spans="1:24" ht="12" customHeight="1">
      <c r="A448" s="48">
        <v>436</v>
      </c>
      <c r="B448" s="952" t="s">
        <v>42</v>
      </c>
      <c r="C448" s="965" t="s">
        <v>525</v>
      </c>
      <c r="D448" s="1222"/>
      <c r="E448" s="1028"/>
      <c r="F448" s="966"/>
      <c r="G448" s="966"/>
      <c r="H448" s="1238" t="s">
        <v>511</v>
      </c>
      <c r="I448" s="955" t="s">
        <v>494</v>
      </c>
      <c r="J448" s="955" t="s">
        <v>494</v>
      </c>
      <c r="K448" s="955" t="s">
        <v>494</v>
      </c>
      <c r="L448" s="955" t="s">
        <v>494</v>
      </c>
      <c r="M448" s="955" t="s">
        <v>494</v>
      </c>
      <c r="N448" s="955" t="s">
        <v>494</v>
      </c>
      <c r="O448" s="955" t="s">
        <v>494</v>
      </c>
      <c r="P448" s="955" t="s">
        <v>494</v>
      </c>
      <c r="Q448" s="956" t="s">
        <v>526</v>
      </c>
      <c r="R448" s="955" t="s">
        <v>145</v>
      </c>
      <c r="S448" s="957">
        <v>1</v>
      </c>
      <c r="T448" s="958">
        <v>35794</v>
      </c>
      <c r="U448" s="959" t="s">
        <v>527</v>
      </c>
      <c r="V448" s="959" t="s">
        <v>117</v>
      </c>
      <c r="W448" s="941">
        <f t="shared" ca="1" si="7"/>
        <v>16.324999999999999</v>
      </c>
      <c r="X448" s="48">
        <v>436</v>
      </c>
    </row>
    <row r="449" spans="1:24" ht="12" customHeight="1">
      <c r="B449" s="241" t="s">
        <v>42</v>
      </c>
      <c r="C449" s="1186" t="s">
        <v>81</v>
      </c>
      <c r="D449" s="923" t="s">
        <v>41</v>
      </c>
      <c r="E449" s="1230"/>
      <c r="F449" s="209"/>
      <c r="G449" s="209"/>
      <c r="H449" s="764" t="s">
        <v>495</v>
      </c>
      <c r="I449" s="210" t="s">
        <v>495</v>
      </c>
      <c r="J449" s="210" t="s">
        <v>494</v>
      </c>
      <c r="K449" s="210" t="s">
        <v>495</v>
      </c>
      <c r="L449" s="210">
        <v>576791694</v>
      </c>
      <c r="M449" s="210">
        <v>481546590</v>
      </c>
      <c r="N449" s="210">
        <v>286087213</v>
      </c>
      <c r="O449" s="210">
        <v>30101150</v>
      </c>
      <c r="P449" s="210">
        <v>155950169</v>
      </c>
      <c r="Q449" s="223" t="s">
        <v>82</v>
      </c>
      <c r="R449" s="210" t="s">
        <v>69</v>
      </c>
      <c r="S449" s="242">
        <v>1</v>
      </c>
      <c r="T449" s="862">
        <v>38376</v>
      </c>
      <c r="U449" s="251" t="s">
        <v>83</v>
      </c>
      <c r="V449" s="251" t="s">
        <v>1877</v>
      </c>
      <c r="W449" s="314">
        <f t="shared" ca="1" si="7"/>
        <v>9.2583333333333329</v>
      </c>
    </row>
    <row r="450" spans="1:24" ht="12" customHeight="1">
      <c r="A450" s="48">
        <v>438</v>
      </c>
      <c r="B450" s="241" t="s">
        <v>42</v>
      </c>
      <c r="C450" s="221" t="s">
        <v>528</v>
      </c>
      <c r="D450" s="1952" t="s">
        <v>41</v>
      </c>
      <c r="E450" s="2732"/>
      <c r="F450" s="1988"/>
      <c r="G450" s="1988"/>
      <c r="H450" s="1996" t="s">
        <v>511</v>
      </c>
      <c r="I450" s="1549" t="s">
        <v>494</v>
      </c>
      <c r="J450" s="1549" t="s">
        <v>494</v>
      </c>
      <c r="K450" s="1549" t="s">
        <v>494</v>
      </c>
      <c r="L450" s="1549" t="s">
        <v>494</v>
      </c>
      <c r="M450" s="1549" t="s">
        <v>494</v>
      </c>
      <c r="N450" s="1549" t="s">
        <v>494</v>
      </c>
      <c r="O450" s="1549" t="s">
        <v>494</v>
      </c>
      <c r="P450" s="1549" t="s">
        <v>494</v>
      </c>
      <c r="Q450" s="2008" t="s">
        <v>68</v>
      </c>
      <c r="R450" s="2003" t="s">
        <v>69</v>
      </c>
      <c r="S450" s="1961">
        <v>1</v>
      </c>
      <c r="T450" s="2014">
        <v>39690</v>
      </c>
      <c r="U450" s="2017" t="s">
        <v>529</v>
      </c>
      <c r="V450" s="2017" t="s">
        <v>1877</v>
      </c>
      <c r="W450" s="1550">
        <f t="shared" ca="1" si="7"/>
        <v>5.6583333333333332</v>
      </c>
      <c r="X450" s="48">
        <v>438</v>
      </c>
    </row>
    <row r="451" spans="1:24" ht="12" customHeight="1">
      <c r="B451" s="1979" t="s">
        <v>1431</v>
      </c>
      <c r="C451" s="1982" t="s">
        <v>653</v>
      </c>
      <c r="D451" s="1964"/>
      <c r="E451" s="1228"/>
      <c r="F451" s="1991">
        <f>93+247+176+25+24+0+202+398+50+159+104+13+80+39+0+135</f>
        <v>1745</v>
      </c>
      <c r="G451" s="1994"/>
      <c r="H451" s="1999" t="s">
        <v>494</v>
      </c>
      <c r="I451" s="2004" t="s">
        <v>495</v>
      </c>
      <c r="J451" s="2004" t="s">
        <v>494</v>
      </c>
      <c r="K451" s="2004" t="s">
        <v>495</v>
      </c>
      <c r="L451" s="2004">
        <v>581880121</v>
      </c>
      <c r="M451" s="2004" t="s">
        <v>495</v>
      </c>
      <c r="N451" s="2004">
        <v>365813833</v>
      </c>
      <c r="O451" s="2004">
        <v>36900655</v>
      </c>
      <c r="P451" s="2004">
        <v>196472241</v>
      </c>
      <c r="Q451" s="1965" t="s">
        <v>89</v>
      </c>
      <c r="R451" s="2004" t="s">
        <v>69</v>
      </c>
      <c r="S451" s="2012">
        <v>2</v>
      </c>
      <c r="T451" s="1966">
        <v>40011</v>
      </c>
      <c r="U451" s="1967" t="s">
        <v>80</v>
      </c>
      <c r="V451" s="1967" t="s">
        <v>131</v>
      </c>
      <c r="W451" s="1968">
        <f t="shared" ca="1" si="7"/>
        <v>4.7777777777777777</v>
      </c>
    </row>
    <row r="452" spans="1:24" ht="12" customHeight="1">
      <c r="A452" s="48">
        <v>440</v>
      </c>
      <c r="B452" s="1978" t="s">
        <v>42</v>
      </c>
      <c r="C452" s="1981" t="s">
        <v>780</v>
      </c>
      <c r="D452" s="1986" t="s">
        <v>41</v>
      </c>
      <c r="E452" s="2733"/>
      <c r="F452" s="1990"/>
      <c r="G452" s="1990"/>
      <c r="H452" s="1998" t="s">
        <v>511</v>
      </c>
      <c r="I452" s="1990" t="s">
        <v>494</v>
      </c>
      <c r="J452" s="1990" t="s">
        <v>494</v>
      </c>
      <c r="K452" s="1990" t="s">
        <v>494</v>
      </c>
      <c r="L452" s="1990" t="s">
        <v>494</v>
      </c>
      <c r="M452" s="1990" t="s">
        <v>494</v>
      </c>
      <c r="N452" s="1990" t="s">
        <v>494</v>
      </c>
      <c r="O452" s="1990" t="s">
        <v>494</v>
      </c>
      <c r="P452" s="1990" t="s">
        <v>494</v>
      </c>
      <c r="Q452" s="2009" t="s">
        <v>530</v>
      </c>
      <c r="R452" s="1990" t="s">
        <v>69</v>
      </c>
      <c r="S452" s="2011">
        <v>1</v>
      </c>
      <c r="T452" s="2015">
        <v>38844</v>
      </c>
      <c r="U452" s="2018" t="s">
        <v>174</v>
      </c>
      <c r="V452" s="2018" t="s">
        <v>531</v>
      </c>
      <c r="W452" s="1976">
        <f t="shared" ca="1" si="7"/>
        <v>7.9722222222222223</v>
      </c>
      <c r="X452" s="48">
        <v>440</v>
      </c>
    </row>
    <row r="453" spans="1:24" ht="12" customHeight="1">
      <c r="B453" s="241" t="s">
        <v>42</v>
      </c>
      <c r="C453" s="1216" t="s">
        <v>860</v>
      </c>
      <c r="D453" s="1985" t="s">
        <v>41</v>
      </c>
      <c r="E453" s="1228"/>
      <c r="F453" s="1993"/>
      <c r="G453" s="1995"/>
      <c r="H453" s="2002" t="s">
        <v>511</v>
      </c>
      <c r="I453" s="1960" t="s">
        <v>494</v>
      </c>
      <c r="J453" s="1960" t="s">
        <v>494</v>
      </c>
      <c r="K453" s="2007" t="s">
        <v>494</v>
      </c>
      <c r="L453" s="1960" t="s">
        <v>494</v>
      </c>
      <c r="M453" s="2007" t="s">
        <v>494</v>
      </c>
      <c r="N453" s="2003" t="s">
        <v>494</v>
      </c>
      <c r="O453" s="1960" t="s">
        <v>494</v>
      </c>
      <c r="P453" s="1960" t="s">
        <v>494</v>
      </c>
      <c r="Q453" s="1959" t="s">
        <v>861</v>
      </c>
      <c r="R453" s="1960" t="s">
        <v>145</v>
      </c>
      <c r="S453" s="1961">
        <v>1</v>
      </c>
      <c r="T453" s="2014">
        <v>36034</v>
      </c>
      <c r="U453" s="1963" t="s">
        <v>80</v>
      </c>
      <c r="V453" s="1963" t="s">
        <v>538</v>
      </c>
      <c r="W453" s="1550">
        <f t="shared" ca="1" si="7"/>
        <v>15.666666666666666</v>
      </c>
    </row>
    <row r="454" spans="1:24" ht="12" customHeight="1">
      <c r="A454" s="48">
        <v>442</v>
      </c>
      <c r="B454" s="241" t="s">
        <v>42</v>
      </c>
      <c r="C454" s="762" t="s">
        <v>868</v>
      </c>
      <c r="D454" s="1985" t="s">
        <v>41</v>
      </c>
      <c r="E454" s="2734"/>
      <c r="F454" s="1988"/>
      <c r="G454" s="1988"/>
      <c r="H454" s="1996" t="s">
        <v>511</v>
      </c>
      <c r="I454" s="2003" t="s">
        <v>494</v>
      </c>
      <c r="J454" s="2003" t="s">
        <v>494</v>
      </c>
      <c r="K454" s="2003" t="s">
        <v>494</v>
      </c>
      <c r="L454" s="2003" t="s">
        <v>494</v>
      </c>
      <c r="M454" s="2003" t="s">
        <v>494</v>
      </c>
      <c r="N454" s="2003" t="s">
        <v>494</v>
      </c>
      <c r="O454" s="2003" t="s">
        <v>494</v>
      </c>
      <c r="P454" s="2003" t="s">
        <v>494</v>
      </c>
      <c r="Q454" s="1959" t="s">
        <v>861</v>
      </c>
      <c r="R454" s="1960" t="s">
        <v>69</v>
      </c>
      <c r="S454" s="1961">
        <v>1</v>
      </c>
      <c r="T454" s="1962">
        <v>38292</v>
      </c>
      <c r="U454" s="1963" t="s">
        <v>80</v>
      </c>
      <c r="V454" s="1963" t="s">
        <v>538</v>
      </c>
      <c r="W454" s="1550">
        <f t="shared" ca="1" si="7"/>
        <v>9.4888888888888889</v>
      </c>
      <c r="X454" s="48">
        <v>442</v>
      </c>
    </row>
    <row r="455" spans="1:24" ht="12" customHeight="1">
      <c r="B455" s="1980" t="s">
        <v>42</v>
      </c>
      <c r="C455" s="1983" t="s">
        <v>532</v>
      </c>
      <c r="D455" s="1987"/>
      <c r="E455" s="1226"/>
      <c r="F455" s="1992"/>
      <c r="G455" s="1992"/>
      <c r="H455" s="2001" t="s">
        <v>511</v>
      </c>
      <c r="I455" s="2005" t="s">
        <v>494</v>
      </c>
      <c r="J455" s="2005" t="s">
        <v>494</v>
      </c>
      <c r="K455" s="2005" t="s">
        <v>494</v>
      </c>
      <c r="L455" s="2005" t="s">
        <v>494</v>
      </c>
      <c r="M455" s="2005" t="s">
        <v>494</v>
      </c>
      <c r="N455" s="2005" t="s">
        <v>494</v>
      </c>
      <c r="O455" s="2005" t="s">
        <v>494</v>
      </c>
      <c r="P455" s="2005" t="s">
        <v>494</v>
      </c>
      <c r="Q455" s="2010" t="s">
        <v>533</v>
      </c>
      <c r="R455" s="2005" t="s">
        <v>145</v>
      </c>
      <c r="S455" s="2013">
        <v>1</v>
      </c>
      <c r="T455" s="2016">
        <v>38044</v>
      </c>
      <c r="U455" s="2019" t="s">
        <v>75</v>
      </c>
      <c r="V455" s="2019" t="s">
        <v>148</v>
      </c>
      <c r="W455" s="1968">
        <f t="shared" ca="1" si="7"/>
        <v>10.166666666666666</v>
      </c>
    </row>
    <row r="456" spans="1:24" ht="12" customHeight="1">
      <c r="A456" s="48">
        <v>444</v>
      </c>
      <c r="B456" s="1977" t="s">
        <v>1431</v>
      </c>
      <c r="C456" s="1570" t="s">
        <v>654</v>
      </c>
      <c r="D456" s="1984"/>
      <c r="E456" s="2735"/>
      <c r="F456" s="1989"/>
      <c r="G456" s="1989"/>
      <c r="H456" s="1997">
        <v>135653442</v>
      </c>
      <c r="I456" s="1969">
        <v>571436508</v>
      </c>
      <c r="J456" s="2006" t="s">
        <v>1595</v>
      </c>
      <c r="K456" s="1969">
        <v>388737537</v>
      </c>
      <c r="L456" s="1969">
        <v>587377858</v>
      </c>
      <c r="M456" s="1969">
        <v>488478127</v>
      </c>
      <c r="N456" s="1970">
        <v>347018401</v>
      </c>
      <c r="O456" s="1969">
        <v>55423479</v>
      </c>
      <c r="P456" s="1969">
        <v>325007476</v>
      </c>
      <c r="Q456" s="1971" t="s">
        <v>161</v>
      </c>
      <c r="R456" s="1972" t="s">
        <v>69</v>
      </c>
      <c r="S456" s="1973">
        <v>1</v>
      </c>
      <c r="T456" s="1974">
        <v>39527</v>
      </c>
      <c r="U456" s="1975" t="s">
        <v>78</v>
      </c>
      <c r="V456" s="2020" t="s">
        <v>117</v>
      </c>
      <c r="W456" s="1976">
        <f t="shared" ca="1" si="7"/>
        <v>6.1027777777777779</v>
      </c>
      <c r="X456" s="48">
        <v>444</v>
      </c>
    </row>
    <row r="457" spans="1:24" ht="12" customHeight="1">
      <c r="B457" s="1135" t="s">
        <v>42</v>
      </c>
      <c r="C457" s="1136" t="s">
        <v>792</v>
      </c>
      <c r="D457" s="1952"/>
      <c r="E457" s="1953"/>
      <c r="F457" s="1954">
        <f>61+60+0+176+408+293+116+26+96</f>
        <v>1236</v>
      </c>
      <c r="G457" s="1955"/>
      <c r="H457" s="1956">
        <v>113862809</v>
      </c>
      <c r="I457" s="1957" t="s">
        <v>494</v>
      </c>
      <c r="J457" s="1958" t="s">
        <v>495</v>
      </c>
      <c r="K457" s="1958">
        <v>318008548</v>
      </c>
      <c r="L457" s="1958">
        <v>588216481</v>
      </c>
      <c r="M457" s="1958">
        <v>485808669</v>
      </c>
      <c r="N457" s="1958">
        <v>324974903</v>
      </c>
      <c r="O457" s="1958">
        <v>43639708</v>
      </c>
      <c r="P457" s="1958">
        <v>215561133</v>
      </c>
      <c r="Q457" s="1959" t="s">
        <v>142</v>
      </c>
      <c r="R457" s="1960" t="s">
        <v>69</v>
      </c>
      <c r="S457" s="1961">
        <v>1</v>
      </c>
      <c r="T457" s="1962">
        <v>40040</v>
      </c>
      <c r="U457" s="1963" t="s">
        <v>108</v>
      </c>
      <c r="V457" s="1963" t="s">
        <v>143</v>
      </c>
      <c r="W457" s="1550">
        <f t="shared" ca="1" si="7"/>
        <v>4.7</v>
      </c>
    </row>
    <row r="458" spans="1:24" ht="12" customHeight="1">
      <c r="A458" s="48">
        <v>446</v>
      </c>
      <c r="B458" s="241" t="s">
        <v>42</v>
      </c>
      <c r="C458" s="221" t="s">
        <v>126</v>
      </c>
      <c r="D458" s="932"/>
      <c r="E458" s="1026"/>
      <c r="F458" s="224"/>
      <c r="G458" s="224"/>
      <c r="H458" s="921" t="s">
        <v>494</v>
      </c>
      <c r="I458" s="212">
        <v>84645955</v>
      </c>
      <c r="J458" s="212" t="s">
        <v>494</v>
      </c>
      <c r="K458" s="212">
        <v>7000000000</v>
      </c>
      <c r="L458" s="212">
        <v>589841217</v>
      </c>
      <c r="M458" s="212" t="s">
        <v>495</v>
      </c>
      <c r="N458" s="210">
        <v>307254331</v>
      </c>
      <c r="O458" s="212">
        <v>33230017</v>
      </c>
      <c r="P458" s="212">
        <v>169150024</v>
      </c>
      <c r="Q458" s="211" t="s">
        <v>127</v>
      </c>
      <c r="R458" s="212" t="s">
        <v>69</v>
      </c>
      <c r="S458" s="242">
        <v>1</v>
      </c>
      <c r="T458" s="858">
        <v>37834</v>
      </c>
      <c r="U458" s="243" t="s">
        <v>66</v>
      </c>
      <c r="V458" s="243" t="s">
        <v>128</v>
      </c>
      <c r="W458" s="314">
        <f t="shared" ca="1" si="7"/>
        <v>10.738888888888889</v>
      </c>
      <c r="X458" s="48">
        <v>446</v>
      </c>
    </row>
    <row r="459" spans="1:24" ht="12" customHeight="1">
      <c r="B459" s="1214" t="s">
        <v>42</v>
      </c>
      <c r="C459" s="1217" t="s">
        <v>534</v>
      </c>
      <c r="D459" s="1224"/>
      <c r="E459" s="1030"/>
      <c r="F459" s="1234"/>
      <c r="G459" s="1234"/>
      <c r="H459" s="976" t="s">
        <v>511</v>
      </c>
      <c r="I459" s="946" t="s">
        <v>494</v>
      </c>
      <c r="J459" s="946" t="s">
        <v>494</v>
      </c>
      <c r="K459" s="946" t="s">
        <v>494</v>
      </c>
      <c r="L459" s="946" t="s">
        <v>494</v>
      </c>
      <c r="M459" s="946" t="s">
        <v>494</v>
      </c>
      <c r="N459" s="946" t="s">
        <v>494</v>
      </c>
      <c r="O459" s="946" t="s">
        <v>494</v>
      </c>
      <c r="P459" s="946" t="s">
        <v>494</v>
      </c>
      <c r="Q459" s="1241" t="s">
        <v>535</v>
      </c>
      <c r="R459" s="1245" t="s">
        <v>145</v>
      </c>
      <c r="S459" s="1249">
        <v>1</v>
      </c>
      <c r="T459" s="1252">
        <v>35368</v>
      </c>
      <c r="U459" s="1256" t="s">
        <v>66</v>
      </c>
      <c r="V459" s="1256" t="s">
        <v>536</v>
      </c>
      <c r="W459" s="951">
        <f t="shared" ca="1" si="7"/>
        <v>17.491666666666667</v>
      </c>
    </row>
    <row r="460" spans="1:24" ht="12" customHeight="1">
      <c r="A460" s="48">
        <v>448</v>
      </c>
      <c r="B460" s="952" t="s">
        <v>42</v>
      </c>
      <c r="C460" s="965" t="s">
        <v>537</v>
      </c>
      <c r="D460" s="1222"/>
      <c r="E460" s="1231"/>
      <c r="F460" s="966"/>
      <c r="G460" s="966"/>
      <c r="H460" s="1238" t="s">
        <v>511</v>
      </c>
      <c r="I460" s="955" t="s">
        <v>494</v>
      </c>
      <c r="J460" s="955" t="s">
        <v>494</v>
      </c>
      <c r="K460" s="955" t="s">
        <v>494</v>
      </c>
      <c r="L460" s="955" t="s">
        <v>494</v>
      </c>
      <c r="M460" s="955" t="s">
        <v>494</v>
      </c>
      <c r="N460" s="955" t="s">
        <v>494</v>
      </c>
      <c r="O460" s="955" t="s">
        <v>494</v>
      </c>
      <c r="P460" s="955" t="s">
        <v>494</v>
      </c>
      <c r="Q460" s="956" t="s">
        <v>64</v>
      </c>
      <c r="R460" s="955" t="s">
        <v>145</v>
      </c>
      <c r="S460" s="957">
        <v>1</v>
      </c>
      <c r="T460" s="958">
        <v>36346</v>
      </c>
      <c r="U460" s="959" t="s">
        <v>66</v>
      </c>
      <c r="V460" s="959" t="s">
        <v>538</v>
      </c>
      <c r="W460" s="941">
        <f t="shared" ca="1" si="7"/>
        <v>14.811111111111112</v>
      </c>
      <c r="X460" s="48">
        <v>448</v>
      </c>
    </row>
    <row r="461" spans="1:24" ht="12" customHeight="1">
      <c r="B461" s="241" t="s">
        <v>42</v>
      </c>
      <c r="C461" s="318" t="s">
        <v>539</v>
      </c>
      <c r="D461" s="923" t="s">
        <v>41</v>
      </c>
      <c r="E461" s="1029"/>
      <c r="F461" s="209"/>
      <c r="G461" s="209"/>
      <c r="H461" s="919" t="s">
        <v>511</v>
      </c>
      <c r="I461" s="210" t="s">
        <v>494</v>
      </c>
      <c r="J461" s="210" t="s">
        <v>494</v>
      </c>
      <c r="K461" s="210" t="s">
        <v>494</v>
      </c>
      <c r="L461" s="215" t="s">
        <v>494</v>
      </c>
      <c r="M461" s="210" t="s">
        <v>494</v>
      </c>
      <c r="N461" s="210" t="s">
        <v>494</v>
      </c>
      <c r="O461" s="210" t="s">
        <v>494</v>
      </c>
      <c r="P461" s="210" t="s">
        <v>494</v>
      </c>
      <c r="Q461" s="223" t="s">
        <v>540</v>
      </c>
      <c r="R461" s="210" t="s">
        <v>145</v>
      </c>
      <c r="S461" s="242">
        <v>1</v>
      </c>
      <c r="T461" s="862">
        <v>33348</v>
      </c>
      <c r="U461" s="251" t="s">
        <v>80</v>
      </c>
      <c r="V461" s="251" t="s">
        <v>412</v>
      </c>
      <c r="W461" s="314">
        <f t="shared" ca="1" si="7"/>
        <v>23.019444444444446</v>
      </c>
    </row>
    <row r="462" spans="1:24" ht="12" customHeight="1">
      <c r="A462" s="48">
        <v>450</v>
      </c>
      <c r="B462" s="1139" t="s">
        <v>1431</v>
      </c>
      <c r="C462" s="1218" t="s">
        <v>794</v>
      </c>
      <c r="D462" s="1225"/>
      <c r="E462" s="1029"/>
      <c r="F462" s="1235"/>
      <c r="G462" s="1235"/>
      <c r="H462" s="917" t="s">
        <v>511</v>
      </c>
      <c r="I462" s="215" t="s">
        <v>494</v>
      </c>
      <c r="J462" s="215" t="s">
        <v>494</v>
      </c>
      <c r="K462" s="1261" t="s">
        <v>1595</v>
      </c>
      <c r="L462" s="1261" t="s">
        <v>1595</v>
      </c>
      <c r="M462" s="215" t="s">
        <v>494</v>
      </c>
      <c r="N462" s="1261" t="s">
        <v>1595</v>
      </c>
      <c r="O462" s="1261" t="s">
        <v>1595</v>
      </c>
      <c r="P462" s="215" t="s">
        <v>494</v>
      </c>
      <c r="Q462" s="1242" t="s">
        <v>112</v>
      </c>
      <c r="R462" s="1246" t="s">
        <v>69</v>
      </c>
      <c r="S462" s="1250">
        <v>8</v>
      </c>
      <c r="T462" s="1253">
        <v>39203</v>
      </c>
      <c r="U462" s="1257" t="s">
        <v>80</v>
      </c>
      <c r="V462" s="1257" t="s">
        <v>541</v>
      </c>
      <c r="W462" s="314">
        <f t="shared" ca="1" si="7"/>
        <v>6.9888888888888889</v>
      </c>
      <c r="X462" s="48">
        <v>450</v>
      </c>
    </row>
    <row r="463" spans="1:24" ht="12" customHeight="1">
      <c r="B463" s="1213" t="s">
        <v>1431</v>
      </c>
      <c r="C463" s="1219" t="s">
        <v>116</v>
      </c>
      <c r="D463" s="1223"/>
      <c r="E463" s="1032"/>
      <c r="F463" s="974">
        <f>183+806+2099+61+278+262+1031+1128+153+50+48+274+355+69+220+2065+534</f>
        <v>9616</v>
      </c>
      <c r="G463" s="974"/>
      <c r="H463" s="981" t="s">
        <v>494</v>
      </c>
      <c r="I463" s="976" t="s">
        <v>494</v>
      </c>
      <c r="J463" s="975" t="s">
        <v>494</v>
      </c>
      <c r="K463" s="1239" t="s">
        <v>1595</v>
      </c>
      <c r="L463" s="1239" t="s">
        <v>1595</v>
      </c>
      <c r="M463" s="1239" t="s">
        <v>793</v>
      </c>
      <c r="N463" s="1239" t="s">
        <v>1595</v>
      </c>
      <c r="O463" s="1239" t="s">
        <v>1595</v>
      </c>
      <c r="P463" s="976">
        <v>213625692</v>
      </c>
      <c r="Q463" s="1243" t="s">
        <v>112</v>
      </c>
      <c r="R463" s="976" t="s">
        <v>69</v>
      </c>
      <c r="S463" s="1248">
        <v>8</v>
      </c>
      <c r="T463" s="1254">
        <v>39385</v>
      </c>
      <c r="U463" s="1258" t="s">
        <v>80</v>
      </c>
      <c r="V463" s="1258" t="s">
        <v>113</v>
      </c>
      <c r="W463" s="951">
        <f t="shared" ca="1" si="7"/>
        <v>6.4916666666666663</v>
      </c>
    </row>
    <row r="464" spans="1:24" ht="12" customHeight="1">
      <c r="A464" s="48">
        <v>452</v>
      </c>
      <c r="B464" s="968" t="s">
        <v>1431</v>
      </c>
      <c r="C464" s="953" t="s">
        <v>542</v>
      </c>
      <c r="D464" s="969"/>
      <c r="E464" s="1028"/>
      <c r="F464" s="966"/>
      <c r="G464" s="966"/>
      <c r="H464" s="1238" t="s">
        <v>511</v>
      </c>
      <c r="I464" s="955" t="s">
        <v>494</v>
      </c>
      <c r="J464" s="955" t="s">
        <v>494</v>
      </c>
      <c r="K464" s="955" t="s">
        <v>494</v>
      </c>
      <c r="L464" s="955" t="s">
        <v>494</v>
      </c>
      <c r="M464" s="955" t="s">
        <v>494</v>
      </c>
      <c r="N464" s="955" t="s">
        <v>494</v>
      </c>
      <c r="O464" s="955" t="s">
        <v>494</v>
      </c>
      <c r="P464" s="955" t="s">
        <v>494</v>
      </c>
      <c r="Q464" s="956" t="s">
        <v>64</v>
      </c>
      <c r="R464" s="955" t="s">
        <v>69</v>
      </c>
      <c r="S464" s="957">
        <v>1</v>
      </c>
      <c r="T464" s="958">
        <v>38335</v>
      </c>
      <c r="U464" s="959" t="s">
        <v>66</v>
      </c>
      <c r="V464" s="1259" t="s">
        <v>543</v>
      </c>
      <c r="W464" s="941">
        <f t="shared" ca="1" si="7"/>
        <v>9.3694444444444436</v>
      </c>
      <c r="X464" s="48">
        <v>452</v>
      </c>
    </row>
    <row r="465" spans="1:24" ht="12" customHeight="1">
      <c r="B465" s="1213" t="s">
        <v>1431</v>
      </c>
      <c r="C465" s="1220" t="s">
        <v>84</v>
      </c>
      <c r="D465" s="1223"/>
      <c r="E465" s="1232"/>
      <c r="F465" s="1236">
        <f>952+1301+0+2686+1522+3699+976+466+1899</f>
        <v>13501</v>
      </c>
      <c r="G465" s="1237"/>
      <c r="H465" s="1236">
        <v>83024045</v>
      </c>
      <c r="I465" s="1236">
        <v>347905088</v>
      </c>
      <c r="J465" s="1236" t="s">
        <v>495</v>
      </c>
      <c r="K465" s="1236">
        <v>295798708</v>
      </c>
      <c r="L465" s="1236">
        <v>583831264</v>
      </c>
      <c r="M465" s="1236">
        <v>482365534</v>
      </c>
      <c r="N465" s="1236">
        <v>264284049</v>
      </c>
      <c r="O465" s="1236">
        <v>36083605</v>
      </c>
      <c r="P465" s="1236">
        <v>202398726</v>
      </c>
      <c r="Q465" s="977" t="s">
        <v>64</v>
      </c>
      <c r="R465" s="975" t="s">
        <v>69</v>
      </c>
      <c r="S465" s="978">
        <v>1</v>
      </c>
      <c r="T465" s="979">
        <v>38567</v>
      </c>
      <c r="U465" s="980" t="s">
        <v>66</v>
      </c>
      <c r="V465" s="980" t="s">
        <v>85</v>
      </c>
      <c r="W465" s="951">
        <f t="shared" ca="1" si="7"/>
        <v>8.7333333333333325</v>
      </c>
    </row>
    <row r="466" spans="1:24" ht="12" customHeight="1">
      <c r="A466" s="48">
        <v>454</v>
      </c>
      <c r="B466" s="935" t="s">
        <v>1431</v>
      </c>
      <c r="C466" s="982" t="s">
        <v>71</v>
      </c>
      <c r="D466" s="983"/>
      <c r="E466" s="1034"/>
      <c r="F466" s="970"/>
      <c r="G466" s="970"/>
      <c r="H466" s="937" t="s">
        <v>494</v>
      </c>
      <c r="I466" s="971" t="s">
        <v>494</v>
      </c>
      <c r="J466" s="936" t="s">
        <v>494</v>
      </c>
      <c r="K466" s="936" t="s">
        <v>495</v>
      </c>
      <c r="L466" s="936">
        <v>580271322</v>
      </c>
      <c r="M466" s="936" t="s">
        <v>494</v>
      </c>
      <c r="N466" s="936">
        <v>245014676</v>
      </c>
      <c r="O466" s="936">
        <f>27379874+136</f>
        <v>27380010</v>
      </c>
      <c r="P466" s="971">
        <v>154630521</v>
      </c>
      <c r="Q466" s="938" t="s">
        <v>64</v>
      </c>
      <c r="R466" s="971" t="s">
        <v>69</v>
      </c>
      <c r="S466" s="939">
        <v>1</v>
      </c>
      <c r="T466" s="940">
        <v>38777</v>
      </c>
      <c r="U466" s="972" t="s">
        <v>66</v>
      </c>
      <c r="V466" s="972" t="s">
        <v>67</v>
      </c>
      <c r="W466" s="941">
        <f t="shared" ca="1" si="7"/>
        <v>8.155555555555555</v>
      </c>
      <c r="X466" s="48">
        <v>454</v>
      </c>
    </row>
    <row r="467" spans="1:24" ht="12" customHeight="1">
      <c r="B467" s="708" t="s">
        <v>1431</v>
      </c>
      <c r="C467" s="213" t="s">
        <v>544</v>
      </c>
      <c r="D467" s="918"/>
      <c r="E467" s="1025"/>
      <c r="F467" s="214"/>
      <c r="G467" s="214"/>
      <c r="H467" s="919" t="s">
        <v>511</v>
      </c>
      <c r="I467" s="215" t="s">
        <v>494</v>
      </c>
      <c r="J467" s="215" t="s">
        <v>494</v>
      </c>
      <c r="K467" s="215" t="s">
        <v>494</v>
      </c>
      <c r="L467" s="215" t="s">
        <v>494</v>
      </c>
      <c r="M467" s="215" t="s">
        <v>494</v>
      </c>
      <c r="N467" s="215" t="s">
        <v>494</v>
      </c>
      <c r="O467" s="215" t="s">
        <v>494</v>
      </c>
      <c r="P467" s="215" t="s">
        <v>494</v>
      </c>
      <c r="Q467" s="216" t="s">
        <v>64</v>
      </c>
      <c r="R467" s="215" t="s">
        <v>69</v>
      </c>
      <c r="S467" s="244">
        <v>1</v>
      </c>
      <c r="T467" s="859">
        <v>38709</v>
      </c>
      <c r="U467" s="245" t="s">
        <v>66</v>
      </c>
      <c r="V467" s="252" t="s">
        <v>545</v>
      </c>
      <c r="W467" s="314">
        <f t="shared" ca="1" si="7"/>
        <v>8.344444444444445</v>
      </c>
    </row>
    <row r="468" spans="1:24" ht="12" customHeight="1" thickBot="1">
      <c r="A468" s="48">
        <v>456</v>
      </c>
      <c r="B468" s="711" t="s">
        <v>1431</v>
      </c>
      <c r="C468" s="2650" t="s">
        <v>888</v>
      </c>
      <c r="D468" s="253"/>
      <c r="E468" s="1035"/>
      <c r="F468" s="225"/>
      <c r="G468" s="225"/>
      <c r="H468" s="226" t="s">
        <v>494</v>
      </c>
      <c r="I468" s="227">
        <v>132470243</v>
      </c>
      <c r="J468" s="227" t="s">
        <v>494</v>
      </c>
      <c r="K468" s="227" t="s">
        <v>495</v>
      </c>
      <c r="L468" s="228" t="s">
        <v>494</v>
      </c>
      <c r="M468" s="227" t="s">
        <v>494</v>
      </c>
      <c r="N468" s="227" t="s">
        <v>494</v>
      </c>
      <c r="O468" s="227" t="s">
        <v>494</v>
      </c>
      <c r="P468" s="227" t="s">
        <v>494</v>
      </c>
      <c r="Q468" s="229" t="s">
        <v>546</v>
      </c>
      <c r="R468" s="227" t="s">
        <v>69</v>
      </c>
      <c r="S468" s="228">
        <v>1</v>
      </c>
      <c r="T468" s="863">
        <v>36305</v>
      </c>
      <c r="U468" s="254" t="s">
        <v>78</v>
      </c>
      <c r="V468" s="254" t="s">
        <v>1776</v>
      </c>
      <c r="W468" s="315">
        <f t="shared" ca="1" si="7"/>
        <v>14.922222222222222</v>
      </c>
      <c r="X468" s="48">
        <v>456</v>
      </c>
    </row>
    <row r="469" spans="1:24" ht="12" customHeight="1" thickTop="1"/>
    <row r="470" spans="1:24" ht="14.1" customHeight="1">
      <c r="A470" s="48"/>
      <c r="C470" s="2639" t="s">
        <v>2069</v>
      </c>
      <c r="E470" s="713" t="s">
        <v>1432</v>
      </c>
      <c r="H470" s="322"/>
      <c r="I470" s="322"/>
      <c r="J470" s="322"/>
      <c r="K470" s="322"/>
      <c r="L470" s="322"/>
      <c r="M470" s="322"/>
      <c r="N470" s="322"/>
      <c r="O470" s="322"/>
      <c r="P470" s="322"/>
      <c r="Q470" s="322"/>
      <c r="R470" s="322"/>
      <c r="S470" s="322"/>
      <c r="X470" s="48"/>
    </row>
    <row r="471" spans="1:24" ht="14.1" customHeight="1">
      <c r="C471" s="2641" t="s">
        <v>2070</v>
      </c>
      <c r="E471" s="712" t="s">
        <v>1433</v>
      </c>
      <c r="H471" s="322"/>
      <c r="I471" s="322"/>
      <c r="J471" s="322"/>
      <c r="K471" s="322"/>
      <c r="L471" s="322"/>
      <c r="M471" s="322"/>
      <c r="N471" s="322"/>
      <c r="O471" s="322"/>
      <c r="P471" s="322"/>
      <c r="Q471" s="322"/>
      <c r="R471" s="322"/>
      <c r="S471" s="322"/>
    </row>
    <row r="472" spans="1:24" ht="14.1" customHeight="1">
      <c r="A472" s="48"/>
      <c r="C472" s="2642" t="s">
        <v>2071</v>
      </c>
      <c r="E472" s="283" t="s">
        <v>1271</v>
      </c>
      <c r="X472" s="48"/>
    </row>
    <row r="473" spans="1:24" ht="14.1" customHeight="1">
      <c r="C473" s="2640" t="s">
        <v>2072</v>
      </c>
      <c r="E473" s="55" t="s">
        <v>1516</v>
      </c>
      <c r="H473" s="322"/>
      <c r="I473" s="322"/>
      <c r="J473" s="322"/>
      <c r="K473" s="322"/>
      <c r="L473" s="322"/>
      <c r="M473" s="322"/>
      <c r="N473" s="322"/>
      <c r="O473" s="322"/>
      <c r="P473" s="322"/>
      <c r="Q473" s="322"/>
      <c r="R473" s="322"/>
      <c r="S473" s="322"/>
    </row>
    <row r="474" spans="1:24" ht="14.1" customHeight="1">
      <c r="C474" s="2643"/>
      <c r="E474" s="55" t="s">
        <v>1434</v>
      </c>
      <c r="H474" s="322"/>
      <c r="I474" s="322"/>
      <c r="J474" s="322"/>
      <c r="K474" s="322"/>
      <c r="L474" s="322"/>
      <c r="M474" s="322"/>
      <c r="N474" s="322"/>
      <c r="O474" s="322"/>
      <c r="P474" s="322"/>
      <c r="Q474" s="322"/>
      <c r="R474" s="322"/>
      <c r="S474" s="322"/>
    </row>
    <row r="475" spans="1:24" ht="14.1" customHeight="1">
      <c r="A475" s="48"/>
      <c r="C475" s="55"/>
      <c r="E475" s="55"/>
      <c r="X475" s="48"/>
    </row>
    <row r="476" spans="1:24" ht="12.75" hidden="1" customHeight="1">
      <c r="C476" s="55" t="s">
        <v>1356</v>
      </c>
    </row>
    <row r="477" spans="1:24" ht="12.75" hidden="1" customHeight="1">
      <c r="A477" s="48">
        <v>434</v>
      </c>
      <c r="C477" s="283" t="s">
        <v>1271</v>
      </c>
      <c r="X477" s="48">
        <v>434</v>
      </c>
    </row>
    <row r="478" spans="1:24" ht="12.75" hidden="1" customHeight="1"/>
    <row r="479" spans="1:24" ht="12.75" hidden="1" customHeight="1">
      <c r="A479" s="48">
        <v>436</v>
      </c>
      <c r="X479" s="48">
        <v>436</v>
      </c>
    </row>
    <row r="480" spans="1:24" ht="12.75" hidden="1" customHeight="1"/>
    <row r="481" spans="1:24" ht="12.75" hidden="1" customHeight="1">
      <c r="A481" s="48">
        <v>438</v>
      </c>
      <c r="X481" s="48">
        <v>438</v>
      </c>
    </row>
    <row r="482" spans="1:24" ht="12.75" hidden="1" customHeight="1"/>
    <row r="483" spans="1:24" ht="12.75" hidden="1" customHeight="1">
      <c r="A483" s="48">
        <v>440</v>
      </c>
      <c r="X483" s="48">
        <v>440</v>
      </c>
    </row>
    <row r="484" spans="1:24" ht="12.75" hidden="1" customHeight="1"/>
    <row r="485" spans="1:24" ht="12.75" hidden="1" customHeight="1">
      <c r="A485" s="48">
        <v>442</v>
      </c>
      <c r="X485" s="48">
        <v>442</v>
      </c>
    </row>
    <row r="486" spans="1:24" ht="12.75" hidden="1" customHeight="1"/>
    <row r="487" spans="1:24" ht="12.75" hidden="1" customHeight="1">
      <c r="A487" s="48">
        <v>444</v>
      </c>
      <c r="X487" s="48">
        <v>444</v>
      </c>
    </row>
    <row r="488" spans="1:24" ht="12.75" hidden="1" customHeight="1">
      <c r="A488" s="48"/>
      <c r="X488" s="48"/>
    </row>
    <row r="489" spans="1:24" ht="12.75" hidden="1" customHeight="1">
      <c r="A489" s="48">
        <v>446</v>
      </c>
      <c r="X489" s="48">
        <v>446</v>
      </c>
    </row>
    <row r="490" spans="1:24" ht="12.75" hidden="1" customHeight="1"/>
    <row r="491" spans="1:24" ht="12.75" hidden="1" customHeight="1">
      <c r="A491" s="48">
        <v>448</v>
      </c>
      <c r="X491" s="48">
        <v>448</v>
      </c>
    </row>
    <row r="492" spans="1:24" ht="12.75" hidden="1" customHeight="1"/>
    <row r="493" spans="1:24" ht="12.75" hidden="1" customHeight="1">
      <c r="A493" s="48">
        <v>450</v>
      </c>
      <c r="X493" s="48">
        <v>450</v>
      </c>
    </row>
    <row r="494" spans="1:24" ht="12.75" hidden="1" customHeight="1">
      <c r="A494" s="48"/>
      <c r="X494" s="48"/>
    </row>
    <row r="495" spans="1:24" ht="12.75" hidden="1" customHeight="1">
      <c r="A495" s="48">
        <v>452</v>
      </c>
      <c r="X495" s="48">
        <v>452</v>
      </c>
    </row>
    <row r="496" spans="1:24" ht="12.75" hidden="1" customHeight="1">
      <c r="A496" s="48"/>
      <c r="X496" s="48"/>
    </row>
    <row r="497" spans="1:24" ht="12.75" hidden="1" customHeight="1">
      <c r="A497" s="48">
        <v>454</v>
      </c>
      <c r="X497" s="48">
        <v>454</v>
      </c>
    </row>
    <row r="498" spans="1:24" ht="12.75" hidden="1" customHeight="1"/>
    <row r="499" spans="1:24" ht="12.75" hidden="1" customHeight="1">
      <c r="A499" s="48">
        <v>456</v>
      </c>
      <c r="X499" s="48">
        <v>456</v>
      </c>
    </row>
    <row r="500" spans="1:24" ht="12.75" hidden="1" customHeight="1"/>
    <row r="501" spans="1:24" ht="12.75" hidden="1" customHeight="1">
      <c r="A501" s="48">
        <v>482</v>
      </c>
      <c r="X501" s="48">
        <v>482</v>
      </c>
    </row>
    <row r="502" spans="1:24" ht="12.75" hidden="1" customHeight="1">
      <c r="A502" s="48"/>
      <c r="X502" s="48"/>
    </row>
    <row r="503" spans="1:24" ht="12.75" hidden="1" customHeight="1">
      <c r="A503" s="48">
        <v>484</v>
      </c>
      <c r="X503" s="48">
        <v>484</v>
      </c>
    </row>
    <row r="504" spans="1:24" ht="12.75" hidden="1" customHeight="1">
      <c r="A504" s="48"/>
      <c r="X504" s="48"/>
    </row>
    <row r="505" spans="1:24" ht="12.75" hidden="1" customHeight="1">
      <c r="A505" s="48">
        <v>486</v>
      </c>
      <c r="X505" s="48">
        <v>486</v>
      </c>
    </row>
    <row r="506" spans="1:24" ht="12.75" hidden="1" customHeight="1">
      <c r="A506" s="48"/>
      <c r="X506" s="48"/>
    </row>
    <row r="507" spans="1:24" ht="12.75" hidden="1" customHeight="1">
      <c r="A507" s="48">
        <v>500</v>
      </c>
      <c r="X507" s="48">
        <v>500</v>
      </c>
    </row>
    <row r="508" spans="1:24" ht="12.75" hidden="1" customHeight="1">
      <c r="A508" s="48"/>
      <c r="X508" s="48"/>
    </row>
    <row r="509" spans="1:24" ht="12.75" hidden="1" customHeight="1">
      <c r="A509" s="48">
        <v>502</v>
      </c>
      <c r="X509" s="48">
        <v>502</v>
      </c>
    </row>
    <row r="510" spans="1:24" ht="12.75" hidden="1" customHeight="1">
      <c r="A510" s="48"/>
      <c r="X510" s="48"/>
    </row>
    <row r="511" spans="1:24" ht="12.75" hidden="1" customHeight="1">
      <c r="A511" s="48">
        <v>500</v>
      </c>
      <c r="X511" s="48">
        <v>500</v>
      </c>
    </row>
    <row r="512" spans="1:24" ht="12.75" hidden="1" customHeight="1">
      <c r="A512" s="48"/>
      <c r="X512" s="48"/>
    </row>
    <row r="513" spans="1:24" ht="12.75" hidden="1" customHeight="1">
      <c r="A513" s="48">
        <v>502</v>
      </c>
      <c r="X513" s="48">
        <v>502</v>
      </c>
    </row>
    <row r="514" spans="1:24" ht="12.75" hidden="1" customHeight="1"/>
    <row r="515" spans="1:24" ht="12.75" hidden="1" customHeight="1">
      <c r="A515" s="48">
        <v>504</v>
      </c>
      <c r="X515" s="48">
        <v>504</v>
      </c>
    </row>
    <row r="516" spans="1:24" ht="12.75" hidden="1" customHeight="1">
      <c r="A516" s="48"/>
      <c r="X516" s="48"/>
    </row>
    <row r="517" spans="1:24" ht="12.75" hidden="1" customHeight="1">
      <c r="A517" s="48">
        <v>506</v>
      </c>
      <c r="X517" s="48">
        <v>506</v>
      </c>
    </row>
    <row r="518" spans="1:24" ht="12.75" hidden="1" customHeight="1">
      <c r="A518" s="48"/>
      <c r="X518" s="48"/>
    </row>
    <row r="519" spans="1:24" ht="12.75" hidden="1" customHeight="1">
      <c r="A519" s="48">
        <v>508</v>
      </c>
      <c r="X519" s="48">
        <v>508</v>
      </c>
    </row>
    <row r="520" spans="1:24" ht="12.75" hidden="1" customHeight="1"/>
    <row r="521" spans="1:24" ht="12.75" hidden="1" customHeight="1">
      <c r="A521" s="48">
        <v>510</v>
      </c>
      <c r="X521" s="48">
        <v>510</v>
      </c>
    </row>
    <row r="522" spans="1:24" ht="12.75" hidden="1" customHeight="1">
      <c r="A522" s="48"/>
      <c r="X522" s="48"/>
    </row>
    <row r="523" spans="1:24" ht="12.75" hidden="1" customHeight="1">
      <c r="A523" s="48">
        <v>512</v>
      </c>
      <c r="X523" s="48">
        <v>512</v>
      </c>
    </row>
    <row r="524" spans="1:24" ht="12.75" hidden="1" customHeight="1">
      <c r="A524" s="48"/>
      <c r="X524" s="48"/>
    </row>
    <row r="525" spans="1:24" ht="12.75" hidden="1" customHeight="1">
      <c r="A525" s="48">
        <v>514</v>
      </c>
      <c r="X525" s="48">
        <v>514</v>
      </c>
    </row>
    <row r="526" spans="1:24" ht="12.75" hidden="1" customHeight="1">
      <c r="A526" s="48"/>
      <c r="X526" s="48"/>
    </row>
    <row r="527" spans="1:24" ht="12.75" hidden="1" customHeight="1">
      <c r="A527" s="48">
        <v>516</v>
      </c>
      <c r="X527" s="48">
        <v>516</v>
      </c>
    </row>
    <row r="528" spans="1:24" ht="0" hidden="1" customHeight="1">
      <c r="A528" s="48"/>
      <c r="X528" s="48"/>
    </row>
    <row r="529" spans="1:24" ht="0" hidden="1" customHeight="1">
      <c r="A529" s="48">
        <v>518</v>
      </c>
      <c r="X529" s="48">
        <v>518</v>
      </c>
    </row>
  </sheetData>
  <sortState ref="B32:W421">
    <sortCondition ref="E32:E421"/>
  </sortState>
  <mergeCells count="10">
    <mergeCell ref="W8:W12"/>
    <mergeCell ref="T8:T12"/>
    <mergeCell ref="U8:U12"/>
    <mergeCell ref="V8:V12"/>
    <mergeCell ref="D1:L6"/>
    <mergeCell ref="A4:B5"/>
    <mergeCell ref="F8:F12"/>
    <mergeCell ref="G8:G12"/>
    <mergeCell ref="Q8:Q12"/>
    <mergeCell ref="R8:S8"/>
  </mergeCells>
  <conditionalFormatting sqref="G445">
    <cfRule type="dataBar" priority="138">
      <dataBar>
        <cfvo type="min"/>
        <cfvo type="max"/>
        <color rgb="FFFF555A"/>
      </dataBar>
    </cfRule>
  </conditionalFormatting>
  <conditionalFormatting sqref="G447:G464">
    <cfRule type="dataBar" priority="137">
      <dataBar>
        <cfvo type="min"/>
        <cfvo type="max"/>
        <color rgb="FFFF555A"/>
      </dataBar>
    </cfRule>
  </conditionalFormatting>
  <conditionalFormatting sqref="G441">
    <cfRule type="dataBar" priority="136">
      <dataBar>
        <cfvo type="min"/>
        <cfvo type="max"/>
        <color rgb="FFFF555A"/>
      </dataBar>
    </cfRule>
  </conditionalFormatting>
  <conditionalFormatting sqref="F445">
    <cfRule type="dataBar" priority="135">
      <dataBar>
        <cfvo type="min"/>
        <cfvo type="max"/>
        <color rgb="FFFF555A"/>
      </dataBar>
    </cfRule>
  </conditionalFormatting>
  <conditionalFormatting sqref="F447:F464">
    <cfRule type="dataBar" priority="134">
      <dataBar>
        <cfvo type="min"/>
        <cfvo type="max"/>
        <color rgb="FFFF555A"/>
      </dataBar>
    </cfRule>
  </conditionalFormatting>
  <conditionalFormatting sqref="F441">
    <cfRule type="dataBar" priority="133">
      <dataBar>
        <cfvo type="min"/>
        <cfvo type="max"/>
        <color rgb="FFFF555A"/>
      </dataBar>
    </cfRule>
  </conditionalFormatting>
  <conditionalFormatting sqref="G447">
    <cfRule type="dataBar" priority="132">
      <dataBar>
        <cfvo type="min"/>
        <cfvo type="max"/>
        <color rgb="FFFF555A"/>
      </dataBar>
    </cfRule>
  </conditionalFormatting>
  <conditionalFormatting sqref="G449:G466">
    <cfRule type="dataBar" priority="131">
      <dataBar>
        <cfvo type="min"/>
        <cfvo type="max"/>
        <color rgb="FFFF555A"/>
      </dataBar>
    </cfRule>
  </conditionalFormatting>
  <conditionalFormatting sqref="G443">
    <cfRule type="dataBar" priority="130">
      <dataBar>
        <cfvo type="min"/>
        <cfvo type="max"/>
        <color rgb="FFFF555A"/>
      </dataBar>
    </cfRule>
  </conditionalFormatting>
  <conditionalFormatting sqref="F447">
    <cfRule type="dataBar" priority="129">
      <dataBar>
        <cfvo type="min"/>
        <cfvo type="max"/>
        <color rgb="FFFF555A"/>
      </dataBar>
    </cfRule>
  </conditionalFormatting>
  <conditionalFormatting sqref="F449:F466">
    <cfRule type="dataBar" priority="128">
      <dataBar>
        <cfvo type="min"/>
        <cfvo type="max"/>
        <color rgb="FFFF555A"/>
      </dataBar>
    </cfRule>
  </conditionalFormatting>
  <conditionalFormatting sqref="F443">
    <cfRule type="dataBar" priority="127">
      <dataBar>
        <cfvo type="min"/>
        <cfvo type="max"/>
        <color rgb="FFFF555A"/>
      </dataBar>
    </cfRule>
  </conditionalFormatting>
  <conditionalFormatting sqref="G446">
    <cfRule type="dataBar" priority="124">
      <dataBar>
        <cfvo type="min"/>
        <cfvo type="max"/>
        <color rgb="FFFF555A"/>
      </dataBar>
    </cfRule>
  </conditionalFormatting>
  <conditionalFormatting sqref="G442">
    <cfRule type="dataBar" priority="123">
      <dataBar>
        <cfvo type="min"/>
        <cfvo type="max"/>
        <color rgb="FFFF555A"/>
      </dataBar>
    </cfRule>
  </conditionalFormatting>
  <conditionalFormatting sqref="F446">
    <cfRule type="dataBar" priority="122">
      <dataBar>
        <cfvo type="min"/>
        <cfvo type="max"/>
        <color rgb="FFFF555A"/>
      </dataBar>
    </cfRule>
  </conditionalFormatting>
  <conditionalFormatting sqref="F442">
    <cfRule type="dataBar" priority="121">
      <dataBar>
        <cfvo type="min"/>
        <cfvo type="max"/>
        <color rgb="FFFF555A"/>
      </dataBar>
    </cfRule>
  </conditionalFormatting>
  <conditionalFormatting sqref="G448">
    <cfRule type="dataBar" priority="120">
      <dataBar>
        <cfvo type="min"/>
        <cfvo type="max"/>
        <color rgb="FFFF555A"/>
      </dataBar>
    </cfRule>
  </conditionalFormatting>
  <conditionalFormatting sqref="G444">
    <cfRule type="dataBar" priority="119">
      <dataBar>
        <cfvo type="min"/>
        <cfvo type="max"/>
        <color rgb="FFFF555A"/>
      </dataBar>
    </cfRule>
  </conditionalFormatting>
  <conditionalFormatting sqref="F448">
    <cfRule type="dataBar" priority="118">
      <dataBar>
        <cfvo type="min"/>
        <cfvo type="max"/>
        <color rgb="FFFF555A"/>
      </dataBar>
    </cfRule>
  </conditionalFormatting>
  <conditionalFormatting sqref="F444">
    <cfRule type="dataBar" priority="117">
      <dataBar>
        <cfvo type="min"/>
        <cfvo type="max"/>
        <color rgb="FFFF555A"/>
      </dataBar>
    </cfRule>
  </conditionalFormatting>
  <conditionalFormatting sqref="F88">
    <cfRule type="dataBar" priority="115">
      <dataBar>
        <cfvo type="min"/>
        <cfvo type="max"/>
        <color rgb="FFFF555A"/>
      </dataBar>
    </cfRule>
  </conditionalFormatting>
  <conditionalFormatting sqref="G449:G457">
    <cfRule type="dataBar" priority="114">
      <dataBar>
        <cfvo type="min"/>
        <cfvo type="max"/>
        <color rgb="FFFF555A"/>
      </dataBar>
    </cfRule>
  </conditionalFormatting>
  <conditionalFormatting sqref="F449:F457">
    <cfRule type="dataBar" priority="113">
      <dataBar>
        <cfvo type="min"/>
        <cfvo type="max"/>
        <color rgb="FFFF555A"/>
      </dataBar>
    </cfRule>
  </conditionalFormatting>
  <conditionalFormatting sqref="G458">
    <cfRule type="dataBar" priority="112">
      <dataBar>
        <cfvo type="min"/>
        <cfvo type="max"/>
        <color rgb="FFFF555A"/>
      </dataBar>
    </cfRule>
  </conditionalFormatting>
  <conditionalFormatting sqref="F458">
    <cfRule type="dataBar" priority="111">
      <dataBar>
        <cfvo type="min"/>
        <cfvo type="max"/>
        <color rgb="FFFF555A"/>
      </dataBar>
    </cfRule>
  </conditionalFormatting>
  <conditionalFormatting sqref="G459">
    <cfRule type="dataBar" priority="110">
      <dataBar>
        <cfvo type="min"/>
        <cfvo type="max"/>
        <color rgb="FFFF555A"/>
      </dataBar>
    </cfRule>
  </conditionalFormatting>
  <conditionalFormatting sqref="F459">
    <cfRule type="dataBar" priority="109">
      <dataBar>
        <cfvo type="min"/>
        <cfvo type="max"/>
        <color rgb="FFFF555A"/>
      </dataBar>
    </cfRule>
  </conditionalFormatting>
  <conditionalFormatting sqref="G460">
    <cfRule type="dataBar" priority="108">
      <dataBar>
        <cfvo type="min"/>
        <cfvo type="max"/>
        <color rgb="FFFF555A"/>
      </dataBar>
    </cfRule>
  </conditionalFormatting>
  <conditionalFormatting sqref="F460">
    <cfRule type="dataBar" priority="107">
      <dataBar>
        <cfvo type="min"/>
        <cfvo type="max"/>
        <color rgb="FFFF555A"/>
      </dataBar>
    </cfRule>
  </conditionalFormatting>
  <conditionalFormatting sqref="G461">
    <cfRule type="dataBar" priority="106">
      <dataBar>
        <cfvo type="min"/>
        <cfvo type="max"/>
        <color rgb="FFFF555A"/>
      </dataBar>
    </cfRule>
  </conditionalFormatting>
  <conditionalFormatting sqref="F461">
    <cfRule type="dataBar" priority="105">
      <dataBar>
        <cfvo type="min"/>
        <cfvo type="max"/>
        <color rgb="FFFF555A"/>
      </dataBar>
    </cfRule>
  </conditionalFormatting>
  <conditionalFormatting sqref="G462">
    <cfRule type="dataBar" priority="104">
      <dataBar>
        <cfvo type="min"/>
        <cfvo type="max"/>
        <color rgb="FFFF555A"/>
      </dataBar>
    </cfRule>
  </conditionalFormatting>
  <conditionalFormatting sqref="F462">
    <cfRule type="dataBar" priority="103">
      <dataBar>
        <cfvo type="min"/>
        <cfvo type="max"/>
        <color rgb="FFFF555A"/>
      </dataBar>
    </cfRule>
  </conditionalFormatting>
  <conditionalFormatting sqref="E435:E440">
    <cfRule type="dataBar" priority="85">
      <dataBar>
        <cfvo type="min"/>
        <cfvo type="max"/>
        <color rgb="FF008AEF"/>
      </dataBar>
    </cfRule>
  </conditionalFormatting>
  <conditionalFormatting sqref="G440">
    <cfRule type="dataBar" priority="65">
      <dataBar>
        <cfvo type="min"/>
        <cfvo type="max"/>
        <color rgb="FFFF555A"/>
      </dataBar>
    </cfRule>
  </conditionalFormatting>
  <conditionalFormatting sqref="F440">
    <cfRule type="dataBar" priority="64">
      <dataBar>
        <cfvo type="min"/>
        <cfvo type="max"/>
        <color rgb="FFFF555A"/>
      </dataBar>
    </cfRule>
  </conditionalFormatting>
  <conditionalFormatting sqref="F87">
    <cfRule type="dataBar" priority="62">
      <dataBar>
        <cfvo type="min"/>
        <cfvo type="max"/>
        <color rgb="FFFF555A"/>
      </dataBar>
    </cfRule>
  </conditionalFormatting>
  <conditionalFormatting sqref="F85:F87">
    <cfRule type="dataBar" priority="7738">
      <dataBar>
        <cfvo type="min"/>
        <cfvo type="max"/>
        <color rgb="FFFF555A"/>
      </dataBar>
    </cfRule>
  </conditionalFormatting>
  <conditionalFormatting sqref="F14">
    <cfRule type="cellIs" dxfId="230" priority="13897" operator="equal">
      <formula>MIN(F$16:F$431)</formula>
    </cfRule>
    <cfRule type="dataBar" priority="13898">
      <dataBar>
        <cfvo type="min"/>
        <cfvo type="max"/>
        <color rgb="FFFF555A"/>
      </dataBar>
    </cfRule>
  </conditionalFormatting>
  <conditionalFormatting sqref="F13">
    <cfRule type="cellIs" dxfId="229" priority="13899" operator="equal">
      <formula>MIN(F$16:F$431)</formula>
    </cfRule>
    <cfRule type="dataBar" priority="13900">
      <dataBar>
        <cfvo type="min"/>
        <cfvo type="max"/>
        <color rgb="FFFF555A"/>
      </dataBar>
    </cfRule>
  </conditionalFormatting>
  <conditionalFormatting sqref="F13:F434">
    <cfRule type="dataBar" priority="13901">
      <dataBar>
        <cfvo type="min"/>
        <cfvo type="max"/>
        <color rgb="FFFF555A"/>
      </dataBar>
    </cfRule>
  </conditionalFormatting>
  <conditionalFormatting sqref="W13:W468">
    <cfRule type="dataBar" priority="13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{2B2B45B4-B7E0-49D9-A0B1-4780D4043E9A}</x14:id>
        </ext>
      </extLst>
    </cfRule>
  </conditionalFormatting>
  <conditionalFormatting sqref="E13:E413">
    <cfRule type="dataBar" priority="13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{B9A7233C-5BEF-4AFF-8652-78CC10763701}</x14:id>
        </ext>
      </extLst>
    </cfRule>
  </conditionalFormatting>
  <conditionalFormatting sqref="G13:G413">
    <cfRule type="dataBar" priority="139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{828F1318-88B0-446C-A0A9-4FD91766F6DC}</x14:id>
        </ext>
      </extLst>
    </cfRule>
  </conditionalFormatting>
  <conditionalFormatting sqref="E41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{25168F11-2DB2-4721-95C8-212D792B9623}</x14:id>
        </ext>
      </extLst>
    </cfRule>
  </conditionalFormatting>
  <conditionalFormatting sqref="E41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{C524B05B-60D5-40D1-8178-E814BCC2354D}</x14:id>
        </ext>
      </extLst>
    </cfRule>
  </conditionalFormatting>
  <conditionalFormatting sqref="E41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{6CAE0761-0D07-4682-980C-B51B4F3BA52A}</x14:id>
        </ext>
      </extLst>
    </cfRule>
  </conditionalFormatting>
  <conditionalFormatting sqref="E417:E42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{0917185F-7FF3-43F5-8DEF-3F2AF69E8B43}</x14:id>
        </ext>
      </extLst>
    </cfRule>
  </conditionalFormatting>
  <conditionalFormatting sqref="J13:J426">
    <cfRule type="cellIs" dxfId="228" priority="7" operator="lessThanOrEqual">
      <formula>MIN(J$13:J$417)*1.1</formula>
    </cfRule>
    <cfRule type="cellIs" dxfId="227" priority="13905" operator="equal">
      <formula>MIN(J$13:J$417)</formula>
    </cfRule>
    <cfRule type="colorScale" priority="13906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L13:L426">
    <cfRule type="cellIs" dxfId="226" priority="10" operator="lessThanOrEqual">
      <formula>MIN(L$13:L$417)*1.1</formula>
    </cfRule>
    <cfRule type="cellIs" dxfId="225" priority="13923" operator="equal">
      <formula>MIN(L$13:L$417)</formula>
    </cfRule>
    <cfRule type="colorScale" priority="13924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N13:N426">
    <cfRule type="cellIs" dxfId="224" priority="14" operator="lessThanOrEqual">
      <formula>MIN(N$13:N$417)*1.1</formula>
    </cfRule>
    <cfRule type="cellIs" dxfId="223" priority="13941" operator="equal">
      <formula>MIN(N$13:N$417)</formula>
    </cfRule>
    <cfRule type="colorScale" priority="13942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O13:O426">
    <cfRule type="cellIs" dxfId="222" priority="15" operator="lessThanOrEqual">
      <formula>MIN(O$13:O$417)*1.1</formula>
    </cfRule>
    <cfRule type="cellIs" dxfId="221" priority="13959" operator="equal">
      <formula>MIN(O$13:O$417)</formula>
    </cfRule>
    <cfRule type="colorScale" priority="13960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K13:K426">
    <cfRule type="cellIs" dxfId="220" priority="16339" operator="lessThanOrEqual">
      <formula>MIN(K$13:K$428)*1.1</formula>
    </cfRule>
    <cfRule type="cellIs" dxfId="219" priority="16340" operator="equal">
      <formula>MIN(K$13:K$417)</formula>
    </cfRule>
    <cfRule type="colorScale" priority="16341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I13:I426">
    <cfRule type="cellIs" dxfId="218" priority="16333" operator="lessThanOrEqual">
      <formula>MIN(I$13:I$428)*1.1</formula>
    </cfRule>
    <cfRule type="cellIs" dxfId="217" priority="16334" operator="equal">
      <formula>MIN(I$13:I$417)</formula>
    </cfRule>
    <cfRule type="colorScale" priority="16335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H13:H426">
    <cfRule type="cellIs" dxfId="216" priority="16327" operator="lessThanOrEqual">
      <formula>MIN(H$13:H$428)*1.1</formula>
    </cfRule>
    <cfRule type="cellIs" dxfId="215" priority="16328" operator="equal">
      <formula>MIN(H$13:H$417)</formula>
    </cfRule>
    <cfRule type="colorScale" priority="16329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426">
    <cfRule type="cellIs" dxfId="214" priority="16375" operator="equal">
      <formula>MIN(P$13:P$417)</formula>
    </cfRule>
    <cfRule type="colorScale" priority="16376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213" priority="16377" operator="lessThanOrEqual">
      <formula>MIN(P$13:P833)*1.1</formula>
    </cfRule>
  </conditionalFormatting>
  <conditionalFormatting sqref="M426">
    <cfRule type="cellIs" dxfId="212" priority="16381" operator="lessThanOrEqual">
      <formula>MIN(M$13:M833)*1.1</formula>
    </cfRule>
    <cfRule type="cellIs" dxfId="211" priority="16382" operator="equal">
      <formula>MIN(M$13:M$417)</formula>
    </cfRule>
    <cfRule type="colorScale" priority="16383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425">
    <cfRule type="cellIs" dxfId="210" priority="16387" operator="equal">
      <formula>MIN(P$13:P$417)</formula>
    </cfRule>
    <cfRule type="colorScale" priority="16388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209" priority="16389" operator="lessThanOrEqual">
      <formula>MIN(P$13:P833)*1.1</formula>
    </cfRule>
  </conditionalFormatting>
  <conditionalFormatting sqref="M425">
    <cfRule type="cellIs" dxfId="208" priority="16393" operator="lessThanOrEqual">
      <formula>MIN(M$13:M833)*1.1</formula>
    </cfRule>
    <cfRule type="cellIs" dxfId="207" priority="16394" operator="equal">
      <formula>MIN(M$13:M$417)</formula>
    </cfRule>
    <cfRule type="colorScale" priority="16395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424">
    <cfRule type="cellIs" dxfId="206" priority="16399" operator="equal">
      <formula>MIN(P$13:P$417)</formula>
    </cfRule>
    <cfRule type="colorScale" priority="16400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205" priority="16401" operator="lessThanOrEqual">
      <formula>MIN(P$13:P833)*1.1</formula>
    </cfRule>
  </conditionalFormatting>
  <conditionalFormatting sqref="M424">
    <cfRule type="cellIs" dxfId="204" priority="16405" operator="lessThanOrEqual">
      <formula>MIN(M$13:M833)*1.1</formula>
    </cfRule>
    <cfRule type="cellIs" dxfId="203" priority="16406" operator="equal">
      <formula>MIN(M$13:M$417)</formula>
    </cfRule>
    <cfRule type="colorScale" priority="16407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423">
    <cfRule type="cellIs" dxfId="202" priority="16411" operator="equal">
      <formula>MIN(P$13:P$417)</formula>
    </cfRule>
    <cfRule type="colorScale" priority="16412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201" priority="16413" operator="lessThanOrEqual">
      <formula>MIN(P$13:P833)*1.1</formula>
    </cfRule>
  </conditionalFormatting>
  <conditionalFormatting sqref="M423">
    <cfRule type="cellIs" dxfId="200" priority="16417" operator="lessThanOrEqual">
      <formula>MIN(M$13:M833)*1.1</formula>
    </cfRule>
    <cfRule type="cellIs" dxfId="199" priority="16418" operator="equal">
      <formula>MIN(M$13:M$417)</formula>
    </cfRule>
    <cfRule type="colorScale" priority="16419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422">
    <cfRule type="cellIs" dxfId="198" priority="16423" operator="equal">
      <formula>MIN(P$13:P$417)</formula>
    </cfRule>
    <cfRule type="colorScale" priority="16424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197" priority="16425" operator="lessThanOrEqual">
      <formula>MIN(P$13:P833)*1.1</formula>
    </cfRule>
  </conditionalFormatting>
  <conditionalFormatting sqref="M422">
    <cfRule type="cellIs" dxfId="196" priority="16429" operator="lessThanOrEqual">
      <formula>MIN(M$13:M833)*1.1</formula>
    </cfRule>
    <cfRule type="cellIs" dxfId="195" priority="16430" operator="equal">
      <formula>MIN(M$13:M$417)</formula>
    </cfRule>
    <cfRule type="colorScale" priority="16431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421">
    <cfRule type="cellIs" dxfId="194" priority="16435" operator="equal">
      <formula>MIN(P$13:P$417)</formula>
    </cfRule>
    <cfRule type="colorScale" priority="16436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193" priority="16437" operator="lessThanOrEqual">
      <formula>MIN(P$13:P833)*1.1</formula>
    </cfRule>
  </conditionalFormatting>
  <conditionalFormatting sqref="M421">
    <cfRule type="cellIs" dxfId="192" priority="16441" operator="lessThanOrEqual">
      <formula>MIN(M$13:M833)*1.1</formula>
    </cfRule>
    <cfRule type="cellIs" dxfId="191" priority="16442" operator="equal">
      <formula>MIN(M$13:M$417)</formula>
    </cfRule>
    <cfRule type="colorScale" priority="16443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420">
    <cfRule type="cellIs" dxfId="190" priority="16447" operator="equal">
      <formula>MIN(P$13:P$417)</formula>
    </cfRule>
    <cfRule type="colorScale" priority="16448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189" priority="16449" operator="lessThanOrEqual">
      <formula>MIN(P$13:P833)*1.1</formula>
    </cfRule>
  </conditionalFormatting>
  <conditionalFormatting sqref="M420">
    <cfRule type="cellIs" dxfId="188" priority="16453" operator="lessThanOrEqual">
      <formula>MIN(M$13:M833)*1.1</formula>
    </cfRule>
    <cfRule type="cellIs" dxfId="187" priority="16454" operator="equal">
      <formula>MIN(M$13:M$417)</formula>
    </cfRule>
    <cfRule type="colorScale" priority="16455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419">
    <cfRule type="cellIs" dxfId="186" priority="16459" operator="equal">
      <formula>MIN(P$13:P$417)</formula>
    </cfRule>
    <cfRule type="colorScale" priority="16460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185" priority="16461" operator="lessThanOrEqual">
      <formula>MIN(P$13:P833)*1.1</formula>
    </cfRule>
  </conditionalFormatting>
  <conditionalFormatting sqref="M419">
    <cfRule type="cellIs" dxfId="184" priority="16465" operator="lessThanOrEqual">
      <formula>MIN(M$13:M833)*1.1</formula>
    </cfRule>
    <cfRule type="cellIs" dxfId="183" priority="16466" operator="equal">
      <formula>MIN(M$13:M$417)</formula>
    </cfRule>
    <cfRule type="colorScale" priority="16467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M13:M426">
    <cfRule type="cellIs" dxfId="182" priority="16462" operator="lessThanOrEqual">
      <formula>MIN(M$13:M428)*1.1</formula>
    </cfRule>
    <cfRule type="cellIs" dxfId="181" priority="16463" operator="equal">
      <formula>MIN(M$13:M$417)</formula>
    </cfRule>
    <cfRule type="colorScale" priority="16464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conditionalFormatting sqref="P13:P426">
    <cfRule type="cellIs" dxfId="180" priority="16456" operator="equal">
      <formula>MIN(P$13:P$417)</formula>
    </cfRule>
    <cfRule type="colorScale" priority="16457">
      <colorScale>
        <cfvo type="min"/>
        <cfvo type="percentile" val="50"/>
        <cfvo type="percentile" val="90"/>
        <color rgb="FF63BE7B"/>
        <color rgb="FFFFEB84"/>
        <color rgb="FFF8696B"/>
      </colorScale>
    </cfRule>
    <cfRule type="cellIs" dxfId="179" priority="16458" operator="lessThanOrEqual">
      <formula>MIN(P$13:P428)*1.1</formula>
    </cfRule>
  </conditionalFormatting>
  <hyperlinks>
    <hyperlink ref="C7" r:id="rId1"/>
    <hyperlink ref="C208" r:id="rId2" display="iROLZ Andrew Polar"/>
    <hyperlink ref="C22" r:id="rId3" display="NanoZip 0.09 ('11) Sami Runsas -cO -p6:2GB"/>
    <hyperlink ref="C30" r:id="rId4" display="NanoZip 0.09 ('11) Sami Runsas -co -p6:2GB"/>
    <hyperlink ref="C13" r:id="rId5" display="NanoZip 0.08 ('10) Sami Runsas CM:2GB"/>
    <hyperlink ref="C94" r:id="rId6" display="NanoZip 0.09 ('11) Sami Runsas -cDP -p6:2GB"/>
    <hyperlink ref="C14" r:id="rId7" display="NanoZip 0.09 ('11) Sami Runsas -cO -p6:2GB"/>
    <hyperlink ref="C18" r:id="rId8" display="FreeARC 0.67 ultra +srep+precomp+lzma1gb+dispack Bulat Ziganshin"/>
    <hyperlink ref="C187" r:id="rId9" display="WinZip 16.0.9715 (2012) PPMd (Corel)"/>
    <hyperlink ref="C229" r:id="rId10" display="WinZip 16.0.9715 (2012) bzip2"/>
    <hyperlink ref="C288" r:id="rId11" display="WinZip 16.0.9715 (2012) enhanced deflate"/>
    <hyperlink ref="C296" r:id="rId12" display="WinZip 16.0.9715 (2011) legacy 2.0 deflate"/>
    <hyperlink ref="C42" r:id="rId13" display="7-ZIP 9.2.5 LZMA2 ultra128:fb=273:mf=bt4:lc4"/>
    <hyperlink ref="C51" r:id="rId14"/>
    <hyperlink ref="C64" r:id="rId15"/>
    <hyperlink ref="C112" r:id="rId16" display="WinZip 12.0.8252 (optimize best) 2008"/>
    <hyperlink ref="C83" r:id="rId17" display="LZHAM α7r1 -m4 -d29 -t11 -e -x R. Geldreich, Jr."/>
    <hyperlink ref="C85" r:id="rId18" display="LZHAM α6 -m4 -d29 -t11 -e -x R. Geldreich, Jr. "/>
    <hyperlink ref="C110" r:id="rId19" display="WinRar 3.93 solid 4MB auto filter E. Roshal"/>
    <hyperlink ref="C102" r:id="rId20" display="WinAce 2.5 - 2.65 Final max solid + filters"/>
    <hyperlink ref="C203" r:id="rId21" display="BZIP2 1.05 (2008) --best Julian Seward"/>
    <hyperlink ref="C192" r:id="rId22"/>
    <hyperlink ref="C266" r:id="rId23" display="Deflate, word size=64, max (7z 4.65)"/>
    <hyperlink ref="C257" r:id="rId24"/>
    <hyperlink ref="C269" r:id="rId25" display="GZIP 1.3.12 (-9) ('07) Jean-Loup Gailly"/>
    <hyperlink ref="C329" r:id="rId26"/>
    <hyperlink ref="I8" r:id="rId27"/>
    <hyperlink ref="N8" r:id="rId28" display="PGM/PPM"/>
    <hyperlink ref="O8" r:id="rId29"/>
    <hyperlink ref="P8" r:id="rId30"/>
    <hyperlink ref="M8" r:id="rId31"/>
    <hyperlink ref="K8" r:id="rId32"/>
    <hyperlink ref="H8" r:id="rId33"/>
    <hyperlink ref="C298" r:id="rId34" display="ARJ 2.x - 3.x  -m1"/>
    <hyperlink ref="C261" r:id="rId35"/>
    <hyperlink ref="C47" r:id="rId36" display="SBC 0.970r3  -m3 -b63 -os Sami Makinen"/>
    <hyperlink ref="C46" r:id="rId37" display="PPMonstr ver J (06) -o16 -m800 D. Shkarin"/>
    <hyperlink ref="C63" r:id="rId38" display="PPMonstr ver I (2002) -o16 -m800"/>
    <hyperlink ref="C79" r:id="rId39" display="Durilca'light 0.5 Dmitry Shkarin -m800 -o32"/>
    <hyperlink ref="C113" r:id="rId40" display="PPMonstr ver G ('00) -o16 -m256 D. Shkarin"/>
    <hyperlink ref="L8" r:id="rId41"/>
    <hyperlink ref="C241" r:id="rId42" display="UC II r3 Pro ('95) s-tight Nico De Vries"/>
    <hyperlink ref="C197" r:id="rId43"/>
    <hyperlink ref="C410" r:id="rId44"/>
    <hyperlink ref="C387" r:id="rId45"/>
    <hyperlink ref="C378" r:id="rId46"/>
    <hyperlink ref="C368" r:id="rId47"/>
    <hyperlink ref="V4" r:id="rId48"/>
    <hyperlink ref="V5" r:id="rId49"/>
    <hyperlink ref="C41" r:id="rId50" display="UHARC 0.6b -mx/3 -mm+ -md+ 32 MB"/>
    <hyperlink ref="C453" r:id="rId51"/>
    <hyperlink ref="C454" r:id="rId52" display="PPMZ 0.81 (2004) Charles Bloom"/>
    <hyperlink ref="C157" r:id="rId53" display="SZIP 1.11 -b41 -o10 Michael Schindler"/>
    <hyperlink ref="C161" r:id="rId54" display="SZIP 1.11 -b41 -o10 Michael Schindler"/>
    <hyperlink ref="C107" r:id="rId55" display="WinZip 16.5.10095 (ZIPX) 2012"/>
    <hyperlink ref="C114" r:id="rId56" display="B1 Free Archiver 0.40"/>
    <hyperlink ref="C417" r:id="rId57" display="7-ZIP 9.2.5 + Ultra7z 0.12 A. Dubrovsky"/>
    <hyperlink ref="C19" r:id="rId58" display="ZCM 0.30 -m7 -r -s (2012) N.F. Antonio"/>
    <hyperlink ref="C69" r:id="rId59" display="WinRar 4.20β solid 4MB auto filter E. Roshal"/>
    <hyperlink ref="C446" r:id="rId60"/>
    <hyperlink ref="C57" r:id="rId61" display="STUFFIT 14.0.1.27 (sitx) all filters"/>
    <hyperlink ref="C88" r:id="rId62"/>
    <hyperlink ref="C23" r:id="rId63" display="ZCM 0.40 -m7 -r -s (2012) N.F. Antonio"/>
    <hyperlink ref="C105" r:id="rId64"/>
    <hyperlink ref="C374" r:id="rId65" display="LZF 3.6vf (2011) Marc Lehmann"/>
    <hyperlink ref="C414" r:id="rId66"/>
    <hyperlink ref="C413" r:id="rId67"/>
    <hyperlink ref="C416" r:id="rId68"/>
    <hyperlink ref="C415" r:id="rId69" display="RLC Runlength Comp. B.K.Singh"/>
    <hyperlink ref="C409" r:id="rId70"/>
    <hyperlink ref="C395" r:id="rId71"/>
    <hyperlink ref="C407" r:id="rId72"/>
    <hyperlink ref="C397" r:id="rId73"/>
    <hyperlink ref="C396" r:id="rId74" display="JARCS 0.94 -C4 -S Junichi Uekawa"/>
    <hyperlink ref="C402" r:id="rId75"/>
    <hyperlink ref="C400" r:id="rId76"/>
    <hyperlink ref="C398" r:id="rId77"/>
    <hyperlink ref="C389" r:id="rId78"/>
    <hyperlink ref="C391" r:id="rId79"/>
    <hyperlink ref="C388" r:id="rId80"/>
    <hyperlink ref="C385" r:id="rId81"/>
    <hyperlink ref="C386" r:id="rId82"/>
    <hyperlink ref="C383" r:id="rId83"/>
    <hyperlink ref="C380" r:id="rId84" display="PKZIP 1.10 (1990) (-es) Shrink max P. Katz"/>
    <hyperlink ref="C379" r:id="rId85"/>
    <hyperlink ref="C394" r:id="rId86" display="FPAQ 0pv5 ('08) M. Mahoney &amp; N.F.Antonio"/>
    <hyperlink ref="C375" r:id="rId87" display="Microsoft Compress (1992)"/>
    <hyperlink ref="C369" r:id="rId88"/>
    <hyperlink ref="C367" r:id="rId89"/>
    <hyperlink ref="C338" r:id="rId90"/>
    <hyperlink ref="C211" r:id="rId91" display="Urban Compressor ('91) U.Koistinen"/>
    <hyperlink ref="C373" r:id="rId92" display="6PACK (16.06.07) Ariya Hidayat"/>
    <hyperlink ref="C371" r:id="rId93"/>
    <hyperlink ref="C376" r:id="rId94"/>
    <hyperlink ref="C328" r:id="rId95" display="LZ4 0.9 (2011) Yann Collet"/>
    <hyperlink ref="C339" r:id="rId96"/>
    <hyperlink ref="Q4" r:id="rId97"/>
    <hyperlink ref="C84" r:id="rId98" display="CSC 3.2 final (2011) -m3 -d512 Fu Siyuan"/>
    <hyperlink ref="C207" r:id="rId99"/>
    <hyperlink ref="C365" r:id="rId100"/>
    <hyperlink ref="C359" r:id="rId101"/>
    <hyperlink ref="C358" r:id="rId102"/>
    <hyperlink ref="C357" r:id="rId103"/>
    <hyperlink ref="C366" r:id="rId104"/>
    <hyperlink ref="C344" r:id="rId105" display="UCL 1.03 (UCL library) M. Oberhumer"/>
    <hyperlink ref="C351" r:id="rId106" display="PKZIP 1.10 ('90) Implode max -ei P. Katz"/>
    <hyperlink ref="C347" r:id="rId107"/>
    <hyperlink ref="C361" r:id="rId108"/>
    <hyperlink ref="C360" r:id="rId109"/>
    <hyperlink ref="C348" r:id="rId110"/>
    <hyperlink ref="C352" r:id="rId111"/>
    <hyperlink ref="C323" r:id="rId112" display="Hyper 2.6 (1992) Peter Sawatzki -a"/>
    <hyperlink ref="C350" r:id="rId113"/>
    <hyperlink ref="C354" r:id="rId114"/>
    <hyperlink ref="C314" r:id="rId115"/>
    <hyperlink ref="C341" r:id="rId116"/>
    <hyperlink ref="C313" r:id="rId117"/>
    <hyperlink ref="C330" r:id="rId118"/>
    <hyperlink ref="C332" r:id="rId119"/>
    <hyperlink ref="C337" r:id="rId120"/>
    <hyperlink ref="C326" r:id="rId121"/>
    <hyperlink ref="C318" r:id="rId122"/>
    <hyperlink ref="C333" r:id="rId123" display="SBX 1.4 SpinnerBaker Software"/>
    <hyperlink ref="C334" r:id="rId124"/>
    <hyperlink ref="C319" r:id="rId125"/>
    <hyperlink ref="C324" r:id="rId126"/>
    <hyperlink ref="C327" r:id="rId127" display="Scifer beta 2008 -Text ( Senthil Kumar R.)"/>
    <hyperlink ref="C317" r:id="rId128"/>
    <hyperlink ref="C311" r:id="rId129" display="LHA 2.55 - 2.67 (1992) lh5, 16kb huff"/>
    <hyperlink ref="C305" r:id="rId130"/>
    <hyperlink ref="C310" r:id="rId131" display="LZA 1.01 (1999) Chiefs LZ Archiver (max)"/>
    <hyperlink ref="C312" r:id="rId132" display="CrossePAC 1.35 (1994)"/>
    <hyperlink ref="C307" r:id="rId133"/>
    <hyperlink ref="C309" r:id="rId134"/>
    <hyperlink ref="C308" r:id="rId135"/>
    <hyperlink ref="C304" r:id="rId136"/>
    <hyperlink ref="C300" r:id="rId137" display="Safe Melt 32 2.74 (2002) Team Schaft"/>
    <hyperlink ref="C297" r:id="rId138" display="HPACK 0.79 -U P.C. Gutmann"/>
    <hyperlink ref="C291" r:id="rId139"/>
    <hyperlink ref="C290" r:id="rId140"/>
    <hyperlink ref="C292" r:id="rId141"/>
    <hyperlink ref="C299" r:id="rId142"/>
    <hyperlink ref="C295" r:id="rId143" display="ARJZ 0.15 -m9 -md26624 -mf16382"/>
    <hyperlink ref="C285" r:id="rId144" display="BSA 2.0 (1995) -a .bsn PTS Ltd."/>
    <hyperlink ref="C294" r:id="rId145" display="PeaZip 3.3 .PEA better ('10) Giorgio Tani"/>
    <hyperlink ref="C289" r:id="rId146"/>
    <hyperlink ref="C275" r:id="rId147"/>
    <hyperlink ref="C284" r:id="rId148" display="DZIP 2.9 (2003) S. Schwoon / N. Pflug"/>
    <hyperlink ref="C282" r:id="rId149" display="AIN 2.32 -m1 (1996) Transas Marine Ltd."/>
    <hyperlink ref="C283" r:id="rId150"/>
    <hyperlink ref="C279" r:id="rId151" display="PIGZ 2.1.6 (-9) ('10) J.L. Gailly &amp; M. Adler"/>
    <hyperlink ref="C276" r:id="rId152" display="HIT 2.10 (1994) a -x Bogdan Ureche"/>
    <hyperlink ref="C273" r:id="rId153"/>
    <hyperlink ref="C271" r:id="rId154" display="AMG 2.2 ('93) max Milen Georgiev"/>
    <hyperlink ref="C272" r:id="rId155"/>
    <hyperlink ref="C270" r:id="rId156"/>
    <hyperlink ref="C286" r:id="rId157"/>
    <hyperlink ref="C258" r:id="rId158" display="LHARK 0.4d (1997) K.F. Medina -tob"/>
    <hyperlink ref="C252" r:id="rId159"/>
    <hyperlink ref="C281" r:id="rId160" display="Huffman Comp. Engine II 0.21q (J.Jared)"/>
    <hyperlink ref="C259" r:id="rId161"/>
    <hyperlink ref="C255" r:id="rId162" display="Etincelle RC2 ('10) Yann Collet"/>
    <hyperlink ref="C256" r:id="rId163" display="KZIP ('06) /s0 /b1024 /rn Ken Silverman"/>
    <hyperlink ref="C262" r:id="rId164"/>
    <hyperlink ref="C250" r:id="rId165"/>
    <hyperlink ref="C246" r:id="rId166" display="JAR32 1.02 (1997) -m4 Robert Jung"/>
    <hyperlink ref="C240" r:id="rId167" display="4x4 0.1 Option 5 (2008) Bulat Ziganshin"/>
    <hyperlink ref="C267" r:id="rId168" display="Tornado 0.1 -12 -b100 B. Ziganshin"/>
    <hyperlink ref="C189" r:id="rId169" display="TORnado 0.4 (2008) -12 Bulat Ziganshin"/>
    <hyperlink ref="C231" r:id="rId170" display="TORnado 0.3 (2008) default Bulat Ziganshin"/>
    <hyperlink ref="C456" r:id="rId171"/>
    <hyperlink ref="C185" r:id="rId172" display="WinTurtle 1.4.0 (2007) Nania F. Antonio"/>
    <hyperlink ref="C72" r:id="rId173" display="YZX 0.11 (2012) -r -s -m9 -b8 -h5 N.F. Antonio"/>
    <hyperlink ref="C127" r:id="rId174" display="RINGS 1.5 opt. 9 ('08) Nania F. Antonio"/>
    <hyperlink ref="C457" r:id="rId175"/>
    <hyperlink ref="C137" r:id="rId176" display="HOOK 1.4 ('09) 912 MB N.F. Antonio"/>
    <hyperlink ref="C278" r:id="rId177" display="packARC 0.7rc6 (2012) Matthias Stirner"/>
    <hyperlink ref="C234" r:id="rId178" display="BZP 0.3 (2008) Nania Francesco Antonio"/>
    <hyperlink ref="C209" r:id="rId179" display="LZSR 0.01 (2011) Nania Francesco Antonio"/>
    <hyperlink ref="C244" r:id="rId180" display="LGHA  1.1g /c30000 /l16383 George Lyapko"/>
    <hyperlink ref="C247" r:id="rId181" display="BRED 3.0 (1997) -M16 -m729 David Wheeler"/>
    <hyperlink ref="C230" r:id="rId182" display="LZPX 1.5b (2005) Ilia Muraviev"/>
    <hyperlink ref="C243" r:id="rId183"/>
    <hyperlink ref="C242" r:id="rId184"/>
    <hyperlink ref="C141" r:id="rId185" display="COMPROX_SA (09.2011) Zhang Li"/>
    <hyperlink ref="C195" r:id="rId186"/>
    <hyperlink ref="C210" r:id="rId187"/>
    <hyperlink ref="C238" r:id="rId188"/>
    <hyperlink ref="C225" r:id="rId189"/>
    <hyperlink ref="C217" r:id="rId190" display="RAR 2.00 (1996) best, solid, mmedia"/>
    <hyperlink ref="C218" r:id="rId191" display="RAR 2.50 (1996) best, solid mmedia"/>
    <hyperlink ref="C196" r:id="rId192" display="ARHANGEL 1.40  /2 /mm /mf G. Lyapko"/>
    <hyperlink ref="C214" r:id="rId193"/>
    <hyperlink ref="C227" r:id="rId194"/>
    <hyperlink ref="C213" r:id="rId195" display="WinHKI 1.3 - 1.73 (04-06) HKI1 H.P. Imp"/>
    <hyperlink ref="C206" r:id="rId196" display="XTREME 1.06 ('99) -m0 -s -t8 B. Sabin"/>
    <hyperlink ref="C215" r:id="rId197"/>
    <hyperlink ref="C191" r:id="rId198"/>
    <hyperlink ref="C165" r:id="rId199" display="Disintegrator 0.9b  -mg -4 c (1998)"/>
    <hyperlink ref="C200" r:id="rId200"/>
    <hyperlink ref="C202" r:id="rId201" display="EXP1 Experimental Archiver 1.0"/>
    <hyperlink ref="C204" r:id="rId202" display="PBZIP2 1.1.7 -p12 -9 J.Seward &amp; J.Gilchrist"/>
    <hyperlink ref="C205" r:id="rId203"/>
    <hyperlink ref="C188" r:id="rId204" display="BIX 1.00 β 7 (1999) -s -m1 -mdg I. Pavlov"/>
    <hyperlink ref="C201" r:id="rId205"/>
    <hyperlink ref="C182" r:id="rId206" display="Microsoft CAB (LZX21 max)"/>
    <hyperlink ref="C172" r:id="rId207"/>
    <hyperlink ref="C183" r:id="rId208"/>
    <hyperlink ref="C173" r:id="rId209" display="QUAD 1.12 Final -x (2007) Ilia Muraviev"/>
    <hyperlink ref="C163" r:id="rId210" display="UFA 0.04 β 1 ('98) -mx -mu32 -s -mg"/>
    <hyperlink ref="C143" r:id="rId211"/>
    <hyperlink ref="C153" r:id="rId212" display="PAQ 1 / KGB Archiver 2 M. Mahoney"/>
    <hyperlink ref="C198" r:id="rId213" display="ICE-OWS (2002) max Raphaël Mounier"/>
    <hyperlink ref="C150" r:id="rId214" display="BALZ 1.15 (2008) Ilia Muraviev Mode ex"/>
    <hyperlink ref="C131" r:id="rId215"/>
    <hyperlink ref="C145" r:id="rId216"/>
    <hyperlink ref="C151" r:id="rId217" display="ZZIP 0.36 -56m -mx ('02) Damien Debin"/>
    <hyperlink ref="C154" r:id="rId218"/>
    <hyperlink ref="C142" r:id="rId219" display="4x4 0.1 Option 9 (2008) Bulat Ziganshin"/>
    <hyperlink ref="C126" r:id="rId220" display="PIM 2.90 (2009) Ilia Muraviev (Best)"/>
    <hyperlink ref="C39" r:id="rId221" display="CMM4 0.2b 66 (2008) Christopher Mattern"/>
    <hyperlink ref="C159" r:id="rId222"/>
    <hyperlink ref="C220" r:id="rId223"/>
    <hyperlink ref="C166" r:id="rId224"/>
    <hyperlink ref="C164" r:id="rId225"/>
    <hyperlink ref="C134" r:id="rId226" display="WinArchiver 2.1 .MZP best (2010)"/>
    <hyperlink ref="C160" r:id="rId227"/>
    <hyperlink ref="C67" r:id="rId228"/>
    <hyperlink ref="C120" r:id="rId229" display="ALZIP 8.12 .EGG solid, p. on ratio ESTSOFT"/>
    <hyperlink ref="C118" r:id="rId230"/>
    <hyperlink ref="C139" r:id="rId231" display="BMA 1.33 -m16m -mx -a (2006) A. Cherenkov"/>
    <hyperlink ref="C122" r:id="rId232"/>
    <hyperlink ref="C178" r:id="rId233" display="M99 2.2.1 (Michael A. Maniscalco) -m 32m"/>
    <hyperlink ref="C25" r:id="rId234" display="WinRK 3.1.2 (ROLZ-3 650 MB) M. Taylor"/>
    <hyperlink ref="C27" r:id="rId235" display="WinRK 3.1.2 (Best Asymmetric) 650 MB"/>
    <hyperlink ref="C124" r:id="rId236"/>
    <hyperlink ref="C438" r:id="rId237"/>
    <hyperlink ref="C170" r:id="rId238" display="M99 2.2.1 Michael A. Maniscalco -m 128m"/>
    <hyperlink ref="C355" r:id="rId239" display="TC 4.3 (2005) Ilia Muraviev"/>
    <hyperlink ref="C86" r:id="rId240" display="Distance Coder 0.98β -b16383el Edgar Binder"/>
    <hyperlink ref="C92" r:id="rId241"/>
    <hyperlink ref="C91" r:id="rId242"/>
    <hyperlink ref="C99" r:id="rId243"/>
    <hyperlink ref="C111" r:id="rId244"/>
    <hyperlink ref="C103" r:id="rId245"/>
    <hyperlink ref="C71" r:id="rId246"/>
    <hyperlink ref="C66" r:id="rId247" display="LZPXJ 1.2h ('06) -9 Ilia Muraviev"/>
    <hyperlink ref="C89" r:id="rId248"/>
    <hyperlink ref="C78" r:id="rId249"/>
    <hyperlink ref="C75" r:id="rId250"/>
    <hyperlink ref="C82" r:id="rId251" display="BCM 0.12 (2010) -b100 Ilia Muraviev"/>
    <hyperlink ref="C77" r:id="rId252"/>
    <hyperlink ref="C76" r:id="rId253"/>
    <hyperlink ref="C56" r:id="rId254" display="UHARC 0.6b -m3 -mm+ -md+ 32 MB"/>
    <hyperlink ref="C49" r:id="rId255" display="Squeez 5.1 - 5.63 (32MB ultra) auto"/>
    <hyperlink ref="C52" r:id="rId256" display="Compressia 1.0b (max) 15MB engl. Solid"/>
    <hyperlink ref="C40" r:id="rId257" display="LPAQ1 (opt. 8) Matt Mahoney 2007"/>
    <hyperlink ref="C32" r:id="rId258" display="PAQ9a -8 ('07) Matt Mahoney"/>
    <hyperlink ref="C169" r:id="rId259" display="PPMX 0.08 (2012) Ilia Muraviev"/>
    <hyperlink ref="C180" r:id="rId260" display="WinTurtle 1.4.0 (2007) Nania F. Antonio"/>
    <hyperlink ref="C405" r:id="rId261"/>
    <hyperlink ref="C364" r:id="rId262" display="ST v0.83 -b (2012) Gedo Stefan"/>
    <hyperlink ref="C168" r:id="rId263" display="PreComp 0.4.3 dev Christian Schneider"/>
    <hyperlink ref="C17" r:id="rId264" display="ZCM 0.30 -m7 -r -s (2012) N.F. Antonio"/>
    <hyperlink ref="C152" r:id="rId265" display="COMPROX_SA (09.2011) Zhang Li"/>
    <hyperlink ref="C179" r:id="rId266"/>
    <hyperlink ref="C433" r:id="rId267"/>
    <hyperlink ref="C119" r:id="rId268" display="M99 ('07) 128 MB -m Michael A. Maniscalco"/>
    <hyperlink ref="C80" r:id="rId269"/>
    <hyperlink ref="C90" r:id="rId270"/>
    <hyperlink ref="C108" r:id="rId271"/>
    <hyperlink ref="C363" r:id="rId272" display="Data-Shrinker (2023) Fu Siyuan"/>
    <hyperlink ref="C349" r:id="rId273"/>
    <hyperlink ref="C392" r:id="rId274"/>
    <hyperlink ref="C441" r:id="rId275" display="KWC (2010) Sportsman"/>
    <hyperlink ref="C130" r:id="rId276"/>
    <hyperlink ref="Q5" r:id="rId277"/>
    <hyperlink ref="C343" r:id="rId278" display="LZGT3 (2008) Gerald R. Tamayo"/>
    <hyperlink ref="C194" r:id="rId279" display="jTarsaLZP 21-Aug-2008 Piotr Tarsa"/>
    <hyperlink ref="C384" r:id="rId280"/>
    <hyperlink ref="C249" r:id="rId281" display="Symbra 0.2 Frank Schwellinger"/>
    <hyperlink ref="C100" r:id="rId282"/>
    <hyperlink ref="C251" r:id="rId283"/>
    <hyperlink ref="C254" r:id="rId284" display="RangeCoder 1.8 c2 28 David Catt"/>
    <hyperlink ref="C174" r:id="rId285"/>
    <hyperlink ref="C16" r:id="rId286" display="ZCM 0.30 -m7 -r -s (2012) N.F. Antonio"/>
    <hyperlink ref="C55" r:id="rId287" display="FLASHZIP 0.99c2 (2011) -r -s -m3 -c7 -b8"/>
    <hyperlink ref="C31" r:id="rId288"/>
    <hyperlink ref="C199" r:id="rId289"/>
    <hyperlink ref="C6" r:id="rId290"/>
    <hyperlink ref="J8" r:id="rId291"/>
    <hyperlink ref="C36" r:id="rId292" display="LPAQ4e 9  2007 Matt Mahoney"/>
    <hyperlink ref="C382" r:id="rId293"/>
    <hyperlink ref="C20" r:id="rId294" display="ZPAQ 6.06 -method 4 Matt Mahoney"/>
    <hyperlink ref="C280" r:id="rId295"/>
    <hyperlink ref="C171" r:id="rId296" display="TORnado 0.4 (2008) -12 Bulat Ziganshin"/>
    <hyperlink ref="C28" r:id="rId297"/>
    <hyperlink ref="C21" r:id="rId298"/>
    <hyperlink ref="C15" r:id="rId299" display="ZCM 0.30 -m7 -r -s (2012) N.F. Antonio"/>
    <hyperlink ref="C74" r:id="rId300" display="BCM 0.14 (2013) c1000  Ilya Muravyov"/>
    <hyperlink ref="C265" r:id="rId301" display="CRUSH 1.0 (2013) Ilya Muravyov"/>
    <hyperlink ref="C37" r:id="rId302"/>
    <hyperlink ref="C48" r:id="rId303" display="TANGELO 2.0 (2013) Jan Ondrus"/>
    <hyperlink ref="C29" r:id="rId304" display="MCM 0.3 -9 (2013) Matthieu Chartier"/>
    <hyperlink ref="C93" r:id="rId305"/>
    <hyperlink ref="C390" r:id="rId306"/>
    <hyperlink ref="C45" r:id="rId307" display="TANGELO 2.0 (2013) Jan Ondrus"/>
    <hyperlink ref="C293" r:id="rId308"/>
    <hyperlink ref="C146" r:id="rId309" display="B1 Free Archiver 0.40"/>
    <hyperlink ref="C61" r:id="rId310" display="BSC 3.1.0 -b1024rsca -m0 -H28 -M255 I. Grebnov"/>
    <hyperlink ref="C60" r:id="rId311" display="BSC 3.1.0 -b1024rsca -m0 -H28 -M255 I. Grebnov"/>
    <hyperlink ref="C97" r:id="rId312" display="WinZip 18.0 (ZIPX best method)  Corel Corp."/>
    <hyperlink ref="C115" r:id="rId313"/>
    <hyperlink ref="C132" r:id="rId314" display="CM0"/>
    <hyperlink ref="C136" r:id="rId315" display="CM0_EXT"/>
    <hyperlink ref="C53" r:id="rId316"/>
    <hyperlink ref="C96" r:id="rId317"/>
    <hyperlink ref="C184" r:id="rId318"/>
    <hyperlink ref="C277" r:id="rId319"/>
    <hyperlink ref="C24" r:id="rId320" display="ZPAQ 6.43 -method 66 ('13) Matt Mahoney"/>
    <hyperlink ref="C95" r:id="rId321"/>
    <hyperlink ref="C245" r:id="rId322"/>
    <hyperlink ref="C263" r:id="rId323" display="ZHUFF 0.8 (2011) Yann Collet"/>
    <hyperlink ref="C224" r:id="rId324"/>
    <hyperlink ref="C340" r:id="rId325" display="packLZH 0.4 (2014) Matthias Stirner"/>
    <hyperlink ref="C432" r:id="rId326"/>
  </hyperlinks>
  <pageMargins left="0.59027777777777779" right="0" top="0" bottom="0" header="0.51180555555555562" footer="0.51180555555555562"/>
  <pageSetup paperSize="9" scale="30" firstPageNumber="0" orientation="portrait" r:id="rId327"/>
  <headerFooter alignWithMargins="0"/>
  <drawing r:id="rId328"/>
  <legacyDrawing r:id="rId329"/>
  <picture r:id="rId330"/>
  <webPublishItems count="1">
    <webPublishItem id="27177" divId="SqueezeChart2013web_27177" sourceType="range" sourceRef="A1:X468" destinationFile="C:\Users\squeeze\Downloads\main.htm"/>
  </webPublishItem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45B4-B7E0-49D9-A0B1-4780D4043E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W13:W468</xm:sqref>
        </x14:conditionalFormatting>
        <x14:conditionalFormatting xmlns:xm="http://schemas.microsoft.com/office/excel/2006/main">
          <x14:cfRule type="dataBar" id="{B9A7233C-5BEF-4AFF-8652-78CC10763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E13:E413</xm:sqref>
        </x14:conditionalFormatting>
        <x14:conditionalFormatting xmlns:xm="http://schemas.microsoft.com/office/excel/2006/main">
          <x14:cfRule type="dataBar" id="{828F1318-88B0-446C-A0A9-4FD91766F6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G13:G413</xm:sqref>
        </x14:conditionalFormatting>
        <x14:conditionalFormatting xmlns:xm="http://schemas.microsoft.com/office/excel/2006/main">
          <x14:cfRule type="dataBar" id="{25168F11-2DB2-4721-95C8-212D792B96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E414</xm:sqref>
        </x14:conditionalFormatting>
        <x14:conditionalFormatting xmlns:xm="http://schemas.microsoft.com/office/excel/2006/main">
          <x14:cfRule type="dataBar" id="{C524B05B-60D5-40D1-8178-E814BCC235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E415</xm:sqref>
        </x14:conditionalFormatting>
        <x14:conditionalFormatting xmlns:xm="http://schemas.microsoft.com/office/excel/2006/main">
          <x14:cfRule type="dataBar" id="{6CAE0761-0D07-4682-980C-B51B4F3BA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E416</xm:sqref>
        </x14:conditionalFormatting>
        <x14:conditionalFormatting xmlns:xm="http://schemas.microsoft.com/office/excel/2006/main">
          <x14:cfRule type="dataBar" id="{0917185F-7FF3-43F5-8DEF-3F2AF69E8B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E417:E427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N26"/>
  <sheetViews>
    <sheetView workbookViewId="0">
      <selection activeCell="O10" sqref="O10"/>
    </sheetView>
  </sheetViews>
  <sheetFormatPr baseColWidth="10" defaultRowHeight="15"/>
  <sheetData>
    <row r="2" spans="2:14">
      <c r="C2" s="3138" t="s">
        <v>2107</v>
      </c>
      <c r="D2" s="3139"/>
      <c r="E2" s="3139"/>
      <c r="F2" s="3139"/>
      <c r="G2" s="3139"/>
      <c r="H2" s="3139"/>
      <c r="I2" s="3139"/>
      <c r="J2" s="3139"/>
      <c r="K2" s="3139"/>
      <c r="L2" s="3139"/>
      <c r="M2" s="3140"/>
      <c r="N2" s="3140"/>
    </row>
    <row r="3" spans="2:14">
      <c r="C3" s="3139"/>
      <c r="D3" s="3139"/>
      <c r="E3" s="3139"/>
      <c r="F3" s="3139"/>
      <c r="G3" s="3139"/>
      <c r="H3" s="3139"/>
      <c r="I3" s="3139"/>
      <c r="J3" s="3139"/>
      <c r="K3" s="3139"/>
      <c r="L3" s="3139"/>
      <c r="M3" s="3140"/>
      <c r="N3" s="3140"/>
    </row>
    <row r="4" spans="2:14">
      <c r="C4" s="3141"/>
      <c r="D4" s="3141"/>
      <c r="E4" s="3141"/>
      <c r="F4" s="3141"/>
      <c r="G4" s="3141"/>
      <c r="H4" s="3141"/>
      <c r="I4" s="3141"/>
      <c r="J4" s="3141"/>
      <c r="K4" s="3141"/>
      <c r="L4" s="3141"/>
      <c r="M4" s="3140"/>
      <c r="N4" s="3140"/>
    </row>
    <row r="6" spans="2:14">
      <c r="D6" s="3140" t="s">
        <v>2103</v>
      </c>
      <c r="E6" s="3140"/>
      <c r="F6" s="3140"/>
      <c r="G6" s="3140"/>
      <c r="H6" s="3140"/>
      <c r="I6" s="3140"/>
      <c r="J6" s="3140"/>
      <c r="K6" s="3140"/>
      <c r="L6" s="3140"/>
      <c r="M6" s="3140"/>
    </row>
    <row r="8" spans="2:14">
      <c r="B8" t="s">
        <v>2105</v>
      </c>
    </row>
    <row r="9" spans="2:14">
      <c r="B9" t="s">
        <v>2110</v>
      </c>
    </row>
    <row r="11" spans="2:14">
      <c r="B11" t="s">
        <v>2104</v>
      </c>
    </row>
    <row r="12" spans="2:14">
      <c r="B12" t="s">
        <v>2111</v>
      </c>
    </row>
    <row r="13" spans="2:14">
      <c r="B13" t="s">
        <v>2112</v>
      </c>
    </row>
    <row r="14" spans="2:14">
      <c r="B14" t="s">
        <v>2113</v>
      </c>
    </row>
    <row r="15" spans="2:14">
      <c r="B15" t="s">
        <v>2114</v>
      </c>
    </row>
    <row r="17" spans="2:2">
      <c r="B17" t="s">
        <v>2108</v>
      </c>
    </row>
    <row r="19" spans="2:2">
      <c r="B19" t="s">
        <v>2109</v>
      </c>
    </row>
    <row r="20" spans="2:2">
      <c r="B20" t="s">
        <v>2115</v>
      </c>
    </row>
    <row r="22" spans="2:2">
      <c r="B22" t="s">
        <v>2117</v>
      </c>
    </row>
    <row r="24" spans="2:2">
      <c r="B24" t="s">
        <v>2116</v>
      </c>
    </row>
    <row r="26" spans="2:2">
      <c r="B26" t="s">
        <v>2106</v>
      </c>
    </row>
  </sheetData>
  <mergeCells count="2">
    <mergeCell ref="C2:N4"/>
    <mergeCell ref="D6:M6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WI603"/>
  <sheetViews>
    <sheetView showGridLines="0" zoomScaleNormal="100" workbookViewId="0">
      <pane xSplit="8" ySplit="12" topLeftCell="I13" activePane="bottomRight" state="frozen"/>
      <selection pane="topRight" activeCell="K1" sqref="K1"/>
      <selection pane="bottomLeft" activeCell="A11" sqref="A11"/>
      <selection pane="bottomRight" activeCell="C2" sqref="C2"/>
    </sheetView>
  </sheetViews>
  <sheetFormatPr baseColWidth="10" defaultColWidth="0" defaultRowHeight="0" customHeight="1" zeroHeight="1"/>
  <cols>
    <col min="1" max="2" width="3.28515625" style="1" customWidth="1"/>
    <col min="3" max="3" width="36.7109375" style="1" customWidth="1"/>
    <col min="4" max="4" width="2.7109375" style="1" customWidth="1"/>
    <col min="5" max="5" width="14.28515625" style="1" hidden="1" customWidth="1"/>
    <col min="6" max="6" width="10.5703125" style="1" customWidth="1"/>
    <col min="7" max="8" width="9.5703125" style="1" customWidth="1"/>
    <col min="9" max="10" width="12.7109375" style="322" customWidth="1"/>
    <col min="11" max="11" width="13.85546875" style="322" customWidth="1"/>
    <col min="12" max="12" width="14.28515625" style="322" customWidth="1"/>
    <col min="13" max="16" width="12.7109375" style="322" customWidth="1"/>
    <col min="17" max="17" width="14.28515625" style="322" customWidth="1"/>
    <col min="18" max="18" width="8.7109375" style="322" customWidth="1"/>
    <col min="19" max="19" width="6.85546875" style="322" customWidth="1"/>
    <col min="20" max="20" width="4" style="322" customWidth="1"/>
    <col min="21" max="21" width="11.85546875" style="1" customWidth="1"/>
    <col min="22" max="22" width="17.85546875" style="1" customWidth="1"/>
    <col min="23" max="23" width="30.7109375" style="1" customWidth="1"/>
    <col min="24" max="24" width="7.7109375" style="1" customWidth="1"/>
    <col min="25" max="25" width="3.28515625" style="1" customWidth="1"/>
    <col min="26" max="249" width="0" style="1" hidden="1"/>
    <col min="250" max="251" width="3.28515625" style="1" hidden="1" customWidth="1"/>
    <col min="252" max="252" width="30.7109375" style="1" hidden="1" customWidth="1"/>
    <col min="253" max="253" width="2.7109375" style="1" hidden="1" customWidth="1"/>
    <col min="254" max="254" width="12.85546875" style="1" hidden="1" customWidth="1"/>
    <col min="255" max="256" width="9.5703125" style="1" hidden="1" customWidth="1"/>
    <col min="257" max="257" width="7.42578125" style="1" hidden="1" customWidth="1"/>
    <col min="258" max="258" width="11.140625" style="1" hidden="1" customWidth="1"/>
    <col min="259" max="259" width="11.28515625" style="1" hidden="1" customWidth="1"/>
    <col min="260" max="260" width="11.7109375" style="1" hidden="1" customWidth="1"/>
    <col min="261" max="261" width="11.28515625" style="1" hidden="1" customWidth="1"/>
    <col min="262" max="262" width="10.7109375" style="1" hidden="1" customWidth="1"/>
    <col min="263" max="263" width="11.28515625" style="1" hidden="1" customWidth="1"/>
    <col min="264" max="264" width="11.42578125" style="1" hidden="1" customWidth="1"/>
    <col min="265" max="265" width="10.42578125" style="1" hidden="1" customWidth="1"/>
    <col min="266" max="266" width="11.28515625" style="1" hidden="1" customWidth="1"/>
    <col min="267" max="267" width="11.42578125" style="1" hidden="1" customWidth="1"/>
    <col min="268" max="268" width="10.7109375" style="1" hidden="1" customWidth="1"/>
    <col min="269" max="269" width="10.28515625" style="1" hidden="1" customWidth="1"/>
    <col min="270" max="270" width="11.5703125" style="1" hidden="1" customWidth="1"/>
    <col min="271" max="272" width="11.42578125" style="1" hidden="1" customWidth="1"/>
    <col min="273" max="273" width="10.85546875" style="1" hidden="1" customWidth="1"/>
    <col min="274" max="274" width="8.7109375" style="1" hidden="1" customWidth="1"/>
    <col min="275" max="275" width="6.28515625" style="1" hidden="1" customWidth="1"/>
    <col min="276" max="276" width="4" style="1" hidden="1" customWidth="1"/>
    <col min="277" max="277" width="8.7109375" style="1" hidden="1" customWidth="1"/>
    <col min="278" max="278" width="13.7109375" style="1" hidden="1" customWidth="1"/>
    <col min="279" max="279" width="20.7109375" style="1" hidden="1" customWidth="1"/>
    <col min="280" max="280" width="9.42578125" style="1" hidden="1" customWidth="1"/>
    <col min="281" max="281" width="3.28515625" style="1" hidden="1" customWidth="1"/>
    <col min="282" max="505" width="0" style="1" hidden="1"/>
    <col min="506" max="507" width="3.28515625" style="1" hidden="1" customWidth="1"/>
    <col min="508" max="508" width="30.7109375" style="1" hidden="1" customWidth="1"/>
    <col min="509" max="509" width="2.7109375" style="1" hidden="1" customWidth="1"/>
    <col min="510" max="510" width="12.85546875" style="1" hidden="1" customWidth="1"/>
    <col min="511" max="512" width="9.5703125" style="1" hidden="1" customWidth="1"/>
    <col min="513" max="513" width="7.42578125" style="1" hidden="1" customWidth="1"/>
    <col min="514" max="514" width="11.140625" style="1" hidden="1" customWidth="1"/>
    <col min="515" max="515" width="11.28515625" style="1" hidden="1" customWidth="1"/>
    <col min="516" max="516" width="11.7109375" style="1" hidden="1" customWidth="1"/>
    <col min="517" max="517" width="11.28515625" style="1" hidden="1" customWidth="1"/>
    <col min="518" max="518" width="10.7109375" style="1" hidden="1" customWidth="1"/>
    <col min="519" max="519" width="11.28515625" style="1" hidden="1" customWidth="1"/>
    <col min="520" max="520" width="11.42578125" style="1" hidden="1" customWidth="1"/>
    <col min="521" max="521" width="10.42578125" style="1" hidden="1" customWidth="1"/>
    <col min="522" max="522" width="11.28515625" style="1" hidden="1" customWidth="1"/>
    <col min="523" max="523" width="11.42578125" style="1" hidden="1" customWidth="1"/>
    <col min="524" max="524" width="10.7109375" style="1" hidden="1" customWidth="1"/>
    <col min="525" max="525" width="10.28515625" style="1" hidden="1" customWidth="1"/>
    <col min="526" max="526" width="11.5703125" style="1" hidden="1" customWidth="1"/>
    <col min="527" max="528" width="11.42578125" style="1" hidden="1" customWidth="1"/>
    <col min="529" max="529" width="10.85546875" style="1" hidden="1" customWidth="1"/>
    <col min="530" max="530" width="8.7109375" style="1" hidden="1" customWidth="1"/>
    <col min="531" max="531" width="6.28515625" style="1" hidden="1" customWidth="1"/>
    <col min="532" max="532" width="4" style="1" hidden="1" customWidth="1"/>
    <col min="533" max="533" width="8.7109375" style="1" hidden="1" customWidth="1"/>
    <col min="534" max="534" width="13.7109375" style="1" hidden="1" customWidth="1"/>
    <col min="535" max="535" width="20.7109375" style="1" hidden="1" customWidth="1"/>
    <col min="536" max="536" width="9.42578125" style="1" hidden="1" customWidth="1"/>
    <col min="537" max="537" width="3.28515625" style="1" hidden="1" customWidth="1"/>
    <col min="538" max="761" width="0" style="1" hidden="1"/>
    <col min="762" max="763" width="3.28515625" style="1" hidden="1" customWidth="1"/>
    <col min="764" max="764" width="30.7109375" style="1" hidden="1" customWidth="1"/>
    <col min="765" max="765" width="2.7109375" style="1" hidden="1" customWidth="1"/>
    <col min="766" max="766" width="12.85546875" style="1" hidden="1" customWidth="1"/>
    <col min="767" max="768" width="9.5703125" style="1" hidden="1" customWidth="1"/>
    <col min="769" max="769" width="7.42578125" style="1" hidden="1" customWidth="1"/>
    <col min="770" max="770" width="11.140625" style="1" hidden="1" customWidth="1"/>
    <col min="771" max="771" width="11.28515625" style="1" hidden="1" customWidth="1"/>
    <col min="772" max="772" width="11.7109375" style="1" hidden="1" customWidth="1"/>
    <col min="773" max="773" width="11.28515625" style="1" hidden="1" customWidth="1"/>
    <col min="774" max="774" width="10.7109375" style="1" hidden="1" customWidth="1"/>
    <col min="775" max="775" width="11.28515625" style="1" hidden="1" customWidth="1"/>
    <col min="776" max="776" width="11.42578125" style="1" hidden="1" customWidth="1"/>
    <col min="777" max="777" width="10.42578125" style="1" hidden="1" customWidth="1"/>
    <col min="778" max="778" width="11.28515625" style="1" hidden="1" customWidth="1"/>
    <col min="779" max="779" width="11.42578125" style="1" hidden="1" customWidth="1"/>
    <col min="780" max="780" width="10.7109375" style="1" hidden="1" customWidth="1"/>
    <col min="781" max="781" width="10.28515625" style="1" hidden="1" customWidth="1"/>
    <col min="782" max="782" width="11.5703125" style="1" hidden="1" customWidth="1"/>
    <col min="783" max="784" width="11.42578125" style="1" hidden="1" customWidth="1"/>
    <col min="785" max="785" width="10.85546875" style="1" hidden="1" customWidth="1"/>
    <col min="786" max="786" width="8.7109375" style="1" hidden="1" customWidth="1"/>
    <col min="787" max="787" width="6.28515625" style="1" hidden="1" customWidth="1"/>
    <col min="788" max="788" width="4" style="1" hidden="1" customWidth="1"/>
    <col min="789" max="789" width="8.7109375" style="1" hidden="1" customWidth="1"/>
    <col min="790" max="790" width="13.7109375" style="1" hidden="1" customWidth="1"/>
    <col min="791" max="791" width="20.7109375" style="1" hidden="1" customWidth="1"/>
    <col min="792" max="792" width="9.42578125" style="1" hidden="1" customWidth="1"/>
    <col min="793" max="793" width="3.28515625" style="1" hidden="1" customWidth="1"/>
    <col min="794" max="1017" width="0" style="1" hidden="1"/>
    <col min="1018" max="1019" width="3.28515625" style="1" hidden="1" customWidth="1"/>
    <col min="1020" max="1020" width="30.7109375" style="1" hidden="1" customWidth="1"/>
    <col min="1021" max="1021" width="2.7109375" style="1" hidden="1" customWidth="1"/>
    <col min="1022" max="1022" width="12.85546875" style="1" hidden="1" customWidth="1"/>
    <col min="1023" max="1024" width="9.5703125" style="1" hidden="1" customWidth="1"/>
    <col min="1025" max="1025" width="7.42578125" style="1" hidden="1" customWidth="1"/>
    <col min="1026" max="1026" width="11.140625" style="1" hidden="1" customWidth="1"/>
    <col min="1027" max="1027" width="11.28515625" style="1" hidden="1" customWidth="1"/>
    <col min="1028" max="1028" width="11.7109375" style="1" hidden="1" customWidth="1"/>
    <col min="1029" max="1029" width="11.28515625" style="1" hidden="1" customWidth="1"/>
    <col min="1030" max="1030" width="10.7109375" style="1" hidden="1" customWidth="1"/>
    <col min="1031" max="1031" width="11.28515625" style="1" hidden="1" customWidth="1"/>
    <col min="1032" max="1032" width="11.42578125" style="1" hidden="1" customWidth="1"/>
    <col min="1033" max="1033" width="10.42578125" style="1" hidden="1" customWidth="1"/>
    <col min="1034" max="1034" width="11.28515625" style="1" hidden="1" customWidth="1"/>
    <col min="1035" max="1035" width="11.42578125" style="1" hidden="1" customWidth="1"/>
    <col min="1036" max="1036" width="10.7109375" style="1" hidden="1" customWidth="1"/>
    <col min="1037" max="1037" width="10.28515625" style="1" hidden="1" customWidth="1"/>
    <col min="1038" max="1038" width="11.5703125" style="1" hidden="1" customWidth="1"/>
    <col min="1039" max="1040" width="11.42578125" style="1" hidden="1" customWidth="1"/>
    <col min="1041" max="1041" width="10.85546875" style="1" hidden="1" customWidth="1"/>
    <col min="1042" max="1042" width="8.7109375" style="1" hidden="1" customWidth="1"/>
    <col min="1043" max="1043" width="6.28515625" style="1" hidden="1" customWidth="1"/>
    <col min="1044" max="1044" width="4" style="1" hidden="1" customWidth="1"/>
    <col min="1045" max="1045" width="8.7109375" style="1" hidden="1" customWidth="1"/>
    <col min="1046" max="1046" width="13.7109375" style="1" hidden="1" customWidth="1"/>
    <col min="1047" max="1047" width="20.7109375" style="1" hidden="1" customWidth="1"/>
    <col min="1048" max="1048" width="9.42578125" style="1" hidden="1" customWidth="1"/>
    <col min="1049" max="1049" width="3.28515625" style="1" hidden="1" customWidth="1"/>
    <col min="1050" max="1273" width="0" style="1" hidden="1"/>
    <col min="1274" max="1275" width="3.28515625" style="1" hidden="1" customWidth="1"/>
    <col min="1276" max="1276" width="30.7109375" style="1" hidden="1" customWidth="1"/>
    <col min="1277" max="1277" width="2.7109375" style="1" hidden="1" customWidth="1"/>
    <col min="1278" max="1278" width="12.85546875" style="1" hidden="1" customWidth="1"/>
    <col min="1279" max="1280" width="9.5703125" style="1" hidden="1" customWidth="1"/>
    <col min="1281" max="1281" width="7.42578125" style="1" hidden="1" customWidth="1"/>
    <col min="1282" max="1282" width="11.140625" style="1" hidden="1" customWidth="1"/>
    <col min="1283" max="1283" width="11.28515625" style="1" hidden="1" customWidth="1"/>
    <col min="1284" max="1284" width="11.7109375" style="1" hidden="1" customWidth="1"/>
    <col min="1285" max="1285" width="11.28515625" style="1" hidden="1" customWidth="1"/>
    <col min="1286" max="1286" width="10.7109375" style="1" hidden="1" customWidth="1"/>
    <col min="1287" max="1287" width="11.28515625" style="1" hidden="1" customWidth="1"/>
    <col min="1288" max="1288" width="11.42578125" style="1" hidden="1" customWidth="1"/>
    <col min="1289" max="1289" width="10.42578125" style="1" hidden="1" customWidth="1"/>
    <col min="1290" max="1290" width="11.28515625" style="1" hidden="1" customWidth="1"/>
    <col min="1291" max="1291" width="11.42578125" style="1" hidden="1" customWidth="1"/>
    <col min="1292" max="1292" width="10.7109375" style="1" hidden="1" customWidth="1"/>
    <col min="1293" max="1293" width="10.28515625" style="1" hidden="1" customWidth="1"/>
    <col min="1294" max="1294" width="11.5703125" style="1" hidden="1" customWidth="1"/>
    <col min="1295" max="1296" width="11.42578125" style="1" hidden="1" customWidth="1"/>
    <col min="1297" max="1297" width="10.85546875" style="1" hidden="1" customWidth="1"/>
    <col min="1298" max="1298" width="8.7109375" style="1" hidden="1" customWidth="1"/>
    <col min="1299" max="1299" width="6.28515625" style="1" hidden="1" customWidth="1"/>
    <col min="1300" max="1300" width="4" style="1" hidden="1" customWidth="1"/>
    <col min="1301" max="1301" width="8.7109375" style="1" hidden="1" customWidth="1"/>
    <col min="1302" max="1302" width="13.7109375" style="1" hidden="1" customWidth="1"/>
    <col min="1303" max="1303" width="20.7109375" style="1" hidden="1" customWidth="1"/>
    <col min="1304" max="1304" width="9.42578125" style="1" hidden="1" customWidth="1"/>
    <col min="1305" max="1305" width="3.28515625" style="1" hidden="1" customWidth="1"/>
    <col min="1306" max="1529" width="0" style="1" hidden="1"/>
    <col min="1530" max="1531" width="3.28515625" style="1" hidden="1" customWidth="1"/>
    <col min="1532" max="1532" width="30.7109375" style="1" hidden="1" customWidth="1"/>
    <col min="1533" max="1533" width="2.7109375" style="1" hidden="1" customWidth="1"/>
    <col min="1534" max="1534" width="12.85546875" style="1" hidden="1" customWidth="1"/>
    <col min="1535" max="1536" width="9.5703125" style="1" hidden="1" customWidth="1"/>
    <col min="1537" max="1537" width="7.42578125" style="1" hidden="1" customWidth="1"/>
    <col min="1538" max="1538" width="11.140625" style="1" hidden="1" customWidth="1"/>
    <col min="1539" max="1539" width="11.28515625" style="1" hidden="1" customWidth="1"/>
    <col min="1540" max="1540" width="11.7109375" style="1" hidden="1" customWidth="1"/>
    <col min="1541" max="1541" width="11.28515625" style="1" hidden="1" customWidth="1"/>
    <col min="1542" max="1542" width="10.7109375" style="1" hidden="1" customWidth="1"/>
    <col min="1543" max="1543" width="11.28515625" style="1" hidden="1" customWidth="1"/>
    <col min="1544" max="1544" width="11.42578125" style="1" hidden="1" customWidth="1"/>
    <col min="1545" max="1545" width="10.42578125" style="1" hidden="1" customWidth="1"/>
    <col min="1546" max="1546" width="11.28515625" style="1" hidden="1" customWidth="1"/>
    <col min="1547" max="1547" width="11.42578125" style="1" hidden="1" customWidth="1"/>
    <col min="1548" max="1548" width="10.7109375" style="1" hidden="1" customWidth="1"/>
    <col min="1549" max="1549" width="10.28515625" style="1" hidden="1" customWidth="1"/>
    <col min="1550" max="1550" width="11.5703125" style="1" hidden="1" customWidth="1"/>
    <col min="1551" max="1552" width="11.42578125" style="1" hidden="1" customWidth="1"/>
    <col min="1553" max="1553" width="10.85546875" style="1" hidden="1" customWidth="1"/>
    <col min="1554" max="1554" width="8.7109375" style="1" hidden="1" customWidth="1"/>
    <col min="1555" max="1555" width="6.28515625" style="1" hidden="1" customWidth="1"/>
    <col min="1556" max="1556" width="4" style="1" hidden="1" customWidth="1"/>
    <col min="1557" max="1557" width="8.7109375" style="1" hidden="1" customWidth="1"/>
    <col min="1558" max="1558" width="13.7109375" style="1" hidden="1" customWidth="1"/>
    <col min="1559" max="1559" width="20.7109375" style="1" hidden="1" customWidth="1"/>
    <col min="1560" max="1560" width="9.42578125" style="1" hidden="1" customWidth="1"/>
    <col min="1561" max="1561" width="3.28515625" style="1" hidden="1" customWidth="1"/>
    <col min="1562" max="1785" width="0" style="1" hidden="1"/>
    <col min="1786" max="1787" width="3.28515625" style="1" hidden="1" customWidth="1"/>
    <col min="1788" max="1788" width="30.7109375" style="1" hidden="1" customWidth="1"/>
    <col min="1789" max="1789" width="2.7109375" style="1" hidden="1" customWidth="1"/>
    <col min="1790" max="1790" width="12.85546875" style="1" hidden="1" customWidth="1"/>
    <col min="1791" max="1792" width="9.5703125" style="1" hidden="1" customWidth="1"/>
    <col min="1793" max="1793" width="7.42578125" style="1" hidden="1" customWidth="1"/>
    <col min="1794" max="1794" width="11.140625" style="1" hidden="1" customWidth="1"/>
    <col min="1795" max="1795" width="11.28515625" style="1" hidden="1" customWidth="1"/>
    <col min="1796" max="1796" width="11.7109375" style="1" hidden="1" customWidth="1"/>
    <col min="1797" max="1797" width="11.28515625" style="1" hidden="1" customWidth="1"/>
    <col min="1798" max="1798" width="10.7109375" style="1" hidden="1" customWidth="1"/>
    <col min="1799" max="1799" width="11.28515625" style="1" hidden="1" customWidth="1"/>
    <col min="1800" max="1800" width="11.42578125" style="1" hidden="1" customWidth="1"/>
    <col min="1801" max="1801" width="10.42578125" style="1" hidden="1" customWidth="1"/>
    <col min="1802" max="1802" width="11.28515625" style="1" hidden="1" customWidth="1"/>
    <col min="1803" max="1803" width="11.42578125" style="1" hidden="1" customWidth="1"/>
    <col min="1804" max="1804" width="10.7109375" style="1" hidden="1" customWidth="1"/>
    <col min="1805" max="1805" width="10.28515625" style="1" hidden="1" customWidth="1"/>
    <col min="1806" max="1806" width="11.5703125" style="1" hidden="1" customWidth="1"/>
    <col min="1807" max="1808" width="11.42578125" style="1" hidden="1" customWidth="1"/>
    <col min="1809" max="1809" width="10.85546875" style="1" hidden="1" customWidth="1"/>
    <col min="1810" max="1810" width="8.7109375" style="1" hidden="1" customWidth="1"/>
    <col min="1811" max="1811" width="6.28515625" style="1" hidden="1" customWidth="1"/>
    <col min="1812" max="1812" width="4" style="1" hidden="1" customWidth="1"/>
    <col min="1813" max="1813" width="8.7109375" style="1" hidden="1" customWidth="1"/>
    <col min="1814" max="1814" width="13.7109375" style="1" hidden="1" customWidth="1"/>
    <col min="1815" max="1815" width="20.7109375" style="1" hidden="1" customWidth="1"/>
    <col min="1816" max="1816" width="9.42578125" style="1" hidden="1" customWidth="1"/>
    <col min="1817" max="1817" width="3.28515625" style="1" hidden="1" customWidth="1"/>
    <col min="1818" max="2041" width="0" style="1" hidden="1"/>
    <col min="2042" max="2043" width="3.28515625" style="1" hidden="1" customWidth="1"/>
    <col min="2044" max="2044" width="30.7109375" style="1" hidden="1" customWidth="1"/>
    <col min="2045" max="2045" width="2.7109375" style="1" hidden="1" customWidth="1"/>
    <col min="2046" max="2046" width="12.85546875" style="1" hidden="1" customWidth="1"/>
    <col min="2047" max="2048" width="9.5703125" style="1" hidden="1" customWidth="1"/>
    <col min="2049" max="2049" width="7.42578125" style="1" hidden="1" customWidth="1"/>
    <col min="2050" max="2050" width="11.140625" style="1" hidden="1" customWidth="1"/>
    <col min="2051" max="2051" width="11.28515625" style="1" hidden="1" customWidth="1"/>
    <col min="2052" max="2052" width="11.7109375" style="1" hidden="1" customWidth="1"/>
    <col min="2053" max="2053" width="11.28515625" style="1" hidden="1" customWidth="1"/>
    <col min="2054" max="2054" width="10.7109375" style="1" hidden="1" customWidth="1"/>
    <col min="2055" max="2055" width="11.28515625" style="1" hidden="1" customWidth="1"/>
    <col min="2056" max="2056" width="11.42578125" style="1" hidden="1" customWidth="1"/>
    <col min="2057" max="2057" width="10.42578125" style="1" hidden="1" customWidth="1"/>
    <col min="2058" max="2058" width="11.28515625" style="1" hidden="1" customWidth="1"/>
    <col min="2059" max="2059" width="11.42578125" style="1" hidden="1" customWidth="1"/>
    <col min="2060" max="2060" width="10.7109375" style="1" hidden="1" customWidth="1"/>
    <col min="2061" max="2061" width="10.28515625" style="1" hidden="1" customWidth="1"/>
    <col min="2062" max="2062" width="11.5703125" style="1" hidden="1" customWidth="1"/>
    <col min="2063" max="2064" width="11.42578125" style="1" hidden="1" customWidth="1"/>
    <col min="2065" max="2065" width="10.85546875" style="1" hidden="1" customWidth="1"/>
    <col min="2066" max="2066" width="8.7109375" style="1" hidden="1" customWidth="1"/>
    <col min="2067" max="2067" width="6.28515625" style="1" hidden="1" customWidth="1"/>
    <col min="2068" max="2068" width="4" style="1" hidden="1" customWidth="1"/>
    <col min="2069" max="2069" width="8.7109375" style="1" hidden="1" customWidth="1"/>
    <col min="2070" max="2070" width="13.7109375" style="1" hidden="1" customWidth="1"/>
    <col min="2071" max="2071" width="20.7109375" style="1" hidden="1" customWidth="1"/>
    <col min="2072" max="2072" width="9.42578125" style="1" hidden="1" customWidth="1"/>
    <col min="2073" max="2073" width="3.28515625" style="1" hidden="1" customWidth="1"/>
    <col min="2074" max="2297" width="0" style="1" hidden="1"/>
    <col min="2298" max="2299" width="3.28515625" style="1" hidden="1" customWidth="1"/>
    <col min="2300" max="2300" width="30.7109375" style="1" hidden="1" customWidth="1"/>
    <col min="2301" max="2301" width="2.7109375" style="1" hidden="1" customWidth="1"/>
    <col min="2302" max="2302" width="12.85546875" style="1" hidden="1" customWidth="1"/>
    <col min="2303" max="2304" width="9.5703125" style="1" hidden="1" customWidth="1"/>
    <col min="2305" max="2305" width="7.42578125" style="1" hidden="1" customWidth="1"/>
    <col min="2306" max="2306" width="11.140625" style="1" hidden="1" customWidth="1"/>
    <col min="2307" max="2307" width="11.28515625" style="1" hidden="1" customWidth="1"/>
    <col min="2308" max="2308" width="11.7109375" style="1" hidden="1" customWidth="1"/>
    <col min="2309" max="2309" width="11.28515625" style="1" hidden="1" customWidth="1"/>
    <col min="2310" max="2310" width="10.7109375" style="1" hidden="1" customWidth="1"/>
    <col min="2311" max="2311" width="11.28515625" style="1" hidden="1" customWidth="1"/>
    <col min="2312" max="2312" width="11.42578125" style="1" hidden="1" customWidth="1"/>
    <col min="2313" max="2313" width="10.42578125" style="1" hidden="1" customWidth="1"/>
    <col min="2314" max="2314" width="11.28515625" style="1" hidden="1" customWidth="1"/>
    <col min="2315" max="2315" width="11.42578125" style="1" hidden="1" customWidth="1"/>
    <col min="2316" max="2316" width="10.7109375" style="1" hidden="1" customWidth="1"/>
    <col min="2317" max="2317" width="10.28515625" style="1" hidden="1" customWidth="1"/>
    <col min="2318" max="2318" width="11.5703125" style="1" hidden="1" customWidth="1"/>
    <col min="2319" max="2320" width="11.42578125" style="1" hidden="1" customWidth="1"/>
    <col min="2321" max="2321" width="10.85546875" style="1" hidden="1" customWidth="1"/>
    <col min="2322" max="2322" width="8.7109375" style="1" hidden="1" customWidth="1"/>
    <col min="2323" max="2323" width="6.28515625" style="1" hidden="1" customWidth="1"/>
    <col min="2324" max="2324" width="4" style="1" hidden="1" customWidth="1"/>
    <col min="2325" max="2325" width="8.7109375" style="1" hidden="1" customWidth="1"/>
    <col min="2326" max="2326" width="13.7109375" style="1" hidden="1" customWidth="1"/>
    <col min="2327" max="2327" width="20.7109375" style="1" hidden="1" customWidth="1"/>
    <col min="2328" max="2328" width="9.42578125" style="1" hidden="1" customWidth="1"/>
    <col min="2329" max="2329" width="3.28515625" style="1" hidden="1" customWidth="1"/>
    <col min="2330" max="2553" width="0" style="1" hidden="1"/>
    <col min="2554" max="2555" width="3.28515625" style="1" hidden="1" customWidth="1"/>
    <col min="2556" max="2556" width="30.7109375" style="1" hidden="1" customWidth="1"/>
    <col min="2557" max="2557" width="2.7109375" style="1" hidden="1" customWidth="1"/>
    <col min="2558" max="2558" width="12.85546875" style="1" hidden="1" customWidth="1"/>
    <col min="2559" max="2560" width="9.5703125" style="1" hidden="1" customWidth="1"/>
    <col min="2561" max="2561" width="7.42578125" style="1" hidden="1" customWidth="1"/>
    <col min="2562" max="2562" width="11.140625" style="1" hidden="1" customWidth="1"/>
    <col min="2563" max="2563" width="11.28515625" style="1" hidden="1" customWidth="1"/>
    <col min="2564" max="2564" width="11.7109375" style="1" hidden="1" customWidth="1"/>
    <col min="2565" max="2565" width="11.28515625" style="1" hidden="1" customWidth="1"/>
    <col min="2566" max="2566" width="10.7109375" style="1" hidden="1" customWidth="1"/>
    <col min="2567" max="2567" width="11.28515625" style="1" hidden="1" customWidth="1"/>
    <col min="2568" max="2568" width="11.42578125" style="1" hidden="1" customWidth="1"/>
    <col min="2569" max="2569" width="10.42578125" style="1" hidden="1" customWidth="1"/>
    <col min="2570" max="2570" width="11.28515625" style="1" hidden="1" customWidth="1"/>
    <col min="2571" max="2571" width="11.42578125" style="1" hidden="1" customWidth="1"/>
    <col min="2572" max="2572" width="10.7109375" style="1" hidden="1" customWidth="1"/>
    <col min="2573" max="2573" width="10.28515625" style="1" hidden="1" customWidth="1"/>
    <col min="2574" max="2574" width="11.5703125" style="1" hidden="1" customWidth="1"/>
    <col min="2575" max="2576" width="11.42578125" style="1" hidden="1" customWidth="1"/>
    <col min="2577" max="2577" width="10.85546875" style="1" hidden="1" customWidth="1"/>
    <col min="2578" max="2578" width="8.7109375" style="1" hidden="1" customWidth="1"/>
    <col min="2579" max="2579" width="6.28515625" style="1" hidden="1" customWidth="1"/>
    <col min="2580" max="2580" width="4" style="1" hidden="1" customWidth="1"/>
    <col min="2581" max="2581" width="8.7109375" style="1" hidden="1" customWidth="1"/>
    <col min="2582" max="2582" width="13.7109375" style="1" hidden="1" customWidth="1"/>
    <col min="2583" max="2583" width="20.7109375" style="1" hidden="1" customWidth="1"/>
    <col min="2584" max="2584" width="9.42578125" style="1" hidden="1" customWidth="1"/>
    <col min="2585" max="2585" width="3.28515625" style="1" hidden="1" customWidth="1"/>
    <col min="2586" max="2809" width="0" style="1" hidden="1"/>
    <col min="2810" max="2811" width="3.28515625" style="1" hidden="1" customWidth="1"/>
    <col min="2812" max="2812" width="30.7109375" style="1" hidden="1" customWidth="1"/>
    <col min="2813" max="2813" width="2.7109375" style="1" hidden="1" customWidth="1"/>
    <col min="2814" max="2814" width="12.85546875" style="1" hidden="1" customWidth="1"/>
    <col min="2815" max="2816" width="9.5703125" style="1" hidden="1" customWidth="1"/>
    <col min="2817" max="2817" width="7.42578125" style="1" hidden="1" customWidth="1"/>
    <col min="2818" max="2818" width="11.140625" style="1" hidden="1" customWidth="1"/>
    <col min="2819" max="2819" width="11.28515625" style="1" hidden="1" customWidth="1"/>
    <col min="2820" max="2820" width="11.7109375" style="1" hidden="1" customWidth="1"/>
    <col min="2821" max="2821" width="11.28515625" style="1" hidden="1" customWidth="1"/>
    <col min="2822" max="2822" width="10.7109375" style="1" hidden="1" customWidth="1"/>
    <col min="2823" max="2823" width="11.28515625" style="1" hidden="1" customWidth="1"/>
    <col min="2824" max="2824" width="11.42578125" style="1" hidden="1" customWidth="1"/>
    <col min="2825" max="2825" width="10.42578125" style="1" hidden="1" customWidth="1"/>
    <col min="2826" max="2826" width="11.28515625" style="1" hidden="1" customWidth="1"/>
    <col min="2827" max="2827" width="11.42578125" style="1" hidden="1" customWidth="1"/>
    <col min="2828" max="2828" width="10.7109375" style="1" hidden="1" customWidth="1"/>
    <col min="2829" max="2829" width="10.28515625" style="1" hidden="1" customWidth="1"/>
    <col min="2830" max="2830" width="11.5703125" style="1" hidden="1" customWidth="1"/>
    <col min="2831" max="2832" width="11.42578125" style="1" hidden="1" customWidth="1"/>
    <col min="2833" max="2833" width="10.85546875" style="1" hidden="1" customWidth="1"/>
    <col min="2834" max="2834" width="8.7109375" style="1" hidden="1" customWidth="1"/>
    <col min="2835" max="2835" width="6.28515625" style="1" hidden="1" customWidth="1"/>
    <col min="2836" max="2836" width="4" style="1" hidden="1" customWidth="1"/>
    <col min="2837" max="2837" width="8.7109375" style="1" hidden="1" customWidth="1"/>
    <col min="2838" max="2838" width="13.7109375" style="1" hidden="1" customWidth="1"/>
    <col min="2839" max="2839" width="20.7109375" style="1" hidden="1" customWidth="1"/>
    <col min="2840" max="2840" width="9.42578125" style="1" hidden="1" customWidth="1"/>
    <col min="2841" max="2841" width="3.28515625" style="1" hidden="1" customWidth="1"/>
    <col min="2842" max="3065" width="0" style="1" hidden="1"/>
    <col min="3066" max="3067" width="3.28515625" style="1" hidden="1" customWidth="1"/>
    <col min="3068" max="3068" width="30.7109375" style="1" hidden="1" customWidth="1"/>
    <col min="3069" max="3069" width="2.7109375" style="1" hidden="1" customWidth="1"/>
    <col min="3070" max="3070" width="12.85546875" style="1" hidden="1" customWidth="1"/>
    <col min="3071" max="3072" width="9.5703125" style="1" hidden="1" customWidth="1"/>
    <col min="3073" max="3073" width="7.42578125" style="1" hidden="1" customWidth="1"/>
    <col min="3074" max="3074" width="11.140625" style="1" hidden="1" customWidth="1"/>
    <col min="3075" max="3075" width="11.28515625" style="1" hidden="1" customWidth="1"/>
    <col min="3076" max="3076" width="11.7109375" style="1" hidden="1" customWidth="1"/>
    <col min="3077" max="3077" width="11.28515625" style="1" hidden="1" customWidth="1"/>
    <col min="3078" max="3078" width="10.7109375" style="1" hidden="1" customWidth="1"/>
    <col min="3079" max="3079" width="11.28515625" style="1" hidden="1" customWidth="1"/>
    <col min="3080" max="3080" width="11.42578125" style="1" hidden="1" customWidth="1"/>
    <col min="3081" max="3081" width="10.42578125" style="1" hidden="1" customWidth="1"/>
    <col min="3082" max="3082" width="11.28515625" style="1" hidden="1" customWidth="1"/>
    <col min="3083" max="3083" width="11.42578125" style="1" hidden="1" customWidth="1"/>
    <col min="3084" max="3084" width="10.7109375" style="1" hidden="1" customWidth="1"/>
    <col min="3085" max="3085" width="10.28515625" style="1" hidden="1" customWidth="1"/>
    <col min="3086" max="3086" width="11.5703125" style="1" hidden="1" customWidth="1"/>
    <col min="3087" max="3088" width="11.42578125" style="1" hidden="1" customWidth="1"/>
    <col min="3089" max="3089" width="10.85546875" style="1" hidden="1" customWidth="1"/>
    <col min="3090" max="3090" width="8.7109375" style="1" hidden="1" customWidth="1"/>
    <col min="3091" max="3091" width="6.28515625" style="1" hidden="1" customWidth="1"/>
    <col min="3092" max="3092" width="4" style="1" hidden="1" customWidth="1"/>
    <col min="3093" max="3093" width="8.7109375" style="1" hidden="1" customWidth="1"/>
    <col min="3094" max="3094" width="13.7109375" style="1" hidden="1" customWidth="1"/>
    <col min="3095" max="3095" width="20.7109375" style="1" hidden="1" customWidth="1"/>
    <col min="3096" max="3096" width="9.42578125" style="1" hidden="1" customWidth="1"/>
    <col min="3097" max="3097" width="3.28515625" style="1" hidden="1" customWidth="1"/>
    <col min="3098" max="3321" width="0" style="1" hidden="1"/>
    <col min="3322" max="3323" width="3.28515625" style="1" hidden="1" customWidth="1"/>
    <col min="3324" max="3324" width="30.7109375" style="1" hidden="1" customWidth="1"/>
    <col min="3325" max="3325" width="2.7109375" style="1" hidden="1" customWidth="1"/>
    <col min="3326" max="3326" width="12.85546875" style="1" hidden="1" customWidth="1"/>
    <col min="3327" max="3328" width="9.5703125" style="1" hidden="1" customWidth="1"/>
    <col min="3329" max="3329" width="7.42578125" style="1" hidden="1" customWidth="1"/>
    <col min="3330" max="3330" width="11.140625" style="1" hidden="1" customWidth="1"/>
    <col min="3331" max="3331" width="11.28515625" style="1" hidden="1" customWidth="1"/>
    <col min="3332" max="3332" width="11.7109375" style="1" hidden="1" customWidth="1"/>
    <col min="3333" max="3333" width="11.28515625" style="1" hidden="1" customWidth="1"/>
    <col min="3334" max="3334" width="10.7109375" style="1" hidden="1" customWidth="1"/>
    <col min="3335" max="3335" width="11.28515625" style="1" hidden="1" customWidth="1"/>
    <col min="3336" max="3336" width="11.42578125" style="1" hidden="1" customWidth="1"/>
    <col min="3337" max="3337" width="10.42578125" style="1" hidden="1" customWidth="1"/>
    <col min="3338" max="3338" width="11.28515625" style="1" hidden="1" customWidth="1"/>
    <col min="3339" max="3339" width="11.42578125" style="1" hidden="1" customWidth="1"/>
    <col min="3340" max="3340" width="10.7109375" style="1" hidden="1" customWidth="1"/>
    <col min="3341" max="3341" width="10.28515625" style="1" hidden="1" customWidth="1"/>
    <col min="3342" max="3342" width="11.5703125" style="1" hidden="1" customWidth="1"/>
    <col min="3343" max="3344" width="11.42578125" style="1" hidden="1" customWidth="1"/>
    <col min="3345" max="3345" width="10.85546875" style="1" hidden="1" customWidth="1"/>
    <col min="3346" max="3346" width="8.7109375" style="1" hidden="1" customWidth="1"/>
    <col min="3347" max="3347" width="6.28515625" style="1" hidden="1" customWidth="1"/>
    <col min="3348" max="3348" width="4" style="1" hidden="1" customWidth="1"/>
    <col min="3349" max="3349" width="8.7109375" style="1" hidden="1" customWidth="1"/>
    <col min="3350" max="3350" width="13.7109375" style="1" hidden="1" customWidth="1"/>
    <col min="3351" max="3351" width="20.7109375" style="1" hidden="1" customWidth="1"/>
    <col min="3352" max="3352" width="9.42578125" style="1" hidden="1" customWidth="1"/>
    <col min="3353" max="3353" width="3.28515625" style="1" hidden="1" customWidth="1"/>
    <col min="3354" max="3577" width="0" style="1" hidden="1"/>
    <col min="3578" max="3579" width="3.28515625" style="1" hidden="1" customWidth="1"/>
    <col min="3580" max="3580" width="30.7109375" style="1" hidden="1" customWidth="1"/>
    <col min="3581" max="3581" width="2.7109375" style="1" hidden="1" customWidth="1"/>
    <col min="3582" max="3582" width="12.85546875" style="1" hidden="1" customWidth="1"/>
    <col min="3583" max="3584" width="9.5703125" style="1" hidden="1" customWidth="1"/>
    <col min="3585" max="3585" width="7.42578125" style="1" hidden="1" customWidth="1"/>
    <col min="3586" max="3586" width="11.140625" style="1" hidden="1" customWidth="1"/>
    <col min="3587" max="3587" width="11.28515625" style="1" hidden="1" customWidth="1"/>
    <col min="3588" max="3588" width="11.7109375" style="1" hidden="1" customWidth="1"/>
    <col min="3589" max="3589" width="11.28515625" style="1" hidden="1" customWidth="1"/>
    <col min="3590" max="3590" width="10.7109375" style="1" hidden="1" customWidth="1"/>
    <col min="3591" max="3591" width="11.28515625" style="1" hidden="1" customWidth="1"/>
    <col min="3592" max="3592" width="11.42578125" style="1" hidden="1" customWidth="1"/>
    <col min="3593" max="3593" width="10.42578125" style="1" hidden="1" customWidth="1"/>
    <col min="3594" max="3594" width="11.28515625" style="1" hidden="1" customWidth="1"/>
    <col min="3595" max="3595" width="11.42578125" style="1" hidden="1" customWidth="1"/>
    <col min="3596" max="3596" width="10.7109375" style="1" hidden="1" customWidth="1"/>
    <col min="3597" max="3597" width="10.28515625" style="1" hidden="1" customWidth="1"/>
    <col min="3598" max="3598" width="11.5703125" style="1" hidden="1" customWidth="1"/>
    <col min="3599" max="3600" width="11.42578125" style="1" hidden="1" customWidth="1"/>
    <col min="3601" max="3601" width="10.85546875" style="1" hidden="1" customWidth="1"/>
    <col min="3602" max="3602" width="8.7109375" style="1" hidden="1" customWidth="1"/>
    <col min="3603" max="3603" width="6.28515625" style="1" hidden="1" customWidth="1"/>
    <col min="3604" max="3604" width="4" style="1" hidden="1" customWidth="1"/>
    <col min="3605" max="3605" width="8.7109375" style="1" hidden="1" customWidth="1"/>
    <col min="3606" max="3606" width="13.7109375" style="1" hidden="1" customWidth="1"/>
    <col min="3607" max="3607" width="20.7109375" style="1" hidden="1" customWidth="1"/>
    <col min="3608" max="3608" width="9.42578125" style="1" hidden="1" customWidth="1"/>
    <col min="3609" max="3609" width="3.28515625" style="1" hidden="1" customWidth="1"/>
    <col min="3610" max="3833" width="0" style="1" hidden="1"/>
    <col min="3834" max="3835" width="3.28515625" style="1" hidden="1" customWidth="1"/>
    <col min="3836" max="3836" width="30.7109375" style="1" hidden="1" customWidth="1"/>
    <col min="3837" max="3837" width="2.7109375" style="1" hidden="1" customWidth="1"/>
    <col min="3838" max="3838" width="12.85546875" style="1" hidden="1" customWidth="1"/>
    <col min="3839" max="3840" width="9.5703125" style="1" hidden="1" customWidth="1"/>
    <col min="3841" max="3841" width="7.42578125" style="1" hidden="1" customWidth="1"/>
    <col min="3842" max="3842" width="11.140625" style="1" hidden="1" customWidth="1"/>
    <col min="3843" max="3843" width="11.28515625" style="1" hidden="1" customWidth="1"/>
    <col min="3844" max="3844" width="11.7109375" style="1" hidden="1" customWidth="1"/>
    <col min="3845" max="3845" width="11.28515625" style="1" hidden="1" customWidth="1"/>
    <col min="3846" max="3846" width="10.7109375" style="1" hidden="1" customWidth="1"/>
    <col min="3847" max="3847" width="11.28515625" style="1" hidden="1" customWidth="1"/>
    <col min="3848" max="3848" width="11.42578125" style="1" hidden="1" customWidth="1"/>
    <col min="3849" max="3849" width="10.42578125" style="1" hidden="1" customWidth="1"/>
    <col min="3850" max="3850" width="11.28515625" style="1" hidden="1" customWidth="1"/>
    <col min="3851" max="3851" width="11.42578125" style="1" hidden="1" customWidth="1"/>
    <col min="3852" max="3852" width="10.7109375" style="1" hidden="1" customWidth="1"/>
    <col min="3853" max="3853" width="10.28515625" style="1" hidden="1" customWidth="1"/>
    <col min="3854" max="3854" width="11.5703125" style="1" hidden="1" customWidth="1"/>
    <col min="3855" max="3856" width="11.42578125" style="1" hidden="1" customWidth="1"/>
    <col min="3857" max="3857" width="10.85546875" style="1" hidden="1" customWidth="1"/>
    <col min="3858" max="3858" width="8.7109375" style="1" hidden="1" customWidth="1"/>
    <col min="3859" max="3859" width="6.28515625" style="1" hidden="1" customWidth="1"/>
    <col min="3860" max="3860" width="4" style="1" hidden="1" customWidth="1"/>
    <col min="3861" max="3861" width="8.7109375" style="1" hidden="1" customWidth="1"/>
    <col min="3862" max="3862" width="13.7109375" style="1" hidden="1" customWidth="1"/>
    <col min="3863" max="3863" width="20.7109375" style="1" hidden="1" customWidth="1"/>
    <col min="3864" max="3864" width="9.42578125" style="1" hidden="1" customWidth="1"/>
    <col min="3865" max="3865" width="3.28515625" style="1" hidden="1" customWidth="1"/>
    <col min="3866" max="4089" width="0" style="1" hidden="1"/>
    <col min="4090" max="4091" width="3.28515625" style="1" hidden="1" customWidth="1"/>
    <col min="4092" max="4092" width="30.7109375" style="1" hidden="1" customWidth="1"/>
    <col min="4093" max="4093" width="2.7109375" style="1" hidden="1" customWidth="1"/>
    <col min="4094" max="4094" width="12.85546875" style="1" hidden="1" customWidth="1"/>
    <col min="4095" max="4096" width="9.5703125" style="1" hidden="1" customWidth="1"/>
    <col min="4097" max="4097" width="7.42578125" style="1" hidden="1" customWidth="1"/>
    <col min="4098" max="4098" width="11.140625" style="1" hidden="1" customWidth="1"/>
    <col min="4099" max="4099" width="11.28515625" style="1" hidden="1" customWidth="1"/>
    <col min="4100" max="4100" width="11.7109375" style="1" hidden="1" customWidth="1"/>
    <col min="4101" max="4101" width="11.28515625" style="1" hidden="1" customWidth="1"/>
    <col min="4102" max="4102" width="10.7109375" style="1" hidden="1" customWidth="1"/>
    <col min="4103" max="4103" width="11.28515625" style="1" hidden="1" customWidth="1"/>
    <col min="4104" max="4104" width="11.42578125" style="1" hidden="1" customWidth="1"/>
    <col min="4105" max="4105" width="10.42578125" style="1" hidden="1" customWidth="1"/>
    <col min="4106" max="4106" width="11.28515625" style="1" hidden="1" customWidth="1"/>
    <col min="4107" max="4107" width="11.42578125" style="1" hidden="1" customWidth="1"/>
    <col min="4108" max="4108" width="10.7109375" style="1" hidden="1" customWidth="1"/>
    <col min="4109" max="4109" width="10.28515625" style="1" hidden="1" customWidth="1"/>
    <col min="4110" max="4110" width="11.5703125" style="1" hidden="1" customWidth="1"/>
    <col min="4111" max="4112" width="11.42578125" style="1" hidden="1" customWidth="1"/>
    <col min="4113" max="4113" width="10.85546875" style="1" hidden="1" customWidth="1"/>
    <col min="4114" max="4114" width="8.7109375" style="1" hidden="1" customWidth="1"/>
    <col min="4115" max="4115" width="6.28515625" style="1" hidden="1" customWidth="1"/>
    <col min="4116" max="4116" width="4" style="1" hidden="1" customWidth="1"/>
    <col min="4117" max="4117" width="8.7109375" style="1" hidden="1" customWidth="1"/>
    <col min="4118" max="4118" width="13.7109375" style="1" hidden="1" customWidth="1"/>
    <col min="4119" max="4119" width="20.7109375" style="1" hidden="1" customWidth="1"/>
    <col min="4120" max="4120" width="9.42578125" style="1" hidden="1" customWidth="1"/>
    <col min="4121" max="4121" width="3.28515625" style="1" hidden="1" customWidth="1"/>
    <col min="4122" max="4345" width="0" style="1" hidden="1"/>
    <col min="4346" max="4347" width="3.28515625" style="1" hidden="1" customWidth="1"/>
    <col min="4348" max="4348" width="30.7109375" style="1" hidden="1" customWidth="1"/>
    <col min="4349" max="4349" width="2.7109375" style="1" hidden="1" customWidth="1"/>
    <col min="4350" max="4350" width="12.85546875" style="1" hidden="1" customWidth="1"/>
    <col min="4351" max="4352" width="9.5703125" style="1" hidden="1" customWidth="1"/>
    <col min="4353" max="4353" width="7.42578125" style="1" hidden="1" customWidth="1"/>
    <col min="4354" max="4354" width="11.140625" style="1" hidden="1" customWidth="1"/>
    <col min="4355" max="4355" width="11.28515625" style="1" hidden="1" customWidth="1"/>
    <col min="4356" max="4356" width="11.7109375" style="1" hidden="1" customWidth="1"/>
    <col min="4357" max="4357" width="11.28515625" style="1" hidden="1" customWidth="1"/>
    <col min="4358" max="4358" width="10.7109375" style="1" hidden="1" customWidth="1"/>
    <col min="4359" max="4359" width="11.28515625" style="1" hidden="1" customWidth="1"/>
    <col min="4360" max="4360" width="11.42578125" style="1" hidden="1" customWidth="1"/>
    <col min="4361" max="4361" width="10.42578125" style="1" hidden="1" customWidth="1"/>
    <col min="4362" max="4362" width="11.28515625" style="1" hidden="1" customWidth="1"/>
    <col min="4363" max="4363" width="11.42578125" style="1" hidden="1" customWidth="1"/>
    <col min="4364" max="4364" width="10.7109375" style="1" hidden="1" customWidth="1"/>
    <col min="4365" max="4365" width="10.28515625" style="1" hidden="1" customWidth="1"/>
    <col min="4366" max="4366" width="11.5703125" style="1" hidden="1" customWidth="1"/>
    <col min="4367" max="4368" width="11.42578125" style="1" hidden="1" customWidth="1"/>
    <col min="4369" max="4369" width="10.85546875" style="1" hidden="1" customWidth="1"/>
    <col min="4370" max="4370" width="8.7109375" style="1" hidden="1" customWidth="1"/>
    <col min="4371" max="4371" width="6.28515625" style="1" hidden="1" customWidth="1"/>
    <col min="4372" max="4372" width="4" style="1" hidden="1" customWidth="1"/>
    <col min="4373" max="4373" width="8.7109375" style="1" hidden="1" customWidth="1"/>
    <col min="4374" max="4374" width="13.7109375" style="1" hidden="1" customWidth="1"/>
    <col min="4375" max="4375" width="20.7109375" style="1" hidden="1" customWidth="1"/>
    <col min="4376" max="4376" width="9.42578125" style="1" hidden="1" customWidth="1"/>
    <col min="4377" max="4377" width="3.28515625" style="1" hidden="1" customWidth="1"/>
    <col min="4378" max="4601" width="0" style="1" hidden="1"/>
    <col min="4602" max="4603" width="3.28515625" style="1" hidden="1" customWidth="1"/>
    <col min="4604" max="4604" width="30.7109375" style="1" hidden="1" customWidth="1"/>
    <col min="4605" max="4605" width="2.7109375" style="1" hidden="1" customWidth="1"/>
    <col min="4606" max="4606" width="12.85546875" style="1" hidden="1" customWidth="1"/>
    <col min="4607" max="4608" width="9.5703125" style="1" hidden="1" customWidth="1"/>
    <col min="4609" max="4609" width="7.42578125" style="1" hidden="1" customWidth="1"/>
    <col min="4610" max="4610" width="11.140625" style="1" hidden="1" customWidth="1"/>
    <col min="4611" max="4611" width="11.28515625" style="1" hidden="1" customWidth="1"/>
    <col min="4612" max="4612" width="11.7109375" style="1" hidden="1" customWidth="1"/>
    <col min="4613" max="4613" width="11.28515625" style="1" hidden="1" customWidth="1"/>
    <col min="4614" max="4614" width="10.7109375" style="1" hidden="1" customWidth="1"/>
    <col min="4615" max="4615" width="11.28515625" style="1" hidden="1" customWidth="1"/>
    <col min="4616" max="4616" width="11.42578125" style="1" hidden="1" customWidth="1"/>
    <col min="4617" max="4617" width="10.42578125" style="1" hidden="1" customWidth="1"/>
    <col min="4618" max="4618" width="11.28515625" style="1" hidden="1" customWidth="1"/>
    <col min="4619" max="4619" width="11.42578125" style="1" hidden="1" customWidth="1"/>
    <col min="4620" max="4620" width="10.7109375" style="1" hidden="1" customWidth="1"/>
    <col min="4621" max="4621" width="10.28515625" style="1" hidden="1" customWidth="1"/>
    <col min="4622" max="4622" width="11.5703125" style="1" hidden="1" customWidth="1"/>
    <col min="4623" max="4624" width="11.42578125" style="1" hidden="1" customWidth="1"/>
    <col min="4625" max="4625" width="10.85546875" style="1" hidden="1" customWidth="1"/>
    <col min="4626" max="4626" width="8.7109375" style="1" hidden="1" customWidth="1"/>
    <col min="4627" max="4627" width="6.28515625" style="1" hidden="1" customWidth="1"/>
    <col min="4628" max="4628" width="4" style="1" hidden="1" customWidth="1"/>
    <col min="4629" max="4629" width="8.7109375" style="1" hidden="1" customWidth="1"/>
    <col min="4630" max="4630" width="13.7109375" style="1" hidden="1" customWidth="1"/>
    <col min="4631" max="4631" width="20.7109375" style="1" hidden="1" customWidth="1"/>
    <col min="4632" max="4632" width="9.42578125" style="1" hidden="1" customWidth="1"/>
    <col min="4633" max="4633" width="3.28515625" style="1" hidden="1" customWidth="1"/>
    <col min="4634" max="4857" width="0" style="1" hidden="1"/>
    <col min="4858" max="4859" width="3.28515625" style="1" hidden="1" customWidth="1"/>
    <col min="4860" max="4860" width="30.7109375" style="1" hidden="1" customWidth="1"/>
    <col min="4861" max="4861" width="2.7109375" style="1" hidden="1" customWidth="1"/>
    <col min="4862" max="4862" width="12.85546875" style="1" hidden="1" customWidth="1"/>
    <col min="4863" max="4864" width="9.5703125" style="1" hidden="1" customWidth="1"/>
    <col min="4865" max="4865" width="7.42578125" style="1" hidden="1" customWidth="1"/>
    <col min="4866" max="4866" width="11.140625" style="1" hidden="1" customWidth="1"/>
    <col min="4867" max="4867" width="11.28515625" style="1" hidden="1" customWidth="1"/>
    <col min="4868" max="4868" width="11.7109375" style="1" hidden="1" customWidth="1"/>
    <col min="4869" max="4869" width="11.28515625" style="1" hidden="1" customWidth="1"/>
    <col min="4870" max="4870" width="10.7109375" style="1" hidden="1" customWidth="1"/>
    <col min="4871" max="4871" width="11.28515625" style="1" hidden="1" customWidth="1"/>
    <col min="4872" max="4872" width="11.42578125" style="1" hidden="1" customWidth="1"/>
    <col min="4873" max="4873" width="10.42578125" style="1" hidden="1" customWidth="1"/>
    <col min="4874" max="4874" width="11.28515625" style="1" hidden="1" customWidth="1"/>
    <col min="4875" max="4875" width="11.42578125" style="1" hidden="1" customWidth="1"/>
    <col min="4876" max="4876" width="10.7109375" style="1" hidden="1" customWidth="1"/>
    <col min="4877" max="4877" width="10.28515625" style="1" hidden="1" customWidth="1"/>
    <col min="4878" max="4878" width="11.5703125" style="1" hidden="1" customWidth="1"/>
    <col min="4879" max="4880" width="11.42578125" style="1" hidden="1" customWidth="1"/>
    <col min="4881" max="4881" width="10.85546875" style="1" hidden="1" customWidth="1"/>
    <col min="4882" max="4882" width="8.7109375" style="1" hidden="1" customWidth="1"/>
    <col min="4883" max="4883" width="6.28515625" style="1" hidden="1" customWidth="1"/>
    <col min="4884" max="4884" width="4" style="1" hidden="1" customWidth="1"/>
    <col min="4885" max="4885" width="8.7109375" style="1" hidden="1" customWidth="1"/>
    <col min="4886" max="4886" width="13.7109375" style="1" hidden="1" customWidth="1"/>
    <col min="4887" max="4887" width="20.7109375" style="1" hidden="1" customWidth="1"/>
    <col min="4888" max="4888" width="9.42578125" style="1" hidden="1" customWidth="1"/>
    <col min="4889" max="4889" width="3.28515625" style="1" hidden="1" customWidth="1"/>
    <col min="4890" max="5113" width="0" style="1" hidden="1"/>
    <col min="5114" max="5115" width="3.28515625" style="1" hidden="1" customWidth="1"/>
    <col min="5116" max="5116" width="30.7109375" style="1" hidden="1" customWidth="1"/>
    <col min="5117" max="5117" width="2.7109375" style="1" hidden="1" customWidth="1"/>
    <col min="5118" max="5118" width="12.85546875" style="1" hidden="1" customWidth="1"/>
    <col min="5119" max="5120" width="9.5703125" style="1" hidden="1" customWidth="1"/>
    <col min="5121" max="5121" width="7.42578125" style="1" hidden="1" customWidth="1"/>
    <col min="5122" max="5122" width="11.140625" style="1" hidden="1" customWidth="1"/>
    <col min="5123" max="5123" width="11.28515625" style="1" hidden="1" customWidth="1"/>
    <col min="5124" max="5124" width="11.7109375" style="1" hidden="1" customWidth="1"/>
    <col min="5125" max="5125" width="11.28515625" style="1" hidden="1" customWidth="1"/>
    <col min="5126" max="5126" width="10.7109375" style="1" hidden="1" customWidth="1"/>
    <col min="5127" max="5127" width="11.28515625" style="1" hidden="1" customWidth="1"/>
    <col min="5128" max="5128" width="11.42578125" style="1" hidden="1" customWidth="1"/>
    <col min="5129" max="5129" width="10.42578125" style="1" hidden="1" customWidth="1"/>
    <col min="5130" max="5130" width="11.28515625" style="1" hidden="1" customWidth="1"/>
    <col min="5131" max="5131" width="11.42578125" style="1" hidden="1" customWidth="1"/>
    <col min="5132" max="5132" width="10.7109375" style="1" hidden="1" customWidth="1"/>
    <col min="5133" max="5133" width="10.28515625" style="1" hidden="1" customWidth="1"/>
    <col min="5134" max="5134" width="11.5703125" style="1" hidden="1" customWidth="1"/>
    <col min="5135" max="5136" width="11.42578125" style="1" hidden="1" customWidth="1"/>
    <col min="5137" max="5137" width="10.85546875" style="1" hidden="1" customWidth="1"/>
    <col min="5138" max="5138" width="8.7109375" style="1" hidden="1" customWidth="1"/>
    <col min="5139" max="5139" width="6.28515625" style="1" hidden="1" customWidth="1"/>
    <col min="5140" max="5140" width="4" style="1" hidden="1" customWidth="1"/>
    <col min="5141" max="5141" width="8.7109375" style="1" hidden="1" customWidth="1"/>
    <col min="5142" max="5142" width="13.7109375" style="1" hidden="1" customWidth="1"/>
    <col min="5143" max="5143" width="20.7109375" style="1" hidden="1" customWidth="1"/>
    <col min="5144" max="5144" width="9.42578125" style="1" hidden="1" customWidth="1"/>
    <col min="5145" max="5145" width="3.28515625" style="1" hidden="1" customWidth="1"/>
    <col min="5146" max="5369" width="0" style="1" hidden="1"/>
    <col min="5370" max="5371" width="3.28515625" style="1" hidden="1" customWidth="1"/>
    <col min="5372" max="5372" width="30.7109375" style="1" hidden="1" customWidth="1"/>
    <col min="5373" max="5373" width="2.7109375" style="1" hidden="1" customWidth="1"/>
    <col min="5374" max="5374" width="12.85546875" style="1" hidden="1" customWidth="1"/>
    <col min="5375" max="5376" width="9.5703125" style="1" hidden="1" customWidth="1"/>
    <col min="5377" max="5377" width="7.42578125" style="1" hidden="1" customWidth="1"/>
    <col min="5378" max="5378" width="11.140625" style="1" hidden="1" customWidth="1"/>
    <col min="5379" max="5379" width="11.28515625" style="1" hidden="1" customWidth="1"/>
    <col min="5380" max="5380" width="11.7109375" style="1" hidden="1" customWidth="1"/>
    <col min="5381" max="5381" width="11.28515625" style="1" hidden="1" customWidth="1"/>
    <col min="5382" max="5382" width="10.7109375" style="1" hidden="1" customWidth="1"/>
    <col min="5383" max="5383" width="11.28515625" style="1" hidden="1" customWidth="1"/>
    <col min="5384" max="5384" width="11.42578125" style="1" hidden="1" customWidth="1"/>
    <col min="5385" max="5385" width="10.42578125" style="1" hidden="1" customWidth="1"/>
    <col min="5386" max="5386" width="11.28515625" style="1" hidden="1" customWidth="1"/>
    <col min="5387" max="5387" width="11.42578125" style="1" hidden="1" customWidth="1"/>
    <col min="5388" max="5388" width="10.7109375" style="1" hidden="1" customWidth="1"/>
    <col min="5389" max="5389" width="10.28515625" style="1" hidden="1" customWidth="1"/>
    <col min="5390" max="5390" width="11.5703125" style="1" hidden="1" customWidth="1"/>
    <col min="5391" max="5392" width="11.42578125" style="1" hidden="1" customWidth="1"/>
    <col min="5393" max="5393" width="10.85546875" style="1" hidden="1" customWidth="1"/>
    <col min="5394" max="5394" width="8.7109375" style="1" hidden="1" customWidth="1"/>
    <col min="5395" max="5395" width="6.28515625" style="1" hidden="1" customWidth="1"/>
    <col min="5396" max="5396" width="4" style="1" hidden="1" customWidth="1"/>
    <col min="5397" max="5397" width="8.7109375" style="1" hidden="1" customWidth="1"/>
    <col min="5398" max="5398" width="13.7109375" style="1" hidden="1" customWidth="1"/>
    <col min="5399" max="5399" width="20.7109375" style="1" hidden="1" customWidth="1"/>
    <col min="5400" max="5400" width="9.42578125" style="1" hidden="1" customWidth="1"/>
    <col min="5401" max="5401" width="3.28515625" style="1" hidden="1" customWidth="1"/>
    <col min="5402" max="5625" width="0" style="1" hidden="1"/>
    <col min="5626" max="5627" width="3.28515625" style="1" hidden="1" customWidth="1"/>
    <col min="5628" max="5628" width="30.7109375" style="1" hidden="1" customWidth="1"/>
    <col min="5629" max="5629" width="2.7109375" style="1" hidden="1" customWidth="1"/>
    <col min="5630" max="5630" width="12.85546875" style="1" hidden="1" customWidth="1"/>
    <col min="5631" max="5632" width="9.5703125" style="1" hidden="1" customWidth="1"/>
    <col min="5633" max="5633" width="7.42578125" style="1" hidden="1" customWidth="1"/>
    <col min="5634" max="5634" width="11.140625" style="1" hidden="1" customWidth="1"/>
    <col min="5635" max="5635" width="11.28515625" style="1" hidden="1" customWidth="1"/>
    <col min="5636" max="5636" width="11.7109375" style="1" hidden="1" customWidth="1"/>
    <col min="5637" max="5637" width="11.28515625" style="1" hidden="1" customWidth="1"/>
    <col min="5638" max="5638" width="10.7109375" style="1" hidden="1" customWidth="1"/>
    <col min="5639" max="5639" width="11.28515625" style="1" hidden="1" customWidth="1"/>
    <col min="5640" max="5640" width="11.42578125" style="1" hidden="1" customWidth="1"/>
    <col min="5641" max="5641" width="10.42578125" style="1" hidden="1" customWidth="1"/>
    <col min="5642" max="5642" width="11.28515625" style="1" hidden="1" customWidth="1"/>
    <col min="5643" max="5643" width="11.42578125" style="1" hidden="1" customWidth="1"/>
    <col min="5644" max="5644" width="10.7109375" style="1" hidden="1" customWidth="1"/>
    <col min="5645" max="5645" width="10.28515625" style="1" hidden="1" customWidth="1"/>
    <col min="5646" max="5646" width="11.5703125" style="1" hidden="1" customWidth="1"/>
    <col min="5647" max="5648" width="11.42578125" style="1" hidden="1" customWidth="1"/>
    <col min="5649" max="5649" width="10.85546875" style="1" hidden="1" customWidth="1"/>
    <col min="5650" max="5650" width="8.7109375" style="1" hidden="1" customWidth="1"/>
    <col min="5651" max="5651" width="6.28515625" style="1" hidden="1" customWidth="1"/>
    <col min="5652" max="5652" width="4" style="1" hidden="1" customWidth="1"/>
    <col min="5653" max="5653" width="8.7109375" style="1" hidden="1" customWidth="1"/>
    <col min="5654" max="5654" width="13.7109375" style="1" hidden="1" customWidth="1"/>
    <col min="5655" max="5655" width="20.7109375" style="1" hidden="1" customWidth="1"/>
    <col min="5656" max="5656" width="9.42578125" style="1" hidden="1" customWidth="1"/>
    <col min="5657" max="5657" width="3.28515625" style="1" hidden="1" customWidth="1"/>
    <col min="5658" max="5881" width="0" style="1" hidden="1"/>
    <col min="5882" max="5883" width="3.28515625" style="1" hidden="1" customWidth="1"/>
    <col min="5884" max="5884" width="30.7109375" style="1" hidden="1" customWidth="1"/>
    <col min="5885" max="5885" width="2.7109375" style="1" hidden="1" customWidth="1"/>
    <col min="5886" max="5886" width="12.85546875" style="1" hidden="1" customWidth="1"/>
    <col min="5887" max="5888" width="9.5703125" style="1" hidden="1" customWidth="1"/>
    <col min="5889" max="5889" width="7.42578125" style="1" hidden="1" customWidth="1"/>
    <col min="5890" max="5890" width="11.140625" style="1" hidden="1" customWidth="1"/>
    <col min="5891" max="5891" width="11.28515625" style="1" hidden="1" customWidth="1"/>
    <col min="5892" max="5892" width="11.7109375" style="1" hidden="1" customWidth="1"/>
    <col min="5893" max="5893" width="11.28515625" style="1" hidden="1" customWidth="1"/>
    <col min="5894" max="5894" width="10.7109375" style="1" hidden="1" customWidth="1"/>
    <col min="5895" max="5895" width="11.28515625" style="1" hidden="1" customWidth="1"/>
    <col min="5896" max="5896" width="11.42578125" style="1" hidden="1" customWidth="1"/>
    <col min="5897" max="5897" width="10.42578125" style="1" hidden="1" customWidth="1"/>
    <col min="5898" max="5898" width="11.28515625" style="1" hidden="1" customWidth="1"/>
    <col min="5899" max="5899" width="11.42578125" style="1" hidden="1" customWidth="1"/>
    <col min="5900" max="5900" width="10.7109375" style="1" hidden="1" customWidth="1"/>
    <col min="5901" max="5901" width="10.28515625" style="1" hidden="1" customWidth="1"/>
    <col min="5902" max="5902" width="11.5703125" style="1" hidden="1" customWidth="1"/>
    <col min="5903" max="5904" width="11.42578125" style="1" hidden="1" customWidth="1"/>
    <col min="5905" max="5905" width="10.85546875" style="1" hidden="1" customWidth="1"/>
    <col min="5906" max="5906" width="8.7109375" style="1" hidden="1" customWidth="1"/>
    <col min="5907" max="5907" width="6.28515625" style="1" hidden="1" customWidth="1"/>
    <col min="5908" max="5908" width="4" style="1" hidden="1" customWidth="1"/>
    <col min="5909" max="5909" width="8.7109375" style="1" hidden="1" customWidth="1"/>
    <col min="5910" max="5910" width="13.7109375" style="1" hidden="1" customWidth="1"/>
    <col min="5911" max="5911" width="20.7109375" style="1" hidden="1" customWidth="1"/>
    <col min="5912" max="5912" width="9.42578125" style="1" hidden="1" customWidth="1"/>
    <col min="5913" max="5913" width="3.28515625" style="1" hidden="1" customWidth="1"/>
    <col min="5914" max="6137" width="0" style="1" hidden="1"/>
    <col min="6138" max="6139" width="3.28515625" style="1" hidden="1" customWidth="1"/>
    <col min="6140" max="6140" width="30.7109375" style="1" hidden="1" customWidth="1"/>
    <col min="6141" max="6141" width="2.7109375" style="1" hidden="1" customWidth="1"/>
    <col min="6142" max="6142" width="12.85546875" style="1" hidden="1" customWidth="1"/>
    <col min="6143" max="6144" width="9.5703125" style="1" hidden="1" customWidth="1"/>
    <col min="6145" max="6145" width="7.42578125" style="1" hidden="1" customWidth="1"/>
    <col min="6146" max="6146" width="11.140625" style="1" hidden="1" customWidth="1"/>
    <col min="6147" max="6147" width="11.28515625" style="1" hidden="1" customWidth="1"/>
    <col min="6148" max="6148" width="11.7109375" style="1" hidden="1" customWidth="1"/>
    <col min="6149" max="6149" width="11.28515625" style="1" hidden="1" customWidth="1"/>
    <col min="6150" max="6150" width="10.7109375" style="1" hidden="1" customWidth="1"/>
    <col min="6151" max="6151" width="11.28515625" style="1" hidden="1" customWidth="1"/>
    <col min="6152" max="6152" width="11.42578125" style="1" hidden="1" customWidth="1"/>
    <col min="6153" max="6153" width="10.42578125" style="1" hidden="1" customWidth="1"/>
    <col min="6154" max="6154" width="11.28515625" style="1" hidden="1" customWidth="1"/>
    <col min="6155" max="6155" width="11.42578125" style="1" hidden="1" customWidth="1"/>
    <col min="6156" max="6156" width="10.7109375" style="1" hidden="1" customWidth="1"/>
    <col min="6157" max="6157" width="10.28515625" style="1" hidden="1" customWidth="1"/>
    <col min="6158" max="6158" width="11.5703125" style="1" hidden="1" customWidth="1"/>
    <col min="6159" max="6160" width="11.42578125" style="1" hidden="1" customWidth="1"/>
    <col min="6161" max="6161" width="10.85546875" style="1" hidden="1" customWidth="1"/>
    <col min="6162" max="6162" width="8.7109375" style="1" hidden="1" customWidth="1"/>
    <col min="6163" max="6163" width="6.28515625" style="1" hidden="1" customWidth="1"/>
    <col min="6164" max="6164" width="4" style="1" hidden="1" customWidth="1"/>
    <col min="6165" max="6165" width="8.7109375" style="1" hidden="1" customWidth="1"/>
    <col min="6166" max="6166" width="13.7109375" style="1" hidden="1" customWidth="1"/>
    <col min="6167" max="6167" width="20.7109375" style="1" hidden="1" customWidth="1"/>
    <col min="6168" max="6168" width="9.42578125" style="1" hidden="1" customWidth="1"/>
    <col min="6169" max="6169" width="3.28515625" style="1" hidden="1" customWidth="1"/>
    <col min="6170" max="6393" width="0" style="1" hidden="1"/>
    <col min="6394" max="6395" width="3.28515625" style="1" hidden="1" customWidth="1"/>
    <col min="6396" max="6396" width="30.7109375" style="1" hidden="1" customWidth="1"/>
    <col min="6397" max="6397" width="2.7109375" style="1" hidden="1" customWidth="1"/>
    <col min="6398" max="6398" width="12.85546875" style="1" hidden="1" customWidth="1"/>
    <col min="6399" max="6400" width="9.5703125" style="1" hidden="1" customWidth="1"/>
    <col min="6401" max="6401" width="7.42578125" style="1" hidden="1" customWidth="1"/>
    <col min="6402" max="6402" width="11.140625" style="1" hidden="1" customWidth="1"/>
    <col min="6403" max="6403" width="11.28515625" style="1" hidden="1" customWidth="1"/>
    <col min="6404" max="6404" width="11.7109375" style="1" hidden="1" customWidth="1"/>
    <col min="6405" max="6405" width="11.28515625" style="1" hidden="1" customWidth="1"/>
    <col min="6406" max="6406" width="10.7109375" style="1" hidden="1" customWidth="1"/>
    <col min="6407" max="6407" width="11.28515625" style="1" hidden="1" customWidth="1"/>
    <col min="6408" max="6408" width="11.42578125" style="1" hidden="1" customWidth="1"/>
    <col min="6409" max="6409" width="10.42578125" style="1" hidden="1" customWidth="1"/>
    <col min="6410" max="6410" width="11.28515625" style="1" hidden="1" customWidth="1"/>
    <col min="6411" max="6411" width="11.42578125" style="1" hidden="1" customWidth="1"/>
    <col min="6412" max="6412" width="10.7109375" style="1" hidden="1" customWidth="1"/>
    <col min="6413" max="6413" width="10.28515625" style="1" hidden="1" customWidth="1"/>
    <col min="6414" max="6414" width="11.5703125" style="1" hidden="1" customWidth="1"/>
    <col min="6415" max="6416" width="11.42578125" style="1" hidden="1" customWidth="1"/>
    <col min="6417" max="6417" width="10.85546875" style="1" hidden="1" customWidth="1"/>
    <col min="6418" max="6418" width="8.7109375" style="1" hidden="1" customWidth="1"/>
    <col min="6419" max="6419" width="6.28515625" style="1" hidden="1" customWidth="1"/>
    <col min="6420" max="6420" width="4" style="1" hidden="1" customWidth="1"/>
    <col min="6421" max="6421" width="8.7109375" style="1" hidden="1" customWidth="1"/>
    <col min="6422" max="6422" width="13.7109375" style="1" hidden="1" customWidth="1"/>
    <col min="6423" max="6423" width="20.7109375" style="1" hidden="1" customWidth="1"/>
    <col min="6424" max="6424" width="9.42578125" style="1" hidden="1" customWidth="1"/>
    <col min="6425" max="6425" width="3.28515625" style="1" hidden="1" customWidth="1"/>
    <col min="6426" max="6649" width="0" style="1" hidden="1"/>
    <col min="6650" max="6651" width="3.28515625" style="1" hidden="1" customWidth="1"/>
    <col min="6652" max="6652" width="30.7109375" style="1" hidden="1" customWidth="1"/>
    <col min="6653" max="6653" width="2.7109375" style="1" hidden="1" customWidth="1"/>
    <col min="6654" max="6654" width="12.85546875" style="1" hidden="1" customWidth="1"/>
    <col min="6655" max="6656" width="9.5703125" style="1" hidden="1" customWidth="1"/>
    <col min="6657" max="6657" width="7.42578125" style="1" hidden="1" customWidth="1"/>
    <col min="6658" max="6658" width="11.140625" style="1" hidden="1" customWidth="1"/>
    <col min="6659" max="6659" width="11.28515625" style="1" hidden="1" customWidth="1"/>
    <col min="6660" max="6660" width="11.7109375" style="1" hidden="1" customWidth="1"/>
    <col min="6661" max="6661" width="11.28515625" style="1" hidden="1" customWidth="1"/>
    <col min="6662" max="6662" width="10.7109375" style="1" hidden="1" customWidth="1"/>
    <col min="6663" max="6663" width="11.28515625" style="1" hidden="1" customWidth="1"/>
    <col min="6664" max="6664" width="11.42578125" style="1" hidden="1" customWidth="1"/>
    <col min="6665" max="6665" width="10.42578125" style="1" hidden="1" customWidth="1"/>
    <col min="6666" max="6666" width="11.28515625" style="1" hidden="1" customWidth="1"/>
    <col min="6667" max="6667" width="11.42578125" style="1" hidden="1" customWidth="1"/>
    <col min="6668" max="6668" width="10.7109375" style="1" hidden="1" customWidth="1"/>
    <col min="6669" max="6669" width="10.28515625" style="1" hidden="1" customWidth="1"/>
    <col min="6670" max="6670" width="11.5703125" style="1" hidden="1" customWidth="1"/>
    <col min="6671" max="6672" width="11.42578125" style="1" hidden="1" customWidth="1"/>
    <col min="6673" max="6673" width="10.85546875" style="1" hidden="1" customWidth="1"/>
    <col min="6674" max="6674" width="8.7109375" style="1" hidden="1" customWidth="1"/>
    <col min="6675" max="6675" width="6.28515625" style="1" hidden="1" customWidth="1"/>
    <col min="6676" max="6676" width="4" style="1" hidden="1" customWidth="1"/>
    <col min="6677" max="6677" width="8.7109375" style="1" hidden="1" customWidth="1"/>
    <col min="6678" max="6678" width="13.7109375" style="1" hidden="1" customWidth="1"/>
    <col min="6679" max="6679" width="20.7109375" style="1" hidden="1" customWidth="1"/>
    <col min="6680" max="6680" width="9.42578125" style="1" hidden="1" customWidth="1"/>
    <col min="6681" max="6681" width="3.28515625" style="1" hidden="1" customWidth="1"/>
    <col min="6682" max="6905" width="0" style="1" hidden="1"/>
    <col min="6906" max="6907" width="3.28515625" style="1" hidden="1" customWidth="1"/>
    <col min="6908" max="6908" width="30.7109375" style="1" hidden="1" customWidth="1"/>
    <col min="6909" max="6909" width="2.7109375" style="1" hidden="1" customWidth="1"/>
    <col min="6910" max="6910" width="12.85546875" style="1" hidden="1" customWidth="1"/>
    <col min="6911" max="6912" width="9.5703125" style="1" hidden="1" customWidth="1"/>
    <col min="6913" max="6913" width="7.42578125" style="1" hidden="1" customWidth="1"/>
    <col min="6914" max="6914" width="11.140625" style="1" hidden="1" customWidth="1"/>
    <col min="6915" max="6915" width="11.28515625" style="1" hidden="1" customWidth="1"/>
    <col min="6916" max="6916" width="11.7109375" style="1" hidden="1" customWidth="1"/>
    <col min="6917" max="6917" width="11.28515625" style="1" hidden="1" customWidth="1"/>
    <col min="6918" max="6918" width="10.7109375" style="1" hidden="1" customWidth="1"/>
    <col min="6919" max="6919" width="11.28515625" style="1" hidden="1" customWidth="1"/>
    <col min="6920" max="6920" width="11.42578125" style="1" hidden="1" customWidth="1"/>
    <col min="6921" max="6921" width="10.42578125" style="1" hidden="1" customWidth="1"/>
    <col min="6922" max="6922" width="11.28515625" style="1" hidden="1" customWidth="1"/>
    <col min="6923" max="6923" width="11.42578125" style="1" hidden="1" customWidth="1"/>
    <col min="6924" max="6924" width="10.7109375" style="1" hidden="1" customWidth="1"/>
    <col min="6925" max="6925" width="10.28515625" style="1" hidden="1" customWidth="1"/>
    <col min="6926" max="6926" width="11.5703125" style="1" hidden="1" customWidth="1"/>
    <col min="6927" max="6928" width="11.42578125" style="1" hidden="1" customWidth="1"/>
    <col min="6929" max="6929" width="10.85546875" style="1" hidden="1" customWidth="1"/>
    <col min="6930" max="6930" width="8.7109375" style="1" hidden="1" customWidth="1"/>
    <col min="6931" max="6931" width="6.28515625" style="1" hidden="1" customWidth="1"/>
    <col min="6932" max="6932" width="4" style="1" hidden="1" customWidth="1"/>
    <col min="6933" max="6933" width="8.7109375" style="1" hidden="1" customWidth="1"/>
    <col min="6934" max="6934" width="13.7109375" style="1" hidden="1" customWidth="1"/>
    <col min="6935" max="6935" width="20.7109375" style="1" hidden="1" customWidth="1"/>
    <col min="6936" max="6936" width="9.42578125" style="1" hidden="1" customWidth="1"/>
    <col min="6937" max="6937" width="3.28515625" style="1" hidden="1" customWidth="1"/>
    <col min="6938" max="7161" width="0" style="1" hidden="1"/>
    <col min="7162" max="7163" width="3.28515625" style="1" hidden="1" customWidth="1"/>
    <col min="7164" max="7164" width="30.7109375" style="1" hidden="1" customWidth="1"/>
    <col min="7165" max="7165" width="2.7109375" style="1" hidden="1" customWidth="1"/>
    <col min="7166" max="7166" width="12.85546875" style="1" hidden="1" customWidth="1"/>
    <col min="7167" max="7168" width="9.5703125" style="1" hidden="1" customWidth="1"/>
    <col min="7169" max="7169" width="7.42578125" style="1" hidden="1" customWidth="1"/>
    <col min="7170" max="7170" width="11.140625" style="1" hidden="1" customWidth="1"/>
    <col min="7171" max="7171" width="11.28515625" style="1" hidden="1" customWidth="1"/>
    <col min="7172" max="7172" width="11.7109375" style="1" hidden="1" customWidth="1"/>
    <col min="7173" max="7173" width="11.28515625" style="1" hidden="1" customWidth="1"/>
    <col min="7174" max="7174" width="10.7109375" style="1" hidden="1" customWidth="1"/>
    <col min="7175" max="7175" width="11.28515625" style="1" hidden="1" customWidth="1"/>
    <col min="7176" max="7176" width="11.42578125" style="1" hidden="1" customWidth="1"/>
    <col min="7177" max="7177" width="10.42578125" style="1" hidden="1" customWidth="1"/>
    <col min="7178" max="7178" width="11.28515625" style="1" hidden="1" customWidth="1"/>
    <col min="7179" max="7179" width="11.42578125" style="1" hidden="1" customWidth="1"/>
    <col min="7180" max="7180" width="10.7109375" style="1" hidden="1" customWidth="1"/>
    <col min="7181" max="7181" width="10.28515625" style="1" hidden="1" customWidth="1"/>
    <col min="7182" max="7182" width="11.5703125" style="1" hidden="1" customWidth="1"/>
    <col min="7183" max="7184" width="11.42578125" style="1" hidden="1" customWidth="1"/>
    <col min="7185" max="7185" width="10.85546875" style="1" hidden="1" customWidth="1"/>
    <col min="7186" max="7186" width="8.7109375" style="1" hidden="1" customWidth="1"/>
    <col min="7187" max="7187" width="6.28515625" style="1" hidden="1" customWidth="1"/>
    <col min="7188" max="7188" width="4" style="1" hidden="1" customWidth="1"/>
    <col min="7189" max="7189" width="8.7109375" style="1" hidden="1" customWidth="1"/>
    <col min="7190" max="7190" width="13.7109375" style="1" hidden="1" customWidth="1"/>
    <col min="7191" max="7191" width="20.7109375" style="1" hidden="1" customWidth="1"/>
    <col min="7192" max="7192" width="9.42578125" style="1" hidden="1" customWidth="1"/>
    <col min="7193" max="7193" width="3.28515625" style="1" hidden="1" customWidth="1"/>
    <col min="7194" max="7417" width="0" style="1" hidden="1"/>
    <col min="7418" max="7419" width="3.28515625" style="1" hidden="1" customWidth="1"/>
    <col min="7420" max="7420" width="30.7109375" style="1" hidden="1" customWidth="1"/>
    <col min="7421" max="7421" width="2.7109375" style="1" hidden="1" customWidth="1"/>
    <col min="7422" max="7422" width="12.85546875" style="1" hidden="1" customWidth="1"/>
    <col min="7423" max="7424" width="9.5703125" style="1" hidden="1" customWidth="1"/>
    <col min="7425" max="7425" width="7.42578125" style="1" hidden="1" customWidth="1"/>
    <col min="7426" max="7426" width="11.140625" style="1" hidden="1" customWidth="1"/>
    <col min="7427" max="7427" width="11.28515625" style="1" hidden="1" customWidth="1"/>
    <col min="7428" max="7428" width="11.7109375" style="1" hidden="1" customWidth="1"/>
    <col min="7429" max="7429" width="11.28515625" style="1" hidden="1" customWidth="1"/>
    <col min="7430" max="7430" width="10.7109375" style="1" hidden="1" customWidth="1"/>
    <col min="7431" max="7431" width="11.28515625" style="1" hidden="1" customWidth="1"/>
    <col min="7432" max="7432" width="11.42578125" style="1" hidden="1" customWidth="1"/>
    <col min="7433" max="7433" width="10.42578125" style="1" hidden="1" customWidth="1"/>
    <col min="7434" max="7434" width="11.28515625" style="1" hidden="1" customWidth="1"/>
    <col min="7435" max="7435" width="11.42578125" style="1" hidden="1" customWidth="1"/>
    <col min="7436" max="7436" width="10.7109375" style="1" hidden="1" customWidth="1"/>
    <col min="7437" max="7437" width="10.28515625" style="1" hidden="1" customWidth="1"/>
    <col min="7438" max="7438" width="11.5703125" style="1" hidden="1" customWidth="1"/>
    <col min="7439" max="7440" width="11.42578125" style="1" hidden="1" customWidth="1"/>
    <col min="7441" max="7441" width="10.85546875" style="1" hidden="1" customWidth="1"/>
    <col min="7442" max="7442" width="8.7109375" style="1" hidden="1" customWidth="1"/>
    <col min="7443" max="7443" width="6.28515625" style="1" hidden="1" customWidth="1"/>
    <col min="7444" max="7444" width="4" style="1" hidden="1" customWidth="1"/>
    <col min="7445" max="7445" width="8.7109375" style="1" hidden="1" customWidth="1"/>
    <col min="7446" max="7446" width="13.7109375" style="1" hidden="1" customWidth="1"/>
    <col min="7447" max="7447" width="20.7109375" style="1" hidden="1" customWidth="1"/>
    <col min="7448" max="7448" width="9.42578125" style="1" hidden="1" customWidth="1"/>
    <col min="7449" max="7449" width="3.28515625" style="1" hidden="1" customWidth="1"/>
    <col min="7450" max="7673" width="0" style="1" hidden="1"/>
    <col min="7674" max="7675" width="3.28515625" style="1" hidden="1" customWidth="1"/>
    <col min="7676" max="7676" width="30.7109375" style="1" hidden="1" customWidth="1"/>
    <col min="7677" max="7677" width="2.7109375" style="1" hidden="1" customWidth="1"/>
    <col min="7678" max="7678" width="12.85546875" style="1" hidden="1" customWidth="1"/>
    <col min="7679" max="7680" width="9.5703125" style="1" hidden="1" customWidth="1"/>
    <col min="7681" max="7681" width="7.42578125" style="1" hidden="1" customWidth="1"/>
    <col min="7682" max="7682" width="11.140625" style="1" hidden="1" customWidth="1"/>
    <col min="7683" max="7683" width="11.28515625" style="1" hidden="1" customWidth="1"/>
    <col min="7684" max="7684" width="11.7109375" style="1" hidden="1" customWidth="1"/>
    <col min="7685" max="7685" width="11.28515625" style="1" hidden="1" customWidth="1"/>
    <col min="7686" max="7686" width="10.7109375" style="1" hidden="1" customWidth="1"/>
    <col min="7687" max="7687" width="11.28515625" style="1" hidden="1" customWidth="1"/>
    <col min="7688" max="7688" width="11.42578125" style="1" hidden="1" customWidth="1"/>
    <col min="7689" max="7689" width="10.42578125" style="1" hidden="1" customWidth="1"/>
    <col min="7690" max="7690" width="11.28515625" style="1" hidden="1" customWidth="1"/>
    <col min="7691" max="7691" width="11.42578125" style="1" hidden="1" customWidth="1"/>
    <col min="7692" max="7692" width="10.7109375" style="1" hidden="1" customWidth="1"/>
    <col min="7693" max="7693" width="10.28515625" style="1" hidden="1" customWidth="1"/>
    <col min="7694" max="7694" width="11.5703125" style="1" hidden="1" customWidth="1"/>
    <col min="7695" max="7696" width="11.42578125" style="1" hidden="1" customWidth="1"/>
    <col min="7697" max="7697" width="10.85546875" style="1" hidden="1" customWidth="1"/>
    <col min="7698" max="7698" width="8.7109375" style="1" hidden="1" customWidth="1"/>
    <col min="7699" max="7699" width="6.28515625" style="1" hidden="1" customWidth="1"/>
    <col min="7700" max="7700" width="4" style="1" hidden="1" customWidth="1"/>
    <col min="7701" max="7701" width="8.7109375" style="1" hidden="1" customWidth="1"/>
    <col min="7702" max="7702" width="13.7109375" style="1" hidden="1" customWidth="1"/>
    <col min="7703" max="7703" width="20.7109375" style="1" hidden="1" customWidth="1"/>
    <col min="7704" max="7704" width="9.42578125" style="1" hidden="1" customWidth="1"/>
    <col min="7705" max="7705" width="3.28515625" style="1" hidden="1" customWidth="1"/>
    <col min="7706" max="7929" width="0" style="1" hidden="1"/>
    <col min="7930" max="7931" width="3.28515625" style="1" hidden="1" customWidth="1"/>
    <col min="7932" max="7932" width="30.7109375" style="1" hidden="1" customWidth="1"/>
    <col min="7933" max="7933" width="2.7109375" style="1" hidden="1" customWidth="1"/>
    <col min="7934" max="7934" width="12.85546875" style="1" hidden="1" customWidth="1"/>
    <col min="7935" max="7936" width="9.5703125" style="1" hidden="1" customWidth="1"/>
    <col min="7937" max="7937" width="7.42578125" style="1" hidden="1" customWidth="1"/>
    <col min="7938" max="7938" width="11.140625" style="1" hidden="1" customWidth="1"/>
    <col min="7939" max="7939" width="11.28515625" style="1" hidden="1" customWidth="1"/>
    <col min="7940" max="7940" width="11.7109375" style="1" hidden="1" customWidth="1"/>
    <col min="7941" max="7941" width="11.28515625" style="1" hidden="1" customWidth="1"/>
    <col min="7942" max="7942" width="10.7109375" style="1" hidden="1" customWidth="1"/>
    <col min="7943" max="7943" width="11.28515625" style="1" hidden="1" customWidth="1"/>
    <col min="7944" max="7944" width="11.42578125" style="1" hidden="1" customWidth="1"/>
    <col min="7945" max="7945" width="10.42578125" style="1" hidden="1" customWidth="1"/>
    <col min="7946" max="7946" width="11.28515625" style="1" hidden="1" customWidth="1"/>
    <col min="7947" max="7947" width="11.42578125" style="1" hidden="1" customWidth="1"/>
    <col min="7948" max="7948" width="10.7109375" style="1" hidden="1" customWidth="1"/>
    <col min="7949" max="7949" width="10.28515625" style="1" hidden="1" customWidth="1"/>
    <col min="7950" max="7950" width="11.5703125" style="1" hidden="1" customWidth="1"/>
    <col min="7951" max="7952" width="11.42578125" style="1" hidden="1" customWidth="1"/>
    <col min="7953" max="7953" width="10.85546875" style="1" hidden="1" customWidth="1"/>
    <col min="7954" max="7954" width="8.7109375" style="1" hidden="1" customWidth="1"/>
    <col min="7955" max="7955" width="6.28515625" style="1" hidden="1" customWidth="1"/>
    <col min="7956" max="7956" width="4" style="1" hidden="1" customWidth="1"/>
    <col min="7957" max="7957" width="8.7109375" style="1" hidden="1" customWidth="1"/>
    <col min="7958" max="7958" width="13.7109375" style="1" hidden="1" customWidth="1"/>
    <col min="7959" max="7959" width="20.7109375" style="1" hidden="1" customWidth="1"/>
    <col min="7960" max="7960" width="9.42578125" style="1" hidden="1" customWidth="1"/>
    <col min="7961" max="7961" width="3.28515625" style="1" hidden="1" customWidth="1"/>
    <col min="7962" max="8185" width="0" style="1" hidden="1"/>
    <col min="8186" max="8187" width="3.28515625" style="1" hidden="1" customWidth="1"/>
    <col min="8188" max="8188" width="30.7109375" style="1" hidden="1" customWidth="1"/>
    <col min="8189" max="8189" width="2.7109375" style="1" hidden="1" customWidth="1"/>
    <col min="8190" max="8190" width="12.85546875" style="1" hidden="1" customWidth="1"/>
    <col min="8191" max="8192" width="9.5703125" style="1" hidden="1" customWidth="1"/>
    <col min="8193" max="8193" width="7.42578125" style="1" hidden="1" customWidth="1"/>
    <col min="8194" max="8194" width="11.140625" style="1" hidden="1" customWidth="1"/>
    <col min="8195" max="8195" width="11.28515625" style="1" hidden="1" customWidth="1"/>
    <col min="8196" max="8196" width="11.7109375" style="1" hidden="1" customWidth="1"/>
    <col min="8197" max="8197" width="11.28515625" style="1" hidden="1" customWidth="1"/>
    <col min="8198" max="8198" width="10.7109375" style="1" hidden="1" customWidth="1"/>
    <col min="8199" max="8199" width="11.28515625" style="1" hidden="1" customWidth="1"/>
    <col min="8200" max="8200" width="11.42578125" style="1" hidden="1" customWidth="1"/>
    <col min="8201" max="8201" width="10.42578125" style="1" hidden="1" customWidth="1"/>
    <col min="8202" max="8202" width="11.28515625" style="1" hidden="1" customWidth="1"/>
    <col min="8203" max="8203" width="11.42578125" style="1" hidden="1" customWidth="1"/>
    <col min="8204" max="8204" width="10.7109375" style="1" hidden="1" customWidth="1"/>
    <col min="8205" max="8205" width="10.28515625" style="1" hidden="1" customWidth="1"/>
    <col min="8206" max="8206" width="11.5703125" style="1" hidden="1" customWidth="1"/>
    <col min="8207" max="8208" width="11.42578125" style="1" hidden="1" customWidth="1"/>
    <col min="8209" max="8209" width="10.85546875" style="1" hidden="1" customWidth="1"/>
    <col min="8210" max="8210" width="8.7109375" style="1" hidden="1" customWidth="1"/>
    <col min="8211" max="8211" width="6.28515625" style="1" hidden="1" customWidth="1"/>
    <col min="8212" max="8212" width="4" style="1" hidden="1" customWidth="1"/>
    <col min="8213" max="8213" width="8.7109375" style="1" hidden="1" customWidth="1"/>
    <col min="8214" max="8214" width="13.7109375" style="1" hidden="1" customWidth="1"/>
    <col min="8215" max="8215" width="20.7109375" style="1" hidden="1" customWidth="1"/>
    <col min="8216" max="8216" width="9.42578125" style="1" hidden="1" customWidth="1"/>
    <col min="8217" max="8217" width="3.28515625" style="1" hidden="1" customWidth="1"/>
    <col min="8218" max="8441" width="0" style="1" hidden="1"/>
    <col min="8442" max="8443" width="3.28515625" style="1" hidden="1" customWidth="1"/>
    <col min="8444" max="8444" width="30.7109375" style="1" hidden="1" customWidth="1"/>
    <col min="8445" max="8445" width="2.7109375" style="1" hidden="1" customWidth="1"/>
    <col min="8446" max="8446" width="12.85546875" style="1" hidden="1" customWidth="1"/>
    <col min="8447" max="8448" width="9.5703125" style="1" hidden="1" customWidth="1"/>
    <col min="8449" max="8449" width="7.42578125" style="1" hidden="1" customWidth="1"/>
    <col min="8450" max="8450" width="11.140625" style="1" hidden="1" customWidth="1"/>
    <col min="8451" max="8451" width="11.28515625" style="1" hidden="1" customWidth="1"/>
    <col min="8452" max="8452" width="11.7109375" style="1" hidden="1" customWidth="1"/>
    <col min="8453" max="8453" width="11.28515625" style="1" hidden="1" customWidth="1"/>
    <col min="8454" max="8454" width="10.7109375" style="1" hidden="1" customWidth="1"/>
    <col min="8455" max="8455" width="11.28515625" style="1" hidden="1" customWidth="1"/>
    <col min="8456" max="8456" width="11.42578125" style="1" hidden="1" customWidth="1"/>
    <col min="8457" max="8457" width="10.42578125" style="1" hidden="1" customWidth="1"/>
    <col min="8458" max="8458" width="11.28515625" style="1" hidden="1" customWidth="1"/>
    <col min="8459" max="8459" width="11.42578125" style="1" hidden="1" customWidth="1"/>
    <col min="8460" max="8460" width="10.7109375" style="1" hidden="1" customWidth="1"/>
    <col min="8461" max="8461" width="10.28515625" style="1" hidden="1" customWidth="1"/>
    <col min="8462" max="8462" width="11.5703125" style="1" hidden="1" customWidth="1"/>
    <col min="8463" max="8464" width="11.42578125" style="1" hidden="1" customWidth="1"/>
    <col min="8465" max="8465" width="10.85546875" style="1" hidden="1" customWidth="1"/>
    <col min="8466" max="8466" width="8.7109375" style="1" hidden="1" customWidth="1"/>
    <col min="8467" max="8467" width="6.28515625" style="1" hidden="1" customWidth="1"/>
    <col min="8468" max="8468" width="4" style="1" hidden="1" customWidth="1"/>
    <col min="8469" max="8469" width="8.7109375" style="1" hidden="1" customWidth="1"/>
    <col min="8470" max="8470" width="13.7109375" style="1" hidden="1" customWidth="1"/>
    <col min="8471" max="8471" width="20.7109375" style="1" hidden="1" customWidth="1"/>
    <col min="8472" max="8472" width="9.42578125" style="1" hidden="1" customWidth="1"/>
    <col min="8473" max="8473" width="3.28515625" style="1" hidden="1" customWidth="1"/>
    <col min="8474" max="8697" width="0" style="1" hidden="1"/>
    <col min="8698" max="8699" width="3.28515625" style="1" hidden="1" customWidth="1"/>
    <col min="8700" max="8700" width="30.7109375" style="1" hidden="1" customWidth="1"/>
    <col min="8701" max="8701" width="2.7109375" style="1" hidden="1" customWidth="1"/>
    <col min="8702" max="8702" width="12.85546875" style="1" hidden="1" customWidth="1"/>
    <col min="8703" max="8704" width="9.5703125" style="1" hidden="1" customWidth="1"/>
    <col min="8705" max="8705" width="7.42578125" style="1" hidden="1" customWidth="1"/>
    <col min="8706" max="8706" width="11.140625" style="1" hidden="1" customWidth="1"/>
    <col min="8707" max="8707" width="11.28515625" style="1" hidden="1" customWidth="1"/>
    <col min="8708" max="8708" width="11.7109375" style="1" hidden="1" customWidth="1"/>
    <col min="8709" max="8709" width="11.28515625" style="1" hidden="1" customWidth="1"/>
    <col min="8710" max="8710" width="10.7109375" style="1" hidden="1" customWidth="1"/>
    <col min="8711" max="8711" width="11.28515625" style="1" hidden="1" customWidth="1"/>
    <col min="8712" max="8712" width="11.42578125" style="1" hidden="1" customWidth="1"/>
    <col min="8713" max="8713" width="10.42578125" style="1" hidden="1" customWidth="1"/>
    <col min="8714" max="8714" width="11.28515625" style="1" hidden="1" customWidth="1"/>
    <col min="8715" max="8715" width="11.42578125" style="1" hidden="1" customWidth="1"/>
    <col min="8716" max="8716" width="10.7109375" style="1" hidden="1" customWidth="1"/>
    <col min="8717" max="8717" width="10.28515625" style="1" hidden="1" customWidth="1"/>
    <col min="8718" max="8718" width="11.5703125" style="1" hidden="1" customWidth="1"/>
    <col min="8719" max="8720" width="11.42578125" style="1" hidden="1" customWidth="1"/>
    <col min="8721" max="8721" width="10.85546875" style="1" hidden="1" customWidth="1"/>
    <col min="8722" max="8722" width="8.7109375" style="1" hidden="1" customWidth="1"/>
    <col min="8723" max="8723" width="6.28515625" style="1" hidden="1" customWidth="1"/>
    <col min="8724" max="8724" width="4" style="1" hidden="1" customWidth="1"/>
    <col min="8725" max="8725" width="8.7109375" style="1" hidden="1" customWidth="1"/>
    <col min="8726" max="8726" width="13.7109375" style="1" hidden="1" customWidth="1"/>
    <col min="8727" max="8727" width="20.7109375" style="1" hidden="1" customWidth="1"/>
    <col min="8728" max="8728" width="9.42578125" style="1" hidden="1" customWidth="1"/>
    <col min="8729" max="8729" width="3.28515625" style="1" hidden="1" customWidth="1"/>
    <col min="8730" max="8953" width="0" style="1" hidden="1"/>
    <col min="8954" max="8955" width="3.28515625" style="1" hidden="1" customWidth="1"/>
    <col min="8956" max="8956" width="30.7109375" style="1" hidden="1" customWidth="1"/>
    <col min="8957" max="8957" width="2.7109375" style="1" hidden="1" customWidth="1"/>
    <col min="8958" max="8958" width="12.85546875" style="1" hidden="1" customWidth="1"/>
    <col min="8959" max="8960" width="9.5703125" style="1" hidden="1" customWidth="1"/>
    <col min="8961" max="8961" width="7.42578125" style="1" hidden="1" customWidth="1"/>
    <col min="8962" max="8962" width="11.140625" style="1" hidden="1" customWidth="1"/>
    <col min="8963" max="8963" width="11.28515625" style="1" hidden="1" customWidth="1"/>
    <col min="8964" max="8964" width="11.7109375" style="1" hidden="1" customWidth="1"/>
    <col min="8965" max="8965" width="11.28515625" style="1" hidden="1" customWidth="1"/>
    <col min="8966" max="8966" width="10.7109375" style="1" hidden="1" customWidth="1"/>
    <col min="8967" max="8967" width="11.28515625" style="1" hidden="1" customWidth="1"/>
    <col min="8968" max="8968" width="11.42578125" style="1" hidden="1" customWidth="1"/>
    <col min="8969" max="8969" width="10.42578125" style="1" hidden="1" customWidth="1"/>
    <col min="8970" max="8970" width="11.28515625" style="1" hidden="1" customWidth="1"/>
    <col min="8971" max="8971" width="11.42578125" style="1" hidden="1" customWidth="1"/>
    <col min="8972" max="8972" width="10.7109375" style="1" hidden="1" customWidth="1"/>
    <col min="8973" max="8973" width="10.28515625" style="1" hidden="1" customWidth="1"/>
    <col min="8974" max="8974" width="11.5703125" style="1" hidden="1" customWidth="1"/>
    <col min="8975" max="8976" width="11.42578125" style="1" hidden="1" customWidth="1"/>
    <col min="8977" max="8977" width="10.85546875" style="1" hidden="1" customWidth="1"/>
    <col min="8978" max="8978" width="8.7109375" style="1" hidden="1" customWidth="1"/>
    <col min="8979" max="8979" width="6.28515625" style="1" hidden="1" customWidth="1"/>
    <col min="8980" max="8980" width="4" style="1" hidden="1" customWidth="1"/>
    <col min="8981" max="8981" width="8.7109375" style="1" hidden="1" customWidth="1"/>
    <col min="8982" max="8982" width="13.7109375" style="1" hidden="1" customWidth="1"/>
    <col min="8983" max="8983" width="20.7109375" style="1" hidden="1" customWidth="1"/>
    <col min="8984" max="8984" width="9.42578125" style="1" hidden="1" customWidth="1"/>
    <col min="8985" max="8985" width="3.28515625" style="1" hidden="1" customWidth="1"/>
    <col min="8986" max="9209" width="0" style="1" hidden="1"/>
    <col min="9210" max="9211" width="3.28515625" style="1" hidden="1" customWidth="1"/>
    <col min="9212" max="9212" width="30.7109375" style="1" hidden="1" customWidth="1"/>
    <col min="9213" max="9213" width="2.7109375" style="1" hidden="1" customWidth="1"/>
    <col min="9214" max="9214" width="12.85546875" style="1" hidden="1" customWidth="1"/>
    <col min="9215" max="9216" width="9.5703125" style="1" hidden="1" customWidth="1"/>
    <col min="9217" max="9217" width="7.42578125" style="1" hidden="1" customWidth="1"/>
    <col min="9218" max="9218" width="11.140625" style="1" hidden="1" customWidth="1"/>
    <col min="9219" max="9219" width="11.28515625" style="1" hidden="1" customWidth="1"/>
    <col min="9220" max="9220" width="11.7109375" style="1" hidden="1" customWidth="1"/>
    <col min="9221" max="9221" width="11.28515625" style="1" hidden="1" customWidth="1"/>
    <col min="9222" max="9222" width="10.7109375" style="1" hidden="1" customWidth="1"/>
    <col min="9223" max="9223" width="11.28515625" style="1" hidden="1" customWidth="1"/>
    <col min="9224" max="9224" width="11.42578125" style="1" hidden="1" customWidth="1"/>
    <col min="9225" max="9225" width="10.42578125" style="1" hidden="1" customWidth="1"/>
    <col min="9226" max="9226" width="11.28515625" style="1" hidden="1" customWidth="1"/>
    <col min="9227" max="9227" width="11.42578125" style="1" hidden="1" customWidth="1"/>
    <col min="9228" max="9228" width="10.7109375" style="1" hidden="1" customWidth="1"/>
    <col min="9229" max="9229" width="10.28515625" style="1" hidden="1" customWidth="1"/>
    <col min="9230" max="9230" width="11.5703125" style="1" hidden="1" customWidth="1"/>
    <col min="9231" max="9232" width="11.42578125" style="1" hidden="1" customWidth="1"/>
    <col min="9233" max="9233" width="10.85546875" style="1" hidden="1" customWidth="1"/>
    <col min="9234" max="9234" width="8.7109375" style="1" hidden="1" customWidth="1"/>
    <col min="9235" max="9235" width="6.28515625" style="1" hidden="1" customWidth="1"/>
    <col min="9236" max="9236" width="4" style="1" hidden="1" customWidth="1"/>
    <col min="9237" max="9237" width="8.7109375" style="1" hidden="1" customWidth="1"/>
    <col min="9238" max="9238" width="13.7109375" style="1" hidden="1" customWidth="1"/>
    <col min="9239" max="9239" width="20.7109375" style="1" hidden="1" customWidth="1"/>
    <col min="9240" max="9240" width="9.42578125" style="1" hidden="1" customWidth="1"/>
    <col min="9241" max="9241" width="3.28515625" style="1" hidden="1" customWidth="1"/>
    <col min="9242" max="9465" width="0" style="1" hidden="1"/>
    <col min="9466" max="9467" width="3.28515625" style="1" hidden="1" customWidth="1"/>
    <col min="9468" max="9468" width="30.7109375" style="1" hidden="1" customWidth="1"/>
    <col min="9469" max="9469" width="2.7109375" style="1" hidden="1" customWidth="1"/>
    <col min="9470" max="9470" width="12.85546875" style="1" hidden="1" customWidth="1"/>
    <col min="9471" max="9472" width="9.5703125" style="1" hidden="1" customWidth="1"/>
    <col min="9473" max="9473" width="7.42578125" style="1" hidden="1" customWidth="1"/>
    <col min="9474" max="9474" width="11.140625" style="1" hidden="1" customWidth="1"/>
    <col min="9475" max="9475" width="11.28515625" style="1" hidden="1" customWidth="1"/>
    <col min="9476" max="9476" width="11.7109375" style="1" hidden="1" customWidth="1"/>
    <col min="9477" max="9477" width="11.28515625" style="1" hidden="1" customWidth="1"/>
    <col min="9478" max="9478" width="10.7109375" style="1" hidden="1" customWidth="1"/>
    <col min="9479" max="9479" width="11.28515625" style="1" hidden="1" customWidth="1"/>
    <col min="9480" max="9480" width="11.42578125" style="1" hidden="1" customWidth="1"/>
    <col min="9481" max="9481" width="10.42578125" style="1" hidden="1" customWidth="1"/>
    <col min="9482" max="9482" width="11.28515625" style="1" hidden="1" customWidth="1"/>
    <col min="9483" max="9483" width="11.42578125" style="1" hidden="1" customWidth="1"/>
    <col min="9484" max="9484" width="10.7109375" style="1" hidden="1" customWidth="1"/>
    <col min="9485" max="9485" width="10.28515625" style="1" hidden="1" customWidth="1"/>
    <col min="9486" max="9486" width="11.5703125" style="1" hidden="1" customWidth="1"/>
    <col min="9487" max="9488" width="11.42578125" style="1" hidden="1" customWidth="1"/>
    <col min="9489" max="9489" width="10.85546875" style="1" hidden="1" customWidth="1"/>
    <col min="9490" max="9490" width="8.7109375" style="1" hidden="1" customWidth="1"/>
    <col min="9491" max="9491" width="6.28515625" style="1" hidden="1" customWidth="1"/>
    <col min="9492" max="9492" width="4" style="1" hidden="1" customWidth="1"/>
    <col min="9493" max="9493" width="8.7109375" style="1" hidden="1" customWidth="1"/>
    <col min="9494" max="9494" width="13.7109375" style="1" hidden="1" customWidth="1"/>
    <col min="9495" max="9495" width="20.7109375" style="1" hidden="1" customWidth="1"/>
    <col min="9496" max="9496" width="9.42578125" style="1" hidden="1" customWidth="1"/>
    <col min="9497" max="9497" width="3.28515625" style="1" hidden="1" customWidth="1"/>
    <col min="9498" max="9721" width="0" style="1" hidden="1"/>
    <col min="9722" max="9723" width="3.28515625" style="1" hidden="1" customWidth="1"/>
    <col min="9724" max="9724" width="30.7109375" style="1" hidden="1" customWidth="1"/>
    <col min="9725" max="9725" width="2.7109375" style="1" hidden="1" customWidth="1"/>
    <col min="9726" max="9726" width="12.85546875" style="1" hidden="1" customWidth="1"/>
    <col min="9727" max="9728" width="9.5703125" style="1" hidden="1" customWidth="1"/>
    <col min="9729" max="9729" width="7.42578125" style="1" hidden="1" customWidth="1"/>
    <col min="9730" max="9730" width="11.140625" style="1" hidden="1" customWidth="1"/>
    <col min="9731" max="9731" width="11.28515625" style="1" hidden="1" customWidth="1"/>
    <col min="9732" max="9732" width="11.7109375" style="1" hidden="1" customWidth="1"/>
    <col min="9733" max="9733" width="11.28515625" style="1" hidden="1" customWidth="1"/>
    <col min="9734" max="9734" width="10.7109375" style="1" hidden="1" customWidth="1"/>
    <col min="9735" max="9735" width="11.28515625" style="1" hidden="1" customWidth="1"/>
    <col min="9736" max="9736" width="11.42578125" style="1" hidden="1" customWidth="1"/>
    <col min="9737" max="9737" width="10.42578125" style="1" hidden="1" customWidth="1"/>
    <col min="9738" max="9738" width="11.28515625" style="1" hidden="1" customWidth="1"/>
    <col min="9739" max="9739" width="11.42578125" style="1" hidden="1" customWidth="1"/>
    <col min="9740" max="9740" width="10.7109375" style="1" hidden="1" customWidth="1"/>
    <col min="9741" max="9741" width="10.28515625" style="1" hidden="1" customWidth="1"/>
    <col min="9742" max="9742" width="11.5703125" style="1" hidden="1" customWidth="1"/>
    <col min="9743" max="9744" width="11.42578125" style="1" hidden="1" customWidth="1"/>
    <col min="9745" max="9745" width="10.85546875" style="1" hidden="1" customWidth="1"/>
    <col min="9746" max="9746" width="8.7109375" style="1" hidden="1" customWidth="1"/>
    <col min="9747" max="9747" width="6.28515625" style="1" hidden="1" customWidth="1"/>
    <col min="9748" max="9748" width="4" style="1" hidden="1" customWidth="1"/>
    <col min="9749" max="9749" width="8.7109375" style="1" hidden="1" customWidth="1"/>
    <col min="9750" max="9750" width="13.7109375" style="1" hidden="1" customWidth="1"/>
    <col min="9751" max="9751" width="20.7109375" style="1" hidden="1" customWidth="1"/>
    <col min="9752" max="9752" width="9.42578125" style="1" hidden="1" customWidth="1"/>
    <col min="9753" max="9753" width="3.28515625" style="1" hidden="1" customWidth="1"/>
    <col min="9754" max="9977" width="0" style="1" hidden="1"/>
    <col min="9978" max="9979" width="3.28515625" style="1" hidden="1" customWidth="1"/>
    <col min="9980" max="9980" width="30.7109375" style="1" hidden="1" customWidth="1"/>
    <col min="9981" max="9981" width="2.7109375" style="1" hidden="1" customWidth="1"/>
    <col min="9982" max="9982" width="12.85546875" style="1" hidden="1" customWidth="1"/>
    <col min="9983" max="9984" width="9.5703125" style="1" hidden="1" customWidth="1"/>
    <col min="9985" max="9985" width="7.42578125" style="1" hidden="1" customWidth="1"/>
    <col min="9986" max="9986" width="11.140625" style="1" hidden="1" customWidth="1"/>
    <col min="9987" max="9987" width="11.28515625" style="1" hidden="1" customWidth="1"/>
    <col min="9988" max="9988" width="11.7109375" style="1" hidden="1" customWidth="1"/>
    <col min="9989" max="9989" width="11.28515625" style="1" hidden="1" customWidth="1"/>
    <col min="9990" max="9990" width="10.7109375" style="1" hidden="1" customWidth="1"/>
    <col min="9991" max="9991" width="11.28515625" style="1" hidden="1" customWidth="1"/>
    <col min="9992" max="9992" width="11.42578125" style="1" hidden="1" customWidth="1"/>
    <col min="9993" max="9993" width="10.42578125" style="1" hidden="1" customWidth="1"/>
    <col min="9994" max="9994" width="11.28515625" style="1" hidden="1" customWidth="1"/>
    <col min="9995" max="9995" width="11.42578125" style="1" hidden="1" customWidth="1"/>
    <col min="9996" max="9996" width="10.7109375" style="1" hidden="1" customWidth="1"/>
    <col min="9997" max="9997" width="10.28515625" style="1" hidden="1" customWidth="1"/>
    <col min="9998" max="9998" width="11.5703125" style="1" hidden="1" customWidth="1"/>
    <col min="9999" max="10000" width="11.42578125" style="1" hidden="1" customWidth="1"/>
    <col min="10001" max="10001" width="10.85546875" style="1" hidden="1" customWidth="1"/>
    <col min="10002" max="10002" width="8.7109375" style="1" hidden="1" customWidth="1"/>
    <col min="10003" max="10003" width="6.28515625" style="1" hidden="1" customWidth="1"/>
    <col min="10004" max="10004" width="4" style="1" hidden="1" customWidth="1"/>
    <col min="10005" max="10005" width="8.7109375" style="1" hidden="1" customWidth="1"/>
    <col min="10006" max="10006" width="13.7109375" style="1" hidden="1" customWidth="1"/>
    <col min="10007" max="10007" width="20.7109375" style="1" hidden="1" customWidth="1"/>
    <col min="10008" max="10008" width="9.42578125" style="1" hidden="1" customWidth="1"/>
    <col min="10009" max="10009" width="3.28515625" style="1" hidden="1" customWidth="1"/>
    <col min="10010" max="10233" width="0" style="1" hidden="1"/>
    <col min="10234" max="10235" width="3.28515625" style="1" hidden="1" customWidth="1"/>
    <col min="10236" max="10236" width="30.7109375" style="1" hidden="1" customWidth="1"/>
    <col min="10237" max="10237" width="2.7109375" style="1" hidden="1" customWidth="1"/>
    <col min="10238" max="10238" width="12.85546875" style="1" hidden="1" customWidth="1"/>
    <col min="10239" max="10240" width="9.5703125" style="1" hidden="1" customWidth="1"/>
    <col min="10241" max="10241" width="7.42578125" style="1" hidden="1" customWidth="1"/>
    <col min="10242" max="10242" width="11.140625" style="1" hidden="1" customWidth="1"/>
    <col min="10243" max="10243" width="11.28515625" style="1" hidden="1" customWidth="1"/>
    <col min="10244" max="10244" width="11.7109375" style="1" hidden="1" customWidth="1"/>
    <col min="10245" max="10245" width="11.28515625" style="1" hidden="1" customWidth="1"/>
    <col min="10246" max="10246" width="10.7109375" style="1" hidden="1" customWidth="1"/>
    <col min="10247" max="10247" width="11.28515625" style="1" hidden="1" customWidth="1"/>
    <col min="10248" max="10248" width="11.42578125" style="1" hidden="1" customWidth="1"/>
    <col min="10249" max="10249" width="10.42578125" style="1" hidden="1" customWidth="1"/>
    <col min="10250" max="10250" width="11.28515625" style="1" hidden="1" customWidth="1"/>
    <col min="10251" max="10251" width="11.42578125" style="1" hidden="1" customWidth="1"/>
    <col min="10252" max="10252" width="10.7109375" style="1" hidden="1" customWidth="1"/>
    <col min="10253" max="10253" width="10.28515625" style="1" hidden="1" customWidth="1"/>
    <col min="10254" max="10254" width="11.5703125" style="1" hidden="1" customWidth="1"/>
    <col min="10255" max="10256" width="11.42578125" style="1" hidden="1" customWidth="1"/>
    <col min="10257" max="10257" width="10.85546875" style="1" hidden="1" customWidth="1"/>
    <col min="10258" max="10258" width="8.7109375" style="1" hidden="1" customWidth="1"/>
    <col min="10259" max="10259" width="6.28515625" style="1" hidden="1" customWidth="1"/>
    <col min="10260" max="10260" width="4" style="1" hidden="1" customWidth="1"/>
    <col min="10261" max="10261" width="8.7109375" style="1" hidden="1" customWidth="1"/>
    <col min="10262" max="10262" width="13.7109375" style="1" hidden="1" customWidth="1"/>
    <col min="10263" max="10263" width="20.7109375" style="1" hidden="1" customWidth="1"/>
    <col min="10264" max="10264" width="9.42578125" style="1" hidden="1" customWidth="1"/>
    <col min="10265" max="10265" width="3.28515625" style="1" hidden="1" customWidth="1"/>
    <col min="10266" max="10489" width="0" style="1" hidden="1"/>
    <col min="10490" max="10491" width="3.28515625" style="1" hidden="1" customWidth="1"/>
    <col min="10492" max="10492" width="30.7109375" style="1" hidden="1" customWidth="1"/>
    <col min="10493" max="10493" width="2.7109375" style="1" hidden="1" customWidth="1"/>
    <col min="10494" max="10494" width="12.85546875" style="1" hidden="1" customWidth="1"/>
    <col min="10495" max="10496" width="9.5703125" style="1" hidden="1" customWidth="1"/>
    <col min="10497" max="10497" width="7.42578125" style="1" hidden="1" customWidth="1"/>
    <col min="10498" max="10498" width="11.140625" style="1" hidden="1" customWidth="1"/>
    <col min="10499" max="10499" width="11.28515625" style="1" hidden="1" customWidth="1"/>
    <col min="10500" max="10500" width="11.7109375" style="1" hidden="1" customWidth="1"/>
    <col min="10501" max="10501" width="11.28515625" style="1" hidden="1" customWidth="1"/>
    <col min="10502" max="10502" width="10.7109375" style="1" hidden="1" customWidth="1"/>
    <col min="10503" max="10503" width="11.28515625" style="1" hidden="1" customWidth="1"/>
    <col min="10504" max="10504" width="11.42578125" style="1" hidden="1" customWidth="1"/>
    <col min="10505" max="10505" width="10.42578125" style="1" hidden="1" customWidth="1"/>
    <col min="10506" max="10506" width="11.28515625" style="1" hidden="1" customWidth="1"/>
    <col min="10507" max="10507" width="11.42578125" style="1" hidden="1" customWidth="1"/>
    <col min="10508" max="10508" width="10.7109375" style="1" hidden="1" customWidth="1"/>
    <col min="10509" max="10509" width="10.28515625" style="1" hidden="1" customWidth="1"/>
    <col min="10510" max="10510" width="11.5703125" style="1" hidden="1" customWidth="1"/>
    <col min="10511" max="10512" width="11.42578125" style="1" hidden="1" customWidth="1"/>
    <col min="10513" max="10513" width="10.85546875" style="1" hidden="1" customWidth="1"/>
    <col min="10514" max="10514" width="8.7109375" style="1" hidden="1" customWidth="1"/>
    <col min="10515" max="10515" width="6.28515625" style="1" hidden="1" customWidth="1"/>
    <col min="10516" max="10516" width="4" style="1" hidden="1" customWidth="1"/>
    <col min="10517" max="10517" width="8.7109375" style="1" hidden="1" customWidth="1"/>
    <col min="10518" max="10518" width="13.7109375" style="1" hidden="1" customWidth="1"/>
    <col min="10519" max="10519" width="20.7109375" style="1" hidden="1" customWidth="1"/>
    <col min="10520" max="10520" width="9.42578125" style="1" hidden="1" customWidth="1"/>
    <col min="10521" max="10521" width="3.28515625" style="1" hidden="1" customWidth="1"/>
    <col min="10522" max="10745" width="0" style="1" hidden="1"/>
    <col min="10746" max="10747" width="3.28515625" style="1" hidden="1" customWidth="1"/>
    <col min="10748" max="10748" width="30.7109375" style="1" hidden="1" customWidth="1"/>
    <col min="10749" max="10749" width="2.7109375" style="1" hidden="1" customWidth="1"/>
    <col min="10750" max="10750" width="12.85546875" style="1" hidden="1" customWidth="1"/>
    <col min="10751" max="10752" width="9.5703125" style="1" hidden="1" customWidth="1"/>
    <col min="10753" max="10753" width="7.42578125" style="1" hidden="1" customWidth="1"/>
    <col min="10754" max="10754" width="11.140625" style="1" hidden="1" customWidth="1"/>
    <col min="10755" max="10755" width="11.28515625" style="1" hidden="1" customWidth="1"/>
    <col min="10756" max="10756" width="11.7109375" style="1" hidden="1" customWidth="1"/>
    <col min="10757" max="10757" width="11.28515625" style="1" hidden="1" customWidth="1"/>
    <col min="10758" max="10758" width="10.7109375" style="1" hidden="1" customWidth="1"/>
    <col min="10759" max="10759" width="11.28515625" style="1" hidden="1" customWidth="1"/>
    <col min="10760" max="10760" width="11.42578125" style="1" hidden="1" customWidth="1"/>
    <col min="10761" max="10761" width="10.42578125" style="1" hidden="1" customWidth="1"/>
    <col min="10762" max="10762" width="11.28515625" style="1" hidden="1" customWidth="1"/>
    <col min="10763" max="10763" width="11.42578125" style="1" hidden="1" customWidth="1"/>
    <col min="10764" max="10764" width="10.7109375" style="1" hidden="1" customWidth="1"/>
    <col min="10765" max="10765" width="10.28515625" style="1" hidden="1" customWidth="1"/>
    <col min="10766" max="10766" width="11.5703125" style="1" hidden="1" customWidth="1"/>
    <col min="10767" max="10768" width="11.42578125" style="1" hidden="1" customWidth="1"/>
    <col min="10769" max="10769" width="10.85546875" style="1" hidden="1" customWidth="1"/>
    <col min="10770" max="10770" width="8.7109375" style="1" hidden="1" customWidth="1"/>
    <col min="10771" max="10771" width="6.28515625" style="1" hidden="1" customWidth="1"/>
    <col min="10772" max="10772" width="4" style="1" hidden="1" customWidth="1"/>
    <col min="10773" max="10773" width="8.7109375" style="1" hidden="1" customWidth="1"/>
    <col min="10774" max="10774" width="13.7109375" style="1" hidden="1" customWidth="1"/>
    <col min="10775" max="10775" width="20.7109375" style="1" hidden="1" customWidth="1"/>
    <col min="10776" max="10776" width="9.42578125" style="1" hidden="1" customWidth="1"/>
    <col min="10777" max="10777" width="3.28515625" style="1" hidden="1" customWidth="1"/>
    <col min="10778" max="11001" width="0" style="1" hidden="1"/>
    <col min="11002" max="11003" width="3.28515625" style="1" hidden="1" customWidth="1"/>
    <col min="11004" max="11004" width="30.7109375" style="1" hidden="1" customWidth="1"/>
    <col min="11005" max="11005" width="2.7109375" style="1" hidden="1" customWidth="1"/>
    <col min="11006" max="11006" width="12.85546875" style="1" hidden="1" customWidth="1"/>
    <col min="11007" max="11008" width="9.5703125" style="1" hidden="1" customWidth="1"/>
    <col min="11009" max="11009" width="7.42578125" style="1" hidden="1" customWidth="1"/>
    <col min="11010" max="11010" width="11.140625" style="1" hidden="1" customWidth="1"/>
    <col min="11011" max="11011" width="11.28515625" style="1" hidden="1" customWidth="1"/>
    <col min="11012" max="11012" width="11.7109375" style="1" hidden="1" customWidth="1"/>
    <col min="11013" max="11013" width="11.28515625" style="1" hidden="1" customWidth="1"/>
    <col min="11014" max="11014" width="10.7109375" style="1" hidden="1" customWidth="1"/>
    <col min="11015" max="11015" width="11.28515625" style="1" hidden="1" customWidth="1"/>
    <col min="11016" max="11016" width="11.42578125" style="1" hidden="1" customWidth="1"/>
    <col min="11017" max="11017" width="10.42578125" style="1" hidden="1" customWidth="1"/>
    <col min="11018" max="11018" width="11.28515625" style="1" hidden="1" customWidth="1"/>
    <col min="11019" max="11019" width="11.42578125" style="1" hidden="1" customWidth="1"/>
    <col min="11020" max="11020" width="10.7109375" style="1" hidden="1" customWidth="1"/>
    <col min="11021" max="11021" width="10.28515625" style="1" hidden="1" customWidth="1"/>
    <col min="11022" max="11022" width="11.5703125" style="1" hidden="1" customWidth="1"/>
    <col min="11023" max="11024" width="11.42578125" style="1" hidden="1" customWidth="1"/>
    <col min="11025" max="11025" width="10.85546875" style="1" hidden="1" customWidth="1"/>
    <col min="11026" max="11026" width="8.7109375" style="1" hidden="1" customWidth="1"/>
    <col min="11027" max="11027" width="6.28515625" style="1" hidden="1" customWidth="1"/>
    <col min="11028" max="11028" width="4" style="1" hidden="1" customWidth="1"/>
    <col min="11029" max="11029" width="8.7109375" style="1" hidden="1" customWidth="1"/>
    <col min="11030" max="11030" width="13.7109375" style="1" hidden="1" customWidth="1"/>
    <col min="11031" max="11031" width="20.7109375" style="1" hidden="1" customWidth="1"/>
    <col min="11032" max="11032" width="9.42578125" style="1" hidden="1" customWidth="1"/>
    <col min="11033" max="11033" width="3.28515625" style="1" hidden="1" customWidth="1"/>
    <col min="11034" max="11257" width="0" style="1" hidden="1"/>
    <col min="11258" max="11259" width="3.28515625" style="1" hidden="1" customWidth="1"/>
    <col min="11260" max="11260" width="30.7109375" style="1" hidden="1" customWidth="1"/>
    <col min="11261" max="11261" width="2.7109375" style="1" hidden="1" customWidth="1"/>
    <col min="11262" max="11262" width="12.85546875" style="1" hidden="1" customWidth="1"/>
    <col min="11263" max="11264" width="9.5703125" style="1" hidden="1" customWidth="1"/>
    <col min="11265" max="11265" width="7.42578125" style="1" hidden="1" customWidth="1"/>
    <col min="11266" max="11266" width="11.140625" style="1" hidden="1" customWidth="1"/>
    <col min="11267" max="11267" width="11.28515625" style="1" hidden="1" customWidth="1"/>
    <col min="11268" max="11268" width="11.7109375" style="1" hidden="1" customWidth="1"/>
    <col min="11269" max="11269" width="11.28515625" style="1" hidden="1" customWidth="1"/>
    <col min="11270" max="11270" width="10.7109375" style="1" hidden="1" customWidth="1"/>
    <col min="11271" max="11271" width="11.28515625" style="1" hidden="1" customWidth="1"/>
    <col min="11272" max="11272" width="11.42578125" style="1" hidden="1" customWidth="1"/>
    <col min="11273" max="11273" width="10.42578125" style="1" hidden="1" customWidth="1"/>
    <col min="11274" max="11274" width="11.28515625" style="1" hidden="1" customWidth="1"/>
    <col min="11275" max="11275" width="11.42578125" style="1" hidden="1" customWidth="1"/>
    <col min="11276" max="11276" width="10.7109375" style="1" hidden="1" customWidth="1"/>
    <col min="11277" max="11277" width="10.28515625" style="1" hidden="1" customWidth="1"/>
    <col min="11278" max="11278" width="11.5703125" style="1" hidden="1" customWidth="1"/>
    <col min="11279" max="11280" width="11.42578125" style="1" hidden="1" customWidth="1"/>
    <col min="11281" max="11281" width="10.85546875" style="1" hidden="1" customWidth="1"/>
    <col min="11282" max="11282" width="8.7109375" style="1" hidden="1" customWidth="1"/>
    <col min="11283" max="11283" width="6.28515625" style="1" hidden="1" customWidth="1"/>
    <col min="11284" max="11284" width="4" style="1" hidden="1" customWidth="1"/>
    <col min="11285" max="11285" width="8.7109375" style="1" hidden="1" customWidth="1"/>
    <col min="11286" max="11286" width="13.7109375" style="1" hidden="1" customWidth="1"/>
    <col min="11287" max="11287" width="20.7109375" style="1" hidden="1" customWidth="1"/>
    <col min="11288" max="11288" width="9.42578125" style="1" hidden="1" customWidth="1"/>
    <col min="11289" max="11289" width="3.28515625" style="1" hidden="1" customWidth="1"/>
    <col min="11290" max="11513" width="0" style="1" hidden="1"/>
    <col min="11514" max="11515" width="3.28515625" style="1" hidden="1" customWidth="1"/>
    <col min="11516" max="11516" width="30.7109375" style="1" hidden="1" customWidth="1"/>
    <col min="11517" max="11517" width="2.7109375" style="1" hidden="1" customWidth="1"/>
    <col min="11518" max="11518" width="12.85546875" style="1" hidden="1" customWidth="1"/>
    <col min="11519" max="11520" width="9.5703125" style="1" hidden="1" customWidth="1"/>
    <col min="11521" max="11521" width="7.42578125" style="1" hidden="1" customWidth="1"/>
    <col min="11522" max="11522" width="11.140625" style="1" hidden="1" customWidth="1"/>
    <col min="11523" max="11523" width="11.28515625" style="1" hidden="1" customWidth="1"/>
    <col min="11524" max="11524" width="11.7109375" style="1" hidden="1" customWidth="1"/>
    <col min="11525" max="11525" width="11.28515625" style="1" hidden="1" customWidth="1"/>
    <col min="11526" max="11526" width="10.7109375" style="1" hidden="1" customWidth="1"/>
    <col min="11527" max="11527" width="11.28515625" style="1" hidden="1" customWidth="1"/>
    <col min="11528" max="11528" width="11.42578125" style="1" hidden="1" customWidth="1"/>
    <col min="11529" max="11529" width="10.42578125" style="1" hidden="1" customWidth="1"/>
    <col min="11530" max="11530" width="11.28515625" style="1" hidden="1" customWidth="1"/>
    <col min="11531" max="11531" width="11.42578125" style="1" hidden="1" customWidth="1"/>
    <col min="11532" max="11532" width="10.7109375" style="1" hidden="1" customWidth="1"/>
    <col min="11533" max="11533" width="10.28515625" style="1" hidden="1" customWidth="1"/>
    <col min="11534" max="11534" width="11.5703125" style="1" hidden="1" customWidth="1"/>
    <col min="11535" max="11536" width="11.42578125" style="1" hidden="1" customWidth="1"/>
    <col min="11537" max="11537" width="10.85546875" style="1" hidden="1" customWidth="1"/>
    <col min="11538" max="11538" width="8.7109375" style="1" hidden="1" customWidth="1"/>
    <col min="11539" max="11539" width="6.28515625" style="1" hidden="1" customWidth="1"/>
    <col min="11540" max="11540" width="4" style="1" hidden="1" customWidth="1"/>
    <col min="11541" max="11541" width="8.7109375" style="1" hidden="1" customWidth="1"/>
    <col min="11542" max="11542" width="13.7109375" style="1" hidden="1" customWidth="1"/>
    <col min="11543" max="11543" width="20.7109375" style="1" hidden="1" customWidth="1"/>
    <col min="11544" max="11544" width="9.42578125" style="1" hidden="1" customWidth="1"/>
    <col min="11545" max="11545" width="3.28515625" style="1" hidden="1" customWidth="1"/>
    <col min="11546" max="11769" width="0" style="1" hidden="1"/>
    <col min="11770" max="11771" width="3.28515625" style="1" hidden="1" customWidth="1"/>
    <col min="11772" max="11772" width="30.7109375" style="1" hidden="1" customWidth="1"/>
    <col min="11773" max="11773" width="2.7109375" style="1" hidden="1" customWidth="1"/>
    <col min="11774" max="11774" width="12.85546875" style="1" hidden="1" customWidth="1"/>
    <col min="11775" max="11776" width="9.5703125" style="1" hidden="1" customWidth="1"/>
    <col min="11777" max="11777" width="7.42578125" style="1" hidden="1" customWidth="1"/>
    <col min="11778" max="11778" width="11.140625" style="1" hidden="1" customWidth="1"/>
    <col min="11779" max="11779" width="11.28515625" style="1" hidden="1" customWidth="1"/>
    <col min="11780" max="11780" width="11.7109375" style="1" hidden="1" customWidth="1"/>
    <col min="11781" max="11781" width="11.28515625" style="1" hidden="1" customWidth="1"/>
    <col min="11782" max="11782" width="10.7109375" style="1" hidden="1" customWidth="1"/>
    <col min="11783" max="11783" width="11.28515625" style="1" hidden="1" customWidth="1"/>
    <col min="11784" max="11784" width="11.42578125" style="1" hidden="1" customWidth="1"/>
    <col min="11785" max="11785" width="10.42578125" style="1" hidden="1" customWidth="1"/>
    <col min="11786" max="11786" width="11.28515625" style="1" hidden="1" customWidth="1"/>
    <col min="11787" max="11787" width="11.42578125" style="1" hidden="1" customWidth="1"/>
    <col min="11788" max="11788" width="10.7109375" style="1" hidden="1" customWidth="1"/>
    <col min="11789" max="11789" width="10.28515625" style="1" hidden="1" customWidth="1"/>
    <col min="11790" max="11790" width="11.5703125" style="1" hidden="1" customWidth="1"/>
    <col min="11791" max="11792" width="11.42578125" style="1" hidden="1" customWidth="1"/>
    <col min="11793" max="11793" width="10.85546875" style="1" hidden="1" customWidth="1"/>
    <col min="11794" max="11794" width="8.7109375" style="1" hidden="1" customWidth="1"/>
    <col min="11795" max="11795" width="6.28515625" style="1" hidden="1" customWidth="1"/>
    <col min="11796" max="11796" width="4" style="1" hidden="1" customWidth="1"/>
    <col min="11797" max="11797" width="8.7109375" style="1" hidden="1" customWidth="1"/>
    <col min="11798" max="11798" width="13.7109375" style="1" hidden="1" customWidth="1"/>
    <col min="11799" max="11799" width="20.7109375" style="1" hidden="1" customWidth="1"/>
    <col min="11800" max="11800" width="9.42578125" style="1" hidden="1" customWidth="1"/>
    <col min="11801" max="11801" width="3.28515625" style="1" hidden="1" customWidth="1"/>
    <col min="11802" max="12025" width="0" style="1" hidden="1"/>
    <col min="12026" max="12027" width="3.28515625" style="1" hidden="1" customWidth="1"/>
    <col min="12028" max="12028" width="30.7109375" style="1" hidden="1" customWidth="1"/>
    <col min="12029" max="12029" width="2.7109375" style="1" hidden="1" customWidth="1"/>
    <col min="12030" max="12030" width="12.85546875" style="1" hidden="1" customWidth="1"/>
    <col min="12031" max="12032" width="9.5703125" style="1" hidden="1" customWidth="1"/>
    <col min="12033" max="12033" width="7.42578125" style="1" hidden="1" customWidth="1"/>
    <col min="12034" max="12034" width="11.140625" style="1" hidden="1" customWidth="1"/>
    <col min="12035" max="12035" width="11.28515625" style="1" hidden="1" customWidth="1"/>
    <col min="12036" max="12036" width="11.7109375" style="1" hidden="1" customWidth="1"/>
    <col min="12037" max="12037" width="11.28515625" style="1" hidden="1" customWidth="1"/>
    <col min="12038" max="12038" width="10.7109375" style="1" hidden="1" customWidth="1"/>
    <col min="12039" max="12039" width="11.28515625" style="1" hidden="1" customWidth="1"/>
    <col min="12040" max="12040" width="11.42578125" style="1" hidden="1" customWidth="1"/>
    <col min="12041" max="12041" width="10.42578125" style="1" hidden="1" customWidth="1"/>
    <col min="12042" max="12042" width="11.28515625" style="1" hidden="1" customWidth="1"/>
    <col min="12043" max="12043" width="11.42578125" style="1" hidden="1" customWidth="1"/>
    <col min="12044" max="12044" width="10.7109375" style="1" hidden="1" customWidth="1"/>
    <col min="12045" max="12045" width="10.28515625" style="1" hidden="1" customWidth="1"/>
    <col min="12046" max="12046" width="11.5703125" style="1" hidden="1" customWidth="1"/>
    <col min="12047" max="12048" width="11.42578125" style="1" hidden="1" customWidth="1"/>
    <col min="12049" max="12049" width="10.85546875" style="1" hidden="1" customWidth="1"/>
    <col min="12050" max="12050" width="8.7109375" style="1" hidden="1" customWidth="1"/>
    <col min="12051" max="12051" width="6.28515625" style="1" hidden="1" customWidth="1"/>
    <col min="12052" max="12052" width="4" style="1" hidden="1" customWidth="1"/>
    <col min="12053" max="12053" width="8.7109375" style="1" hidden="1" customWidth="1"/>
    <col min="12054" max="12054" width="13.7109375" style="1" hidden="1" customWidth="1"/>
    <col min="12055" max="12055" width="20.7109375" style="1" hidden="1" customWidth="1"/>
    <col min="12056" max="12056" width="9.42578125" style="1" hidden="1" customWidth="1"/>
    <col min="12057" max="12057" width="3.28515625" style="1" hidden="1" customWidth="1"/>
    <col min="12058" max="12281" width="0" style="1" hidden="1"/>
    <col min="12282" max="12283" width="3.28515625" style="1" hidden="1" customWidth="1"/>
    <col min="12284" max="12284" width="30.7109375" style="1" hidden="1" customWidth="1"/>
    <col min="12285" max="12285" width="2.7109375" style="1" hidden="1" customWidth="1"/>
    <col min="12286" max="12286" width="12.85546875" style="1" hidden="1" customWidth="1"/>
    <col min="12287" max="12288" width="9.5703125" style="1" hidden="1" customWidth="1"/>
    <col min="12289" max="12289" width="7.42578125" style="1" hidden="1" customWidth="1"/>
    <col min="12290" max="12290" width="11.140625" style="1" hidden="1" customWidth="1"/>
    <col min="12291" max="12291" width="11.28515625" style="1" hidden="1" customWidth="1"/>
    <col min="12292" max="12292" width="11.7109375" style="1" hidden="1" customWidth="1"/>
    <col min="12293" max="12293" width="11.28515625" style="1" hidden="1" customWidth="1"/>
    <col min="12294" max="12294" width="10.7109375" style="1" hidden="1" customWidth="1"/>
    <col min="12295" max="12295" width="11.28515625" style="1" hidden="1" customWidth="1"/>
    <col min="12296" max="12296" width="11.42578125" style="1" hidden="1" customWidth="1"/>
    <col min="12297" max="12297" width="10.42578125" style="1" hidden="1" customWidth="1"/>
    <col min="12298" max="12298" width="11.28515625" style="1" hidden="1" customWidth="1"/>
    <col min="12299" max="12299" width="11.42578125" style="1" hidden="1" customWidth="1"/>
    <col min="12300" max="12300" width="10.7109375" style="1" hidden="1" customWidth="1"/>
    <col min="12301" max="12301" width="10.28515625" style="1" hidden="1" customWidth="1"/>
    <col min="12302" max="12302" width="11.5703125" style="1" hidden="1" customWidth="1"/>
    <col min="12303" max="12304" width="11.42578125" style="1" hidden="1" customWidth="1"/>
    <col min="12305" max="12305" width="10.85546875" style="1" hidden="1" customWidth="1"/>
    <col min="12306" max="12306" width="8.7109375" style="1" hidden="1" customWidth="1"/>
    <col min="12307" max="12307" width="6.28515625" style="1" hidden="1" customWidth="1"/>
    <col min="12308" max="12308" width="4" style="1" hidden="1" customWidth="1"/>
    <col min="12309" max="12309" width="8.7109375" style="1" hidden="1" customWidth="1"/>
    <col min="12310" max="12310" width="13.7109375" style="1" hidden="1" customWidth="1"/>
    <col min="12311" max="12311" width="20.7109375" style="1" hidden="1" customWidth="1"/>
    <col min="12312" max="12312" width="9.42578125" style="1" hidden="1" customWidth="1"/>
    <col min="12313" max="12313" width="3.28515625" style="1" hidden="1" customWidth="1"/>
    <col min="12314" max="12537" width="0" style="1" hidden="1"/>
    <col min="12538" max="12539" width="3.28515625" style="1" hidden="1" customWidth="1"/>
    <col min="12540" max="12540" width="30.7109375" style="1" hidden="1" customWidth="1"/>
    <col min="12541" max="12541" width="2.7109375" style="1" hidden="1" customWidth="1"/>
    <col min="12542" max="12542" width="12.85546875" style="1" hidden="1" customWidth="1"/>
    <col min="12543" max="12544" width="9.5703125" style="1" hidden="1" customWidth="1"/>
    <col min="12545" max="12545" width="7.42578125" style="1" hidden="1" customWidth="1"/>
    <col min="12546" max="12546" width="11.140625" style="1" hidden="1" customWidth="1"/>
    <col min="12547" max="12547" width="11.28515625" style="1" hidden="1" customWidth="1"/>
    <col min="12548" max="12548" width="11.7109375" style="1" hidden="1" customWidth="1"/>
    <col min="12549" max="12549" width="11.28515625" style="1" hidden="1" customWidth="1"/>
    <col min="12550" max="12550" width="10.7109375" style="1" hidden="1" customWidth="1"/>
    <col min="12551" max="12551" width="11.28515625" style="1" hidden="1" customWidth="1"/>
    <col min="12552" max="12552" width="11.42578125" style="1" hidden="1" customWidth="1"/>
    <col min="12553" max="12553" width="10.42578125" style="1" hidden="1" customWidth="1"/>
    <col min="12554" max="12554" width="11.28515625" style="1" hidden="1" customWidth="1"/>
    <col min="12555" max="12555" width="11.42578125" style="1" hidden="1" customWidth="1"/>
    <col min="12556" max="12556" width="10.7109375" style="1" hidden="1" customWidth="1"/>
    <col min="12557" max="12557" width="10.28515625" style="1" hidden="1" customWidth="1"/>
    <col min="12558" max="12558" width="11.5703125" style="1" hidden="1" customWidth="1"/>
    <col min="12559" max="12560" width="11.42578125" style="1" hidden="1" customWidth="1"/>
    <col min="12561" max="12561" width="10.85546875" style="1" hidden="1" customWidth="1"/>
    <col min="12562" max="12562" width="8.7109375" style="1" hidden="1" customWidth="1"/>
    <col min="12563" max="12563" width="6.28515625" style="1" hidden="1" customWidth="1"/>
    <col min="12564" max="12564" width="4" style="1" hidden="1" customWidth="1"/>
    <col min="12565" max="12565" width="8.7109375" style="1" hidden="1" customWidth="1"/>
    <col min="12566" max="12566" width="13.7109375" style="1" hidden="1" customWidth="1"/>
    <col min="12567" max="12567" width="20.7109375" style="1" hidden="1" customWidth="1"/>
    <col min="12568" max="12568" width="9.42578125" style="1" hidden="1" customWidth="1"/>
    <col min="12569" max="12569" width="3.28515625" style="1" hidden="1" customWidth="1"/>
    <col min="12570" max="12793" width="0" style="1" hidden="1"/>
    <col min="12794" max="12795" width="3.28515625" style="1" hidden="1" customWidth="1"/>
    <col min="12796" max="12796" width="30.7109375" style="1" hidden="1" customWidth="1"/>
    <col min="12797" max="12797" width="2.7109375" style="1" hidden="1" customWidth="1"/>
    <col min="12798" max="12798" width="12.85546875" style="1" hidden="1" customWidth="1"/>
    <col min="12799" max="12800" width="9.5703125" style="1" hidden="1" customWidth="1"/>
    <col min="12801" max="12801" width="7.42578125" style="1" hidden="1" customWidth="1"/>
    <col min="12802" max="12802" width="11.140625" style="1" hidden="1" customWidth="1"/>
    <col min="12803" max="12803" width="11.28515625" style="1" hidden="1" customWidth="1"/>
    <col min="12804" max="12804" width="11.7109375" style="1" hidden="1" customWidth="1"/>
    <col min="12805" max="12805" width="11.28515625" style="1" hidden="1" customWidth="1"/>
    <col min="12806" max="12806" width="10.7109375" style="1" hidden="1" customWidth="1"/>
    <col min="12807" max="12807" width="11.28515625" style="1" hidden="1" customWidth="1"/>
    <col min="12808" max="12808" width="11.42578125" style="1" hidden="1" customWidth="1"/>
    <col min="12809" max="12809" width="10.42578125" style="1" hidden="1" customWidth="1"/>
    <col min="12810" max="12810" width="11.28515625" style="1" hidden="1" customWidth="1"/>
    <col min="12811" max="12811" width="11.42578125" style="1" hidden="1" customWidth="1"/>
    <col min="12812" max="12812" width="10.7109375" style="1" hidden="1" customWidth="1"/>
    <col min="12813" max="12813" width="10.28515625" style="1" hidden="1" customWidth="1"/>
    <col min="12814" max="12814" width="11.5703125" style="1" hidden="1" customWidth="1"/>
    <col min="12815" max="12816" width="11.42578125" style="1" hidden="1" customWidth="1"/>
    <col min="12817" max="12817" width="10.85546875" style="1" hidden="1" customWidth="1"/>
    <col min="12818" max="12818" width="8.7109375" style="1" hidden="1" customWidth="1"/>
    <col min="12819" max="12819" width="6.28515625" style="1" hidden="1" customWidth="1"/>
    <col min="12820" max="12820" width="4" style="1" hidden="1" customWidth="1"/>
    <col min="12821" max="12821" width="8.7109375" style="1" hidden="1" customWidth="1"/>
    <col min="12822" max="12822" width="13.7109375" style="1" hidden="1" customWidth="1"/>
    <col min="12823" max="12823" width="20.7109375" style="1" hidden="1" customWidth="1"/>
    <col min="12824" max="12824" width="9.42578125" style="1" hidden="1" customWidth="1"/>
    <col min="12825" max="12825" width="3.28515625" style="1" hidden="1" customWidth="1"/>
    <col min="12826" max="13049" width="0" style="1" hidden="1"/>
    <col min="13050" max="13051" width="3.28515625" style="1" hidden="1" customWidth="1"/>
    <col min="13052" max="13052" width="30.7109375" style="1" hidden="1" customWidth="1"/>
    <col min="13053" max="13053" width="2.7109375" style="1" hidden="1" customWidth="1"/>
    <col min="13054" max="13054" width="12.85546875" style="1" hidden="1" customWidth="1"/>
    <col min="13055" max="13056" width="9.5703125" style="1" hidden="1" customWidth="1"/>
    <col min="13057" max="13057" width="7.42578125" style="1" hidden="1" customWidth="1"/>
    <col min="13058" max="13058" width="11.140625" style="1" hidden="1" customWidth="1"/>
    <col min="13059" max="13059" width="11.28515625" style="1" hidden="1" customWidth="1"/>
    <col min="13060" max="13060" width="11.7109375" style="1" hidden="1" customWidth="1"/>
    <col min="13061" max="13061" width="11.28515625" style="1" hidden="1" customWidth="1"/>
    <col min="13062" max="13062" width="10.7109375" style="1" hidden="1" customWidth="1"/>
    <col min="13063" max="13063" width="11.28515625" style="1" hidden="1" customWidth="1"/>
    <col min="13064" max="13064" width="11.42578125" style="1" hidden="1" customWidth="1"/>
    <col min="13065" max="13065" width="10.42578125" style="1" hidden="1" customWidth="1"/>
    <col min="13066" max="13066" width="11.28515625" style="1" hidden="1" customWidth="1"/>
    <col min="13067" max="13067" width="11.42578125" style="1" hidden="1" customWidth="1"/>
    <col min="13068" max="13068" width="10.7109375" style="1" hidden="1" customWidth="1"/>
    <col min="13069" max="13069" width="10.28515625" style="1" hidden="1" customWidth="1"/>
    <col min="13070" max="13070" width="11.5703125" style="1" hidden="1" customWidth="1"/>
    <col min="13071" max="13072" width="11.42578125" style="1" hidden="1" customWidth="1"/>
    <col min="13073" max="13073" width="10.85546875" style="1" hidden="1" customWidth="1"/>
    <col min="13074" max="13074" width="8.7109375" style="1" hidden="1" customWidth="1"/>
    <col min="13075" max="13075" width="6.28515625" style="1" hidden="1" customWidth="1"/>
    <col min="13076" max="13076" width="4" style="1" hidden="1" customWidth="1"/>
    <col min="13077" max="13077" width="8.7109375" style="1" hidden="1" customWidth="1"/>
    <col min="13078" max="13078" width="13.7109375" style="1" hidden="1" customWidth="1"/>
    <col min="13079" max="13079" width="20.7109375" style="1" hidden="1" customWidth="1"/>
    <col min="13080" max="13080" width="9.42578125" style="1" hidden="1" customWidth="1"/>
    <col min="13081" max="13081" width="3.28515625" style="1" hidden="1" customWidth="1"/>
    <col min="13082" max="13305" width="0" style="1" hidden="1"/>
    <col min="13306" max="13307" width="3.28515625" style="1" hidden="1" customWidth="1"/>
    <col min="13308" max="13308" width="30.7109375" style="1" hidden="1" customWidth="1"/>
    <col min="13309" max="13309" width="2.7109375" style="1" hidden="1" customWidth="1"/>
    <col min="13310" max="13310" width="12.85546875" style="1" hidden="1" customWidth="1"/>
    <col min="13311" max="13312" width="9.5703125" style="1" hidden="1" customWidth="1"/>
    <col min="13313" max="13313" width="7.42578125" style="1" hidden="1" customWidth="1"/>
    <col min="13314" max="13314" width="11.140625" style="1" hidden="1" customWidth="1"/>
    <col min="13315" max="13315" width="11.28515625" style="1" hidden="1" customWidth="1"/>
    <col min="13316" max="13316" width="11.7109375" style="1" hidden="1" customWidth="1"/>
    <col min="13317" max="13317" width="11.28515625" style="1" hidden="1" customWidth="1"/>
    <col min="13318" max="13318" width="10.7109375" style="1" hidden="1" customWidth="1"/>
    <col min="13319" max="13319" width="11.28515625" style="1" hidden="1" customWidth="1"/>
    <col min="13320" max="13320" width="11.42578125" style="1" hidden="1" customWidth="1"/>
    <col min="13321" max="13321" width="10.42578125" style="1" hidden="1" customWidth="1"/>
    <col min="13322" max="13322" width="11.28515625" style="1" hidden="1" customWidth="1"/>
    <col min="13323" max="13323" width="11.42578125" style="1" hidden="1" customWidth="1"/>
    <col min="13324" max="13324" width="10.7109375" style="1" hidden="1" customWidth="1"/>
    <col min="13325" max="13325" width="10.28515625" style="1" hidden="1" customWidth="1"/>
    <col min="13326" max="13326" width="11.5703125" style="1" hidden="1" customWidth="1"/>
    <col min="13327" max="13328" width="11.42578125" style="1" hidden="1" customWidth="1"/>
    <col min="13329" max="13329" width="10.85546875" style="1" hidden="1" customWidth="1"/>
    <col min="13330" max="13330" width="8.7109375" style="1" hidden="1" customWidth="1"/>
    <col min="13331" max="13331" width="6.28515625" style="1" hidden="1" customWidth="1"/>
    <col min="13332" max="13332" width="4" style="1" hidden="1" customWidth="1"/>
    <col min="13333" max="13333" width="8.7109375" style="1" hidden="1" customWidth="1"/>
    <col min="13334" max="13334" width="13.7109375" style="1" hidden="1" customWidth="1"/>
    <col min="13335" max="13335" width="20.7109375" style="1" hidden="1" customWidth="1"/>
    <col min="13336" max="13336" width="9.42578125" style="1" hidden="1" customWidth="1"/>
    <col min="13337" max="13337" width="3.28515625" style="1" hidden="1" customWidth="1"/>
    <col min="13338" max="13561" width="0" style="1" hidden="1"/>
    <col min="13562" max="13563" width="3.28515625" style="1" hidden="1" customWidth="1"/>
    <col min="13564" max="13564" width="30.7109375" style="1" hidden="1" customWidth="1"/>
    <col min="13565" max="13565" width="2.7109375" style="1" hidden="1" customWidth="1"/>
    <col min="13566" max="13566" width="12.85546875" style="1" hidden="1" customWidth="1"/>
    <col min="13567" max="13568" width="9.5703125" style="1" hidden="1" customWidth="1"/>
    <col min="13569" max="13569" width="7.42578125" style="1" hidden="1" customWidth="1"/>
    <col min="13570" max="13570" width="11.140625" style="1" hidden="1" customWidth="1"/>
    <col min="13571" max="13571" width="11.28515625" style="1" hidden="1" customWidth="1"/>
    <col min="13572" max="13572" width="11.7109375" style="1" hidden="1" customWidth="1"/>
    <col min="13573" max="13573" width="11.28515625" style="1" hidden="1" customWidth="1"/>
    <col min="13574" max="13574" width="10.7109375" style="1" hidden="1" customWidth="1"/>
    <col min="13575" max="13575" width="11.28515625" style="1" hidden="1" customWidth="1"/>
    <col min="13576" max="13576" width="11.42578125" style="1" hidden="1" customWidth="1"/>
    <col min="13577" max="13577" width="10.42578125" style="1" hidden="1" customWidth="1"/>
    <col min="13578" max="13578" width="11.28515625" style="1" hidden="1" customWidth="1"/>
    <col min="13579" max="13579" width="11.42578125" style="1" hidden="1" customWidth="1"/>
    <col min="13580" max="13580" width="10.7109375" style="1" hidden="1" customWidth="1"/>
    <col min="13581" max="13581" width="10.28515625" style="1" hidden="1" customWidth="1"/>
    <col min="13582" max="13582" width="11.5703125" style="1" hidden="1" customWidth="1"/>
    <col min="13583" max="13584" width="11.42578125" style="1" hidden="1" customWidth="1"/>
    <col min="13585" max="13585" width="10.85546875" style="1" hidden="1" customWidth="1"/>
    <col min="13586" max="13586" width="8.7109375" style="1" hidden="1" customWidth="1"/>
    <col min="13587" max="13587" width="6.28515625" style="1" hidden="1" customWidth="1"/>
    <col min="13588" max="13588" width="4" style="1" hidden="1" customWidth="1"/>
    <col min="13589" max="13589" width="8.7109375" style="1" hidden="1" customWidth="1"/>
    <col min="13590" max="13590" width="13.7109375" style="1" hidden="1" customWidth="1"/>
    <col min="13591" max="13591" width="20.7109375" style="1" hidden="1" customWidth="1"/>
    <col min="13592" max="13592" width="9.42578125" style="1" hidden="1" customWidth="1"/>
    <col min="13593" max="13593" width="3.28515625" style="1" hidden="1" customWidth="1"/>
    <col min="13594" max="13817" width="0" style="1" hidden="1"/>
    <col min="13818" max="13819" width="3.28515625" style="1" hidden="1" customWidth="1"/>
    <col min="13820" max="13820" width="30.7109375" style="1" hidden="1" customWidth="1"/>
    <col min="13821" max="13821" width="2.7109375" style="1" hidden="1" customWidth="1"/>
    <col min="13822" max="13822" width="12.85546875" style="1" hidden="1" customWidth="1"/>
    <col min="13823" max="13824" width="9.5703125" style="1" hidden="1" customWidth="1"/>
    <col min="13825" max="13825" width="7.42578125" style="1" hidden="1" customWidth="1"/>
    <col min="13826" max="13826" width="11.140625" style="1" hidden="1" customWidth="1"/>
    <col min="13827" max="13827" width="11.28515625" style="1" hidden="1" customWidth="1"/>
    <col min="13828" max="13828" width="11.7109375" style="1" hidden="1" customWidth="1"/>
    <col min="13829" max="13829" width="11.28515625" style="1" hidden="1" customWidth="1"/>
    <col min="13830" max="13830" width="10.7109375" style="1" hidden="1" customWidth="1"/>
    <col min="13831" max="13831" width="11.28515625" style="1" hidden="1" customWidth="1"/>
    <col min="13832" max="13832" width="11.42578125" style="1" hidden="1" customWidth="1"/>
    <col min="13833" max="13833" width="10.42578125" style="1" hidden="1" customWidth="1"/>
    <col min="13834" max="13834" width="11.28515625" style="1" hidden="1" customWidth="1"/>
    <col min="13835" max="13835" width="11.42578125" style="1" hidden="1" customWidth="1"/>
    <col min="13836" max="13836" width="10.7109375" style="1" hidden="1" customWidth="1"/>
    <col min="13837" max="13837" width="10.28515625" style="1" hidden="1" customWidth="1"/>
    <col min="13838" max="13838" width="11.5703125" style="1" hidden="1" customWidth="1"/>
    <col min="13839" max="13840" width="11.42578125" style="1" hidden="1" customWidth="1"/>
    <col min="13841" max="13841" width="10.85546875" style="1" hidden="1" customWidth="1"/>
    <col min="13842" max="13842" width="8.7109375" style="1" hidden="1" customWidth="1"/>
    <col min="13843" max="13843" width="6.28515625" style="1" hidden="1" customWidth="1"/>
    <col min="13844" max="13844" width="4" style="1" hidden="1" customWidth="1"/>
    <col min="13845" max="13845" width="8.7109375" style="1" hidden="1" customWidth="1"/>
    <col min="13846" max="13846" width="13.7109375" style="1" hidden="1" customWidth="1"/>
    <col min="13847" max="13847" width="20.7109375" style="1" hidden="1" customWidth="1"/>
    <col min="13848" max="13848" width="9.42578125" style="1" hidden="1" customWidth="1"/>
    <col min="13849" max="13849" width="3.28515625" style="1" hidden="1" customWidth="1"/>
    <col min="13850" max="14073" width="0" style="1" hidden="1"/>
    <col min="14074" max="14075" width="3.28515625" style="1" hidden="1" customWidth="1"/>
    <col min="14076" max="14076" width="30.7109375" style="1" hidden="1" customWidth="1"/>
    <col min="14077" max="14077" width="2.7109375" style="1" hidden="1" customWidth="1"/>
    <col min="14078" max="14078" width="12.85546875" style="1" hidden="1" customWidth="1"/>
    <col min="14079" max="14080" width="9.5703125" style="1" hidden="1" customWidth="1"/>
    <col min="14081" max="14081" width="7.42578125" style="1" hidden="1" customWidth="1"/>
    <col min="14082" max="14082" width="11.140625" style="1" hidden="1" customWidth="1"/>
    <col min="14083" max="14083" width="11.28515625" style="1" hidden="1" customWidth="1"/>
    <col min="14084" max="14084" width="11.7109375" style="1" hidden="1" customWidth="1"/>
    <col min="14085" max="14085" width="11.28515625" style="1" hidden="1" customWidth="1"/>
    <col min="14086" max="14086" width="10.7109375" style="1" hidden="1" customWidth="1"/>
    <col min="14087" max="14087" width="11.28515625" style="1" hidden="1" customWidth="1"/>
    <col min="14088" max="14088" width="11.42578125" style="1" hidden="1" customWidth="1"/>
    <col min="14089" max="14089" width="10.42578125" style="1" hidden="1" customWidth="1"/>
    <col min="14090" max="14090" width="11.28515625" style="1" hidden="1" customWidth="1"/>
    <col min="14091" max="14091" width="11.42578125" style="1" hidden="1" customWidth="1"/>
    <col min="14092" max="14092" width="10.7109375" style="1" hidden="1" customWidth="1"/>
    <col min="14093" max="14093" width="10.28515625" style="1" hidden="1" customWidth="1"/>
    <col min="14094" max="14094" width="11.5703125" style="1" hidden="1" customWidth="1"/>
    <col min="14095" max="14096" width="11.42578125" style="1" hidden="1" customWidth="1"/>
    <col min="14097" max="14097" width="10.85546875" style="1" hidden="1" customWidth="1"/>
    <col min="14098" max="14098" width="8.7109375" style="1" hidden="1" customWidth="1"/>
    <col min="14099" max="14099" width="6.28515625" style="1" hidden="1" customWidth="1"/>
    <col min="14100" max="14100" width="4" style="1" hidden="1" customWidth="1"/>
    <col min="14101" max="14101" width="8.7109375" style="1" hidden="1" customWidth="1"/>
    <col min="14102" max="14102" width="13.7109375" style="1" hidden="1" customWidth="1"/>
    <col min="14103" max="14103" width="20.7109375" style="1" hidden="1" customWidth="1"/>
    <col min="14104" max="14104" width="9.42578125" style="1" hidden="1" customWidth="1"/>
    <col min="14105" max="14105" width="3.28515625" style="1" hidden="1" customWidth="1"/>
    <col min="14106" max="14329" width="0" style="1" hidden="1"/>
    <col min="14330" max="14331" width="3.28515625" style="1" hidden="1" customWidth="1"/>
    <col min="14332" max="14332" width="30.7109375" style="1" hidden="1" customWidth="1"/>
    <col min="14333" max="14333" width="2.7109375" style="1" hidden="1" customWidth="1"/>
    <col min="14334" max="14334" width="12.85546875" style="1" hidden="1" customWidth="1"/>
    <col min="14335" max="14336" width="9.5703125" style="1" hidden="1" customWidth="1"/>
    <col min="14337" max="14337" width="7.42578125" style="1" hidden="1" customWidth="1"/>
    <col min="14338" max="14338" width="11.140625" style="1" hidden="1" customWidth="1"/>
    <col min="14339" max="14339" width="11.28515625" style="1" hidden="1" customWidth="1"/>
    <col min="14340" max="14340" width="11.7109375" style="1" hidden="1" customWidth="1"/>
    <col min="14341" max="14341" width="11.28515625" style="1" hidden="1" customWidth="1"/>
    <col min="14342" max="14342" width="10.7109375" style="1" hidden="1" customWidth="1"/>
    <col min="14343" max="14343" width="11.28515625" style="1" hidden="1" customWidth="1"/>
    <col min="14344" max="14344" width="11.42578125" style="1" hidden="1" customWidth="1"/>
    <col min="14345" max="14345" width="10.42578125" style="1" hidden="1" customWidth="1"/>
    <col min="14346" max="14346" width="11.28515625" style="1" hidden="1" customWidth="1"/>
    <col min="14347" max="14347" width="11.42578125" style="1" hidden="1" customWidth="1"/>
    <col min="14348" max="14348" width="10.7109375" style="1" hidden="1" customWidth="1"/>
    <col min="14349" max="14349" width="10.28515625" style="1" hidden="1" customWidth="1"/>
    <col min="14350" max="14350" width="11.5703125" style="1" hidden="1" customWidth="1"/>
    <col min="14351" max="14352" width="11.42578125" style="1" hidden="1" customWidth="1"/>
    <col min="14353" max="14353" width="10.85546875" style="1" hidden="1" customWidth="1"/>
    <col min="14354" max="14354" width="8.7109375" style="1" hidden="1" customWidth="1"/>
    <col min="14355" max="14355" width="6.28515625" style="1" hidden="1" customWidth="1"/>
    <col min="14356" max="14356" width="4" style="1" hidden="1" customWidth="1"/>
    <col min="14357" max="14357" width="8.7109375" style="1" hidden="1" customWidth="1"/>
    <col min="14358" max="14358" width="13.7109375" style="1" hidden="1" customWidth="1"/>
    <col min="14359" max="14359" width="20.7109375" style="1" hidden="1" customWidth="1"/>
    <col min="14360" max="14360" width="9.42578125" style="1" hidden="1" customWidth="1"/>
    <col min="14361" max="14361" width="3.28515625" style="1" hidden="1" customWidth="1"/>
    <col min="14362" max="14585" width="0" style="1" hidden="1"/>
    <col min="14586" max="14587" width="3.28515625" style="1" hidden="1" customWidth="1"/>
    <col min="14588" max="14588" width="30.7109375" style="1" hidden="1" customWidth="1"/>
    <col min="14589" max="14589" width="2.7109375" style="1" hidden="1" customWidth="1"/>
    <col min="14590" max="14590" width="12.85546875" style="1" hidden="1" customWidth="1"/>
    <col min="14591" max="14592" width="9.5703125" style="1" hidden="1" customWidth="1"/>
    <col min="14593" max="14593" width="7.42578125" style="1" hidden="1" customWidth="1"/>
    <col min="14594" max="14594" width="11.140625" style="1" hidden="1" customWidth="1"/>
    <col min="14595" max="14595" width="11.28515625" style="1" hidden="1" customWidth="1"/>
    <col min="14596" max="14596" width="11.7109375" style="1" hidden="1" customWidth="1"/>
    <col min="14597" max="14597" width="11.28515625" style="1" hidden="1" customWidth="1"/>
    <col min="14598" max="14598" width="10.7109375" style="1" hidden="1" customWidth="1"/>
    <col min="14599" max="14599" width="11.28515625" style="1" hidden="1" customWidth="1"/>
    <col min="14600" max="14600" width="11.42578125" style="1" hidden="1" customWidth="1"/>
    <col min="14601" max="14601" width="10.42578125" style="1" hidden="1" customWidth="1"/>
    <col min="14602" max="14602" width="11.28515625" style="1" hidden="1" customWidth="1"/>
    <col min="14603" max="14603" width="11.42578125" style="1" hidden="1" customWidth="1"/>
    <col min="14604" max="14604" width="10.7109375" style="1" hidden="1" customWidth="1"/>
    <col min="14605" max="14605" width="10.28515625" style="1" hidden="1" customWidth="1"/>
    <col min="14606" max="14606" width="11.5703125" style="1" hidden="1" customWidth="1"/>
    <col min="14607" max="14608" width="11.42578125" style="1" hidden="1" customWidth="1"/>
    <col min="14609" max="14609" width="10.85546875" style="1" hidden="1" customWidth="1"/>
    <col min="14610" max="14610" width="8.7109375" style="1" hidden="1" customWidth="1"/>
    <col min="14611" max="14611" width="6.28515625" style="1" hidden="1" customWidth="1"/>
    <col min="14612" max="14612" width="4" style="1" hidden="1" customWidth="1"/>
    <col min="14613" max="14613" width="8.7109375" style="1" hidden="1" customWidth="1"/>
    <col min="14614" max="14614" width="13.7109375" style="1" hidden="1" customWidth="1"/>
    <col min="14615" max="14615" width="20.7109375" style="1" hidden="1" customWidth="1"/>
    <col min="14616" max="14616" width="9.42578125" style="1" hidden="1" customWidth="1"/>
    <col min="14617" max="14617" width="3.28515625" style="1" hidden="1" customWidth="1"/>
    <col min="14618" max="14841" width="0" style="1" hidden="1"/>
    <col min="14842" max="14843" width="3.28515625" style="1" hidden="1" customWidth="1"/>
    <col min="14844" max="14844" width="30.7109375" style="1" hidden="1" customWidth="1"/>
    <col min="14845" max="14845" width="2.7109375" style="1" hidden="1" customWidth="1"/>
    <col min="14846" max="14846" width="12.85546875" style="1" hidden="1" customWidth="1"/>
    <col min="14847" max="14848" width="9.5703125" style="1" hidden="1" customWidth="1"/>
    <col min="14849" max="14849" width="7.42578125" style="1" hidden="1" customWidth="1"/>
    <col min="14850" max="14850" width="11.140625" style="1" hidden="1" customWidth="1"/>
    <col min="14851" max="14851" width="11.28515625" style="1" hidden="1" customWidth="1"/>
    <col min="14852" max="14852" width="11.7109375" style="1" hidden="1" customWidth="1"/>
    <col min="14853" max="14853" width="11.28515625" style="1" hidden="1" customWidth="1"/>
    <col min="14854" max="14854" width="10.7109375" style="1" hidden="1" customWidth="1"/>
    <col min="14855" max="14855" width="11.28515625" style="1" hidden="1" customWidth="1"/>
    <col min="14856" max="14856" width="11.42578125" style="1" hidden="1" customWidth="1"/>
    <col min="14857" max="14857" width="10.42578125" style="1" hidden="1" customWidth="1"/>
    <col min="14858" max="14858" width="11.28515625" style="1" hidden="1" customWidth="1"/>
    <col min="14859" max="14859" width="11.42578125" style="1" hidden="1" customWidth="1"/>
    <col min="14860" max="14860" width="10.7109375" style="1" hidden="1" customWidth="1"/>
    <col min="14861" max="14861" width="10.28515625" style="1" hidden="1" customWidth="1"/>
    <col min="14862" max="14862" width="11.5703125" style="1" hidden="1" customWidth="1"/>
    <col min="14863" max="14864" width="11.42578125" style="1" hidden="1" customWidth="1"/>
    <col min="14865" max="14865" width="10.85546875" style="1" hidden="1" customWidth="1"/>
    <col min="14866" max="14866" width="8.7109375" style="1" hidden="1" customWidth="1"/>
    <col min="14867" max="14867" width="6.28515625" style="1" hidden="1" customWidth="1"/>
    <col min="14868" max="14868" width="4" style="1" hidden="1" customWidth="1"/>
    <col min="14869" max="14869" width="8.7109375" style="1" hidden="1" customWidth="1"/>
    <col min="14870" max="14870" width="13.7109375" style="1" hidden="1" customWidth="1"/>
    <col min="14871" max="14871" width="20.7109375" style="1" hidden="1" customWidth="1"/>
    <col min="14872" max="14872" width="9.42578125" style="1" hidden="1" customWidth="1"/>
    <col min="14873" max="14873" width="3.28515625" style="1" hidden="1" customWidth="1"/>
    <col min="14874" max="15097" width="0" style="1" hidden="1"/>
    <col min="15098" max="15099" width="3.28515625" style="1" hidden="1" customWidth="1"/>
    <col min="15100" max="15100" width="30.7109375" style="1" hidden="1" customWidth="1"/>
    <col min="15101" max="15101" width="2.7109375" style="1" hidden="1" customWidth="1"/>
    <col min="15102" max="15102" width="12.85546875" style="1" hidden="1" customWidth="1"/>
    <col min="15103" max="15104" width="9.5703125" style="1" hidden="1" customWidth="1"/>
    <col min="15105" max="15105" width="7.42578125" style="1" hidden="1" customWidth="1"/>
    <col min="15106" max="15106" width="11.140625" style="1" hidden="1" customWidth="1"/>
    <col min="15107" max="15107" width="11.28515625" style="1" hidden="1" customWidth="1"/>
    <col min="15108" max="15108" width="11.7109375" style="1" hidden="1" customWidth="1"/>
    <col min="15109" max="15109" width="11.28515625" style="1" hidden="1" customWidth="1"/>
    <col min="15110" max="15110" width="10.7109375" style="1" hidden="1" customWidth="1"/>
    <col min="15111" max="15111" width="11.28515625" style="1" hidden="1" customWidth="1"/>
    <col min="15112" max="15112" width="11.42578125" style="1" hidden="1" customWidth="1"/>
    <col min="15113" max="15113" width="10.42578125" style="1" hidden="1" customWidth="1"/>
    <col min="15114" max="15114" width="11.28515625" style="1" hidden="1" customWidth="1"/>
    <col min="15115" max="15115" width="11.42578125" style="1" hidden="1" customWidth="1"/>
    <col min="15116" max="15116" width="10.7109375" style="1" hidden="1" customWidth="1"/>
    <col min="15117" max="15117" width="10.28515625" style="1" hidden="1" customWidth="1"/>
    <col min="15118" max="15118" width="11.5703125" style="1" hidden="1" customWidth="1"/>
    <col min="15119" max="15120" width="11.42578125" style="1" hidden="1" customWidth="1"/>
    <col min="15121" max="15121" width="10.85546875" style="1" hidden="1" customWidth="1"/>
    <col min="15122" max="15122" width="8.7109375" style="1" hidden="1" customWidth="1"/>
    <col min="15123" max="15123" width="6.28515625" style="1" hidden="1" customWidth="1"/>
    <col min="15124" max="15124" width="4" style="1" hidden="1" customWidth="1"/>
    <col min="15125" max="15125" width="8.7109375" style="1" hidden="1" customWidth="1"/>
    <col min="15126" max="15126" width="13.7109375" style="1" hidden="1" customWidth="1"/>
    <col min="15127" max="15127" width="20.7109375" style="1" hidden="1" customWidth="1"/>
    <col min="15128" max="15128" width="9.42578125" style="1" hidden="1" customWidth="1"/>
    <col min="15129" max="15129" width="3.28515625" style="1" hidden="1" customWidth="1"/>
    <col min="15130" max="15353" width="0" style="1" hidden="1"/>
    <col min="15354" max="15355" width="3.28515625" style="1" hidden="1" customWidth="1"/>
    <col min="15356" max="15356" width="30.7109375" style="1" hidden="1" customWidth="1"/>
    <col min="15357" max="15357" width="2.7109375" style="1" hidden="1" customWidth="1"/>
    <col min="15358" max="15358" width="12.85546875" style="1" hidden="1" customWidth="1"/>
    <col min="15359" max="15360" width="9.5703125" style="1" hidden="1" customWidth="1"/>
    <col min="15361" max="15361" width="7.42578125" style="1" hidden="1" customWidth="1"/>
    <col min="15362" max="15362" width="11.140625" style="1" hidden="1" customWidth="1"/>
    <col min="15363" max="15363" width="11.28515625" style="1" hidden="1" customWidth="1"/>
    <col min="15364" max="15364" width="11.7109375" style="1" hidden="1" customWidth="1"/>
    <col min="15365" max="15365" width="11.28515625" style="1" hidden="1" customWidth="1"/>
    <col min="15366" max="15366" width="10.7109375" style="1" hidden="1" customWidth="1"/>
    <col min="15367" max="15367" width="11.28515625" style="1" hidden="1" customWidth="1"/>
    <col min="15368" max="15368" width="11.42578125" style="1" hidden="1" customWidth="1"/>
    <col min="15369" max="15369" width="10.42578125" style="1" hidden="1" customWidth="1"/>
    <col min="15370" max="15370" width="11.28515625" style="1" hidden="1" customWidth="1"/>
    <col min="15371" max="15371" width="11.42578125" style="1" hidden="1" customWidth="1"/>
    <col min="15372" max="15372" width="10.7109375" style="1" hidden="1" customWidth="1"/>
    <col min="15373" max="15373" width="10.28515625" style="1" hidden="1" customWidth="1"/>
    <col min="15374" max="15374" width="11.5703125" style="1" hidden="1" customWidth="1"/>
    <col min="15375" max="15376" width="11.42578125" style="1" hidden="1" customWidth="1"/>
    <col min="15377" max="15377" width="10.85546875" style="1" hidden="1" customWidth="1"/>
    <col min="15378" max="15378" width="8.7109375" style="1" hidden="1" customWidth="1"/>
    <col min="15379" max="15379" width="6.28515625" style="1" hidden="1" customWidth="1"/>
    <col min="15380" max="15380" width="4" style="1" hidden="1" customWidth="1"/>
    <col min="15381" max="15381" width="8.7109375" style="1" hidden="1" customWidth="1"/>
    <col min="15382" max="15382" width="13.7109375" style="1" hidden="1" customWidth="1"/>
    <col min="15383" max="15383" width="20.7109375" style="1" hidden="1" customWidth="1"/>
    <col min="15384" max="15384" width="9.42578125" style="1" hidden="1" customWidth="1"/>
    <col min="15385" max="15385" width="3.28515625" style="1" hidden="1" customWidth="1"/>
    <col min="15386" max="15609" width="0" style="1" hidden="1"/>
    <col min="15610" max="15611" width="3.28515625" style="1" hidden="1" customWidth="1"/>
    <col min="15612" max="15612" width="30.7109375" style="1" hidden="1" customWidth="1"/>
    <col min="15613" max="15613" width="2.7109375" style="1" hidden="1" customWidth="1"/>
    <col min="15614" max="15614" width="12.85546875" style="1" hidden="1" customWidth="1"/>
    <col min="15615" max="15616" width="9.5703125" style="1" hidden="1" customWidth="1"/>
    <col min="15617" max="15617" width="7.42578125" style="1" hidden="1" customWidth="1"/>
    <col min="15618" max="15618" width="11.140625" style="1" hidden="1" customWidth="1"/>
    <col min="15619" max="15619" width="11.28515625" style="1" hidden="1" customWidth="1"/>
    <col min="15620" max="15620" width="11.7109375" style="1" hidden="1" customWidth="1"/>
    <col min="15621" max="15621" width="11.28515625" style="1" hidden="1" customWidth="1"/>
    <col min="15622" max="15622" width="10.7109375" style="1" hidden="1" customWidth="1"/>
    <col min="15623" max="15623" width="11.28515625" style="1" hidden="1" customWidth="1"/>
    <col min="15624" max="15624" width="11.42578125" style="1" hidden="1" customWidth="1"/>
    <col min="15625" max="15625" width="10.42578125" style="1" hidden="1" customWidth="1"/>
    <col min="15626" max="15626" width="11.28515625" style="1" hidden="1" customWidth="1"/>
    <col min="15627" max="15627" width="11.42578125" style="1" hidden="1" customWidth="1"/>
    <col min="15628" max="15628" width="10.7109375" style="1" hidden="1" customWidth="1"/>
    <col min="15629" max="15629" width="10.28515625" style="1" hidden="1" customWidth="1"/>
    <col min="15630" max="15630" width="11.5703125" style="1" hidden="1" customWidth="1"/>
    <col min="15631" max="15632" width="11.42578125" style="1" hidden="1" customWidth="1"/>
    <col min="15633" max="15633" width="10.85546875" style="1" hidden="1" customWidth="1"/>
    <col min="15634" max="15634" width="8.7109375" style="1" hidden="1" customWidth="1"/>
    <col min="15635" max="15635" width="6.28515625" style="1" hidden="1" customWidth="1"/>
    <col min="15636" max="15636" width="4" style="1" hidden="1" customWidth="1"/>
    <col min="15637" max="15637" width="8.7109375" style="1" hidden="1" customWidth="1"/>
    <col min="15638" max="15638" width="13.7109375" style="1" hidden="1" customWidth="1"/>
    <col min="15639" max="15639" width="20.7109375" style="1" hidden="1" customWidth="1"/>
    <col min="15640" max="15640" width="9.42578125" style="1" hidden="1" customWidth="1"/>
    <col min="15641" max="15641" width="3.28515625" style="1" hidden="1" customWidth="1"/>
    <col min="15642" max="15865" width="0" style="1" hidden="1"/>
    <col min="15866" max="15867" width="3.28515625" style="1" hidden="1" customWidth="1"/>
    <col min="15868" max="15868" width="30.7109375" style="1" hidden="1" customWidth="1"/>
    <col min="15869" max="15869" width="2.7109375" style="1" hidden="1" customWidth="1"/>
    <col min="15870" max="15870" width="12.85546875" style="1" hidden="1" customWidth="1"/>
    <col min="15871" max="15872" width="9.5703125" style="1" hidden="1" customWidth="1"/>
    <col min="15873" max="15873" width="7.42578125" style="1" hidden="1" customWidth="1"/>
    <col min="15874" max="15874" width="11.140625" style="1" hidden="1" customWidth="1"/>
    <col min="15875" max="15875" width="11.28515625" style="1" hidden="1" customWidth="1"/>
    <col min="15876" max="15876" width="11.7109375" style="1" hidden="1" customWidth="1"/>
    <col min="15877" max="15877" width="11.28515625" style="1" hidden="1" customWidth="1"/>
    <col min="15878" max="15878" width="10.7109375" style="1" hidden="1" customWidth="1"/>
    <col min="15879" max="15879" width="11.28515625" style="1" hidden="1" customWidth="1"/>
    <col min="15880" max="15880" width="11.42578125" style="1" hidden="1" customWidth="1"/>
    <col min="15881" max="15881" width="10.42578125" style="1" hidden="1" customWidth="1"/>
    <col min="15882" max="15882" width="11.28515625" style="1" hidden="1" customWidth="1"/>
    <col min="15883" max="15883" width="11.42578125" style="1" hidden="1" customWidth="1"/>
    <col min="15884" max="15884" width="10.7109375" style="1" hidden="1" customWidth="1"/>
    <col min="15885" max="15885" width="10.28515625" style="1" hidden="1" customWidth="1"/>
    <col min="15886" max="15886" width="11.5703125" style="1" hidden="1" customWidth="1"/>
    <col min="15887" max="15888" width="11.42578125" style="1" hidden="1" customWidth="1"/>
    <col min="15889" max="15889" width="10.85546875" style="1" hidden="1" customWidth="1"/>
    <col min="15890" max="15890" width="8.7109375" style="1" hidden="1" customWidth="1"/>
    <col min="15891" max="15891" width="6.28515625" style="1" hidden="1" customWidth="1"/>
    <col min="15892" max="15892" width="4" style="1" hidden="1" customWidth="1"/>
    <col min="15893" max="15893" width="8.7109375" style="1" hidden="1" customWidth="1"/>
    <col min="15894" max="15894" width="13.7109375" style="1" hidden="1" customWidth="1"/>
    <col min="15895" max="15895" width="20.7109375" style="1" hidden="1" customWidth="1"/>
    <col min="15896" max="15896" width="9.42578125" style="1" hidden="1" customWidth="1"/>
    <col min="15897" max="15897" width="3.28515625" style="1" hidden="1" customWidth="1"/>
    <col min="15898" max="16121" width="0" style="1" hidden="1"/>
    <col min="16122" max="16123" width="3.28515625" style="1" hidden="1" customWidth="1"/>
    <col min="16124" max="16124" width="30.7109375" style="1" hidden="1" customWidth="1"/>
    <col min="16125" max="16125" width="2.7109375" style="1" hidden="1" customWidth="1"/>
    <col min="16126" max="16126" width="12.85546875" style="1" hidden="1" customWidth="1"/>
    <col min="16127" max="16128" width="9.5703125" style="1" hidden="1" customWidth="1"/>
    <col min="16129" max="16129" width="7.42578125" style="1" hidden="1" customWidth="1"/>
    <col min="16130" max="16130" width="11.140625" style="1" hidden="1" customWidth="1"/>
    <col min="16131" max="16131" width="11.28515625" style="1" hidden="1" customWidth="1"/>
    <col min="16132" max="16132" width="11.7109375" style="1" hidden="1" customWidth="1"/>
    <col min="16133" max="16133" width="11.28515625" style="1" hidden="1" customWidth="1"/>
    <col min="16134" max="16134" width="10.7109375" style="1" hidden="1" customWidth="1"/>
    <col min="16135" max="16135" width="11.28515625" style="1" hidden="1" customWidth="1"/>
    <col min="16136" max="16136" width="11.42578125" style="1" hidden="1" customWidth="1"/>
    <col min="16137" max="16137" width="10.42578125" style="1" hidden="1" customWidth="1"/>
    <col min="16138" max="16138" width="11.28515625" style="1" hidden="1" customWidth="1"/>
    <col min="16139" max="16139" width="11.42578125" style="1" hidden="1" customWidth="1"/>
    <col min="16140" max="16140" width="10.7109375" style="1" hidden="1" customWidth="1"/>
    <col min="16141" max="16141" width="10.28515625" style="1" hidden="1" customWidth="1"/>
    <col min="16142" max="16142" width="11.5703125" style="1" hidden="1" customWidth="1"/>
    <col min="16143" max="16144" width="11.42578125" style="1" hidden="1" customWidth="1"/>
    <col min="16145" max="16145" width="10.85546875" style="1" hidden="1" customWidth="1"/>
    <col min="16146" max="16146" width="8.7109375" style="1" hidden="1" customWidth="1"/>
    <col min="16147" max="16147" width="6.28515625" style="1" hidden="1" customWidth="1"/>
    <col min="16148" max="16148" width="4" style="1" hidden="1" customWidth="1"/>
    <col min="16149" max="16149" width="8.7109375" style="1" hidden="1" customWidth="1"/>
    <col min="16150" max="16150" width="13.7109375" style="1" hidden="1" customWidth="1"/>
    <col min="16151" max="16151" width="20.7109375" style="1" hidden="1" customWidth="1"/>
    <col min="16152" max="16152" width="9.42578125" style="1" hidden="1" customWidth="1"/>
    <col min="16153" max="16153" width="3.28515625" style="1" hidden="1" customWidth="1"/>
    <col min="16154" max="16155" width="3.28515625" style="1" hidden="1"/>
    <col min="16156" max="16384" width="0" style="1" hidden="1"/>
  </cols>
  <sheetData>
    <row r="1" spans="1:25" ht="15.75" customHeight="1">
      <c r="A1" s="5"/>
      <c r="B1" s="5"/>
      <c r="C1" s="107">
        <f ca="1">NOW()</f>
        <v>41756.581124537035</v>
      </c>
      <c r="D1" s="3137"/>
      <c r="E1" s="3137"/>
      <c r="F1" s="3137"/>
      <c r="G1" s="3137"/>
      <c r="H1" s="3137"/>
      <c r="I1" s="3137"/>
      <c r="J1" s="3137"/>
      <c r="K1" s="3137"/>
      <c r="L1" s="3137"/>
      <c r="M1" s="3137"/>
      <c r="N1" s="21" t="s">
        <v>43</v>
      </c>
      <c r="O1" s="1134" t="s">
        <v>1579</v>
      </c>
      <c r="P1" s="6"/>
      <c r="Q1" s="23"/>
      <c r="R1" s="23"/>
      <c r="S1" s="23"/>
      <c r="T1" s="23"/>
      <c r="U1" s="5"/>
      <c r="V1" s="5"/>
      <c r="W1" s="5"/>
      <c r="X1" s="5"/>
      <c r="Y1" s="5"/>
    </row>
    <row r="2" spans="1:25" ht="11.1" customHeight="1">
      <c r="A2" s="5"/>
      <c r="B2" s="5"/>
      <c r="C2" s="77" t="s">
        <v>1510</v>
      </c>
      <c r="D2" s="3137"/>
      <c r="E2" s="3137"/>
      <c r="F2" s="3137"/>
      <c r="G2" s="3137"/>
      <c r="H2" s="3137"/>
      <c r="I2" s="3137"/>
      <c r="J2" s="3137"/>
      <c r="K2" s="3137"/>
      <c r="L2" s="3137"/>
      <c r="M2" s="3137"/>
      <c r="N2" s="24"/>
      <c r="O2" s="14"/>
      <c r="P2" s="15"/>
      <c r="Q2" s="16"/>
      <c r="R2" s="25"/>
      <c r="S2" s="26"/>
      <c r="T2" s="16"/>
      <c r="U2" s="17"/>
      <c r="V2" s="17"/>
      <c r="W2" s="17"/>
      <c r="X2" s="17"/>
      <c r="Y2" s="5"/>
    </row>
    <row r="3" spans="1:25" ht="12" customHeight="1">
      <c r="A3" s="5"/>
      <c r="B3" s="5"/>
      <c r="C3" s="77" t="s">
        <v>44</v>
      </c>
      <c r="D3" s="3137"/>
      <c r="E3" s="3137"/>
      <c r="F3" s="3137"/>
      <c r="G3" s="3137"/>
      <c r="H3" s="3137"/>
      <c r="I3" s="3137"/>
      <c r="J3" s="3137"/>
      <c r="K3" s="3137"/>
      <c r="L3" s="3137"/>
      <c r="M3" s="3137"/>
      <c r="N3" s="122" t="s">
        <v>850</v>
      </c>
      <c r="O3" s="18"/>
      <c r="P3" s="15"/>
      <c r="Q3" s="18"/>
      <c r="R3" s="18"/>
      <c r="S3" s="27"/>
      <c r="T3" s="18"/>
      <c r="U3" s="17"/>
      <c r="V3" s="17"/>
      <c r="W3" s="17"/>
      <c r="X3" s="17"/>
      <c r="Y3" s="5"/>
    </row>
    <row r="4" spans="1:25" ht="11.1" customHeight="1">
      <c r="A4" s="3121" t="s">
        <v>635</v>
      </c>
      <c r="B4" s="3122"/>
      <c r="C4" s="108" t="s">
        <v>814</v>
      </c>
      <c r="D4" s="3137"/>
      <c r="E4" s="3137"/>
      <c r="F4" s="3137"/>
      <c r="G4" s="3137"/>
      <c r="H4" s="3137"/>
      <c r="I4" s="3137"/>
      <c r="J4" s="3137"/>
      <c r="K4" s="3137"/>
      <c r="L4" s="3137"/>
      <c r="M4" s="3137"/>
      <c r="N4" s="122" t="s">
        <v>851</v>
      </c>
      <c r="O4" s="19"/>
      <c r="P4" s="15"/>
      <c r="Q4" s="19"/>
      <c r="R4" s="84" t="s">
        <v>935</v>
      </c>
      <c r="S4" s="28"/>
      <c r="T4" s="19"/>
      <c r="U4" s="17"/>
      <c r="V4" s="17"/>
      <c r="W4" s="120" t="s">
        <v>843</v>
      </c>
      <c r="X4" s="17"/>
      <c r="Y4" s="5"/>
    </row>
    <row r="5" spans="1:25" ht="11.1" customHeight="1">
      <c r="A5" s="3122"/>
      <c r="B5" s="3122"/>
      <c r="C5" s="109" t="s">
        <v>813</v>
      </c>
      <c r="D5" s="3137"/>
      <c r="E5" s="3137"/>
      <c r="F5" s="3137"/>
      <c r="G5" s="3137"/>
      <c r="H5" s="3137"/>
      <c r="I5" s="3137"/>
      <c r="J5" s="3137"/>
      <c r="K5" s="3137"/>
      <c r="L5" s="3137"/>
      <c r="M5" s="3137"/>
      <c r="N5" s="123" t="s">
        <v>1520</v>
      </c>
      <c r="O5" s="29"/>
      <c r="P5" s="29"/>
      <c r="Q5" s="29"/>
      <c r="R5" s="121" t="s">
        <v>1384</v>
      </c>
      <c r="S5" s="29"/>
      <c r="T5" s="29"/>
      <c r="U5" s="29"/>
      <c r="V5" s="29"/>
      <c r="W5" s="121" t="s">
        <v>844</v>
      </c>
      <c r="X5" s="29"/>
      <c r="Y5" s="5"/>
    </row>
    <row r="6" spans="1:25" ht="11.1" customHeight="1">
      <c r="A6" s="5"/>
      <c r="B6" s="5"/>
      <c r="C6" s="1064"/>
      <c r="D6" s="3137"/>
      <c r="E6" s="3137"/>
      <c r="F6" s="3137"/>
      <c r="G6" s="3137"/>
      <c r="H6" s="3137"/>
      <c r="I6" s="3137"/>
      <c r="J6" s="3137"/>
      <c r="K6" s="3137"/>
      <c r="L6" s="3137"/>
      <c r="M6" s="3137"/>
      <c r="N6" s="30"/>
      <c r="O6" s="31"/>
      <c r="P6" s="32"/>
      <c r="Q6" s="31"/>
      <c r="R6" s="31"/>
      <c r="S6" s="31"/>
      <c r="T6" s="31"/>
      <c r="U6" s="5"/>
      <c r="V6" s="5"/>
      <c r="W6" s="5"/>
      <c r="X6" s="313">
        <f ca="1">NOW()</f>
        <v>41756.581124537035</v>
      </c>
      <c r="Y6" s="5"/>
    </row>
    <row r="7" spans="1:25" ht="11.1" customHeight="1" thickBot="1">
      <c r="A7" s="5"/>
      <c r="B7" s="5"/>
      <c r="C7" s="1065" t="s">
        <v>1521</v>
      </c>
      <c r="D7" s="111"/>
      <c r="E7" s="110"/>
      <c r="F7" s="111"/>
      <c r="G7" s="33"/>
      <c r="H7" s="33"/>
      <c r="I7" s="34"/>
      <c r="J7" s="23"/>
      <c r="K7" s="35"/>
      <c r="L7" s="34"/>
      <c r="M7" s="36"/>
      <c r="N7" s="35"/>
      <c r="O7" s="23"/>
      <c r="P7" s="6"/>
      <c r="Q7" s="23"/>
      <c r="R7" s="23"/>
      <c r="S7" s="23"/>
      <c r="T7" s="23"/>
      <c r="U7" s="5"/>
      <c r="V7" s="5"/>
      <c r="W7" s="5"/>
      <c r="X7" s="5"/>
      <c r="Y7" s="5"/>
    </row>
    <row r="8" spans="1:25" ht="11.1" customHeight="1" thickTop="1">
      <c r="A8" s="5"/>
      <c r="B8" s="37"/>
      <c r="C8" s="38" t="s">
        <v>45</v>
      </c>
      <c r="D8" s="1052"/>
      <c r="E8" s="39" t="s">
        <v>46</v>
      </c>
      <c r="F8" s="40" t="s">
        <v>24</v>
      </c>
      <c r="G8" s="3123" t="s">
        <v>47</v>
      </c>
      <c r="H8" s="3123" t="s">
        <v>48</v>
      </c>
      <c r="I8" s="114" t="s">
        <v>772</v>
      </c>
      <c r="J8" s="114" t="s">
        <v>1562</v>
      </c>
      <c r="K8" s="1207" t="s">
        <v>1572</v>
      </c>
      <c r="L8" s="114" t="s">
        <v>26</v>
      </c>
      <c r="M8" s="1066" t="s">
        <v>49</v>
      </c>
      <c r="N8" s="114" t="s">
        <v>50</v>
      </c>
      <c r="O8" s="114" t="s">
        <v>817</v>
      </c>
      <c r="P8" s="114" t="s">
        <v>51</v>
      </c>
      <c r="Q8" s="114" t="s">
        <v>773</v>
      </c>
      <c r="R8" s="3126" t="s">
        <v>52</v>
      </c>
      <c r="S8" s="3129" t="s">
        <v>53</v>
      </c>
      <c r="T8" s="3130"/>
      <c r="U8" s="3134" t="s">
        <v>54</v>
      </c>
      <c r="V8" s="3135" t="s">
        <v>55</v>
      </c>
      <c r="W8" s="3135" t="s">
        <v>56</v>
      </c>
      <c r="X8" s="3131" t="s">
        <v>1365</v>
      </c>
      <c r="Y8" s="41"/>
    </row>
    <row r="9" spans="1:25" ht="11.1" customHeight="1">
      <c r="A9" s="5"/>
      <c r="B9" s="42"/>
      <c r="C9" s="43" t="s">
        <v>57</v>
      </c>
      <c r="D9" s="1042"/>
      <c r="E9" s="44">
        <f>(MIN(E$36:E$65)*8)/E12</f>
        <v>4.2437739560870389</v>
      </c>
      <c r="F9" s="1067" t="s">
        <v>1367</v>
      </c>
      <c r="G9" s="3142"/>
      <c r="H9" s="3142"/>
      <c r="I9" s="1038">
        <f>(MIN(I$36:I$65)*8)/I12</f>
        <v>1.6653593883276925</v>
      </c>
      <c r="J9" s="1068">
        <f>(MIN(J$16:J$426)*8)/J12</f>
        <v>4.6309969376834479</v>
      </c>
      <c r="K9" s="1038">
        <f>(MIN(K$16:K$426)*8)/K12</f>
        <v>5.946560829173376</v>
      </c>
      <c r="L9" s="1068">
        <f t="shared" ref="L9:Q9" si="0">(MIN(L$36:L$65)*8)/L12</f>
        <v>2.834891517390647</v>
      </c>
      <c r="M9" s="1068">
        <f t="shared" si="0"/>
        <v>7.5846206491453119</v>
      </c>
      <c r="N9" s="1068">
        <f t="shared" si="0"/>
        <v>7.5289098893170436</v>
      </c>
      <c r="O9" s="1068">
        <f t="shared" si="0"/>
        <v>3.5448480470520378</v>
      </c>
      <c r="P9" s="1068">
        <f t="shared" si="0"/>
        <v>1.2131657143606851</v>
      </c>
      <c r="Q9" s="1069">
        <f t="shared" si="0"/>
        <v>1.2138837039999999</v>
      </c>
      <c r="R9" s="3143"/>
      <c r="S9" s="1070"/>
      <c r="T9" s="1070"/>
      <c r="U9" s="3143"/>
      <c r="V9" s="3143"/>
      <c r="W9" s="3143"/>
      <c r="X9" s="3146"/>
      <c r="Y9" s="41"/>
    </row>
    <row r="10" spans="1:25" ht="11.1" customHeight="1">
      <c r="A10" s="5"/>
      <c r="B10" s="42"/>
      <c r="C10" s="43" t="s">
        <v>58</v>
      </c>
      <c r="D10" s="1042"/>
      <c r="E10" s="45">
        <f>(MIN(E$36:E$65))*100/E12/100</f>
        <v>0.53047174451087986</v>
      </c>
      <c r="F10" s="1067" t="s">
        <v>1366</v>
      </c>
      <c r="G10" s="3142"/>
      <c r="H10" s="3142"/>
      <c r="I10" s="1039">
        <f>(MIN(I$36:I$65))*100/I12/100</f>
        <v>0.20816992354096153</v>
      </c>
      <c r="J10" s="1071">
        <f>(MIN(J$16:J$426))*100/J12/100</f>
        <v>0.57887461721043099</v>
      </c>
      <c r="K10" s="1039">
        <f>(MIN(K$16:K$426))*100/K12/100</f>
        <v>0.743320103646672</v>
      </c>
      <c r="L10" s="1071">
        <f t="shared" ref="L10:Q10" si="1">(MIN(L$36:L$65))*100/L12/100</f>
        <v>0.35436143967383088</v>
      </c>
      <c r="M10" s="1071">
        <f t="shared" si="1"/>
        <v>0.94807758114316398</v>
      </c>
      <c r="N10" s="1071">
        <f t="shared" si="1"/>
        <v>0.94111373616463045</v>
      </c>
      <c r="O10" s="1071">
        <f t="shared" si="1"/>
        <v>0.44310600588150473</v>
      </c>
      <c r="P10" s="1071">
        <f t="shared" si="1"/>
        <v>0.15164571429508564</v>
      </c>
      <c r="Q10" s="1071">
        <f t="shared" si="1"/>
        <v>0.15173546299999999</v>
      </c>
      <c r="R10" s="3143"/>
      <c r="S10" s="1072" t="s">
        <v>59</v>
      </c>
      <c r="T10" s="1072" t="s">
        <v>60</v>
      </c>
      <c r="U10" s="3143"/>
      <c r="V10" s="3143"/>
      <c r="W10" s="3143"/>
      <c r="X10" s="3146"/>
      <c r="Y10" s="41"/>
    </row>
    <row r="11" spans="1:25" ht="13.5" hidden="1" customHeight="1">
      <c r="A11" s="5"/>
      <c r="B11" s="42"/>
      <c r="C11" s="43"/>
      <c r="D11" s="1042"/>
      <c r="E11" s="45"/>
      <c r="F11" s="1067"/>
      <c r="G11" s="3142"/>
      <c r="H11" s="3142"/>
      <c r="I11" s="1040">
        <f t="shared" ref="I11:Q11" si="2">MIN(I$13:I$65)</f>
        <v>51377216</v>
      </c>
      <c r="J11" s="1073">
        <f t="shared" si="2"/>
        <v>351192748</v>
      </c>
      <c r="K11" s="1040">
        <f t="shared" si="2"/>
        <v>429516410</v>
      </c>
      <c r="L11" s="1073">
        <f t="shared" si="2"/>
        <v>241176906</v>
      </c>
      <c r="M11" s="1073">
        <f t="shared" si="2"/>
        <v>574632162</v>
      </c>
      <c r="N11" s="1073">
        <f t="shared" si="2"/>
        <v>435967816</v>
      </c>
      <c r="O11" s="1073">
        <f t="shared" si="2"/>
        <v>238312656</v>
      </c>
      <c r="P11" s="1073">
        <f t="shared" si="2"/>
        <v>26674504</v>
      </c>
      <c r="Q11" s="1073">
        <f t="shared" si="2"/>
        <v>137315788</v>
      </c>
      <c r="R11" s="3143"/>
      <c r="S11" s="1072"/>
      <c r="T11" s="1072"/>
      <c r="U11" s="3143"/>
      <c r="V11" s="3143"/>
      <c r="W11" s="3143"/>
      <c r="X11" s="3146"/>
      <c r="Y11" s="41"/>
    </row>
    <row r="12" spans="1:25" ht="11.1" customHeight="1">
      <c r="A12" s="5"/>
      <c r="B12" s="42"/>
      <c r="C12" s="1074" t="s">
        <v>61</v>
      </c>
      <c r="D12" s="1075"/>
      <c r="E12" s="112">
        <f>SUM(I12:Q12)</f>
        <v>5156295185</v>
      </c>
      <c r="F12" s="1024">
        <f>SUM(I12/I$11,J12/J$11,K12/K$11,L12/L$11,M12/M$11,N12/N$11,O12/O$11,P12/P$11,Q12/Q$11)/9*100</f>
        <v>355.79313441834756</v>
      </c>
      <c r="G12" s="3125"/>
      <c r="H12" s="3125"/>
      <c r="I12" s="1041">
        <v>327811342</v>
      </c>
      <c r="J12" s="1041">
        <v>606681892</v>
      </c>
      <c r="K12" s="1041">
        <v>577835051</v>
      </c>
      <c r="L12" s="1041">
        <v>709240453</v>
      </c>
      <c r="M12" s="1041">
        <v>609139052</v>
      </c>
      <c r="N12" s="1041">
        <v>492103406</v>
      </c>
      <c r="O12" s="1041">
        <v>633482445</v>
      </c>
      <c r="P12" s="1076">
        <v>200001544</v>
      </c>
      <c r="Q12" s="1076">
        <v>1000000000</v>
      </c>
      <c r="R12" s="3144"/>
      <c r="S12" s="1077" t="s">
        <v>62</v>
      </c>
      <c r="T12" s="1077" t="s">
        <v>63</v>
      </c>
      <c r="U12" s="3144"/>
      <c r="V12" s="3145"/>
      <c r="W12" s="3144"/>
      <c r="X12" s="3147"/>
      <c r="Y12" s="46"/>
    </row>
    <row r="13" spans="1:25" ht="11.1" customHeight="1">
      <c r="A13" s="5"/>
      <c r="B13" s="231" t="s">
        <v>42</v>
      </c>
      <c r="C13" s="1330" t="s">
        <v>1766</v>
      </c>
      <c r="D13" s="1078" t="s">
        <v>41</v>
      </c>
      <c r="E13" s="1079">
        <f t="shared" ref="E13:E44" si="3">SUM(I13:Q13)</f>
        <v>2520912861</v>
      </c>
      <c r="F13" s="1024">
        <f t="shared" ref="F13:F44" si="4">SUM(I13/I$11,J13/J$11,K13/K$11,L13/L$11,M13/M$11,N13/N$11,O13/O$11,P13/P$11,Q13/Q$11)/9*100</f>
        <v>103.17003105342275</v>
      </c>
      <c r="G13" s="866">
        <f>34415+43103+67745+50793+70906+42011+10905+22341+69131</f>
        <v>411350</v>
      </c>
      <c r="H13" s="1571"/>
      <c r="I13" s="1002">
        <v>62163043</v>
      </c>
      <c r="J13" s="1082">
        <v>352097050</v>
      </c>
      <c r="K13" s="1082">
        <v>434371759</v>
      </c>
      <c r="L13" s="1082">
        <v>245084340</v>
      </c>
      <c r="M13" s="1082">
        <v>574680812</v>
      </c>
      <c r="N13" s="1082">
        <v>449480930</v>
      </c>
      <c r="O13" s="1082">
        <v>238710142</v>
      </c>
      <c r="P13" s="1082">
        <v>27008997</v>
      </c>
      <c r="Q13" s="1082">
        <v>137315788</v>
      </c>
      <c r="R13" s="1083" t="s">
        <v>1525</v>
      </c>
      <c r="S13" s="1098" t="s">
        <v>69</v>
      </c>
      <c r="T13" s="1085">
        <v>1</v>
      </c>
      <c r="U13" s="1099">
        <v>40962</v>
      </c>
      <c r="V13" s="1086" t="s">
        <v>70</v>
      </c>
      <c r="W13" s="1086" t="s">
        <v>887</v>
      </c>
      <c r="X13" s="995">
        <f t="shared" ref="X13:X44" ca="1" si="5">YEARFRAC(U13,X$6)</f>
        <v>2.1777777777777776</v>
      </c>
      <c r="Y13" s="46"/>
    </row>
    <row r="14" spans="1:25" ht="11.1" customHeight="1">
      <c r="A14" s="990">
        <v>2</v>
      </c>
      <c r="B14" s="230" t="s">
        <v>42</v>
      </c>
      <c r="C14" s="1552" t="s">
        <v>1669</v>
      </c>
      <c r="D14" s="1062" t="s">
        <v>41</v>
      </c>
      <c r="E14" s="1192">
        <f t="shared" si="3"/>
        <v>2525585163</v>
      </c>
      <c r="F14" s="1200">
        <f t="shared" si="4"/>
        <v>103.58595663148731</v>
      </c>
      <c r="G14" s="1087"/>
      <c r="H14" s="1088"/>
      <c r="I14" s="1089">
        <v>62488700</v>
      </c>
      <c r="J14" s="1090">
        <v>352087376</v>
      </c>
      <c r="K14" s="1090">
        <v>435735554</v>
      </c>
      <c r="L14" s="1090">
        <v>241977584</v>
      </c>
      <c r="M14" s="1090">
        <f>574856201-59215</f>
        <v>574796986</v>
      </c>
      <c r="N14" s="1090">
        <v>449629451</v>
      </c>
      <c r="O14" s="1090">
        <f>239247102-59215</f>
        <v>239187887</v>
      </c>
      <c r="P14" s="1090">
        <f>27044049-59215</f>
        <v>26984834</v>
      </c>
      <c r="Q14" s="1090">
        <f>142756006-59215</f>
        <v>142696791</v>
      </c>
      <c r="R14" s="1091" t="s">
        <v>1524</v>
      </c>
      <c r="S14" s="1092" t="s">
        <v>69</v>
      </c>
      <c r="T14" s="1093">
        <v>1</v>
      </c>
      <c r="U14" s="1094">
        <v>40197</v>
      </c>
      <c r="V14" s="1095" t="s">
        <v>70</v>
      </c>
      <c r="W14" s="1095" t="s">
        <v>887</v>
      </c>
      <c r="X14" s="1096">
        <f t="shared" ca="1" si="5"/>
        <v>4.2722222222222221</v>
      </c>
      <c r="Y14" s="990">
        <v>2</v>
      </c>
    </row>
    <row r="15" spans="1:25" ht="11.1" customHeight="1">
      <c r="A15" s="990"/>
      <c r="B15" s="1003" t="s">
        <v>42</v>
      </c>
      <c r="C15" s="1548" t="s">
        <v>1682</v>
      </c>
      <c r="D15" s="1078" t="s">
        <v>41</v>
      </c>
      <c r="E15" s="1189">
        <f t="shared" si="3"/>
        <v>2525721560</v>
      </c>
      <c r="F15" s="1200">
        <f t="shared" si="4"/>
        <v>103.66548358173451</v>
      </c>
      <c r="G15" s="866">
        <f>6494+31007+56605+69899+44590+20650+13065+64401+49176</f>
        <v>355887</v>
      </c>
      <c r="H15" s="1097"/>
      <c r="I15" s="1009">
        <v>62488700</v>
      </c>
      <c r="J15" s="1106">
        <v>352087524</v>
      </c>
      <c r="K15" s="1106">
        <v>435735554</v>
      </c>
      <c r="L15" s="1082">
        <v>241977584</v>
      </c>
      <c r="M15" s="1106">
        <v>574796450</v>
      </c>
      <c r="N15" s="1106">
        <v>449629451</v>
      </c>
      <c r="O15" s="1082">
        <v>239134896</v>
      </c>
      <c r="P15" s="1106">
        <v>27183409</v>
      </c>
      <c r="Q15" s="1106">
        <v>142687992</v>
      </c>
      <c r="R15" s="1083" t="s">
        <v>1524</v>
      </c>
      <c r="S15" s="1098" t="s">
        <v>69</v>
      </c>
      <c r="T15" s="1085">
        <v>1</v>
      </c>
      <c r="U15" s="1099">
        <v>40294</v>
      </c>
      <c r="V15" s="1086" t="s">
        <v>70</v>
      </c>
      <c r="W15" s="1086" t="s">
        <v>887</v>
      </c>
      <c r="X15" s="995">
        <f t="shared" ca="1" si="5"/>
        <v>4.0027777777777782</v>
      </c>
      <c r="Y15" s="990"/>
    </row>
    <row r="16" spans="1:25" ht="11.1" customHeight="1">
      <c r="A16" s="990">
        <v>4</v>
      </c>
      <c r="B16" s="232" t="s">
        <v>42</v>
      </c>
      <c r="C16" s="1552" t="s">
        <v>1681</v>
      </c>
      <c r="D16" s="1062" t="s">
        <v>41</v>
      </c>
      <c r="E16" s="1192">
        <f t="shared" si="3"/>
        <v>2525729162</v>
      </c>
      <c r="F16" s="1200">
        <f t="shared" si="4"/>
        <v>103.66909343906731</v>
      </c>
      <c r="G16" s="1087"/>
      <c r="H16" s="1088"/>
      <c r="I16" s="1089">
        <v>62488115</v>
      </c>
      <c r="J16" s="1090">
        <v>352087130</v>
      </c>
      <c r="K16" s="1090">
        <v>435730955</v>
      </c>
      <c r="L16" s="1090">
        <v>241977585</v>
      </c>
      <c r="M16" s="1090">
        <v>574796721</v>
      </c>
      <c r="N16" s="1090">
        <v>449630228</v>
      </c>
      <c r="O16" s="1090">
        <v>239135085</v>
      </c>
      <c r="P16" s="1090">
        <v>27191953</v>
      </c>
      <c r="Q16" s="1090">
        <v>142691390</v>
      </c>
      <c r="R16" s="1091" t="s">
        <v>1524</v>
      </c>
      <c r="S16" s="1092" t="s">
        <v>69</v>
      </c>
      <c r="T16" s="1093">
        <v>1</v>
      </c>
      <c r="U16" s="1094">
        <v>40133</v>
      </c>
      <c r="V16" s="1095" t="s">
        <v>70</v>
      </c>
      <c r="W16" s="1095" t="s">
        <v>887</v>
      </c>
      <c r="X16" s="1096">
        <f t="shared" ca="1" si="5"/>
        <v>4.447222222222222</v>
      </c>
      <c r="Y16" s="990">
        <v>4</v>
      </c>
    </row>
    <row r="17" spans="1:25" ht="11.1" customHeight="1">
      <c r="A17" s="990"/>
      <c r="B17" s="1003" t="s">
        <v>42</v>
      </c>
      <c r="C17" s="1548" t="s">
        <v>1683</v>
      </c>
      <c r="D17" s="1078" t="s">
        <v>41</v>
      </c>
      <c r="E17" s="1189">
        <f t="shared" si="3"/>
        <v>2523957789</v>
      </c>
      <c r="F17" s="1200">
        <f t="shared" si="4"/>
        <v>103.73340839666258</v>
      </c>
      <c r="G17" s="866">
        <f>45522+27103+70044+55971+90806+56824+14142+19406+125435</f>
        <v>505253</v>
      </c>
      <c r="H17" s="1105"/>
      <c r="I17" s="1002">
        <v>62548005</v>
      </c>
      <c r="J17" s="1082">
        <v>351871824</v>
      </c>
      <c r="K17" s="1082">
        <v>434677908</v>
      </c>
      <c r="L17" s="1082">
        <v>244334038</v>
      </c>
      <c r="M17" s="1082">
        <v>575420346</v>
      </c>
      <c r="N17" s="1082">
        <v>449533831</v>
      </c>
      <c r="O17" s="1082">
        <v>238312656</v>
      </c>
      <c r="P17" s="1082">
        <v>27841287</v>
      </c>
      <c r="Q17" s="1082">
        <v>139417894</v>
      </c>
      <c r="R17" s="1083" t="s">
        <v>1525</v>
      </c>
      <c r="S17" s="1098" t="s">
        <v>69</v>
      </c>
      <c r="T17" s="1085">
        <v>1</v>
      </c>
      <c r="U17" s="1099">
        <v>41018</v>
      </c>
      <c r="V17" s="1086" t="s">
        <v>529</v>
      </c>
      <c r="W17" s="1086" t="s">
        <v>887</v>
      </c>
      <c r="X17" s="995">
        <f t="shared" ca="1" si="5"/>
        <v>2.0222222222222221</v>
      </c>
      <c r="Y17" s="990"/>
    </row>
    <row r="18" spans="1:25" ht="11.1" customHeight="1">
      <c r="A18" s="990">
        <v>6</v>
      </c>
      <c r="B18" s="230" t="s">
        <v>42</v>
      </c>
      <c r="C18" s="1552" t="s">
        <v>1684</v>
      </c>
      <c r="D18" s="1062" t="s">
        <v>41</v>
      </c>
      <c r="E18" s="1192">
        <f t="shared" si="3"/>
        <v>2527696408</v>
      </c>
      <c r="F18" s="1200">
        <f t="shared" si="4"/>
        <v>103.77498569659855</v>
      </c>
      <c r="G18" s="1198">
        <f>10479+31807+66712+78170+76387+32315+22538+66319+36253</f>
        <v>420980</v>
      </c>
      <c r="H18" s="1103"/>
      <c r="I18" s="1089">
        <v>62909147</v>
      </c>
      <c r="J18" s="1102">
        <v>352161197</v>
      </c>
      <c r="K18" s="1090">
        <v>435202259</v>
      </c>
      <c r="L18" s="1090">
        <v>246695368</v>
      </c>
      <c r="M18" s="1090">
        <v>574836562</v>
      </c>
      <c r="N18" s="1090">
        <v>449630228</v>
      </c>
      <c r="O18" s="1090">
        <v>239023297</v>
      </c>
      <c r="P18" s="1090">
        <v>27273252</v>
      </c>
      <c r="Q18" s="1090">
        <v>139965098</v>
      </c>
      <c r="R18" s="1091" t="s">
        <v>1525</v>
      </c>
      <c r="S18" s="1104" t="s">
        <v>69</v>
      </c>
      <c r="T18" s="1093">
        <v>1</v>
      </c>
      <c r="U18" s="1094">
        <v>40950</v>
      </c>
      <c r="V18" s="1095" t="s">
        <v>70</v>
      </c>
      <c r="W18" s="1095" t="s">
        <v>887</v>
      </c>
      <c r="X18" s="1096">
        <f t="shared" ca="1" si="5"/>
        <v>2.2111111111111112</v>
      </c>
      <c r="Y18" s="990">
        <v>6</v>
      </c>
    </row>
    <row r="19" spans="1:25" ht="11.1" customHeight="1">
      <c r="A19" s="990"/>
      <c r="B19" s="1003" t="s">
        <v>42</v>
      </c>
      <c r="C19" s="1553" t="s">
        <v>1670</v>
      </c>
      <c r="D19" s="1078" t="s">
        <v>41</v>
      </c>
      <c r="E19" s="1193">
        <f t="shared" si="3"/>
        <v>2580319940</v>
      </c>
      <c r="F19" s="1200">
        <f t="shared" si="4"/>
        <v>103.83610481194809</v>
      </c>
      <c r="G19" s="1080"/>
      <c r="H19" s="1081"/>
      <c r="I19" s="1002">
        <v>51377216</v>
      </c>
      <c r="J19" s="1082">
        <v>404620876</v>
      </c>
      <c r="K19" s="1082">
        <v>429516410</v>
      </c>
      <c r="L19" s="1082">
        <v>241416251</v>
      </c>
      <c r="M19" s="1082">
        <v>574673628</v>
      </c>
      <c r="N19" s="1082">
        <v>435967816</v>
      </c>
      <c r="O19" s="1082">
        <v>271519579</v>
      </c>
      <c r="P19" s="1082">
        <v>26674504</v>
      </c>
      <c r="Q19" s="1082">
        <v>144553660</v>
      </c>
      <c r="R19" s="1083" t="s">
        <v>1522</v>
      </c>
      <c r="S19" s="1084" t="s">
        <v>69</v>
      </c>
      <c r="T19" s="1085">
        <v>1</v>
      </c>
      <c r="U19" s="1099">
        <v>39393</v>
      </c>
      <c r="V19" s="1086" t="s">
        <v>70</v>
      </c>
      <c r="W19" s="1086" t="s">
        <v>1523</v>
      </c>
      <c r="X19" s="995">
        <f t="shared" ca="1" si="5"/>
        <v>6.4722222222222223</v>
      </c>
      <c r="Y19" s="990"/>
    </row>
    <row r="20" spans="1:25" ht="11.1" customHeight="1">
      <c r="A20" s="990">
        <v>8</v>
      </c>
      <c r="B20" s="230" t="s">
        <v>42</v>
      </c>
      <c r="C20" s="1570" t="s">
        <v>1780</v>
      </c>
      <c r="D20" s="1062" t="s">
        <v>41</v>
      </c>
      <c r="E20" s="1192">
        <f t="shared" si="3"/>
        <v>2553863103</v>
      </c>
      <c r="F20" s="1200">
        <f t="shared" si="4"/>
        <v>104.19638062045486</v>
      </c>
      <c r="G20" s="1198">
        <f>31711+12182+57326+72121+61082+36899+10366+22423+82490</f>
        <v>386600</v>
      </c>
      <c r="H20" s="1563"/>
      <c r="I20" s="1089">
        <v>62476495</v>
      </c>
      <c r="J20" s="1090">
        <v>373943683</v>
      </c>
      <c r="K20" s="1090">
        <v>434665376</v>
      </c>
      <c r="L20" s="1090">
        <v>245375759</v>
      </c>
      <c r="M20" s="1090">
        <v>576023297</v>
      </c>
      <c r="N20" s="1090">
        <v>458504133</v>
      </c>
      <c r="O20" s="1090">
        <v>238447461</v>
      </c>
      <c r="P20" s="1090">
        <v>26992345</v>
      </c>
      <c r="Q20" s="1090">
        <v>137434554</v>
      </c>
      <c r="R20" s="1091" t="s">
        <v>1525</v>
      </c>
      <c r="S20" s="1104" t="s">
        <v>69</v>
      </c>
      <c r="T20" s="1093">
        <v>1</v>
      </c>
      <c r="U20" s="1094">
        <v>41437</v>
      </c>
      <c r="V20" s="1095" t="s">
        <v>70</v>
      </c>
      <c r="W20" s="1095" t="s">
        <v>887</v>
      </c>
      <c r="X20" s="1096">
        <f t="shared" ca="1" si="5"/>
        <v>0.875</v>
      </c>
      <c r="Y20" s="990">
        <v>8</v>
      </c>
    </row>
    <row r="21" spans="1:25" ht="11.1" customHeight="1">
      <c r="A21" s="990"/>
      <c r="B21" s="1003" t="s">
        <v>42</v>
      </c>
      <c r="C21" s="988" t="s">
        <v>1765</v>
      </c>
      <c r="D21" s="1078" t="s">
        <v>41</v>
      </c>
      <c r="E21" s="1193">
        <f t="shared" si="3"/>
        <v>2543550703</v>
      </c>
      <c r="F21" s="1200">
        <f t="shared" si="4"/>
        <v>105.32000021971177</v>
      </c>
      <c r="G21" s="866">
        <f>4642+27004+8836+9244+9552+7429+7077+2618+13097</f>
        <v>89499</v>
      </c>
      <c r="H21" s="1516"/>
      <c r="I21" s="1002">
        <v>65360422</v>
      </c>
      <c r="J21" s="1082">
        <v>353314689</v>
      </c>
      <c r="K21" s="1082">
        <v>441191611</v>
      </c>
      <c r="L21" s="1082">
        <v>243526188</v>
      </c>
      <c r="M21" s="1082">
        <v>575704909</v>
      </c>
      <c r="N21" s="1082">
        <v>450939510</v>
      </c>
      <c r="O21" s="1082">
        <v>240287717</v>
      </c>
      <c r="P21" s="1082">
        <v>28393179</v>
      </c>
      <c r="Q21" s="1082">
        <v>144832478</v>
      </c>
      <c r="R21" s="1083" t="s">
        <v>1531</v>
      </c>
      <c r="S21" s="1084" t="s">
        <v>69</v>
      </c>
      <c r="T21" s="1085">
        <v>1</v>
      </c>
      <c r="U21" s="1099">
        <v>41042</v>
      </c>
      <c r="V21" s="1086" t="s">
        <v>1532</v>
      </c>
      <c r="W21" s="1086" t="s">
        <v>1636</v>
      </c>
      <c r="X21" s="995">
        <f t="shared" ca="1" si="5"/>
        <v>1.9555555555555555</v>
      </c>
      <c r="Y21" s="990"/>
    </row>
    <row r="22" spans="1:25" ht="11.1" customHeight="1">
      <c r="A22" s="990">
        <v>10</v>
      </c>
      <c r="B22" s="230" t="s">
        <v>42</v>
      </c>
      <c r="C22" s="1560" t="s">
        <v>1764</v>
      </c>
      <c r="D22" s="1062" t="s">
        <v>41</v>
      </c>
      <c r="E22" s="1189">
        <f t="shared" si="3"/>
        <v>2546710025</v>
      </c>
      <c r="F22" s="1200">
        <f t="shared" si="4"/>
        <v>105.72531041506291</v>
      </c>
      <c r="G22" s="1565">
        <f>3790+28502+8011+9313+9018+7200+6618+2394+11487</f>
        <v>86333</v>
      </c>
      <c r="H22" s="1563"/>
      <c r="I22" s="1532">
        <v>66179262</v>
      </c>
      <c r="J22" s="1090">
        <v>353222698</v>
      </c>
      <c r="K22" s="1090">
        <v>441963777</v>
      </c>
      <c r="L22" s="1090">
        <v>243218833</v>
      </c>
      <c r="M22" s="1090">
        <v>575873297</v>
      </c>
      <c r="N22" s="1090">
        <v>450963177</v>
      </c>
      <c r="O22" s="1090">
        <v>240369821</v>
      </c>
      <c r="P22" s="1090">
        <v>28633324</v>
      </c>
      <c r="Q22" s="1090">
        <v>146285836</v>
      </c>
      <c r="R22" s="1091" t="s">
        <v>1531</v>
      </c>
      <c r="S22" s="1104" t="s">
        <v>69</v>
      </c>
      <c r="T22" s="1093">
        <v>1</v>
      </c>
      <c r="U22" s="1094">
        <v>41009</v>
      </c>
      <c r="V22" s="1095" t="s">
        <v>1532</v>
      </c>
      <c r="W22" s="1095" t="s">
        <v>1636</v>
      </c>
      <c r="X22" s="1096">
        <f t="shared" ca="1" si="5"/>
        <v>2.0472222222222221</v>
      </c>
      <c r="Y22" s="990">
        <v>10</v>
      </c>
    </row>
    <row r="23" spans="1:25" ht="11.1" customHeight="1">
      <c r="A23" s="990"/>
      <c r="B23" s="231" t="s">
        <v>42</v>
      </c>
      <c r="C23" s="988" t="s">
        <v>1763</v>
      </c>
      <c r="D23" s="1078" t="s">
        <v>41</v>
      </c>
      <c r="E23" s="1189">
        <f t="shared" si="3"/>
        <v>2550761851</v>
      </c>
      <c r="F23" s="1200">
        <f t="shared" si="4"/>
        <v>106.17274984942502</v>
      </c>
      <c r="G23" s="1561">
        <f>3863+23100+8131+8864+8324+6819+6441+2199+11844</f>
        <v>79585</v>
      </c>
      <c r="H23" s="1562"/>
      <c r="I23" s="1127">
        <v>67213032</v>
      </c>
      <c r="J23" s="1128">
        <v>353305710</v>
      </c>
      <c r="K23" s="1128">
        <v>441952834</v>
      </c>
      <c r="L23" s="1128">
        <v>245325938</v>
      </c>
      <c r="M23" s="1128">
        <v>575926607</v>
      </c>
      <c r="N23" s="1128">
        <v>451279508</v>
      </c>
      <c r="O23" s="1128">
        <v>240294669</v>
      </c>
      <c r="P23" s="1128">
        <v>28856229</v>
      </c>
      <c r="Q23" s="1128">
        <v>146607324</v>
      </c>
      <c r="R23" s="1129" t="s">
        <v>1531</v>
      </c>
      <c r="S23" s="1130" t="s">
        <v>69</v>
      </c>
      <c r="T23" s="1131">
        <v>1</v>
      </c>
      <c r="U23" s="1132">
        <v>40300</v>
      </c>
      <c r="V23" s="1133" t="s">
        <v>1532</v>
      </c>
      <c r="W23" s="1133" t="s">
        <v>1636</v>
      </c>
      <c r="X23" s="1124">
        <f t="shared" ca="1" si="5"/>
        <v>3.9861111111111112</v>
      </c>
      <c r="Y23" s="990"/>
    </row>
    <row r="24" spans="1:25" ht="11.1" customHeight="1">
      <c r="A24" s="990">
        <v>12</v>
      </c>
      <c r="B24" s="232" t="s">
        <v>42</v>
      </c>
      <c r="C24" s="1559" t="s">
        <v>1671</v>
      </c>
      <c r="D24" s="1062" t="s">
        <v>41</v>
      </c>
      <c r="E24" s="1192">
        <f t="shared" si="3"/>
        <v>2614487010</v>
      </c>
      <c r="F24" s="1200">
        <f t="shared" si="4"/>
        <v>106.86840265618267</v>
      </c>
      <c r="G24" s="1198">
        <f>21002+45579+42266+35845+41430+25257+38822+12316+63053</f>
        <v>325570</v>
      </c>
      <c r="H24" s="1103"/>
      <c r="I24" s="1089">
        <v>62299480</v>
      </c>
      <c r="J24" s="1090">
        <v>403261485</v>
      </c>
      <c r="K24" s="1090">
        <v>435695286</v>
      </c>
      <c r="L24" s="1090">
        <v>243036281</v>
      </c>
      <c r="M24" s="1090">
        <v>574632162</v>
      </c>
      <c r="N24" s="1090">
        <v>452179810</v>
      </c>
      <c r="O24" s="1090">
        <v>275908222</v>
      </c>
      <c r="P24" s="1090">
        <v>27167548</v>
      </c>
      <c r="Q24" s="1090">
        <v>140306736</v>
      </c>
      <c r="R24" s="1091" t="s">
        <v>1527</v>
      </c>
      <c r="S24" s="1104" t="s">
        <v>69</v>
      </c>
      <c r="T24" s="1093">
        <v>1</v>
      </c>
      <c r="U24" s="1094">
        <v>39318</v>
      </c>
      <c r="V24" s="1095" t="s">
        <v>70</v>
      </c>
      <c r="W24" s="1095" t="s">
        <v>887</v>
      </c>
      <c r="X24" s="1096">
        <f t="shared" ca="1" si="5"/>
        <v>6.6749999999999998</v>
      </c>
      <c r="Y24" s="990">
        <v>12</v>
      </c>
    </row>
    <row r="25" spans="1:25" ht="11.1" customHeight="1">
      <c r="A25" s="990"/>
      <c r="B25" s="1003" t="s">
        <v>42</v>
      </c>
      <c r="C25" s="202" t="s">
        <v>1760</v>
      </c>
      <c r="D25" s="1078" t="s">
        <v>41</v>
      </c>
      <c r="E25" s="1189">
        <f t="shared" si="3"/>
        <v>2622175957</v>
      </c>
      <c r="F25" s="1200">
        <f t="shared" si="4"/>
        <v>107.12477902247235</v>
      </c>
      <c r="G25" s="866">
        <f>25795+50688+47340+45666+54018+30703+48339+15718+78289</f>
        <v>396556</v>
      </c>
      <c r="H25" s="1081"/>
      <c r="I25" s="1002">
        <v>62316446</v>
      </c>
      <c r="J25" s="1082">
        <v>403261472</v>
      </c>
      <c r="K25" s="1082">
        <v>436288061</v>
      </c>
      <c r="L25" s="1082">
        <v>244479374</v>
      </c>
      <c r="M25" s="1082">
        <v>574660490</v>
      </c>
      <c r="N25" s="1082">
        <v>457717478</v>
      </c>
      <c r="O25" s="1082">
        <v>275908234</v>
      </c>
      <c r="P25" s="1082">
        <v>27237667</v>
      </c>
      <c r="Q25" s="1082">
        <v>140306735</v>
      </c>
      <c r="R25" s="1083" t="s">
        <v>1530</v>
      </c>
      <c r="S25" s="1084" t="s">
        <v>69</v>
      </c>
      <c r="T25" s="1085">
        <v>1</v>
      </c>
      <c r="U25" s="1099">
        <v>39149</v>
      </c>
      <c r="V25" s="1086" t="s">
        <v>70</v>
      </c>
      <c r="W25" s="1086" t="s">
        <v>887</v>
      </c>
      <c r="X25" s="995">
        <f t="shared" ca="1" si="5"/>
        <v>7.1361111111111111</v>
      </c>
      <c r="Y25" s="990"/>
    </row>
    <row r="26" spans="1:25" ht="11.1" customHeight="1">
      <c r="A26" s="990">
        <v>14</v>
      </c>
      <c r="B26" s="232" t="s">
        <v>42</v>
      </c>
      <c r="C26" s="1566" t="s">
        <v>1685</v>
      </c>
      <c r="D26" s="1062" t="s">
        <v>41</v>
      </c>
      <c r="E26" s="1192">
        <f t="shared" si="3"/>
        <v>2615848689</v>
      </c>
      <c r="F26" s="1200">
        <f t="shared" si="4"/>
        <v>107.31707883285904</v>
      </c>
      <c r="G26" s="1087"/>
      <c r="H26" s="1100"/>
      <c r="I26" s="1101">
        <v>63043670</v>
      </c>
      <c r="J26" s="1090">
        <v>404620289</v>
      </c>
      <c r="K26" s="1090">
        <v>436123208</v>
      </c>
      <c r="L26" s="1090">
        <v>242788507</v>
      </c>
      <c r="M26" s="1090">
        <v>574858911</v>
      </c>
      <c r="N26" s="1090">
        <v>450846557</v>
      </c>
      <c r="O26" s="1090">
        <v>271519585</v>
      </c>
      <c r="P26" s="1090">
        <v>27492950</v>
      </c>
      <c r="Q26" s="1102">
        <v>144555012</v>
      </c>
      <c r="R26" s="1091" t="s">
        <v>1526</v>
      </c>
      <c r="S26" s="1104" t="s">
        <v>69</v>
      </c>
      <c r="T26" s="1093">
        <v>1</v>
      </c>
      <c r="U26" s="1094">
        <v>39345</v>
      </c>
      <c r="V26" s="1095" t="s">
        <v>70</v>
      </c>
      <c r="W26" s="1095" t="s">
        <v>887</v>
      </c>
      <c r="X26" s="1096">
        <f t="shared" ca="1" si="5"/>
        <v>6.6027777777777779</v>
      </c>
      <c r="Y26" s="990">
        <v>14</v>
      </c>
    </row>
    <row r="27" spans="1:25" ht="11.1" customHeight="1">
      <c r="A27" s="48"/>
      <c r="B27" s="1003" t="s">
        <v>42</v>
      </c>
      <c r="C27" s="988" t="s">
        <v>1686</v>
      </c>
      <c r="D27" s="1078" t="s">
        <v>41</v>
      </c>
      <c r="E27" s="1189">
        <f t="shared" si="3"/>
        <v>2626496979</v>
      </c>
      <c r="F27" s="1200">
        <f t="shared" si="4"/>
        <v>107.65226728453952</v>
      </c>
      <c r="G27" s="1080"/>
      <c r="H27" s="1081"/>
      <c r="I27" s="1002">
        <v>62612742</v>
      </c>
      <c r="J27" s="1082">
        <v>402044556</v>
      </c>
      <c r="K27" s="1082">
        <v>435636716</v>
      </c>
      <c r="L27" s="1082">
        <v>246403635</v>
      </c>
      <c r="M27" s="1082">
        <v>574798063</v>
      </c>
      <c r="N27" s="1082">
        <v>457665552</v>
      </c>
      <c r="O27" s="1082">
        <v>275178228</v>
      </c>
      <c r="P27" s="1082">
        <v>27504431</v>
      </c>
      <c r="Q27" s="1082">
        <v>144653056</v>
      </c>
      <c r="R27" s="1083" t="s">
        <v>1528</v>
      </c>
      <c r="S27" s="1084" t="s">
        <v>69</v>
      </c>
      <c r="T27" s="1085">
        <v>1</v>
      </c>
      <c r="U27" s="1099">
        <v>39118</v>
      </c>
      <c r="V27" s="1086" t="s">
        <v>70</v>
      </c>
      <c r="W27" s="1086" t="s">
        <v>887</v>
      </c>
      <c r="X27" s="995">
        <f t="shared" ca="1" si="5"/>
        <v>7.2277777777777779</v>
      </c>
      <c r="Y27" s="48"/>
    </row>
    <row r="28" spans="1:25" ht="11.1" customHeight="1">
      <c r="A28" s="48">
        <v>16</v>
      </c>
      <c r="B28" s="232" t="s">
        <v>42</v>
      </c>
      <c r="C28" s="1061" t="s">
        <v>1672</v>
      </c>
      <c r="D28" s="1062" t="s">
        <v>41</v>
      </c>
      <c r="E28" s="1192">
        <f t="shared" si="3"/>
        <v>2630342686</v>
      </c>
      <c r="F28" s="1200">
        <f t="shared" si="4"/>
        <v>107.82659112789079</v>
      </c>
      <c r="G28" s="1087"/>
      <c r="H28" s="1103"/>
      <c r="I28" s="1089">
        <v>62736786</v>
      </c>
      <c r="J28" s="1090">
        <v>402842827</v>
      </c>
      <c r="K28" s="1090">
        <v>436385608</v>
      </c>
      <c r="L28" s="1090">
        <v>246960468</v>
      </c>
      <c r="M28" s="1090">
        <v>574996528</v>
      </c>
      <c r="N28" s="1090">
        <v>458408083</v>
      </c>
      <c r="O28" s="1090">
        <v>275670344</v>
      </c>
      <c r="P28" s="1090">
        <v>27553817</v>
      </c>
      <c r="Q28" s="1090">
        <v>144788225</v>
      </c>
      <c r="R28" s="1091" t="s">
        <v>1529</v>
      </c>
      <c r="S28" s="1104" t="s">
        <v>69</v>
      </c>
      <c r="T28" s="1093">
        <v>1</v>
      </c>
      <c r="U28" s="1094">
        <v>39048</v>
      </c>
      <c r="V28" s="1095" t="s">
        <v>70</v>
      </c>
      <c r="W28" s="1095" t="s">
        <v>887</v>
      </c>
      <c r="X28" s="1096">
        <f t="shared" ca="1" si="5"/>
        <v>7.416666666666667</v>
      </c>
      <c r="Y28" s="48">
        <v>16</v>
      </c>
    </row>
    <row r="29" spans="1:25" ht="11.1" customHeight="1">
      <c r="A29" s="48"/>
      <c r="B29" s="1003" t="s">
        <v>42</v>
      </c>
      <c r="C29" s="47" t="s">
        <v>1768</v>
      </c>
      <c r="D29" s="1078" t="s">
        <v>41</v>
      </c>
      <c r="E29" s="1189">
        <f t="shared" si="3"/>
        <v>2625968023</v>
      </c>
      <c r="F29" s="1200">
        <f t="shared" si="4"/>
        <v>107.89995387352207</v>
      </c>
      <c r="G29" s="866">
        <f>13826+27038+25186+23114+25270+17831+24831+7297+39051</f>
        <v>203444</v>
      </c>
      <c r="H29" s="1081"/>
      <c r="I29" s="1009">
        <v>63957158</v>
      </c>
      <c r="J29" s="1106">
        <v>407213436</v>
      </c>
      <c r="K29" s="1082">
        <v>438444668</v>
      </c>
      <c r="L29" s="1082">
        <v>241176906</v>
      </c>
      <c r="M29" s="1082">
        <v>575627702</v>
      </c>
      <c r="N29" s="1082">
        <v>451248511</v>
      </c>
      <c r="O29" s="1082">
        <v>278587279</v>
      </c>
      <c r="P29" s="1082">
        <v>27945309</v>
      </c>
      <c r="Q29" s="1082">
        <v>141767054</v>
      </c>
      <c r="R29" s="1083" t="s">
        <v>1533</v>
      </c>
      <c r="S29" s="1084" t="s">
        <v>69</v>
      </c>
      <c r="T29" s="1085">
        <v>1</v>
      </c>
      <c r="U29" s="1099">
        <v>39352</v>
      </c>
      <c r="V29" s="1086" t="s">
        <v>70</v>
      </c>
      <c r="W29" s="1086" t="s">
        <v>887</v>
      </c>
      <c r="X29" s="995">
        <f t="shared" ca="1" si="5"/>
        <v>6.583333333333333</v>
      </c>
      <c r="Y29" s="48"/>
    </row>
    <row r="30" spans="1:25" ht="11.1" customHeight="1">
      <c r="A30" s="48">
        <v>18</v>
      </c>
      <c r="B30" s="231" t="s">
        <v>42</v>
      </c>
      <c r="C30" s="1534" t="s">
        <v>1673</v>
      </c>
      <c r="D30" s="1078" t="s">
        <v>41</v>
      </c>
      <c r="E30" s="1189">
        <f t="shared" si="3"/>
        <v>2628238443</v>
      </c>
      <c r="F30" s="1200">
        <f t="shared" si="4"/>
        <v>108.56717341153832</v>
      </c>
      <c r="G30" s="866">
        <f>15109+31844+29172+25144+30929+19927+26317+8771+46300</f>
        <v>233513</v>
      </c>
      <c r="H30" s="1081"/>
      <c r="I30" s="1002">
        <v>68144418</v>
      </c>
      <c r="J30" s="1082">
        <v>403819181</v>
      </c>
      <c r="K30" s="1082">
        <v>437804694</v>
      </c>
      <c r="L30" s="1082">
        <v>244417331</v>
      </c>
      <c r="M30" s="1082">
        <v>575527152</v>
      </c>
      <c r="N30" s="1082">
        <v>458372544</v>
      </c>
      <c r="O30" s="1082">
        <v>271492745</v>
      </c>
      <c r="P30" s="1082">
        <v>27863659</v>
      </c>
      <c r="Q30" s="1082">
        <v>140796719</v>
      </c>
      <c r="R30" s="1083" t="s">
        <v>1534</v>
      </c>
      <c r="S30" s="1084" t="s">
        <v>69</v>
      </c>
      <c r="T30" s="1085">
        <v>1</v>
      </c>
      <c r="U30" s="1099">
        <v>38947</v>
      </c>
      <c r="V30" s="1086" t="s">
        <v>70</v>
      </c>
      <c r="W30" s="1086" t="s">
        <v>887</v>
      </c>
      <c r="X30" s="995">
        <f t="shared" ca="1" si="5"/>
        <v>7.6916666666666664</v>
      </c>
      <c r="Y30" s="48">
        <v>18</v>
      </c>
    </row>
    <row r="31" spans="1:25" ht="11.1" customHeight="1">
      <c r="A31" s="48"/>
      <c r="B31" s="1003" t="s">
        <v>42</v>
      </c>
      <c r="C31" s="1004" t="s">
        <v>1674</v>
      </c>
      <c r="D31" s="1107" t="s">
        <v>41</v>
      </c>
      <c r="E31" s="1194">
        <f t="shared" si="3"/>
        <v>2646886976</v>
      </c>
      <c r="F31" s="1200">
        <f t="shared" si="4"/>
        <v>109.88569395242219</v>
      </c>
      <c r="G31" s="1542">
        <f>9800+21491+20954+18853+22373+14564+20008+6389+32943</f>
        <v>167375</v>
      </c>
      <c r="H31" s="1517"/>
      <c r="I31" s="1005">
        <v>69937141</v>
      </c>
      <c r="J31" s="1108">
        <v>407304190</v>
      </c>
      <c r="K31" s="1108">
        <v>439483700</v>
      </c>
      <c r="L31" s="1108">
        <v>245411357</v>
      </c>
      <c r="M31" s="1108">
        <v>575776561</v>
      </c>
      <c r="N31" s="1108">
        <v>458557527</v>
      </c>
      <c r="O31" s="1108">
        <v>278932740</v>
      </c>
      <c r="P31" s="1108">
        <v>28300005</v>
      </c>
      <c r="Q31" s="1108">
        <v>143183755</v>
      </c>
      <c r="R31" s="1109" t="s">
        <v>1528</v>
      </c>
      <c r="S31" s="1110" t="s">
        <v>69</v>
      </c>
      <c r="T31" s="1111">
        <v>1</v>
      </c>
      <c r="U31" s="1112">
        <v>38763</v>
      </c>
      <c r="V31" s="1113" t="s">
        <v>70</v>
      </c>
      <c r="W31" s="1113" t="s">
        <v>887</v>
      </c>
      <c r="X31" s="1007">
        <f t="shared" ca="1" si="5"/>
        <v>8.1999999999999993</v>
      </c>
      <c r="Y31" s="48"/>
    </row>
    <row r="32" spans="1:25" ht="12" customHeight="1">
      <c r="A32" s="48">
        <v>20</v>
      </c>
      <c r="B32" s="232" t="s">
        <v>42</v>
      </c>
      <c r="C32" s="1535" t="s">
        <v>1687</v>
      </c>
      <c r="D32" s="989" t="s">
        <v>41</v>
      </c>
      <c r="E32" s="1191">
        <f t="shared" si="3"/>
        <v>2747599531</v>
      </c>
      <c r="F32" s="1200">
        <f t="shared" si="4"/>
        <v>113.35146127361055</v>
      </c>
      <c r="G32" s="1513"/>
      <c r="H32" s="1538"/>
      <c r="I32" s="907">
        <v>71954556</v>
      </c>
      <c r="J32" s="1114">
        <v>446866620</v>
      </c>
      <c r="K32" s="1036">
        <v>450629632</v>
      </c>
      <c r="L32" s="1036">
        <v>268150535</v>
      </c>
      <c r="M32" s="1036">
        <v>576716161</v>
      </c>
      <c r="N32" s="1036">
        <v>481241139</v>
      </c>
      <c r="O32" s="1036">
        <v>280875445</v>
      </c>
      <c r="P32" s="1036">
        <v>27646740</v>
      </c>
      <c r="Q32" s="1036">
        <v>143518703</v>
      </c>
      <c r="R32" s="1115" t="s">
        <v>1535</v>
      </c>
      <c r="S32" s="1116" t="s">
        <v>69</v>
      </c>
      <c r="T32" s="1117">
        <v>1</v>
      </c>
      <c r="U32" s="1118">
        <v>39222</v>
      </c>
      <c r="V32" s="1119" t="s">
        <v>70</v>
      </c>
      <c r="W32" s="1119" t="s">
        <v>887</v>
      </c>
      <c r="X32" s="1120">
        <f t="shared" ca="1" si="5"/>
        <v>6.9361111111111109</v>
      </c>
      <c r="Y32" s="48">
        <v>20</v>
      </c>
    </row>
    <row r="33" spans="1:25" ht="12" customHeight="1">
      <c r="A33" s="48"/>
      <c r="B33" s="231" t="s">
        <v>42</v>
      </c>
      <c r="C33" s="202" t="s">
        <v>1688</v>
      </c>
      <c r="D33" s="1121" t="s">
        <v>41</v>
      </c>
      <c r="E33" s="985">
        <f t="shared" si="3"/>
        <v>2727474073</v>
      </c>
      <c r="F33" s="1200">
        <f t="shared" si="4"/>
        <v>113.37303973442303</v>
      </c>
      <c r="G33" s="1510"/>
      <c r="H33" s="1511"/>
      <c r="I33" s="876">
        <v>70448247</v>
      </c>
      <c r="J33" s="1106">
        <v>410709955</v>
      </c>
      <c r="K33" s="1106">
        <v>449528064</v>
      </c>
      <c r="L33" s="1106">
        <v>278798948</v>
      </c>
      <c r="M33" s="1106">
        <v>576035183</v>
      </c>
      <c r="N33" s="1106">
        <v>480418661</v>
      </c>
      <c r="O33" s="1082">
        <v>284282845</v>
      </c>
      <c r="P33" s="1106">
        <v>28874108</v>
      </c>
      <c r="Q33" s="1106">
        <v>148378062</v>
      </c>
      <c r="R33" s="1083" t="s">
        <v>1536</v>
      </c>
      <c r="S33" s="1084" t="s">
        <v>69</v>
      </c>
      <c r="T33" s="1085">
        <v>1</v>
      </c>
      <c r="U33" s="1099">
        <v>38721</v>
      </c>
      <c r="V33" s="1086" t="s">
        <v>1537</v>
      </c>
      <c r="W33" s="1086" t="s">
        <v>887</v>
      </c>
      <c r="X33" s="995">
        <f t="shared" ca="1" si="5"/>
        <v>8.3138888888888882</v>
      </c>
      <c r="Y33" s="48"/>
    </row>
    <row r="34" spans="1:25" ht="12" customHeight="1">
      <c r="A34" s="48">
        <v>22</v>
      </c>
      <c r="B34" s="231" t="s">
        <v>42</v>
      </c>
      <c r="C34" s="202" t="s">
        <v>1675</v>
      </c>
      <c r="D34" s="1122" t="s">
        <v>41</v>
      </c>
      <c r="E34" s="985">
        <f t="shared" si="3"/>
        <v>2729550166</v>
      </c>
      <c r="F34" s="1200">
        <f t="shared" si="4"/>
        <v>113.43394159925175</v>
      </c>
      <c r="G34" s="1537">
        <f>36665+79863+75540+81553+79445+64690+71746+22558+114537</f>
        <v>626597</v>
      </c>
      <c r="H34" s="1511"/>
      <c r="I34" s="876">
        <v>70401178</v>
      </c>
      <c r="J34" s="1106">
        <v>411581920</v>
      </c>
      <c r="K34" s="1106">
        <v>452121100</v>
      </c>
      <c r="L34" s="1106">
        <v>277749421</v>
      </c>
      <c r="M34" s="1082">
        <v>576046376</v>
      </c>
      <c r="N34" s="1082">
        <v>480426403</v>
      </c>
      <c r="O34" s="1082">
        <v>283283100</v>
      </c>
      <c r="P34" s="1082">
        <v>28919559</v>
      </c>
      <c r="Q34" s="1082">
        <v>149021109</v>
      </c>
      <c r="R34" s="1083" t="s">
        <v>1538</v>
      </c>
      <c r="S34" s="1084" t="s">
        <v>69</v>
      </c>
      <c r="T34" s="1085">
        <v>1</v>
      </c>
      <c r="U34" s="1099">
        <v>38061</v>
      </c>
      <c r="V34" s="1086" t="s">
        <v>75</v>
      </c>
      <c r="W34" s="1086" t="s">
        <v>887</v>
      </c>
      <c r="X34" s="995">
        <f t="shared" ca="1" si="5"/>
        <v>10.116666666666667</v>
      </c>
      <c r="Y34" s="48">
        <v>22</v>
      </c>
    </row>
    <row r="35" spans="1:25" ht="12" customHeight="1">
      <c r="A35" s="48"/>
      <c r="B35" s="1003" t="s">
        <v>42</v>
      </c>
      <c r="C35" s="1536" t="s">
        <v>1634</v>
      </c>
      <c r="D35" s="1107" t="s">
        <v>41</v>
      </c>
      <c r="E35" s="1195">
        <f t="shared" si="3"/>
        <v>2741802152</v>
      </c>
      <c r="F35" s="1200">
        <f t="shared" si="4"/>
        <v>113.95298605665005</v>
      </c>
      <c r="G35" s="1533">
        <f>4658+9325+8756+9887+9118+7008+7496+2399+12207</f>
        <v>70854</v>
      </c>
      <c r="H35" s="1512"/>
      <c r="I35" s="1005">
        <v>70880467</v>
      </c>
      <c r="J35" s="1108">
        <v>433637718</v>
      </c>
      <c r="K35" s="1108">
        <v>444275700</v>
      </c>
      <c r="L35" s="1108">
        <v>275955712</v>
      </c>
      <c r="M35" s="1108">
        <v>575906283</v>
      </c>
      <c r="N35" s="1108">
        <v>479797389</v>
      </c>
      <c r="O35" s="1108">
        <v>283734030</v>
      </c>
      <c r="P35" s="1108">
        <v>29000759</v>
      </c>
      <c r="Q35" s="1108">
        <v>148614094</v>
      </c>
      <c r="R35" s="1109" t="s">
        <v>1635</v>
      </c>
      <c r="S35" s="1110" t="s">
        <v>69</v>
      </c>
      <c r="T35" s="1111">
        <v>1</v>
      </c>
      <c r="U35" s="1112">
        <v>41442</v>
      </c>
      <c r="V35" s="1113" t="s">
        <v>1532</v>
      </c>
      <c r="W35" s="1113" t="s">
        <v>277</v>
      </c>
      <c r="X35" s="1007">
        <f t="shared" ca="1" si="5"/>
        <v>0.86111111111111116</v>
      </c>
      <c r="Y35" s="48"/>
    </row>
    <row r="36" spans="1:25" ht="12" customHeight="1">
      <c r="A36" s="48">
        <v>24</v>
      </c>
      <c r="B36" s="232" t="s">
        <v>42</v>
      </c>
      <c r="C36" s="723" t="s">
        <v>1676</v>
      </c>
      <c r="D36" s="1001" t="s">
        <v>41</v>
      </c>
      <c r="E36" s="1196">
        <f t="shared" si="3"/>
        <v>2735268902</v>
      </c>
      <c r="F36" s="1200">
        <f t="shared" si="4"/>
        <v>115.20373543236903</v>
      </c>
      <c r="G36" s="1199"/>
      <c r="H36" s="901"/>
      <c r="I36" s="907">
        <v>72741449</v>
      </c>
      <c r="J36" s="1036">
        <v>407167781</v>
      </c>
      <c r="K36" s="1036">
        <v>443579509</v>
      </c>
      <c r="L36" s="1036">
        <v>281611622</v>
      </c>
      <c r="M36" s="1036">
        <v>578782896</v>
      </c>
      <c r="N36" s="1036">
        <v>479633961</v>
      </c>
      <c r="O36" s="1036">
        <v>280699876</v>
      </c>
      <c r="P36" s="1036">
        <v>30329377</v>
      </c>
      <c r="Q36" s="1036">
        <v>160722431</v>
      </c>
      <c r="R36" s="1115" t="s">
        <v>1539</v>
      </c>
      <c r="S36" s="1116" t="s">
        <v>69</v>
      </c>
      <c r="T36" s="1117">
        <v>1</v>
      </c>
      <c r="U36" s="1118">
        <v>39070</v>
      </c>
      <c r="V36" s="1119" t="s">
        <v>78</v>
      </c>
      <c r="W36" s="1119" t="s">
        <v>887</v>
      </c>
      <c r="X36" s="1120">
        <f t="shared" ca="1" si="5"/>
        <v>7.3555555555555552</v>
      </c>
      <c r="Y36" s="48">
        <v>24</v>
      </c>
    </row>
    <row r="37" spans="1:25" ht="12" customHeight="1">
      <c r="A37" s="48"/>
      <c r="B37" s="235" t="s">
        <v>42</v>
      </c>
      <c r="C37" s="204" t="s">
        <v>1689</v>
      </c>
      <c r="D37" s="1514"/>
      <c r="E37" s="1189">
        <f t="shared" si="3"/>
        <v>2843730270</v>
      </c>
      <c r="F37" s="1200">
        <f t="shared" si="4"/>
        <v>117.71298081795838</v>
      </c>
      <c r="G37" s="1515"/>
      <c r="H37" s="1205"/>
      <c r="I37" s="1494">
        <v>68240462</v>
      </c>
      <c r="J37" s="1495">
        <v>487228399</v>
      </c>
      <c r="K37" s="1495">
        <v>464496160</v>
      </c>
      <c r="L37" s="1495">
        <v>278696078</v>
      </c>
      <c r="M37" s="1495">
        <v>577622910</v>
      </c>
      <c r="N37" s="1495">
        <v>481389138</v>
      </c>
      <c r="O37" s="1496">
        <v>303554861</v>
      </c>
      <c r="P37" s="1495">
        <v>30766799</v>
      </c>
      <c r="Q37" s="1495">
        <v>151735463</v>
      </c>
      <c r="R37" s="1497" t="s">
        <v>1540</v>
      </c>
      <c r="S37" s="1498" t="s">
        <v>69</v>
      </c>
      <c r="T37" s="1499">
        <v>1</v>
      </c>
      <c r="U37" s="1500">
        <v>38945</v>
      </c>
      <c r="V37" s="1501" t="s">
        <v>75</v>
      </c>
      <c r="W37" s="1501" t="s">
        <v>797</v>
      </c>
      <c r="X37" s="1502">
        <f t="shared" ca="1" si="5"/>
        <v>7.697222222222222</v>
      </c>
      <c r="Y37" s="48"/>
    </row>
    <row r="38" spans="1:25" ht="12" customHeight="1">
      <c r="A38" s="48">
        <v>26</v>
      </c>
      <c r="B38" s="235" t="s">
        <v>42</v>
      </c>
      <c r="C38" s="1564" t="s">
        <v>1677</v>
      </c>
      <c r="D38" s="1521" t="s">
        <v>41</v>
      </c>
      <c r="E38" s="1079">
        <f t="shared" si="3"/>
        <v>2770849696</v>
      </c>
      <c r="F38" s="1200">
        <f t="shared" si="4"/>
        <v>117.9400339224792</v>
      </c>
      <c r="G38" s="1493">
        <f>9697.4+21563.2+20234.3+20416.3+19200.9+15436.9+16489.8+5190.7+26949.6</f>
        <v>155179.1</v>
      </c>
      <c r="H38" s="1523"/>
      <c r="I38" s="1525">
        <v>77736069</v>
      </c>
      <c r="J38" s="1496">
        <v>416518382</v>
      </c>
      <c r="K38" s="1496">
        <v>450301568</v>
      </c>
      <c r="L38" s="1496">
        <v>285460086</v>
      </c>
      <c r="M38" s="1496">
        <v>577511079</v>
      </c>
      <c r="N38" s="1496">
        <v>482098617</v>
      </c>
      <c r="O38" s="1496">
        <v>286679655</v>
      </c>
      <c r="P38" s="1496">
        <v>31549440</v>
      </c>
      <c r="Q38" s="1496">
        <v>162994800</v>
      </c>
      <c r="R38" s="1497" t="s">
        <v>1541</v>
      </c>
      <c r="S38" s="1498" t="s">
        <v>69</v>
      </c>
      <c r="T38" s="1499">
        <v>1</v>
      </c>
      <c r="U38" s="1500">
        <v>37985</v>
      </c>
      <c r="V38" s="1501" t="s">
        <v>1542</v>
      </c>
      <c r="W38" s="1501" t="s">
        <v>887</v>
      </c>
      <c r="X38" s="1502">
        <f t="shared" ca="1" si="5"/>
        <v>10.324999999999999</v>
      </c>
      <c r="Y38" s="48">
        <v>26</v>
      </c>
    </row>
    <row r="39" spans="1:25" ht="12" customHeight="1">
      <c r="A39" s="48"/>
      <c r="B39" s="1520" t="s">
        <v>1431</v>
      </c>
      <c r="C39" s="1492" t="s">
        <v>1678</v>
      </c>
      <c r="D39" s="1522"/>
      <c r="E39" s="1194">
        <f t="shared" si="3"/>
        <v>2789029710</v>
      </c>
      <c r="F39" s="1200">
        <f t="shared" si="4"/>
        <v>118.40432715222316</v>
      </c>
      <c r="G39" s="1503">
        <f>5192+9486+9300+12415+13050+8932+12064+4118+20143</f>
        <v>94700</v>
      </c>
      <c r="H39" s="1524"/>
      <c r="I39" s="1526">
        <v>75656785</v>
      </c>
      <c r="J39" s="1527">
        <v>415393059</v>
      </c>
      <c r="K39" s="1504">
        <v>458193253</v>
      </c>
      <c r="L39" s="1527">
        <v>291484887</v>
      </c>
      <c r="M39" s="1504">
        <v>579371253</v>
      </c>
      <c r="N39" s="1527">
        <v>482706801</v>
      </c>
      <c r="O39" s="1504">
        <v>288047920</v>
      </c>
      <c r="P39" s="1504">
        <v>31724478</v>
      </c>
      <c r="Q39" s="1504">
        <v>166451274</v>
      </c>
      <c r="R39" s="1505" t="s">
        <v>1539</v>
      </c>
      <c r="S39" s="1506" t="s">
        <v>69</v>
      </c>
      <c r="T39" s="1507">
        <v>1</v>
      </c>
      <c r="U39" s="1528">
        <v>38377</v>
      </c>
      <c r="V39" s="1508" t="s">
        <v>78</v>
      </c>
      <c r="W39" s="1508" t="s">
        <v>887</v>
      </c>
      <c r="X39" s="1509">
        <f t="shared" ca="1" si="5"/>
        <v>9.2555555555555564</v>
      </c>
      <c r="Y39" s="48"/>
    </row>
    <row r="40" spans="1:25" ht="12" customHeight="1">
      <c r="A40" s="48">
        <v>28</v>
      </c>
      <c r="B40" s="913" t="s">
        <v>42</v>
      </c>
      <c r="C40" s="914" t="s">
        <v>1631</v>
      </c>
      <c r="D40" s="1484"/>
      <c r="E40" s="1191">
        <f t="shared" si="3"/>
        <v>2770297221</v>
      </c>
      <c r="F40" s="1200">
        <f t="shared" si="4"/>
        <v>120.04046293740609</v>
      </c>
      <c r="G40" s="1345">
        <f>2542+1170+11177+6769+16804+14667+4303+1164+4057</f>
        <v>62653</v>
      </c>
      <c r="H40" s="1456"/>
      <c r="I40" s="1457">
        <v>88241297</v>
      </c>
      <c r="J40" s="1490">
        <v>355560250</v>
      </c>
      <c r="K40" s="1490">
        <v>465750155</v>
      </c>
      <c r="L40" s="1490">
        <v>307804666</v>
      </c>
      <c r="M40" s="1490">
        <v>581101078</v>
      </c>
      <c r="N40" s="1481">
        <v>483658230</v>
      </c>
      <c r="O40" s="1481">
        <v>300585419</v>
      </c>
      <c r="P40" s="1481">
        <v>31945016</v>
      </c>
      <c r="Q40" s="1481">
        <v>155651110</v>
      </c>
      <c r="R40" s="1459" t="s">
        <v>79</v>
      </c>
      <c r="S40" s="1460" t="s">
        <v>69</v>
      </c>
      <c r="T40" s="1461">
        <v>1</v>
      </c>
      <c r="U40" s="1462">
        <v>38174</v>
      </c>
      <c r="V40" s="1463" t="s">
        <v>75</v>
      </c>
      <c r="W40" s="1463" t="s">
        <v>797</v>
      </c>
      <c r="X40" s="1147">
        <f t="shared" ca="1" si="5"/>
        <v>9.8083333333333336</v>
      </c>
      <c r="Y40" s="48">
        <v>28</v>
      </c>
    </row>
    <row r="41" spans="1:25" ht="12" customHeight="1">
      <c r="A41" s="48"/>
      <c r="B41" s="236" t="s">
        <v>42</v>
      </c>
      <c r="C41" s="205" t="s">
        <v>1630</v>
      </c>
      <c r="D41" s="1209"/>
      <c r="E41" s="985">
        <f t="shared" si="3"/>
        <v>2812918986</v>
      </c>
      <c r="F41" s="1200">
        <f t="shared" si="4"/>
        <v>121.04332141695787</v>
      </c>
      <c r="G41" s="1438"/>
      <c r="H41" s="1063"/>
      <c r="I41" s="1489">
        <v>80540912</v>
      </c>
      <c r="J41" s="1440">
        <v>355559193</v>
      </c>
      <c r="K41" s="1440">
        <v>471124098</v>
      </c>
      <c r="L41" s="1440">
        <v>311689449</v>
      </c>
      <c r="M41" s="1440">
        <v>586338220</v>
      </c>
      <c r="N41" s="1440">
        <v>488585911</v>
      </c>
      <c r="O41" s="1441">
        <v>309410285</v>
      </c>
      <c r="P41" s="1440">
        <v>31723664</v>
      </c>
      <c r="Q41" s="1489">
        <v>177947254</v>
      </c>
      <c r="R41" s="1466" t="s">
        <v>79</v>
      </c>
      <c r="S41" s="1467" t="s">
        <v>69</v>
      </c>
      <c r="T41" s="1468">
        <v>1</v>
      </c>
      <c r="U41" s="1469">
        <v>38162</v>
      </c>
      <c r="V41" s="1470" t="s">
        <v>80</v>
      </c>
      <c r="W41" s="1470" t="s">
        <v>887</v>
      </c>
      <c r="X41" s="1008">
        <f t="shared" ca="1" si="5"/>
        <v>9.8416666666666668</v>
      </c>
      <c r="Y41" s="48"/>
    </row>
    <row r="42" spans="1:25" ht="12" customHeight="1">
      <c r="A42" s="48">
        <v>30</v>
      </c>
      <c r="B42" s="1434" t="s">
        <v>42</v>
      </c>
      <c r="C42" s="205" t="s">
        <v>1679</v>
      </c>
      <c r="D42" s="1435" t="s">
        <v>41</v>
      </c>
      <c r="E42" s="985">
        <f t="shared" si="3"/>
        <v>2821576664</v>
      </c>
      <c r="F42" s="1200">
        <f t="shared" si="4"/>
        <v>122.98051500277498</v>
      </c>
      <c r="G42" s="1471">
        <f>5389.94+10881.75+9647.03+9058.52+8863.08+6687.67+8562.28+2328.24+11598.63</f>
        <v>73017.14</v>
      </c>
      <c r="H42" s="1441"/>
      <c r="I42" s="1439">
        <v>85538241</v>
      </c>
      <c r="J42" s="1440">
        <v>418335901</v>
      </c>
      <c r="K42" s="1441">
        <v>455656935</v>
      </c>
      <c r="L42" s="1441">
        <v>295734306</v>
      </c>
      <c r="M42" s="1441">
        <v>582767809</v>
      </c>
      <c r="N42" s="1441">
        <v>481871203</v>
      </c>
      <c r="O42" s="1441">
        <v>292318030</v>
      </c>
      <c r="P42" s="1441">
        <v>34906309</v>
      </c>
      <c r="Q42" s="1439">
        <v>174447930</v>
      </c>
      <c r="R42" s="1442" t="s">
        <v>1548</v>
      </c>
      <c r="S42" s="1443" t="s">
        <v>69</v>
      </c>
      <c r="T42" s="1444">
        <v>1</v>
      </c>
      <c r="U42" s="1445">
        <v>37945</v>
      </c>
      <c r="V42" s="1446" t="s">
        <v>108</v>
      </c>
      <c r="W42" s="1446" t="s">
        <v>887</v>
      </c>
      <c r="X42" s="1447">
        <f t="shared" ca="1" si="5"/>
        <v>10.436111111111112</v>
      </c>
      <c r="Y42" s="48">
        <v>30</v>
      </c>
    </row>
    <row r="43" spans="1:25" ht="12" customHeight="1">
      <c r="A43" s="48"/>
      <c r="B43" s="1436" t="s">
        <v>42</v>
      </c>
      <c r="C43" s="1342" t="s">
        <v>1680</v>
      </c>
      <c r="D43" s="1437" t="s">
        <v>41</v>
      </c>
      <c r="E43" s="1197">
        <f t="shared" si="3"/>
        <v>2910792455</v>
      </c>
      <c r="F43" s="1200">
        <f t="shared" si="4"/>
        <v>123.67484111622078</v>
      </c>
      <c r="G43" s="1448">
        <f>6174.1+2468.9+19936.7+14570.5+13668.6+7104.3+7230.25+4556.3+26293.1</f>
        <v>102002.75</v>
      </c>
      <c r="H43" s="1449"/>
      <c r="I43" s="1450">
        <v>83093310</v>
      </c>
      <c r="J43" s="1449">
        <v>546842342</v>
      </c>
      <c r="K43" s="1449">
        <v>446567681</v>
      </c>
      <c r="L43" s="1449">
        <v>251327468</v>
      </c>
      <c r="M43" s="1449">
        <v>580175202</v>
      </c>
      <c r="N43" s="1449">
        <v>463125275</v>
      </c>
      <c r="O43" s="1449">
        <v>351337723</v>
      </c>
      <c r="P43" s="1449">
        <v>31677205</v>
      </c>
      <c r="Q43" s="1450">
        <v>156646249</v>
      </c>
      <c r="R43" s="1451" t="s">
        <v>1543</v>
      </c>
      <c r="S43" s="1452" t="s">
        <v>69</v>
      </c>
      <c r="T43" s="1453">
        <v>1</v>
      </c>
      <c r="U43" s="1454">
        <v>38710</v>
      </c>
      <c r="V43" s="1455" t="s">
        <v>80</v>
      </c>
      <c r="W43" s="1455" t="s">
        <v>887</v>
      </c>
      <c r="X43" s="1012">
        <f t="shared" ca="1" si="5"/>
        <v>8.3416666666666668</v>
      </c>
      <c r="Y43" s="48"/>
    </row>
    <row r="44" spans="1:25" ht="12" customHeight="1">
      <c r="A44" s="48">
        <v>32</v>
      </c>
      <c r="B44" s="913" t="s">
        <v>42</v>
      </c>
      <c r="C44" s="914" t="s">
        <v>1690</v>
      </c>
      <c r="D44" s="1266" t="s">
        <v>41</v>
      </c>
      <c r="E44" s="1191">
        <f t="shared" si="3"/>
        <v>2851527345</v>
      </c>
      <c r="F44" s="1200">
        <f t="shared" si="4"/>
        <v>124.116442804066</v>
      </c>
      <c r="G44" s="1487"/>
      <c r="H44" s="1456"/>
      <c r="I44" s="1458">
        <v>90681615</v>
      </c>
      <c r="J44" s="1457">
        <v>450950239</v>
      </c>
      <c r="K44" s="1457">
        <v>464710944</v>
      </c>
      <c r="L44" s="1458">
        <v>286660556</v>
      </c>
      <c r="M44" s="1458">
        <v>578232171</v>
      </c>
      <c r="N44" s="1458">
        <v>481023105</v>
      </c>
      <c r="O44" s="1458">
        <v>292139367</v>
      </c>
      <c r="P44" s="1458">
        <v>33336788</v>
      </c>
      <c r="Q44" s="1458">
        <v>173792560</v>
      </c>
      <c r="R44" s="1459" t="s">
        <v>1546</v>
      </c>
      <c r="S44" s="1460" t="s">
        <v>69</v>
      </c>
      <c r="T44" s="1461">
        <v>1</v>
      </c>
      <c r="U44" s="1462">
        <v>39101</v>
      </c>
      <c r="V44" s="1463" t="s">
        <v>77</v>
      </c>
      <c r="W44" s="1463" t="s">
        <v>1547</v>
      </c>
      <c r="X44" s="1147">
        <f t="shared" ca="1" si="5"/>
        <v>7.2722222222222221</v>
      </c>
      <c r="Y44" s="48">
        <v>32</v>
      </c>
    </row>
    <row r="45" spans="1:25" ht="12" customHeight="1">
      <c r="A45" s="48"/>
      <c r="B45" s="236" t="s">
        <v>42</v>
      </c>
      <c r="C45" s="205" t="s">
        <v>1691</v>
      </c>
      <c r="D45" s="1435" t="s">
        <v>41</v>
      </c>
      <c r="E45" s="985">
        <f t="shared" ref="E45:E63" si="6">SUM(I45:Q45)</f>
        <v>2873363200</v>
      </c>
      <c r="F45" s="1200">
        <f t="shared" ref="F45:F64" si="7">SUM(I45/I$11,J45/J$11,K45/K$11,L45/L$11,M45/M$11,N45/N$11,O45/O$11,P45/P$11,Q45/Q$11)/9*100</f>
        <v>126.22739603326112</v>
      </c>
      <c r="G45" s="1471">
        <f>14042+11588+12123+16756+11658+9148+15379+5947+21880</f>
        <v>118521</v>
      </c>
      <c r="H45" s="874"/>
      <c r="I45" s="1464">
        <v>96820225</v>
      </c>
      <c r="J45" s="1465">
        <v>439148907</v>
      </c>
      <c r="K45" s="1465">
        <v>467757728</v>
      </c>
      <c r="L45" s="1464">
        <v>296647076</v>
      </c>
      <c r="M45" s="1465">
        <v>587941217</v>
      </c>
      <c r="N45" s="1464">
        <v>481801393</v>
      </c>
      <c r="O45" s="1465">
        <v>292696785</v>
      </c>
      <c r="P45" s="1465">
        <v>33657150</v>
      </c>
      <c r="Q45" s="1465">
        <v>176892719</v>
      </c>
      <c r="R45" s="1466" t="s">
        <v>1546</v>
      </c>
      <c r="S45" s="1467" t="s">
        <v>69</v>
      </c>
      <c r="T45" s="1468">
        <v>1</v>
      </c>
      <c r="U45" s="1469">
        <v>38862</v>
      </c>
      <c r="V45" s="1470" t="s">
        <v>77</v>
      </c>
      <c r="W45" s="1470" t="s">
        <v>1547</v>
      </c>
      <c r="X45" s="1008">
        <f t="shared" ref="X45:X64" ca="1" si="8">YEARFRAC(U45,X$6)</f>
        <v>7.9222222222222225</v>
      </c>
      <c r="Y45" s="48"/>
    </row>
    <row r="46" spans="1:25" ht="12" customHeight="1">
      <c r="A46" s="48">
        <v>34</v>
      </c>
      <c r="B46" s="1482" t="s">
        <v>1431</v>
      </c>
      <c r="C46" s="205" t="s">
        <v>1513</v>
      </c>
      <c r="D46" s="1485"/>
      <c r="E46" s="985">
        <f t="shared" si="6"/>
        <v>2871784880</v>
      </c>
      <c r="F46" s="1200">
        <f t="shared" si="7"/>
        <v>126.59037996106568</v>
      </c>
      <c r="G46" s="1471"/>
      <c r="H46" s="1488"/>
      <c r="I46" s="1465">
        <v>84474244</v>
      </c>
      <c r="J46" s="1473">
        <v>351192748</v>
      </c>
      <c r="K46" s="1472">
        <v>475837984</v>
      </c>
      <c r="L46" s="1472">
        <v>300450436</v>
      </c>
      <c r="M46" s="1472">
        <v>593480152</v>
      </c>
      <c r="N46" s="1472">
        <v>490867944</v>
      </c>
      <c r="O46" s="1472">
        <v>339585040</v>
      </c>
      <c r="P46" s="1474">
        <v>36208420</v>
      </c>
      <c r="Q46" s="1472">
        <v>199687912</v>
      </c>
      <c r="R46" s="1466" t="s">
        <v>64</v>
      </c>
      <c r="S46" s="1467" t="s">
        <v>69</v>
      </c>
      <c r="T46" s="1468">
        <v>1</v>
      </c>
      <c r="U46" s="1469">
        <v>36960</v>
      </c>
      <c r="V46" s="1470" t="s">
        <v>66</v>
      </c>
      <c r="W46" s="1470" t="s">
        <v>799</v>
      </c>
      <c r="X46" s="1008">
        <f t="shared" ca="1" si="8"/>
        <v>13.130555555555556</v>
      </c>
      <c r="Y46" s="48">
        <v>34</v>
      </c>
    </row>
    <row r="47" spans="1:25" ht="12" customHeight="1">
      <c r="A47" s="48"/>
      <c r="B47" s="1483" t="s">
        <v>42</v>
      </c>
      <c r="C47" s="1342" t="s">
        <v>1544</v>
      </c>
      <c r="D47" s="1486"/>
      <c r="E47" s="1194">
        <f t="shared" si="6"/>
        <v>2996686496</v>
      </c>
      <c r="F47" s="1200">
        <f t="shared" si="7"/>
        <v>126.73218047772541</v>
      </c>
      <c r="G47" s="1475">
        <f>3884.2+13178+12893.5+8265.1+14267.5+11238.3+6395+1959.1+7075.3</f>
        <v>79156.000000000015</v>
      </c>
      <c r="H47" s="1476"/>
      <c r="I47" s="1476">
        <v>83427371</v>
      </c>
      <c r="J47" s="1476">
        <v>547704954</v>
      </c>
      <c r="K47" s="1476">
        <v>484497936</v>
      </c>
      <c r="L47" s="1476">
        <v>286729239</v>
      </c>
      <c r="M47" s="1476">
        <v>590511304</v>
      </c>
      <c r="N47" s="1476">
        <v>491154809</v>
      </c>
      <c r="O47" s="1476">
        <v>320897104</v>
      </c>
      <c r="P47" s="1476">
        <v>33382310</v>
      </c>
      <c r="Q47" s="1476">
        <v>158381469</v>
      </c>
      <c r="R47" s="1477" t="s">
        <v>132</v>
      </c>
      <c r="S47" s="1491" t="s">
        <v>69</v>
      </c>
      <c r="T47" s="1478">
        <v>1</v>
      </c>
      <c r="U47" s="1479">
        <v>39920</v>
      </c>
      <c r="V47" s="1480" t="s">
        <v>75</v>
      </c>
      <c r="W47" s="1480" t="s">
        <v>1545</v>
      </c>
      <c r="X47" s="1012">
        <f t="shared" ca="1" si="8"/>
        <v>5.0277777777777777</v>
      </c>
      <c r="Y47" s="48"/>
    </row>
    <row r="48" spans="1:25" ht="12" customHeight="1">
      <c r="A48" s="48">
        <v>36</v>
      </c>
      <c r="B48" s="1340" t="s">
        <v>1431</v>
      </c>
      <c r="C48" s="1341" t="s">
        <v>1692</v>
      </c>
      <c r="D48" s="1378"/>
      <c r="E48" s="112">
        <f t="shared" si="6"/>
        <v>3014861112</v>
      </c>
      <c r="F48" s="1200">
        <f t="shared" si="7"/>
        <v>132.71836918027412</v>
      </c>
      <c r="G48" s="1388"/>
      <c r="H48" s="1389"/>
      <c r="I48" s="1390">
        <v>96721221</v>
      </c>
      <c r="J48" s="1391">
        <v>535557538</v>
      </c>
      <c r="K48" s="1391">
        <v>475502568</v>
      </c>
      <c r="L48" s="1391">
        <v>299035553</v>
      </c>
      <c r="M48" s="1391">
        <v>586660312</v>
      </c>
      <c r="N48" s="1391">
        <v>485057345</v>
      </c>
      <c r="O48" s="1392">
        <v>313902788</v>
      </c>
      <c r="P48" s="1391">
        <v>37065923</v>
      </c>
      <c r="Q48" s="1391">
        <v>185357864</v>
      </c>
      <c r="R48" s="1393" t="s">
        <v>97</v>
      </c>
      <c r="S48" s="1394" t="s">
        <v>69</v>
      </c>
      <c r="T48" s="1395">
        <v>1</v>
      </c>
      <c r="U48" s="1396">
        <v>38831</v>
      </c>
      <c r="V48" s="1397" t="s">
        <v>75</v>
      </c>
      <c r="W48" s="1397" t="s">
        <v>152</v>
      </c>
      <c r="X48" s="1160">
        <f t="shared" ca="1" si="8"/>
        <v>8.0083333333333329</v>
      </c>
      <c r="Y48" s="48">
        <v>36</v>
      </c>
    </row>
    <row r="49" spans="1:25" ht="12" customHeight="1">
      <c r="A49" s="48"/>
      <c r="B49" s="237" t="s">
        <v>42</v>
      </c>
      <c r="C49" s="1379" t="s">
        <v>852</v>
      </c>
      <c r="D49" s="1380"/>
      <c r="E49" s="1079">
        <f t="shared" si="6"/>
        <v>2939524871</v>
      </c>
      <c r="F49" s="1200">
        <f t="shared" si="7"/>
        <v>133.23491924609593</v>
      </c>
      <c r="G49" s="1170"/>
      <c r="H49" s="1398"/>
      <c r="I49" s="1399">
        <v>102047041</v>
      </c>
      <c r="J49" s="1399">
        <v>372377185</v>
      </c>
      <c r="K49" s="1399">
        <v>481473400</v>
      </c>
      <c r="L49" s="1399">
        <v>312670582</v>
      </c>
      <c r="M49" s="1399">
        <v>594570674</v>
      </c>
      <c r="N49" s="1399">
        <v>489808954</v>
      </c>
      <c r="O49" s="1399">
        <v>345716754</v>
      </c>
      <c r="P49" s="1399">
        <v>38542846</v>
      </c>
      <c r="Q49" s="1399">
        <v>202317435</v>
      </c>
      <c r="R49" s="1400" t="s">
        <v>92</v>
      </c>
      <c r="S49" s="1401" t="s">
        <v>69</v>
      </c>
      <c r="T49" s="1402">
        <v>1</v>
      </c>
      <c r="U49" s="1403">
        <v>37604</v>
      </c>
      <c r="V49" s="1404" t="s">
        <v>75</v>
      </c>
      <c r="W49" s="1404" t="s">
        <v>853</v>
      </c>
      <c r="X49" s="1405">
        <f t="shared" ca="1" si="8"/>
        <v>11.369444444444444</v>
      </c>
      <c r="Y49" s="48"/>
    </row>
    <row r="50" spans="1:25" ht="12" customHeight="1">
      <c r="A50" s="48">
        <v>38</v>
      </c>
      <c r="B50" s="237" t="s">
        <v>42</v>
      </c>
      <c r="C50" s="207" t="s">
        <v>1549</v>
      </c>
      <c r="D50" s="1343"/>
      <c r="E50" s="1079">
        <f t="shared" si="6"/>
        <v>3049982312</v>
      </c>
      <c r="F50" s="1200">
        <f t="shared" si="7"/>
        <v>137.91427031320234</v>
      </c>
      <c r="G50" s="1153">
        <f>4642+13079+13292+10110+11823+9630+9550+2118+12564</f>
        <v>86808</v>
      </c>
      <c r="H50" s="1398"/>
      <c r="I50" s="987">
        <v>108742638</v>
      </c>
      <c r="J50" s="1399">
        <v>515222797</v>
      </c>
      <c r="K50" s="1399">
        <v>476027285</v>
      </c>
      <c r="L50" s="1399">
        <v>311087890</v>
      </c>
      <c r="M50" s="1399">
        <v>592244756</v>
      </c>
      <c r="N50" s="1399">
        <v>484868963</v>
      </c>
      <c r="O50" s="1399">
        <v>321110780</v>
      </c>
      <c r="P50" s="1406">
        <v>39313539</v>
      </c>
      <c r="Q50" s="1399">
        <v>201363664</v>
      </c>
      <c r="R50" s="1400" t="s">
        <v>1550</v>
      </c>
      <c r="S50" s="1401" t="s">
        <v>69</v>
      </c>
      <c r="T50" s="1402">
        <v>1</v>
      </c>
      <c r="U50" s="1403">
        <v>40872</v>
      </c>
      <c r="V50" s="1407" t="s">
        <v>77</v>
      </c>
      <c r="W50" s="1407" t="s">
        <v>898</v>
      </c>
      <c r="X50" s="1405">
        <f t="shared" ca="1" si="8"/>
        <v>2.4222222222222221</v>
      </c>
      <c r="Y50" s="48">
        <v>38</v>
      </c>
    </row>
    <row r="51" spans="1:25" ht="12" customHeight="1">
      <c r="A51" s="48"/>
      <c r="B51" s="1381" t="s">
        <v>42</v>
      </c>
      <c r="C51" s="1382" t="s">
        <v>231</v>
      </c>
      <c r="D51" s="1383"/>
      <c r="E51" s="1190">
        <f t="shared" si="6"/>
        <v>3180606924</v>
      </c>
      <c r="F51" s="1200">
        <f t="shared" si="7"/>
        <v>142.49322191170276</v>
      </c>
      <c r="G51" s="1529">
        <f>19959+30664+27550+66847+0+27670+0+0+0</f>
        <v>172690</v>
      </c>
      <c r="H51" s="1411"/>
      <c r="I51" s="1409">
        <v>108446482</v>
      </c>
      <c r="J51" s="1410">
        <f>475572500+88415835</f>
        <v>563988335</v>
      </c>
      <c r="K51" s="1410">
        <f>448311175+57528460</f>
        <v>505839635</v>
      </c>
      <c r="L51" s="1410">
        <f>186234476+133731168</f>
        <v>319965644</v>
      </c>
      <c r="M51" s="1530">
        <f>301736526+286743914</f>
        <v>588480440</v>
      </c>
      <c r="N51" s="1410">
        <v>489679170</v>
      </c>
      <c r="O51" s="1530">
        <v>354595460</v>
      </c>
      <c r="P51" s="1530">
        <f>38115478-35509</f>
        <v>38079969</v>
      </c>
      <c r="Q51" s="1530">
        <f>112976695+98555094</f>
        <v>211531789</v>
      </c>
      <c r="R51" s="1412" t="s">
        <v>232</v>
      </c>
      <c r="S51" s="1413" t="s">
        <v>145</v>
      </c>
      <c r="T51" s="1414">
        <v>1</v>
      </c>
      <c r="U51" s="1415">
        <v>35545</v>
      </c>
      <c r="V51" s="1416" t="s">
        <v>75</v>
      </c>
      <c r="W51" s="1416" t="s">
        <v>148</v>
      </c>
      <c r="X51" s="1417">
        <f t="shared" ca="1" si="8"/>
        <v>17.005555555555556</v>
      </c>
      <c r="Y51" s="48"/>
    </row>
    <row r="52" spans="1:25" ht="12" customHeight="1">
      <c r="A52" s="48">
        <v>40</v>
      </c>
      <c r="B52" s="237" t="s">
        <v>42</v>
      </c>
      <c r="C52" s="1208" t="s">
        <v>218</v>
      </c>
      <c r="D52" s="1152"/>
      <c r="E52" s="1189">
        <f t="shared" si="6"/>
        <v>3164977310</v>
      </c>
      <c r="F52" s="1200">
        <f t="shared" si="7"/>
        <v>144.35375945582567</v>
      </c>
      <c r="G52" s="1170"/>
      <c r="H52" s="1158"/>
      <c r="I52" s="1418">
        <v>116973994</v>
      </c>
      <c r="J52" s="1419">
        <v>560169503</v>
      </c>
      <c r="K52" s="1419">
        <v>487587260</v>
      </c>
      <c r="L52" s="1419">
        <v>314940885</v>
      </c>
      <c r="M52" s="1419">
        <v>594633767</v>
      </c>
      <c r="N52" s="1419">
        <v>488224484</v>
      </c>
      <c r="O52" s="1420">
        <v>351194794</v>
      </c>
      <c r="P52" s="1419">
        <v>40417939</v>
      </c>
      <c r="Q52" s="1419">
        <v>210834684</v>
      </c>
      <c r="R52" s="1155" t="s">
        <v>219</v>
      </c>
      <c r="S52" s="1172" t="s">
        <v>145</v>
      </c>
      <c r="T52" s="1171">
        <v>1</v>
      </c>
      <c r="U52" s="1156">
        <v>35831</v>
      </c>
      <c r="V52" s="1157" t="s">
        <v>117</v>
      </c>
      <c r="W52" s="1157" t="s">
        <v>148</v>
      </c>
      <c r="X52" s="1148">
        <f t="shared" ca="1" si="8"/>
        <v>16.227777777777778</v>
      </c>
      <c r="Y52" s="48">
        <v>40</v>
      </c>
    </row>
    <row r="53" spans="1:25" ht="12" customHeight="1">
      <c r="A53" s="48"/>
      <c r="B53" s="1159" t="s">
        <v>42</v>
      </c>
      <c r="C53" s="1384" t="s">
        <v>193</v>
      </c>
      <c r="D53" s="1385"/>
      <c r="E53" s="1190">
        <f t="shared" si="6"/>
        <v>3202742464</v>
      </c>
      <c r="F53" s="1200">
        <f t="shared" si="7"/>
        <v>145.23424864653575</v>
      </c>
      <c r="G53" s="1408"/>
      <c r="H53" s="1162"/>
      <c r="I53" s="1421">
        <v>110431437</v>
      </c>
      <c r="J53" s="1422">
        <v>564566974</v>
      </c>
      <c r="K53" s="1422">
        <v>497815581</v>
      </c>
      <c r="L53" s="1422">
        <v>321059139</v>
      </c>
      <c r="M53" s="1422">
        <v>585931529</v>
      </c>
      <c r="N53" s="1422">
        <v>487049284</v>
      </c>
      <c r="O53" s="1161">
        <v>374317005</v>
      </c>
      <c r="P53" s="1422">
        <v>40105156</v>
      </c>
      <c r="Q53" s="1422">
        <v>221466359</v>
      </c>
      <c r="R53" s="1164" t="s">
        <v>194</v>
      </c>
      <c r="S53" s="1174" t="s">
        <v>69</v>
      </c>
      <c r="T53" s="1175">
        <v>1</v>
      </c>
      <c r="U53" s="1351">
        <v>38747</v>
      </c>
      <c r="V53" s="1166" t="s">
        <v>75</v>
      </c>
      <c r="W53" s="1166" t="s">
        <v>195</v>
      </c>
      <c r="X53" s="1150">
        <f t="shared" ca="1" si="8"/>
        <v>8.2416666666666671</v>
      </c>
      <c r="Y53" s="48"/>
    </row>
    <row r="54" spans="1:25" ht="12" customHeight="1">
      <c r="A54" s="48">
        <v>42</v>
      </c>
      <c r="B54" s="915" t="s">
        <v>42</v>
      </c>
      <c r="C54" s="1341" t="s">
        <v>262</v>
      </c>
      <c r="D54" s="1386" t="s">
        <v>41</v>
      </c>
      <c r="E54" s="1191">
        <f t="shared" si="6"/>
        <v>3288418297</v>
      </c>
      <c r="F54" s="1200">
        <f t="shared" si="7"/>
        <v>147.51759101115925</v>
      </c>
      <c r="G54" s="1423"/>
      <c r="H54" s="1424"/>
      <c r="I54" s="1390">
        <v>98265098</v>
      </c>
      <c r="J54" s="1425">
        <v>517769258</v>
      </c>
      <c r="K54" s="1425">
        <v>507243414</v>
      </c>
      <c r="L54" s="1425">
        <v>337022600</v>
      </c>
      <c r="M54" s="1425">
        <v>584348654</v>
      </c>
      <c r="N54" s="1425">
        <v>485706680</v>
      </c>
      <c r="O54" s="1167">
        <v>492516781</v>
      </c>
      <c r="P54" s="1425">
        <v>39056514</v>
      </c>
      <c r="Q54" s="1425">
        <v>226489298</v>
      </c>
      <c r="R54" s="1168" t="s">
        <v>263</v>
      </c>
      <c r="S54" s="1176" t="s">
        <v>69</v>
      </c>
      <c r="T54" s="1173">
        <v>1</v>
      </c>
      <c r="U54" s="1426">
        <v>35855</v>
      </c>
      <c r="V54" s="1169" t="s">
        <v>75</v>
      </c>
      <c r="W54" s="1169" t="s">
        <v>107</v>
      </c>
      <c r="X54" s="1160">
        <f t="shared" ca="1" si="8"/>
        <v>16.155555555555555</v>
      </c>
      <c r="Y54" s="48">
        <v>42</v>
      </c>
    </row>
    <row r="55" spans="1:25" ht="12" customHeight="1">
      <c r="A55" s="48"/>
      <c r="B55" s="237" t="s">
        <v>42</v>
      </c>
      <c r="C55" s="206" t="s">
        <v>252</v>
      </c>
      <c r="D55" s="1387"/>
      <c r="E55" s="985">
        <f t="shared" si="6"/>
        <v>3243295986</v>
      </c>
      <c r="F55" s="1200">
        <f t="shared" si="7"/>
        <v>149.79869573465967</v>
      </c>
      <c r="G55" s="1427">
        <f>0+8494+6884</f>
        <v>15378</v>
      </c>
      <c r="H55" s="1428"/>
      <c r="I55" s="1153">
        <v>119946244</v>
      </c>
      <c r="J55" s="1154">
        <v>561340638</v>
      </c>
      <c r="K55" s="1154">
        <v>501587597</v>
      </c>
      <c r="L55" s="1154">
        <v>329380316</v>
      </c>
      <c r="M55" s="1154">
        <v>603767598</v>
      </c>
      <c r="N55" s="1154">
        <v>497973199</v>
      </c>
      <c r="O55" s="1154">
        <v>359619434</v>
      </c>
      <c r="P55" s="1154">
        <v>44674648</v>
      </c>
      <c r="Q55" s="1154">
        <v>225006312</v>
      </c>
      <c r="R55" s="1155" t="s">
        <v>253</v>
      </c>
      <c r="S55" s="1172" t="s">
        <v>69</v>
      </c>
      <c r="T55" s="1171">
        <v>1</v>
      </c>
      <c r="U55" s="1156">
        <v>39474</v>
      </c>
      <c r="V55" s="1157" t="s">
        <v>242</v>
      </c>
      <c r="W55" s="1157" t="s">
        <v>254</v>
      </c>
      <c r="X55" s="1148">
        <f t="shared" ca="1" si="8"/>
        <v>6.25</v>
      </c>
      <c r="Y55" s="48"/>
    </row>
    <row r="56" spans="1:25" ht="12" customHeight="1">
      <c r="A56" s="48">
        <v>44</v>
      </c>
      <c r="B56" s="237" t="s">
        <v>42</v>
      </c>
      <c r="C56" s="1558" t="s">
        <v>1551</v>
      </c>
      <c r="D56" s="1149" t="s">
        <v>41</v>
      </c>
      <c r="E56" s="1079">
        <f t="shared" si="6"/>
        <v>3266814109</v>
      </c>
      <c r="F56" s="1200">
        <f t="shared" si="7"/>
        <v>151.46651772961113</v>
      </c>
      <c r="G56" s="1153">
        <f>3416+1905+2020+4303+4725+2057+2149+2112+2727</f>
        <v>25414</v>
      </c>
      <c r="H56" s="1154"/>
      <c r="I56" s="1154">
        <v>124488668</v>
      </c>
      <c r="J56" s="1154">
        <v>576594227</v>
      </c>
      <c r="K56" s="1154">
        <v>524106142</v>
      </c>
      <c r="L56" s="1154">
        <v>347561438</v>
      </c>
      <c r="M56" s="1154">
        <v>589635354</v>
      </c>
      <c r="N56" s="1154">
        <v>487438132</v>
      </c>
      <c r="O56" s="1154">
        <v>356859369</v>
      </c>
      <c r="P56" s="1154">
        <v>45347798</v>
      </c>
      <c r="Q56" s="1154">
        <v>214782981</v>
      </c>
      <c r="R56" s="1429" t="s">
        <v>367</v>
      </c>
      <c r="S56" s="1557" t="s">
        <v>368</v>
      </c>
      <c r="T56" s="1430">
        <v>1</v>
      </c>
      <c r="U56" s="1431">
        <v>40079</v>
      </c>
      <c r="V56" s="1432" t="s">
        <v>80</v>
      </c>
      <c r="W56" s="1433" t="s">
        <v>1552</v>
      </c>
      <c r="X56" s="1148">
        <f t="shared" ca="1" si="8"/>
        <v>4.5944444444444441</v>
      </c>
      <c r="Y56" s="48">
        <v>44</v>
      </c>
    </row>
    <row r="57" spans="1:25" ht="12" customHeight="1">
      <c r="A57" s="48"/>
      <c r="B57" s="1159" t="s">
        <v>42</v>
      </c>
      <c r="C57" s="1554" t="s">
        <v>292</v>
      </c>
      <c r="D57" s="1385"/>
      <c r="E57" s="1190">
        <f t="shared" si="6"/>
        <v>3328761745</v>
      </c>
      <c r="F57" s="1200">
        <f t="shared" si="7"/>
        <v>152.16903326022469</v>
      </c>
      <c r="G57" s="1529">
        <f>0+4714+4468+0+0+0+0+0+0</f>
        <v>9182</v>
      </c>
      <c r="H57" s="1162"/>
      <c r="I57" s="1161">
        <v>110726411</v>
      </c>
      <c r="J57" s="1161">
        <v>565485223</v>
      </c>
      <c r="K57" s="1161">
        <v>523186851</v>
      </c>
      <c r="L57" s="1161">
        <v>346035543</v>
      </c>
      <c r="M57" s="1161">
        <v>587418704</v>
      </c>
      <c r="N57" s="1161">
        <v>490568309</v>
      </c>
      <c r="O57" s="1161">
        <v>407512965</v>
      </c>
      <c r="P57" s="1161">
        <v>41401358</v>
      </c>
      <c r="Q57" s="1161">
        <v>256426381</v>
      </c>
      <c r="R57" s="1164" t="s">
        <v>293</v>
      </c>
      <c r="S57" s="1174" t="s">
        <v>69</v>
      </c>
      <c r="T57" s="1175">
        <v>1</v>
      </c>
      <c r="U57" s="1165">
        <v>34834</v>
      </c>
      <c r="V57" s="1166" t="s">
        <v>80</v>
      </c>
      <c r="W57" s="1166" t="s">
        <v>268</v>
      </c>
      <c r="X57" s="1150">
        <f t="shared" ca="1" si="8"/>
        <v>18.95</v>
      </c>
      <c r="Y57" s="48"/>
    </row>
    <row r="58" spans="1:25" ht="12" customHeight="1">
      <c r="A58" s="48">
        <v>46</v>
      </c>
      <c r="B58" s="916" t="s">
        <v>42</v>
      </c>
      <c r="C58" s="933" t="s">
        <v>283</v>
      </c>
      <c r="D58" s="934"/>
      <c r="E58" s="112">
        <f t="shared" si="6"/>
        <v>3206219109</v>
      </c>
      <c r="F58" s="1200">
        <f t="shared" si="7"/>
        <v>156.50401837511595</v>
      </c>
      <c r="G58" s="1357">
        <f>0+5463+5207+0+0+0+0+0+0</f>
        <v>10670</v>
      </c>
      <c r="H58" s="1358"/>
      <c r="I58" s="1359">
        <v>132538731</v>
      </c>
      <c r="J58" s="1359">
        <v>530781641</v>
      </c>
      <c r="K58" s="1359">
        <v>490315825</v>
      </c>
      <c r="L58" s="1359">
        <v>315907212</v>
      </c>
      <c r="M58" s="1359">
        <v>595204788</v>
      </c>
      <c r="N58" s="1359">
        <v>483356583</v>
      </c>
      <c r="O58" s="1360">
        <v>354982445</v>
      </c>
      <c r="P58" s="1359">
        <v>56320558</v>
      </c>
      <c r="Q58" s="1359">
        <v>246811326</v>
      </c>
      <c r="R58" s="1306" t="s">
        <v>284</v>
      </c>
      <c r="S58" s="1348" t="s">
        <v>69</v>
      </c>
      <c r="T58" s="1307">
        <v>1</v>
      </c>
      <c r="U58" s="1308">
        <v>37573</v>
      </c>
      <c r="V58" s="1309" t="s">
        <v>285</v>
      </c>
      <c r="W58" s="1309" t="s">
        <v>286</v>
      </c>
      <c r="X58" s="1185">
        <f t="shared" ca="1" si="8"/>
        <v>11.455555555555556</v>
      </c>
      <c r="Y58" s="48">
        <v>46</v>
      </c>
    </row>
    <row r="59" spans="1:25" ht="12" customHeight="1">
      <c r="A59" s="48"/>
      <c r="B59" s="238" t="s">
        <v>42</v>
      </c>
      <c r="C59" s="208" t="s">
        <v>1553</v>
      </c>
      <c r="D59" s="1299" t="s">
        <v>41</v>
      </c>
      <c r="E59" s="1079">
        <f t="shared" si="6"/>
        <v>3514572200</v>
      </c>
      <c r="F59" s="1200">
        <f t="shared" si="7"/>
        <v>164.30737991254074</v>
      </c>
      <c r="G59" s="1344">
        <f>22858+39843+9924+11536+13144+953+0+5527+2949</f>
        <v>106734</v>
      </c>
      <c r="H59" s="1179"/>
      <c r="I59" s="1344">
        <v>125350156</v>
      </c>
      <c r="J59" s="1346">
        <v>565390910</v>
      </c>
      <c r="K59" s="1346">
        <v>497972088</v>
      </c>
      <c r="L59" s="1346">
        <v>341824468</v>
      </c>
      <c r="M59" s="1346">
        <v>591991333</v>
      </c>
      <c r="N59" s="1346">
        <v>485343221</v>
      </c>
      <c r="O59" s="1346">
        <v>633482445</v>
      </c>
      <c r="P59" s="1346">
        <v>45350678</v>
      </c>
      <c r="Q59" s="1346">
        <v>227866901</v>
      </c>
      <c r="R59" s="1181" t="s">
        <v>1554</v>
      </c>
      <c r="S59" s="1268" t="s">
        <v>69</v>
      </c>
      <c r="T59" s="1182">
        <v>1</v>
      </c>
      <c r="U59" s="1180">
        <v>41044</v>
      </c>
      <c r="V59" s="1265" t="s">
        <v>1532</v>
      </c>
      <c r="W59" s="1265" t="s">
        <v>163</v>
      </c>
      <c r="X59" s="1177">
        <f t="shared" ca="1" si="8"/>
        <v>1.95</v>
      </c>
      <c r="Y59" s="48"/>
    </row>
    <row r="60" spans="1:25" ht="12" customHeight="1">
      <c r="A60" s="48">
        <v>48</v>
      </c>
      <c r="B60" s="238" t="s">
        <v>42</v>
      </c>
      <c r="C60" s="208" t="s">
        <v>1555</v>
      </c>
      <c r="D60" s="1299" t="s">
        <v>41</v>
      </c>
      <c r="E60" s="1079">
        <f t="shared" si="6"/>
        <v>3464598272</v>
      </c>
      <c r="F60" s="1200">
        <f t="shared" si="7"/>
        <v>164.56282861685591</v>
      </c>
      <c r="G60" s="1344">
        <f>5811.2+3700.9+4225.2+3600.8+4216.3+2682.1+5184.6+1926.3+5060.8</f>
        <v>36408.199999999997</v>
      </c>
      <c r="H60" s="1346"/>
      <c r="I60" s="1346">
        <v>128539026</v>
      </c>
      <c r="J60" s="1346">
        <v>588637996</v>
      </c>
      <c r="K60" s="1346">
        <v>541764121</v>
      </c>
      <c r="L60" s="1346">
        <v>366563709</v>
      </c>
      <c r="M60" s="1346">
        <v>585896715</v>
      </c>
      <c r="N60" s="1346">
        <v>493511765</v>
      </c>
      <c r="O60" s="1346">
        <v>424472843</v>
      </c>
      <c r="P60" s="1346">
        <v>48913789</v>
      </c>
      <c r="Q60" s="1346">
        <v>286298308</v>
      </c>
      <c r="R60" s="1181" t="s">
        <v>1556</v>
      </c>
      <c r="S60" s="1350" t="s">
        <v>69</v>
      </c>
      <c r="T60" s="1182">
        <v>1</v>
      </c>
      <c r="U60" s="1180">
        <v>39428</v>
      </c>
      <c r="V60" s="1265" t="s">
        <v>77</v>
      </c>
      <c r="W60" s="1265" t="s">
        <v>1377</v>
      </c>
      <c r="X60" s="1177">
        <f t="shared" ca="1" si="8"/>
        <v>6.375</v>
      </c>
      <c r="Y60" s="48">
        <v>48</v>
      </c>
    </row>
    <row r="61" spans="1:25" ht="12" customHeight="1">
      <c r="A61" s="48"/>
      <c r="B61" s="1298" t="s">
        <v>42</v>
      </c>
      <c r="C61" s="1551" t="s">
        <v>1398</v>
      </c>
      <c r="D61" s="1183" t="s">
        <v>41</v>
      </c>
      <c r="E61" s="1190">
        <f t="shared" si="6"/>
        <v>3591787200</v>
      </c>
      <c r="F61" s="1200">
        <f t="shared" si="7"/>
        <v>171.02400251256671</v>
      </c>
      <c r="G61" s="1355">
        <f>1262+4853+4618+2898+4629+4418+3738+557+3132</f>
        <v>30105</v>
      </c>
      <c r="H61" s="1356"/>
      <c r="I61" s="1355">
        <v>144036167</v>
      </c>
      <c r="J61" s="1356">
        <v>606851260</v>
      </c>
      <c r="K61" s="1356">
        <v>560338667</v>
      </c>
      <c r="L61" s="1356">
        <v>372362490</v>
      </c>
      <c r="M61" s="1356">
        <v>663242852</v>
      </c>
      <c r="N61" s="1356">
        <v>542650404</v>
      </c>
      <c r="O61" s="1356">
        <v>381673629</v>
      </c>
      <c r="P61" s="1356">
        <v>55507810</v>
      </c>
      <c r="Q61" s="1356">
        <v>265123921</v>
      </c>
      <c r="R61" s="1300" t="s">
        <v>1399</v>
      </c>
      <c r="S61" s="1362" t="s">
        <v>69</v>
      </c>
      <c r="T61" s="1301">
        <v>1</v>
      </c>
      <c r="U61" s="1302">
        <v>39441</v>
      </c>
      <c r="V61" s="1303" t="s">
        <v>77</v>
      </c>
      <c r="W61" s="1303" t="s">
        <v>1377</v>
      </c>
      <c r="X61" s="1184">
        <f t="shared" ca="1" si="8"/>
        <v>6.3388888888888886</v>
      </c>
      <c r="Y61" s="48"/>
    </row>
    <row r="62" spans="1:25" ht="12" customHeight="1">
      <c r="A62" s="48">
        <v>50</v>
      </c>
      <c r="B62" s="239" t="s">
        <v>42</v>
      </c>
      <c r="C62" s="1518" t="s">
        <v>1557</v>
      </c>
      <c r="D62" s="1352" t="s">
        <v>41</v>
      </c>
      <c r="E62" s="1079">
        <f t="shared" si="6"/>
        <v>3602418525</v>
      </c>
      <c r="F62" s="1125">
        <f t="shared" si="7"/>
        <v>171.06941851121863</v>
      </c>
      <c r="G62" s="1363">
        <f>20205+0+0+36485+5865+4375+18126+12375+56889</f>
        <v>154320</v>
      </c>
      <c r="H62" s="1363"/>
      <c r="I62" s="1363">
        <v>134628502</v>
      </c>
      <c r="J62" s="1347">
        <v>616693624</v>
      </c>
      <c r="K62" s="1347">
        <v>548070630</v>
      </c>
      <c r="L62" s="1363">
        <v>373888974</v>
      </c>
      <c r="M62" s="1347">
        <v>637015996</v>
      </c>
      <c r="N62" s="1363">
        <v>523324280</v>
      </c>
      <c r="O62" s="1363">
        <v>428358375</v>
      </c>
      <c r="P62" s="1363">
        <v>53231417</v>
      </c>
      <c r="Q62" s="1363">
        <v>287206727</v>
      </c>
      <c r="R62" s="1364" t="s">
        <v>418</v>
      </c>
      <c r="S62" s="1555" t="s">
        <v>145</v>
      </c>
      <c r="T62" s="1365">
        <v>1</v>
      </c>
      <c r="U62" s="1366">
        <v>33453</v>
      </c>
      <c r="V62" s="1556" t="s">
        <v>1558</v>
      </c>
      <c r="W62" s="1367" t="s">
        <v>333</v>
      </c>
      <c r="X62" s="1368">
        <f t="shared" ca="1" si="8"/>
        <v>22.733333333333334</v>
      </c>
      <c r="Y62" s="48">
        <v>50</v>
      </c>
    </row>
    <row r="63" spans="1:25" ht="12" customHeight="1">
      <c r="A63" s="48"/>
      <c r="B63" s="240" t="s">
        <v>42</v>
      </c>
      <c r="C63" s="1353" t="s">
        <v>936</v>
      </c>
      <c r="D63" s="1354"/>
      <c r="E63" s="1079">
        <f t="shared" si="6"/>
        <v>3784017262</v>
      </c>
      <c r="F63" s="1125">
        <f t="shared" si="7"/>
        <v>190.91264949303607</v>
      </c>
      <c r="G63" s="1178"/>
      <c r="H63" s="1179"/>
      <c r="I63" s="1369">
        <v>148786707</v>
      </c>
      <c r="J63" s="1370">
        <v>580158185</v>
      </c>
      <c r="K63" s="1370">
        <v>561167104</v>
      </c>
      <c r="L63" s="1370">
        <v>461773911</v>
      </c>
      <c r="M63" s="1370">
        <v>594293991</v>
      </c>
      <c r="N63" s="1370">
        <v>492148736</v>
      </c>
      <c r="O63" s="1371">
        <v>503796633</v>
      </c>
      <c r="P63" s="1370">
        <v>63491659</v>
      </c>
      <c r="Q63" s="1370">
        <v>378400336</v>
      </c>
      <c r="R63" s="1372" t="s">
        <v>287</v>
      </c>
      <c r="S63" s="1373" t="s">
        <v>145</v>
      </c>
      <c r="T63" s="1374">
        <v>1</v>
      </c>
      <c r="U63" s="1375">
        <v>32230</v>
      </c>
      <c r="V63" s="1376" t="s">
        <v>80</v>
      </c>
      <c r="W63" s="1376" t="s">
        <v>118</v>
      </c>
      <c r="X63" s="1177">
        <f t="shared" ca="1" si="8"/>
        <v>26.080555555555556</v>
      </c>
      <c r="Y63" s="48"/>
    </row>
    <row r="64" spans="1:25" ht="12" customHeight="1">
      <c r="A64" s="48">
        <v>52</v>
      </c>
      <c r="B64" s="916" t="s">
        <v>42</v>
      </c>
      <c r="C64" s="1264" t="s">
        <v>883</v>
      </c>
      <c r="D64" s="763" t="s">
        <v>41</v>
      </c>
      <c r="E64" s="1196"/>
      <c r="F64" s="1125">
        <f t="shared" si="7"/>
        <v>220.80917448879597</v>
      </c>
      <c r="G64" s="1305"/>
      <c r="H64" s="1358"/>
      <c r="I64" s="1360">
        <v>175904392</v>
      </c>
      <c r="J64" s="1360">
        <v>669255479</v>
      </c>
      <c r="K64" s="1359">
        <v>624007746</v>
      </c>
      <c r="L64" s="1359">
        <v>482847137</v>
      </c>
      <c r="M64" s="1359">
        <v>667650771</v>
      </c>
      <c r="N64" s="1359">
        <v>548347945</v>
      </c>
      <c r="O64" s="1360">
        <v>581884317</v>
      </c>
      <c r="P64" s="1360">
        <v>79709522</v>
      </c>
      <c r="Q64" s="1359">
        <v>444760229</v>
      </c>
      <c r="R64" s="1306" t="s">
        <v>882</v>
      </c>
      <c r="S64" s="1348" t="s">
        <v>145</v>
      </c>
      <c r="T64" s="1307">
        <v>1</v>
      </c>
      <c r="U64" s="1308">
        <v>35103</v>
      </c>
      <c r="V64" s="1309" t="s">
        <v>271</v>
      </c>
      <c r="W64" s="1377" t="s">
        <v>117</v>
      </c>
      <c r="X64" s="1185">
        <f t="shared" ca="1" si="8"/>
        <v>18.219444444444445</v>
      </c>
      <c r="Y64" s="48">
        <v>52</v>
      </c>
    </row>
    <row r="65" spans="1:25" ht="12" customHeight="1">
      <c r="A65" s="48"/>
      <c r="B65" s="238" t="s">
        <v>42</v>
      </c>
      <c r="C65" s="208" t="s">
        <v>1559</v>
      </c>
      <c r="D65" s="1299" t="s">
        <v>41</v>
      </c>
      <c r="E65" s="1079">
        <f>SUM(I65:Q65)</f>
        <v>3857083672</v>
      </c>
      <c r="F65" s="1125">
        <f>SUM(I65/I$11,J65/J$11,K65/K$11,L65/L$11,M65/M$11,N65/N$11,O65/O$11,P65/P$11,Q65/Q$11)/9*100</f>
        <v>224.63977252092081</v>
      </c>
      <c r="G65" s="1344">
        <f>2534+4790+4542+5435+4894+3843+4593+1590+7370</f>
        <v>39591</v>
      </c>
      <c r="H65" s="1179"/>
      <c r="I65" s="1344">
        <v>192604558</v>
      </c>
      <c r="J65" s="1346">
        <v>547979079</v>
      </c>
      <c r="K65" s="1346">
        <v>519165702</v>
      </c>
      <c r="L65" s="1346">
        <v>465972239</v>
      </c>
      <c r="M65" s="1346">
        <v>598915924</v>
      </c>
      <c r="N65" s="1346">
        <v>491138864</v>
      </c>
      <c r="O65" s="1346">
        <v>411050402</v>
      </c>
      <c r="P65" s="1346">
        <v>108722694</v>
      </c>
      <c r="Q65" s="1346">
        <v>521534210</v>
      </c>
      <c r="R65" s="1181" t="s">
        <v>1560</v>
      </c>
      <c r="S65" s="1349" t="s">
        <v>65</v>
      </c>
      <c r="T65" s="1182">
        <v>1</v>
      </c>
      <c r="U65" s="1180">
        <v>40853</v>
      </c>
      <c r="V65" s="1265" t="s">
        <v>464</v>
      </c>
      <c r="W65" s="1265" t="s">
        <v>286</v>
      </c>
      <c r="X65" s="1177">
        <f ca="1">YEARFRAC(U65,X$6)</f>
        <v>2.4750000000000001</v>
      </c>
      <c r="Y65" s="48"/>
    </row>
    <row r="66" spans="1:25" ht="12" customHeight="1">
      <c r="A66" s="48"/>
      <c r="Y66" s="48"/>
    </row>
    <row r="67" spans="1:25" ht="14.1" customHeight="1">
      <c r="A67" s="48"/>
      <c r="C67" s="283" t="s">
        <v>1432</v>
      </c>
      <c r="Y67" s="48"/>
    </row>
    <row r="68" spans="1:25" ht="14.1" customHeight="1">
      <c r="A68" s="48"/>
      <c r="C68" s="712" t="s">
        <v>1433</v>
      </c>
      <c r="Y68" s="48"/>
    </row>
    <row r="69" spans="1:25" ht="14.1" customHeight="1">
      <c r="A69" s="48"/>
      <c r="C69" s="283" t="s">
        <v>1271</v>
      </c>
      <c r="Y69" s="48"/>
    </row>
    <row r="70" spans="1:25" ht="14.1" customHeight="1">
      <c r="A70" s="48"/>
      <c r="C70" s="55" t="s">
        <v>1561</v>
      </c>
      <c r="Y70" s="48"/>
    </row>
    <row r="71" spans="1:25" ht="14.1" customHeight="1">
      <c r="A71" s="48"/>
      <c r="C71" s="55" t="s">
        <v>1434</v>
      </c>
      <c r="Y71" s="48"/>
    </row>
    <row r="72" spans="1:25" ht="12.75" hidden="1" customHeight="1">
      <c r="A72" s="48">
        <v>46</v>
      </c>
      <c r="C72" s="55" t="s">
        <v>1356</v>
      </c>
      <c r="Y72" s="48"/>
    </row>
    <row r="73" spans="1:25" ht="12.75" hidden="1" customHeight="1">
      <c r="A73" s="48"/>
      <c r="C73" s="283" t="s">
        <v>1271</v>
      </c>
      <c r="Y73" s="48"/>
    </row>
    <row r="74" spans="1:25" ht="12.75" hidden="1" customHeight="1">
      <c r="A74" s="48">
        <v>48</v>
      </c>
      <c r="Y74" s="48"/>
    </row>
    <row r="75" spans="1:25" ht="12.75" hidden="1" customHeight="1">
      <c r="A75" s="48"/>
      <c r="Y75" s="48"/>
    </row>
    <row r="76" spans="1:25" ht="12.75" hidden="1" customHeight="1">
      <c r="A76" s="48">
        <v>50</v>
      </c>
      <c r="Y76" s="48"/>
    </row>
    <row r="77" spans="1:25" ht="12.75" hidden="1" customHeight="1">
      <c r="A77" s="48"/>
      <c r="Y77" s="48"/>
    </row>
    <row r="78" spans="1:25" ht="12.75" hidden="1" customHeight="1">
      <c r="A78" s="48">
        <v>52</v>
      </c>
      <c r="Y78" s="48"/>
    </row>
    <row r="79" spans="1:25" ht="12.75" hidden="1" customHeight="1">
      <c r="A79" s="48"/>
      <c r="Y79" s="48"/>
    </row>
    <row r="80" spans="1:25" ht="12.75" hidden="1" customHeight="1">
      <c r="A80" s="48">
        <v>54</v>
      </c>
      <c r="Y80" s="48"/>
    </row>
    <row r="81" spans="1:25" ht="12.75" hidden="1" customHeight="1">
      <c r="A81" s="48"/>
      <c r="Y81" s="48"/>
    </row>
    <row r="82" spans="1:25" ht="12.75" hidden="1" customHeight="1">
      <c r="A82" s="48">
        <v>56</v>
      </c>
      <c r="Y82" s="48"/>
    </row>
    <row r="83" spans="1:25" ht="12.75" hidden="1" customHeight="1">
      <c r="A83" s="48"/>
      <c r="Y83" s="48"/>
    </row>
    <row r="84" spans="1:25" ht="12.75" hidden="1" customHeight="1">
      <c r="A84" s="48">
        <v>58</v>
      </c>
      <c r="Y84" s="48"/>
    </row>
    <row r="85" spans="1:25" ht="12.75" hidden="1" customHeight="1">
      <c r="A85" s="48"/>
      <c r="Y85" s="48"/>
    </row>
    <row r="86" spans="1:25" ht="12.75" hidden="1" customHeight="1">
      <c r="A86" s="48"/>
      <c r="Y86" s="48"/>
    </row>
    <row r="87" spans="1:25" ht="12.75" hidden="1" customHeight="1">
      <c r="A87" s="48"/>
      <c r="Y87" s="48"/>
    </row>
    <row r="88" spans="1:25" ht="12.75" hidden="1" customHeight="1">
      <c r="A88" s="48"/>
      <c r="Y88" s="48"/>
    </row>
    <row r="89" spans="1:25" ht="12.75" hidden="1" customHeight="1">
      <c r="A89" s="48"/>
      <c r="Y89" s="48"/>
    </row>
    <row r="90" spans="1:25" ht="12.75" hidden="1" customHeight="1">
      <c r="A90" s="48"/>
      <c r="Y90" s="48"/>
    </row>
    <row r="91" spans="1:25" ht="12.75" hidden="1" customHeight="1">
      <c r="A91" s="48"/>
      <c r="Y91" s="48"/>
    </row>
    <row r="92" spans="1:25" ht="12.75" hidden="1" customHeight="1">
      <c r="A92" s="48"/>
      <c r="Y92" s="48"/>
    </row>
    <row r="93" spans="1:25" ht="12.75" hidden="1" customHeight="1">
      <c r="A93" s="48"/>
      <c r="Y93" s="48"/>
    </row>
    <row r="94" spans="1:25" ht="12.75" hidden="1" customHeight="1">
      <c r="A94" s="48"/>
      <c r="Y94" s="48"/>
    </row>
    <row r="95" spans="1:25" ht="12.75" hidden="1" customHeight="1">
      <c r="A95" s="48"/>
      <c r="Y95" s="48"/>
    </row>
    <row r="96" spans="1:25" ht="12.75" hidden="1" customHeight="1">
      <c r="A96" s="48"/>
      <c r="Y96" s="48"/>
    </row>
    <row r="97" spans="1:25" ht="12.75" hidden="1" customHeight="1">
      <c r="A97" s="48"/>
      <c r="Y97" s="48"/>
    </row>
    <row r="98" spans="1:25" ht="12.75" hidden="1" customHeight="1">
      <c r="A98" s="48"/>
      <c r="Y98" s="48"/>
    </row>
    <row r="99" spans="1:25" ht="12.75" hidden="1" customHeight="1">
      <c r="A99" s="48"/>
      <c r="Y99" s="48"/>
    </row>
    <row r="100" spans="1:25" ht="12.75" hidden="1" customHeight="1">
      <c r="A100" s="48"/>
      <c r="Y100" s="48"/>
    </row>
    <row r="101" spans="1:25" ht="12.75" hidden="1" customHeight="1">
      <c r="A101" s="48"/>
      <c r="Y101" s="48"/>
    </row>
    <row r="102" spans="1:25" ht="12.75" hidden="1" customHeight="1"/>
    <row r="103" spans="1:25" ht="12.75" hidden="1" customHeight="1">
      <c r="A103" s="48"/>
      <c r="Y103" s="48"/>
    </row>
    <row r="104" spans="1:25" ht="12.75" hidden="1" customHeight="1"/>
    <row r="105" spans="1:25" ht="12.75" hidden="1" customHeight="1">
      <c r="A105" s="48"/>
      <c r="Y105" s="48"/>
    </row>
    <row r="106" spans="1:25" ht="12.75" hidden="1" customHeight="1"/>
    <row r="107" spans="1:25" ht="12.75" hidden="1" customHeight="1">
      <c r="A107" s="48"/>
      <c r="Y107" s="48"/>
    </row>
    <row r="108" spans="1:25" ht="12.75" hidden="1" customHeight="1">
      <c r="A108" s="48"/>
      <c r="Y108" s="48"/>
    </row>
    <row r="109" spans="1:25" ht="12.75" hidden="1" customHeight="1">
      <c r="Y109" s="48"/>
    </row>
    <row r="110" spans="1:25" ht="12.75" hidden="1" customHeight="1">
      <c r="A110" s="48"/>
      <c r="Y110" s="48"/>
    </row>
    <row r="111" spans="1:25" ht="12.75" hidden="1" customHeight="1">
      <c r="Y111" s="48"/>
    </row>
    <row r="112" spans="1:25" ht="12.75" hidden="1" customHeight="1">
      <c r="A112" s="48"/>
    </row>
    <row r="113" spans="1:25" ht="12.75" hidden="1" customHeight="1">
      <c r="A113" s="48"/>
      <c r="Y113" s="48"/>
    </row>
    <row r="114" spans="1:25" ht="12.75" hidden="1" customHeight="1">
      <c r="A114" s="48"/>
    </row>
    <row r="115" spans="1:25" ht="12.75" hidden="1" customHeight="1">
      <c r="Y115" s="48"/>
    </row>
    <row r="116" spans="1:25" ht="12.75" hidden="1" customHeight="1">
      <c r="A116" s="48"/>
      <c r="Y116" s="48"/>
    </row>
    <row r="117" spans="1:25" ht="12.75" hidden="1" customHeight="1">
      <c r="A117" s="48"/>
      <c r="Y117" s="48"/>
    </row>
    <row r="118" spans="1:25" ht="12.75" hidden="1" customHeight="1"/>
    <row r="119" spans="1:25" ht="12.75" hidden="1" customHeight="1">
      <c r="A119" s="48"/>
      <c r="Y119" s="48"/>
    </row>
    <row r="120" spans="1:25" ht="12.75" hidden="1" customHeight="1">
      <c r="A120" s="48"/>
      <c r="Y120" s="48"/>
    </row>
    <row r="121" spans="1:25" ht="12.75" hidden="1" customHeight="1">
      <c r="A121" s="48"/>
      <c r="Y121" s="48"/>
    </row>
    <row r="122" spans="1:25" ht="12.75" hidden="1" customHeight="1"/>
    <row r="123" spans="1:25" ht="12.75" hidden="1" customHeight="1">
      <c r="A123" s="48"/>
      <c r="Y123" s="48"/>
    </row>
    <row r="124" spans="1:25" ht="12.75" customHeight="1"/>
    <row r="125" spans="1:25" ht="12.75" customHeight="1"/>
    <row r="126" spans="1:25" ht="12.75" customHeight="1"/>
    <row r="127" spans="1:25" ht="12.75" customHeight="1"/>
    <row r="128" spans="1:25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</sheetData>
  <sortState ref="B13:X64">
    <sortCondition ref="F13:F64"/>
  </sortState>
  <mergeCells count="10">
    <mergeCell ref="U8:U12"/>
    <mergeCell ref="V8:V12"/>
    <mergeCell ref="W8:W12"/>
    <mergeCell ref="X8:X12"/>
    <mergeCell ref="D1:M6"/>
    <mergeCell ref="A4:B5"/>
    <mergeCell ref="G8:G12"/>
    <mergeCell ref="H8:H12"/>
    <mergeCell ref="R8:R12"/>
    <mergeCell ref="S8:T8"/>
  </mergeCells>
  <conditionalFormatting sqref="X13:X51 X61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{4228850D-3D17-4F55-997F-68DE47448582}</x14:id>
        </ext>
      </extLst>
    </cfRule>
  </conditionalFormatting>
  <conditionalFormatting sqref="F13:F51 F61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{4DC16574-443C-4D2E-890C-43422FCB1FCC}</x14:id>
        </ext>
      </extLst>
    </cfRule>
  </conditionalFormatting>
  <conditionalFormatting sqref="X52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{DBFE9E33-9A1A-4A40-A2BE-701083039D24}</x14:id>
        </ext>
      </extLst>
    </cfRule>
  </conditionalFormatting>
  <conditionalFormatting sqref="F52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{0AE3B0CF-C539-47C3-A11D-871B885C7E93}</x14:id>
        </ext>
      </extLst>
    </cfRule>
  </conditionalFormatting>
  <conditionalFormatting sqref="X53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{7DF969B2-990E-4C4E-8A26-5FA303E08E34}</x14:id>
        </ext>
      </extLst>
    </cfRule>
  </conditionalFormatting>
  <conditionalFormatting sqref="F5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{CECDFF9F-9714-4C4F-8408-EBDAE73F82FC}</x14:id>
        </ext>
      </extLst>
    </cfRule>
  </conditionalFormatting>
  <conditionalFormatting sqref="X54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{7A5857B2-A617-4457-8DF3-5C2A4A55E2A4}</x14:id>
        </ext>
      </extLst>
    </cfRule>
  </conditionalFormatting>
  <conditionalFormatting sqref="F54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{09EE73B8-21CF-4AEF-A769-F4B738D2CBA6}</x14:id>
        </ext>
      </extLst>
    </cfRule>
  </conditionalFormatting>
  <conditionalFormatting sqref="X55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{C1A91666-4B7C-4146-9883-DE76B0A1E28E}</x14:id>
        </ext>
      </extLst>
    </cfRule>
  </conditionalFormatting>
  <conditionalFormatting sqref="F55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{ABB87784-95C4-4AC4-A9FD-331315E9C9F8}</x14:id>
        </ext>
      </extLst>
    </cfRule>
  </conditionalFormatting>
  <conditionalFormatting sqref="X56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{A721FEFC-545E-44BA-9EB0-1FF6D255F0C0}</x14:id>
        </ext>
      </extLst>
    </cfRule>
  </conditionalFormatting>
  <conditionalFormatting sqref="F56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{FBF49EE9-82D5-48C0-AF91-C9AABE3768D0}</x14:id>
        </ext>
      </extLst>
    </cfRule>
  </conditionalFormatting>
  <conditionalFormatting sqref="X57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{4B155103-E2F7-421B-8497-89FD941FAF93}</x14:id>
        </ext>
      </extLst>
    </cfRule>
  </conditionalFormatting>
  <conditionalFormatting sqref="F57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{A9B47FA5-1F58-4255-8953-3FD444029E80}</x14:id>
        </ext>
      </extLst>
    </cfRule>
  </conditionalFormatting>
  <conditionalFormatting sqref="X5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{7A9D4ACA-8C00-4C5F-A01E-862FE42E1CC2}</x14:id>
        </ext>
      </extLst>
    </cfRule>
  </conditionalFormatting>
  <conditionalFormatting sqref="F58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{51FB666D-2100-43F7-B701-B59D4CB68B85}</x14:id>
        </ext>
      </extLst>
    </cfRule>
  </conditionalFormatting>
  <conditionalFormatting sqref="X6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{50284E07-5B11-427E-A62F-F1EC6211E56D}</x14:id>
        </ext>
      </extLst>
    </cfRule>
  </conditionalFormatting>
  <conditionalFormatting sqref="F60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{F0FCD202-E77D-4DD1-B918-504353D965F8}</x14:id>
        </ext>
      </extLst>
    </cfRule>
  </conditionalFormatting>
  <conditionalFormatting sqref="X59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{C4B93646-69BD-43C0-BB3E-BCC2B0E20C47}</x14:id>
        </ext>
      </extLst>
    </cfRule>
  </conditionalFormatting>
  <conditionalFormatting sqref="F59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{32B6E16B-E652-403F-A92E-1EE0388924CD}</x14:id>
        </ext>
      </extLst>
    </cfRule>
  </conditionalFormatting>
  <conditionalFormatting sqref="X13:X6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{0E8030DE-0148-4233-A646-84F1C1935A82}</x14:id>
        </ext>
      </extLst>
    </cfRule>
  </conditionalFormatting>
  <conditionalFormatting sqref="F13:F6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{7316B744-79C6-4B3E-A4E4-30CA1EA07B23}</x14:id>
        </ext>
      </extLst>
    </cfRule>
  </conditionalFormatting>
  <conditionalFormatting sqref="F13:F63 F65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{8434F953-FFDF-4ECA-A6C8-EAA528CB410F}</x14:id>
        </ext>
      </extLst>
    </cfRule>
  </conditionalFormatting>
  <conditionalFormatting sqref="X13:X62 X65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{3F40655C-0734-48E0-B5AB-41A6E1F78C33}</x14:id>
        </ext>
      </extLst>
    </cfRule>
  </conditionalFormatting>
  <conditionalFormatting sqref="X6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{D70C9D50-2F6C-4BAA-8103-FA3B21B892B4}</x14:id>
        </ext>
      </extLst>
    </cfRule>
  </conditionalFormatting>
  <conditionalFormatting sqref="X6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{2495BBD9-2626-4293-97E7-3EFEE148CF00}</x14:id>
        </ext>
      </extLst>
    </cfRule>
  </conditionalFormatting>
  <conditionalFormatting sqref="F64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{DF740B9F-6B84-4564-8CFD-97D58324DA8E}</x14:id>
        </ext>
      </extLst>
    </cfRule>
  </conditionalFormatting>
  <conditionalFormatting sqref="F13:F65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{FCA06E49-D5AD-49FC-B742-E85C26A08684}</x14:id>
        </ext>
      </extLst>
    </cfRule>
  </conditionalFormatting>
  <conditionalFormatting sqref="X13:X6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{3BF065EA-05BA-4C0F-9023-24A2B7FA2E6D}</x14:id>
        </ext>
      </extLst>
    </cfRule>
  </conditionalFormatting>
  <conditionalFormatting sqref="F1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{1A7DFB03-B1BF-4858-9462-587E4482BAD3}</x14:id>
        </ext>
      </extLst>
    </cfRule>
  </conditionalFormatting>
  <conditionalFormatting sqref="F1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{DB561ACC-1A1A-4230-821D-4DBD877C768F}</x14:id>
        </ext>
      </extLst>
    </cfRule>
  </conditionalFormatting>
  <conditionalFormatting sqref="F12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{0A34A704-9FBA-4DFC-9C2A-9D47C77F5B1A}</x14:id>
        </ext>
      </extLst>
    </cfRule>
  </conditionalFormatting>
  <conditionalFormatting sqref="F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{BC8736CC-B5EE-4E75-9EF0-AFE9A68B21EC}</x14:id>
        </ext>
      </extLst>
    </cfRule>
  </conditionalFormatting>
  <conditionalFormatting sqref="I13:I65">
    <cfRule type="cellIs" dxfId="178" priority="23" operator="lessThan">
      <formula>MIN(I$13:I$65)*1.1</formula>
    </cfRule>
    <cfRule type="cellIs" dxfId="177" priority="24" operator="equal">
      <formula>MIN(I$13:I$65)</formula>
    </cfRule>
  </conditionalFormatting>
  <conditionalFormatting sqref="J13:J65">
    <cfRule type="cellIs" dxfId="176" priority="21" operator="lessThan">
      <formula>MIN(J$13:J$65)*1.1</formula>
    </cfRule>
    <cfRule type="cellIs" dxfId="175" priority="22" operator="equal">
      <formula>MIN(J$13:J$65)</formula>
    </cfRule>
  </conditionalFormatting>
  <conditionalFormatting sqref="K13:K65">
    <cfRule type="cellIs" dxfId="174" priority="19" operator="lessThan">
      <formula>MIN(K$13:K$65)*1.1</formula>
    </cfRule>
    <cfRule type="cellIs" dxfId="173" priority="20" operator="equal">
      <formula>MIN(K$13:K$65)</formula>
    </cfRule>
  </conditionalFormatting>
  <conditionalFormatting sqref="L13:L65">
    <cfRule type="cellIs" dxfId="172" priority="17" operator="lessThan">
      <formula>MIN(L$13:L$65)*1.1</formula>
    </cfRule>
    <cfRule type="cellIs" dxfId="171" priority="18" operator="equal">
      <formula>MIN(L$13:L$65)</formula>
    </cfRule>
  </conditionalFormatting>
  <conditionalFormatting sqref="M13:M65">
    <cfRule type="cellIs" dxfId="170" priority="15" operator="lessThan">
      <formula>MIN(M$13:M$65)*1.1</formula>
    </cfRule>
    <cfRule type="cellIs" dxfId="169" priority="16" operator="equal">
      <formula>MIN(M$13:M$65)</formula>
    </cfRule>
  </conditionalFormatting>
  <conditionalFormatting sqref="N13:N65">
    <cfRule type="cellIs" dxfId="168" priority="13" operator="lessThan">
      <formula>MIN(N$13:N$65)*1.1</formula>
    </cfRule>
    <cfRule type="cellIs" dxfId="167" priority="14" operator="equal">
      <formula>MIN(N$13:N$65)</formula>
    </cfRule>
  </conditionalFormatting>
  <conditionalFormatting sqref="O13:O65">
    <cfRule type="cellIs" dxfId="166" priority="11" operator="lessThan">
      <formula>MIN(O$13:O$65)*1.1</formula>
    </cfRule>
    <cfRule type="cellIs" dxfId="165" priority="12" operator="equal">
      <formula>MIN(O$13:O$65)</formula>
    </cfRule>
  </conditionalFormatting>
  <conditionalFormatting sqref="P13:P65">
    <cfRule type="cellIs" dxfId="164" priority="9" operator="lessThan">
      <formula>MIN(P$13:P$65)*1.1</formula>
    </cfRule>
    <cfRule type="cellIs" dxfId="163" priority="10" operator="equal">
      <formula>MIN(P$13:P$65)</formula>
    </cfRule>
  </conditionalFormatting>
  <conditionalFormatting sqref="Q13:Q65">
    <cfRule type="cellIs" dxfId="162" priority="7" operator="lessThan">
      <formula>MIN(Q$13:Q$65)*1.1</formula>
    </cfRule>
    <cfRule type="cellIs" dxfId="161" priority="8" operator="equal">
      <formula>MIN(Q$13:Q$65)</formula>
    </cfRule>
  </conditionalFormatting>
  <conditionalFormatting sqref="G13:G6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{1F4CE6A1-F837-4ED5-96D6-09A81E86BCCF}</x14:id>
        </ext>
      </extLst>
    </cfRule>
  </conditionalFormatting>
  <conditionalFormatting sqref="H13:H6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{2B38EAD8-EF50-438D-8BB1-45A337A3634C}</x14:id>
        </ext>
      </extLst>
    </cfRule>
  </conditionalFormatting>
  <conditionalFormatting sqref="C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{542EF8C6-AA03-40F4-B474-119C96E6CE58}</x14:id>
        </ext>
      </extLst>
    </cfRule>
  </conditionalFormatting>
  <conditionalFormatting sqref="C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{63E0FBE8-769D-4F55-8207-F86B328FCADF}</x14:id>
        </ext>
      </extLst>
    </cfRule>
  </conditionalFormatting>
  <conditionalFormatting sqref="C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{91BD950A-CB78-46A2-8190-8CB109A71E65}</x14:id>
        </ext>
      </extLst>
    </cfRule>
  </conditionalFormatting>
  <conditionalFormatting sqref="C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{707B6432-A340-4638-AB42-7AA8F4F7F30A}</x14:id>
        </ext>
      </extLst>
    </cfRule>
  </conditionalFormatting>
  <hyperlinks>
    <hyperlink ref="C7" r:id="rId1"/>
    <hyperlink ref="O8" r:id="rId2" display="PGM/PPM"/>
    <hyperlink ref="P8" r:id="rId3"/>
    <hyperlink ref="Q8" r:id="rId4"/>
    <hyperlink ref="N8" r:id="rId5"/>
    <hyperlink ref="L8" r:id="rId6"/>
    <hyperlink ref="I8" r:id="rId7"/>
    <hyperlink ref="C37" r:id="rId8" display="Durilca 0.5 (Hutter) -o13 -m700 -t1"/>
    <hyperlink ref="C23" r:id="rId9" display="FP8 -7 (2010) Jan Ondrus"/>
    <hyperlink ref="M8" r:id="rId10"/>
    <hyperlink ref="W4" r:id="rId11"/>
    <hyperlink ref="W5" r:id="rId12"/>
    <hyperlink ref="C19" r:id="rId13" display="PAQ 8o8pre -7 (07.11.'07) 'PAQcrew'"/>
    <hyperlink ref="C22" r:id="rId14" display="FP8 v2 -7 (2012) Jan Ondrus"/>
    <hyperlink ref="C21" r:id="rId15" display="FP8 v3 -7 (2012) Jan Ondrus"/>
    <hyperlink ref="R4" r:id="rId16"/>
    <hyperlink ref="C65" r:id="rId17" display="CTS"/>
    <hyperlink ref="C44" r:id="rId18" display="OCAMYD 1.66 RC 6 -s0 -m9"/>
    <hyperlink ref="C41" r:id="rId19" display="SLIM 0.21 (2004) -w25 A. Voskoboynikov"/>
    <hyperlink ref="C40" r:id="rId20" display="SLIM 0.23d (2004) -o16 -m800 S. Voskoboynikov"/>
    <hyperlink ref="C42" r:id="rId21" display="PAQ 4 EmilCont Duritium Berto Destasio"/>
    <hyperlink ref="C43" r:id="rId22" display="PAQ 7 (24.12.2005) -5           "/>
    <hyperlink ref="C36" r:id="rId23" display="UDA 0.301 (2006)  'PAQ crew' &amp; Dwing"/>
    <hyperlink ref="C27" r:id="rId24" display="PAQ 8jd (SSE Win32) -7 'PAQ crew'"/>
    <hyperlink ref="C25" r:id="rId25" display="PAQ 8l -7  'PAQ crew'"/>
    <hyperlink ref="C34" r:id="rId26" display="PAQAR 4 (2004) Option -7e 'PAQ crew'"/>
    <hyperlink ref="C33" r:id="rId27" display="PAsQDa v4.4 -8e (std dict.)  'PAQ crew'"/>
    <hyperlink ref="C31" r:id="rId28" display="PAQ 8d (2006) -7 (std dict.)  'PAQ crew'"/>
    <hyperlink ref="C30" r:id="rId29" display="PAQ 8i (std dict.) -7 'PAQ crew'"/>
    <hyperlink ref="C50" r:id="rId30" display="SCM 0.01 -p3 Sebastian Lehmann"/>
    <hyperlink ref="C59" r:id="rId31" display="Staticcomp 1.0 -c -g6 -b6 Tomas Benek"/>
    <hyperlink ref="C56" r:id="rId32" display="BARRED SVN_Sep23 Frank Jennings"/>
    <hyperlink ref="C45" r:id="rId33" display="OCAMYD 1.65 Final -s0 -m9"/>
    <hyperlink ref="C60" r:id="rId34" display="LCSSR 0.2 (2007) Frank Schwellinger"/>
    <hyperlink ref="C47" r:id="rId35"/>
    <hyperlink ref="R5" r:id="rId36"/>
    <hyperlink ref="C57" r:id="rId37"/>
    <hyperlink ref="C46" r:id="rId38" display="RK 1.04.1a  -ts -t16384 -mx3 -m256"/>
    <hyperlink ref="C48" r:id="rId39" display="PIMPLE 1.43 extreme Ilia Muraviev"/>
    <hyperlink ref="C49" r:id="rId40"/>
    <hyperlink ref="C54" r:id="rId41"/>
    <hyperlink ref="C58" r:id="rId42"/>
    <hyperlink ref="C52" r:id="rId43"/>
    <hyperlink ref="C63" r:id="rId44"/>
    <hyperlink ref="C64" r:id="rId45"/>
    <hyperlink ref="C51" r:id="rId46"/>
    <hyperlink ref="J8" r:id="rId47"/>
    <hyperlink ref="K8" r:id="rId48"/>
    <hyperlink ref="C35" r:id="rId49"/>
  </hyperlinks>
  <pageMargins left="0.59027777777777779" right="0" top="0" bottom="0" header="0.51180555555555562" footer="0.51180555555555562"/>
  <pageSetup paperSize="9" scale="30" firstPageNumber="0" orientation="portrait" r:id="rId50"/>
  <headerFooter alignWithMargins="0"/>
  <drawing r:id="rId51"/>
  <legacyDrawing r:id="rId52"/>
  <picture r:id="rId5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28850D-3D17-4F55-997F-68DE47448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X13:X51 X61</xm:sqref>
        </x14:conditionalFormatting>
        <x14:conditionalFormatting xmlns:xm="http://schemas.microsoft.com/office/excel/2006/main">
          <x14:cfRule type="dataBar" id="{4DC16574-443C-4D2E-890C-43422FCB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F13:F51 F61</xm:sqref>
        </x14:conditionalFormatting>
        <x14:conditionalFormatting xmlns:xm="http://schemas.microsoft.com/office/excel/2006/main">
          <x14:cfRule type="dataBar" id="{DBFE9E33-9A1A-4A40-A2BE-701083039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X52</xm:sqref>
        </x14:conditionalFormatting>
        <x14:conditionalFormatting xmlns:xm="http://schemas.microsoft.com/office/excel/2006/main">
          <x14:cfRule type="dataBar" id="{0AE3B0CF-C539-47C3-A11D-871B885C7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7DF969B2-990E-4C4E-8A26-5FA303E08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X53</xm:sqref>
        </x14:conditionalFormatting>
        <x14:conditionalFormatting xmlns:xm="http://schemas.microsoft.com/office/excel/2006/main">
          <x14:cfRule type="dataBar" id="{CECDFF9F-9714-4C4F-8408-EBDAE73F8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A5857B2-A617-4457-8DF3-5C2A4A55E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X54</xm:sqref>
        </x14:conditionalFormatting>
        <x14:conditionalFormatting xmlns:xm="http://schemas.microsoft.com/office/excel/2006/main">
          <x14:cfRule type="dataBar" id="{09EE73B8-21CF-4AEF-A769-F4B738D2CB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C1A91666-4B7C-4146-9883-DE76B0A1E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X55</xm:sqref>
        </x14:conditionalFormatting>
        <x14:conditionalFormatting xmlns:xm="http://schemas.microsoft.com/office/excel/2006/main">
          <x14:cfRule type="dataBar" id="{ABB87784-95C4-4AC4-A9FD-331315E9C9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A721FEFC-545E-44BA-9EB0-1FF6D255F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X56</xm:sqref>
        </x14:conditionalFormatting>
        <x14:conditionalFormatting xmlns:xm="http://schemas.microsoft.com/office/excel/2006/main">
          <x14:cfRule type="dataBar" id="{FBF49EE9-82D5-48C0-AF91-C9AABE3768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4B155103-E2F7-421B-8497-89FD941FA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X57</xm:sqref>
        </x14:conditionalFormatting>
        <x14:conditionalFormatting xmlns:xm="http://schemas.microsoft.com/office/excel/2006/main">
          <x14:cfRule type="dataBar" id="{A9B47FA5-1F58-4255-8953-3FD444029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7A9D4ACA-8C00-4C5F-A01E-862FE42E1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X58</xm:sqref>
        </x14:conditionalFormatting>
        <x14:conditionalFormatting xmlns:xm="http://schemas.microsoft.com/office/excel/2006/main">
          <x14:cfRule type="dataBar" id="{51FB666D-2100-43F7-B701-B59D4CB68B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50284E07-5B11-427E-A62F-F1EC6211E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X60</xm:sqref>
        </x14:conditionalFormatting>
        <x14:conditionalFormatting xmlns:xm="http://schemas.microsoft.com/office/excel/2006/main">
          <x14:cfRule type="dataBar" id="{F0FCD202-E77D-4DD1-B918-504353D965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C4B93646-69BD-43C0-BB3E-BCC2B0E20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X59</xm:sqref>
        </x14:conditionalFormatting>
        <x14:conditionalFormatting xmlns:xm="http://schemas.microsoft.com/office/excel/2006/main">
          <x14:cfRule type="dataBar" id="{32B6E16B-E652-403F-A92E-1EE0388924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0E8030DE-0148-4233-A646-84F1C1935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X13:X61</xm:sqref>
        </x14:conditionalFormatting>
        <x14:conditionalFormatting xmlns:xm="http://schemas.microsoft.com/office/excel/2006/main">
          <x14:cfRule type="dataBar" id="{7316B744-79C6-4B3E-A4E4-30CA1EA07B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F13:F61</xm:sqref>
        </x14:conditionalFormatting>
        <x14:conditionalFormatting xmlns:xm="http://schemas.microsoft.com/office/excel/2006/main">
          <x14:cfRule type="dataBar" id="{8434F953-FFDF-4ECA-A6C8-EAA528CB4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F13:F63 F65</xm:sqref>
        </x14:conditionalFormatting>
        <x14:conditionalFormatting xmlns:xm="http://schemas.microsoft.com/office/excel/2006/main">
          <x14:cfRule type="dataBar" id="{3F40655C-0734-48E0-B5AB-41A6E1F78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X13:X62 X65</xm:sqref>
        </x14:conditionalFormatting>
        <x14:conditionalFormatting xmlns:xm="http://schemas.microsoft.com/office/excel/2006/main">
          <x14:cfRule type="dataBar" id="{D70C9D50-2F6C-4BAA-8103-FA3B21B89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X63</xm:sqref>
        </x14:conditionalFormatting>
        <x14:conditionalFormatting xmlns:xm="http://schemas.microsoft.com/office/excel/2006/main">
          <x14:cfRule type="dataBar" id="{2495BBD9-2626-4293-97E7-3EFEE148C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X64</xm:sqref>
        </x14:conditionalFormatting>
        <x14:conditionalFormatting xmlns:xm="http://schemas.microsoft.com/office/excel/2006/main">
          <x14:cfRule type="dataBar" id="{DF740B9F-6B84-4564-8CFD-97D58324DA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FCA06E49-D5AD-49FC-B742-E85C26A086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F13:F65</xm:sqref>
        </x14:conditionalFormatting>
        <x14:conditionalFormatting xmlns:xm="http://schemas.microsoft.com/office/excel/2006/main">
          <x14:cfRule type="dataBar" id="{3BF065EA-05BA-4C0F-9023-24A2B7FA2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X13:X65</xm:sqref>
        </x14:conditionalFormatting>
        <x14:conditionalFormatting xmlns:xm="http://schemas.microsoft.com/office/excel/2006/main">
          <x14:cfRule type="dataBar" id="{1A7DFB03-B1BF-4858-9462-587E4482BA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DB561ACC-1A1A-4230-821D-4DBD877C7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0A34A704-9FBA-4DFC-9C2A-9D47C77F5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BC8736CC-B5EE-4E75-9EF0-AFE9A68B21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1F4CE6A1-F837-4ED5-96D6-09A81E86BC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G13:G65</xm:sqref>
        </x14:conditionalFormatting>
        <x14:conditionalFormatting xmlns:xm="http://schemas.microsoft.com/office/excel/2006/main">
          <x14:cfRule type="dataBar" id="{2B38EAD8-EF50-438D-8BB1-45A337A363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H13:H65</xm:sqref>
        </x14:conditionalFormatting>
        <x14:conditionalFormatting xmlns:xm="http://schemas.microsoft.com/office/excel/2006/main">
          <x14:cfRule type="dataBar" id="{542EF8C6-AA03-40F4-B474-119C96E6CE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63E0FBE8-769D-4F55-8207-F86B328FCA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91BD950A-CB78-46A2-8190-8CB109A71E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707B6432-A340-4638-AB42-7AA8F4F7F3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Q170"/>
  <sheetViews>
    <sheetView showGridLines="0" workbookViewId="0">
      <selection activeCell="E24" sqref="E24"/>
    </sheetView>
  </sheetViews>
  <sheetFormatPr baseColWidth="10" defaultColWidth="9.140625" defaultRowHeight="12.75"/>
  <cols>
    <col min="1" max="1" width="2.7109375" style="1" customWidth="1"/>
    <col min="2" max="2" width="57.7109375" style="1" customWidth="1"/>
    <col min="3" max="3" width="4.5703125" style="1" customWidth="1"/>
    <col min="4" max="4" width="13.7109375" style="1" customWidth="1"/>
    <col min="5" max="5" width="9.140625" style="1" customWidth="1"/>
    <col min="6" max="11" width="15.42578125" style="1" customWidth="1"/>
    <col min="12" max="12" width="11.5703125" style="1" customWidth="1"/>
    <col min="13" max="13" width="50.7109375" style="1" customWidth="1"/>
    <col min="14" max="14" width="2.7109375" style="1" customWidth="1"/>
    <col min="15" max="15" width="6.7109375" style="1" customWidth="1"/>
    <col min="16" max="16" width="13.7109375" style="1" customWidth="1"/>
    <col min="17" max="17" width="8.140625" style="1" customWidth="1"/>
    <col min="18" max="16384" width="9.140625" style="1"/>
  </cols>
  <sheetData>
    <row r="1" spans="1:17" ht="18" customHeight="1">
      <c r="A1" s="255"/>
      <c r="B1" s="293">
        <f ca="1">NOW()</f>
        <v>41756.581124537035</v>
      </c>
      <c r="C1" s="3138" t="s">
        <v>1361</v>
      </c>
      <c r="D1" s="3138"/>
      <c r="E1" s="3138"/>
      <c r="F1" s="3138"/>
      <c r="G1" s="3138"/>
      <c r="H1" s="3138"/>
      <c r="I1" s="3138"/>
      <c r="J1" s="3138"/>
      <c r="K1" s="3138"/>
      <c r="L1" s="3138"/>
      <c r="M1" s="256"/>
      <c r="N1" s="256"/>
      <c r="O1" s="256"/>
      <c r="P1" s="256"/>
      <c r="Q1" s="256"/>
    </row>
    <row r="2" spans="1:17" ht="15" customHeight="1">
      <c r="A2" s="255"/>
      <c r="B2" s="1049" t="s">
        <v>1514</v>
      </c>
      <c r="C2" s="3138"/>
      <c r="D2" s="3138"/>
      <c r="E2" s="3138"/>
      <c r="F2" s="3138"/>
      <c r="G2" s="3138"/>
      <c r="H2" s="3138"/>
      <c r="I2" s="3138"/>
      <c r="J2" s="3138"/>
      <c r="K2" s="3138"/>
      <c r="L2" s="3138"/>
      <c r="M2" s="256"/>
      <c r="N2" s="256"/>
      <c r="O2" s="256"/>
      <c r="P2" s="256"/>
      <c r="Q2" s="256"/>
    </row>
    <row r="3" spans="1:17" ht="26.25" customHeight="1">
      <c r="A3" s="255"/>
      <c r="B3" s="1048" t="s">
        <v>1515</v>
      </c>
      <c r="C3" s="3138"/>
      <c r="D3" s="3138"/>
      <c r="E3" s="3138"/>
      <c r="F3" s="3138"/>
      <c r="G3" s="3138"/>
      <c r="H3" s="3138"/>
      <c r="I3" s="3138"/>
      <c r="J3" s="3138"/>
      <c r="K3" s="3138"/>
      <c r="L3" s="3138"/>
      <c r="M3" s="256"/>
      <c r="N3" s="256"/>
      <c r="O3" s="256"/>
      <c r="P3" s="256"/>
      <c r="Q3" s="256"/>
    </row>
    <row r="4" spans="1:17" ht="15" customHeight="1">
      <c r="A4" s="49"/>
      <c r="B4" s="1579" t="s">
        <v>1213</v>
      </c>
      <c r="C4" s="1580"/>
      <c r="D4" s="3153" t="s">
        <v>1781</v>
      </c>
      <c r="E4" s="3150" t="s">
        <v>47</v>
      </c>
      <c r="F4" s="1574" t="s">
        <v>1249</v>
      </c>
      <c r="G4" s="1574" t="s">
        <v>1250</v>
      </c>
      <c r="H4" s="1574" t="s">
        <v>1251</v>
      </c>
      <c r="I4" s="1574" t="s">
        <v>1252</v>
      </c>
      <c r="J4" s="1574" t="s">
        <v>1253</v>
      </c>
      <c r="K4" s="1574" t="s">
        <v>1254</v>
      </c>
      <c r="L4" s="5"/>
      <c r="M4" s="281"/>
      <c r="N4" s="257"/>
      <c r="O4" s="257"/>
      <c r="P4" s="258"/>
      <c r="Q4" s="258"/>
    </row>
    <row r="5" spans="1:17" ht="36" customHeight="1">
      <c r="A5" s="49"/>
      <c r="B5" s="3148" t="s">
        <v>1360</v>
      </c>
      <c r="C5" s="1581"/>
      <c r="D5" s="3154"/>
      <c r="E5" s="3151"/>
      <c r="F5" s="1575" t="s">
        <v>1243</v>
      </c>
      <c r="G5" s="1575" t="s">
        <v>1244</v>
      </c>
      <c r="H5" s="1575" t="s">
        <v>1245</v>
      </c>
      <c r="I5" s="290" t="s">
        <v>1246</v>
      </c>
      <c r="J5" s="290" t="s">
        <v>1247</v>
      </c>
      <c r="K5" s="290" t="s">
        <v>1248</v>
      </c>
      <c r="L5" s="5"/>
      <c r="M5" s="281"/>
      <c r="N5" s="257"/>
      <c r="O5" s="257"/>
      <c r="P5" s="258"/>
      <c r="Q5" s="258"/>
    </row>
    <row r="6" spans="1:17" ht="15" customHeight="1">
      <c r="A6" s="49"/>
      <c r="B6" s="3149"/>
      <c r="C6" s="1581"/>
      <c r="D6" s="3154"/>
      <c r="E6" s="3151"/>
      <c r="F6" s="1582" t="s">
        <v>1196</v>
      </c>
      <c r="G6" s="1582" t="s">
        <v>1196</v>
      </c>
      <c r="H6" s="1582" t="s">
        <v>1196</v>
      </c>
      <c r="I6" s="1583" t="s">
        <v>1196</v>
      </c>
      <c r="J6" s="1583" t="s">
        <v>1196</v>
      </c>
      <c r="K6" s="1583" t="s">
        <v>1196</v>
      </c>
      <c r="L6" s="5"/>
      <c r="M6" s="281"/>
      <c r="N6" s="257"/>
      <c r="O6" s="257"/>
      <c r="P6" s="258"/>
      <c r="Q6" s="258"/>
    </row>
    <row r="7" spans="1:17" ht="15" customHeight="1">
      <c r="A7" s="49"/>
      <c r="B7" s="1576" t="s">
        <v>1517</v>
      </c>
      <c r="C7" s="1581"/>
      <c r="D7" s="3155"/>
      <c r="E7" s="3152"/>
      <c r="F7" s="287" t="s">
        <v>1241</v>
      </c>
      <c r="G7" s="287" t="s">
        <v>1197</v>
      </c>
      <c r="H7" s="292" t="s">
        <v>1240</v>
      </c>
      <c r="I7" s="282" t="s">
        <v>1198</v>
      </c>
      <c r="J7" s="282" t="s">
        <v>1199</v>
      </c>
      <c r="K7" s="282" t="s">
        <v>1200</v>
      </c>
      <c r="L7" s="5"/>
      <c r="M7" s="281"/>
      <c r="N7" s="257"/>
      <c r="O7" s="257"/>
      <c r="P7" s="258"/>
      <c r="Q7" s="258"/>
    </row>
    <row r="8" spans="1:17" ht="1.5" hidden="1" customHeight="1">
      <c r="A8" s="49"/>
      <c r="B8" s="1577"/>
      <c r="C8" s="1581"/>
      <c r="D8" s="1327">
        <v>100</v>
      </c>
      <c r="E8" s="1327"/>
      <c r="F8" s="1584">
        <f t="shared" ref="F8:K8" si="0">MIN(F9:F82)</f>
        <v>21324487</v>
      </c>
      <c r="G8" s="1584">
        <f t="shared" si="0"/>
        <v>65855109</v>
      </c>
      <c r="H8" s="1584">
        <f t="shared" si="0"/>
        <v>20771857</v>
      </c>
      <c r="I8" s="1584">
        <f t="shared" si="0"/>
        <v>22759276</v>
      </c>
      <c r="J8" s="1584">
        <f t="shared" si="0"/>
        <v>25262790</v>
      </c>
      <c r="K8" s="1584">
        <f t="shared" si="0"/>
        <v>52216710</v>
      </c>
      <c r="L8" s="5"/>
      <c r="M8" s="281"/>
      <c r="N8" s="257"/>
      <c r="O8" s="257"/>
      <c r="P8" s="258"/>
      <c r="Q8" s="258"/>
    </row>
    <row r="9" spans="1:17" ht="18">
      <c r="A9" s="49"/>
      <c r="B9" s="1578" t="s">
        <v>1242</v>
      </c>
      <c r="C9" s="1585"/>
      <c r="D9" s="1811">
        <f>SUM(F9/F$8,G9/G$8,H9/H$8,I9/I$8,J9/J$8,K9/K$8)/6*100</f>
        <v>171.46939493587396</v>
      </c>
      <c r="E9" s="1573" t="s">
        <v>1782</v>
      </c>
      <c r="F9" s="1586">
        <v>36245448</v>
      </c>
      <c r="G9" s="1587">
        <v>128217728</v>
      </c>
      <c r="H9" s="1586">
        <v>39886856</v>
      </c>
      <c r="I9" s="1587">
        <v>34774648</v>
      </c>
      <c r="J9" s="1587">
        <v>38215342</v>
      </c>
      <c r="K9" s="1587">
        <v>87755684</v>
      </c>
      <c r="L9" s="5"/>
      <c r="M9" s="259"/>
      <c r="N9" s="260"/>
      <c r="O9" s="261"/>
      <c r="P9" s="262"/>
      <c r="Q9" s="52"/>
    </row>
    <row r="10" spans="1:17" ht="18">
      <c r="A10" s="263"/>
      <c r="B10" s="1311" t="s">
        <v>1824</v>
      </c>
      <c r="C10" s="1588"/>
      <c r="D10" s="1811">
        <f t="shared" ref="D10:D41" si="1">SUM(F10/F$8,G10/G$8,H10/H$8,I10/I$8,J10/J$8,K10/K$8)/6*100</f>
        <v>100.06774435236687</v>
      </c>
      <c r="E10" s="1815">
        <f>4322+15368+4595+4096+4439+10146</f>
        <v>42966</v>
      </c>
      <c r="F10" s="1589">
        <v>21324487</v>
      </c>
      <c r="G10" s="1590">
        <v>65919345</v>
      </c>
      <c r="H10" s="1590">
        <v>20771857</v>
      </c>
      <c r="I10" s="1591">
        <v>22759276</v>
      </c>
      <c r="J10" s="1591">
        <v>25340833</v>
      </c>
      <c r="K10" s="1591">
        <v>52216710</v>
      </c>
      <c r="L10" s="5"/>
      <c r="M10" s="264"/>
      <c r="N10" s="265"/>
      <c r="O10" s="266"/>
      <c r="P10" s="267"/>
      <c r="Q10" s="52"/>
    </row>
    <row r="11" spans="1:17" ht="18">
      <c r="A11" s="263"/>
      <c r="B11" s="1311" t="s">
        <v>1825</v>
      </c>
      <c r="C11" s="1592"/>
      <c r="D11" s="1811">
        <f t="shared" si="1"/>
        <v>100.53115407170527</v>
      </c>
      <c r="E11" s="1815">
        <f>267.8+976.9+283.7+248.4+277.4+635.8</f>
        <v>2690</v>
      </c>
      <c r="F11" s="1593">
        <v>21394272</v>
      </c>
      <c r="G11" s="1594">
        <v>65905363</v>
      </c>
      <c r="H11" s="1594">
        <v>20880497</v>
      </c>
      <c r="I11" s="1595">
        <v>23179339</v>
      </c>
      <c r="J11" s="1596">
        <v>25262790</v>
      </c>
      <c r="K11" s="1596">
        <v>52433236</v>
      </c>
      <c r="L11" s="5"/>
      <c r="M11" s="264"/>
      <c r="N11" s="265"/>
      <c r="O11" s="266"/>
      <c r="P11" s="267"/>
      <c r="Q11" s="52"/>
    </row>
    <row r="12" spans="1:17" ht="18">
      <c r="A12" s="263"/>
      <c r="B12" s="1311" t="s">
        <v>1827</v>
      </c>
      <c r="C12" s="1597"/>
      <c r="D12" s="1811">
        <f t="shared" si="1"/>
        <v>100.83529066972562</v>
      </c>
      <c r="E12" s="1815">
        <f>260.1+932.1+298.6+251.8+276.3+636.9</f>
        <v>2655.8</v>
      </c>
      <c r="F12" s="1598">
        <v>21409039</v>
      </c>
      <c r="G12" s="1599">
        <v>65924298</v>
      </c>
      <c r="H12" s="1599">
        <v>20891428</v>
      </c>
      <c r="I12" s="1600">
        <v>23200462</v>
      </c>
      <c r="J12" s="1596">
        <v>25648461</v>
      </c>
      <c r="K12" s="1596">
        <v>52461823</v>
      </c>
      <c r="L12" s="5"/>
      <c r="M12" s="264"/>
      <c r="N12" s="265"/>
      <c r="O12" s="266"/>
      <c r="P12" s="267"/>
      <c r="Q12" s="52"/>
    </row>
    <row r="13" spans="1:17" ht="18">
      <c r="A13" s="263"/>
      <c r="B13" s="1311" t="s">
        <v>1826</v>
      </c>
      <c r="C13" s="1601"/>
      <c r="D13" s="1811">
        <f t="shared" si="1"/>
        <v>100.83632366516511</v>
      </c>
      <c r="E13" s="1815">
        <f>25.5+89.3+27.7+25.3+27.5+62.8</f>
        <v>258.10000000000002</v>
      </c>
      <c r="F13" s="1602">
        <v>21462685</v>
      </c>
      <c r="G13" s="1603">
        <v>65968862</v>
      </c>
      <c r="H13" s="1603">
        <v>20997533</v>
      </c>
      <c r="I13" s="1596">
        <v>23186912</v>
      </c>
      <c r="J13" s="1596">
        <v>25483494</v>
      </c>
      <c r="K13" s="1596">
        <v>52403699</v>
      </c>
      <c r="L13" s="5"/>
      <c r="M13" s="264"/>
      <c r="N13" s="265"/>
      <c r="O13" s="266"/>
      <c r="P13" s="267"/>
      <c r="Q13" s="52"/>
    </row>
    <row r="14" spans="1:17" ht="18">
      <c r="A14" s="268"/>
      <c r="B14" s="891" t="s">
        <v>1828</v>
      </c>
      <c r="C14" s="1604"/>
      <c r="D14" s="1811">
        <f t="shared" si="1"/>
        <v>100.91231103815235</v>
      </c>
      <c r="E14" s="1815">
        <f>28.6+100.3+30.8+27.3+30.6+69.2</f>
        <v>286.8</v>
      </c>
      <c r="F14" s="1605">
        <v>21435946</v>
      </c>
      <c r="G14" s="1606">
        <v>65855109</v>
      </c>
      <c r="H14" s="1607">
        <v>21064336</v>
      </c>
      <c r="I14" s="1608">
        <v>23289649</v>
      </c>
      <c r="J14" s="1608">
        <v>25485901</v>
      </c>
      <c r="K14" s="1608">
        <v>52388822</v>
      </c>
      <c r="L14" s="5"/>
      <c r="M14" s="269"/>
      <c r="N14" s="270"/>
      <c r="O14" s="266"/>
      <c r="P14" s="267"/>
      <c r="Q14" s="52"/>
    </row>
    <row r="15" spans="1:17" ht="18">
      <c r="A15" s="268"/>
      <c r="B15" s="1312" t="s">
        <v>1829</v>
      </c>
      <c r="C15" s="1604"/>
      <c r="D15" s="1811">
        <f t="shared" si="1"/>
        <v>100.98854279607532</v>
      </c>
      <c r="E15" s="1815">
        <f>161.5+566.6+173.2+150.9+168.2+375.5</f>
        <v>1595.9</v>
      </c>
      <c r="F15" s="1605">
        <v>21414633</v>
      </c>
      <c r="G15" s="1607">
        <v>66045189</v>
      </c>
      <c r="H15" s="1607">
        <v>20928375</v>
      </c>
      <c r="I15" s="1607">
        <v>23279402</v>
      </c>
      <c r="J15" s="1607">
        <v>25687601</v>
      </c>
      <c r="K15" s="1607">
        <v>52477519</v>
      </c>
      <c r="L15" s="291"/>
      <c r="M15" s="269"/>
      <c r="N15" s="270"/>
      <c r="O15" s="266"/>
      <c r="P15" s="267"/>
      <c r="Q15" s="52"/>
    </row>
    <row r="16" spans="1:17" ht="18">
      <c r="A16" s="268"/>
      <c r="B16" s="1838" t="s">
        <v>1830</v>
      </c>
      <c r="C16" s="1604"/>
      <c r="D16" s="1811">
        <f t="shared" si="1"/>
        <v>101.15702585109368</v>
      </c>
      <c r="E16" s="1815">
        <f>18.9+66.4+20.7+18.6+20.7+46.8</f>
        <v>192.10000000000002</v>
      </c>
      <c r="F16" s="1605">
        <v>21583626</v>
      </c>
      <c r="G16" s="1609">
        <v>66168600</v>
      </c>
      <c r="H16" s="1609">
        <v>21057261</v>
      </c>
      <c r="I16" s="1610">
        <v>23269869</v>
      </c>
      <c r="J16" s="1610">
        <v>25557810</v>
      </c>
      <c r="K16" s="1611">
        <v>52459861</v>
      </c>
      <c r="L16" s="7"/>
      <c r="M16" s="269"/>
      <c r="N16" s="270"/>
      <c r="O16" s="266"/>
      <c r="P16" s="267"/>
      <c r="Q16" s="52"/>
    </row>
    <row r="17" spans="1:17" ht="18">
      <c r="A17" s="268"/>
      <c r="B17" s="891" t="s">
        <v>1831</v>
      </c>
      <c r="C17" s="1612"/>
      <c r="D17" s="1811">
        <f t="shared" si="1"/>
        <v>101.20201896412387</v>
      </c>
      <c r="E17" s="1815">
        <f>27.4+94.3+29.1+26.7+29.6+65</f>
        <v>272.09999999999997</v>
      </c>
      <c r="F17" s="1605">
        <v>21476583</v>
      </c>
      <c r="G17" s="1606">
        <v>65936413</v>
      </c>
      <c r="H17" s="1607">
        <v>21200966</v>
      </c>
      <c r="I17" s="1608">
        <v>23319973</v>
      </c>
      <c r="J17" s="1608">
        <v>25571633</v>
      </c>
      <c r="K17" s="1608">
        <v>52542266</v>
      </c>
      <c r="L17" s="5"/>
      <c r="M17" s="269"/>
      <c r="N17" s="271"/>
      <c r="O17" s="266"/>
      <c r="P17" s="267"/>
      <c r="Q17" s="52"/>
    </row>
    <row r="18" spans="1:17" ht="18" customHeight="1">
      <c r="A18" s="268"/>
      <c r="B18" s="286" t="s">
        <v>1832</v>
      </c>
      <c r="C18" s="1604"/>
      <c r="D18" s="1811">
        <f t="shared" si="1"/>
        <v>101.33524137676405</v>
      </c>
      <c r="E18" s="1815">
        <f>27.1+98.8+30.4+26.6+28.7+66</f>
        <v>277.60000000000002</v>
      </c>
      <c r="F18" s="1605">
        <v>21457439</v>
      </c>
      <c r="G18" s="1606">
        <v>66142172</v>
      </c>
      <c r="H18" s="1607">
        <v>21021517</v>
      </c>
      <c r="I18" s="1613">
        <v>23508884</v>
      </c>
      <c r="J18" s="1614">
        <v>25739164</v>
      </c>
      <c r="K18" s="1614">
        <v>52514789</v>
      </c>
      <c r="L18" s="5"/>
      <c r="M18" s="269"/>
      <c r="N18" s="271"/>
      <c r="O18" s="266"/>
      <c r="P18" s="267"/>
      <c r="Q18" s="52"/>
    </row>
    <row r="19" spans="1:17" ht="18" customHeight="1">
      <c r="A19" s="268"/>
      <c r="B19" s="891" t="s">
        <v>1833</v>
      </c>
      <c r="C19" s="1604"/>
      <c r="D19" s="1811">
        <f t="shared" si="1"/>
        <v>101.41426186608371</v>
      </c>
      <c r="E19" s="1815">
        <f>21.3+75.1+23.7+20.5+22.5+52.5</f>
        <v>215.6</v>
      </c>
      <c r="F19" s="1605">
        <v>21465370</v>
      </c>
      <c r="G19" s="1606">
        <v>66174736</v>
      </c>
      <c r="H19" s="1607">
        <v>21055736</v>
      </c>
      <c r="I19" s="1613">
        <v>23551281</v>
      </c>
      <c r="J19" s="1615">
        <v>25748767</v>
      </c>
      <c r="K19" s="1615">
        <v>52513979</v>
      </c>
      <c r="L19" s="5"/>
      <c r="M19" s="269"/>
      <c r="N19" s="271"/>
      <c r="O19" s="266"/>
      <c r="P19" s="267"/>
      <c r="Q19" s="52"/>
    </row>
    <row r="20" spans="1:17" ht="18" customHeight="1">
      <c r="A20" s="268" t="s">
        <v>1179</v>
      </c>
      <c r="B20" s="286" t="s">
        <v>1855</v>
      </c>
      <c r="C20" s="1616" t="s">
        <v>41</v>
      </c>
      <c r="D20" s="1811">
        <f t="shared" si="1"/>
        <v>102.10236901216756</v>
      </c>
      <c r="E20" s="1815">
        <f>13.1+44.2+13.6+11.8+13.1+30.3</f>
        <v>126.1</v>
      </c>
      <c r="F20" s="1617">
        <v>21773012</v>
      </c>
      <c r="G20" s="1618">
        <v>66797828</v>
      </c>
      <c r="H20" s="1619">
        <v>21499324</v>
      </c>
      <c r="I20" s="1608">
        <v>23246616</v>
      </c>
      <c r="J20" s="1608">
        <v>25823788</v>
      </c>
      <c r="K20" s="1608">
        <v>52851284</v>
      </c>
      <c r="L20" s="5"/>
      <c r="M20" s="269"/>
      <c r="N20" s="270"/>
      <c r="O20" s="266"/>
      <c r="P20" s="267"/>
      <c r="Q20" s="52"/>
    </row>
    <row r="21" spans="1:17" ht="18" customHeight="1">
      <c r="A21" s="268"/>
      <c r="B21" s="1839" t="s">
        <v>1834</v>
      </c>
      <c r="C21" s="1616" t="s">
        <v>41</v>
      </c>
      <c r="D21" s="1811">
        <f t="shared" si="1"/>
        <v>102.10366234017184</v>
      </c>
      <c r="E21" s="1815">
        <f>10.7+37.1+11.7+10.3+11.5+26.3</f>
        <v>107.6</v>
      </c>
      <c r="F21" s="1798">
        <v>21773012</v>
      </c>
      <c r="G21" s="1780">
        <v>66797828</v>
      </c>
      <c r="H21" s="1780">
        <v>21499324</v>
      </c>
      <c r="I21" s="1639">
        <v>23246616</v>
      </c>
      <c r="J21" s="1639">
        <v>25823788</v>
      </c>
      <c r="K21" s="1639">
        <v>52855336</v>
      </c>
      <c r="L21" s="5"/>
      <c r="M21" s="269"/>
      <c r="N21" s="270"/>
      <c r="O21" s="266"/>
      <c r="P21" s="267"/>
      <c r="Q21" s="52"/>
    </row>
    <row r="22" spans="1:17" ht="18">
      <c r="A22" s="268"/>
      <c r="B22" s="891" t="s">
        <v>1835</v>
      </c>
      <c r="C22" s="1612"/>
      <c r="D22" s="1811">
        <f t="shared" si="1"/>
        <v>102.60412021323609</v>
      </c>
      <c r="E22" s="1815"/>
      <c r="F22" s="1620">
        <v>21655480</v>
      </c>
      <c r="G22" s="1621">
        <v>67062391</v>
      </c>
      <c r="H22" s="1622">
        <v>21510660</v>
      </c>
      <c r="I22" s="1608">
        <v>23784675</v>
      </c>
      <c r="J22" s="1608">
        <v>25908260</v>
      </c>
      <c r="K22" s="1608">
        <v>53063730</v>
      </c>
      <c r="L22" s="5"/>
      <c r="M22" s="264"/>
      <c r="N22" s="265"/>
      <c r="O22" s="266"/>
      <c r="P22" s="267"/>
      <c r="Q22" s="52"/>
    </row>
    <row r="23" spans="1:17" ht="18">
      <c r="A23" s="268"/>
      <c r="B23" s="1313" t="s">
        <v>1215</v>
      </c>
      <c r="C23" s="1604"/>
      <c r="D23" s="1811">
        <f t="shared" si="1"/>
        <v>102.68558105122597</v>
      </c>
      <c r="E23" s="1815"/>
      <c r="F23" s="1605">
        <v>22205242</v>
      </c>
      <c r="G23" s="1606">
        <v>66782859</v>
      </c>
      <c r="H23" s="1607">
        <v>21317921</v>
      </c>
      <c r="I23" s="1608">
        <v>23868479</v>
      </c>
      <c r="J23" s="1608">
        <v>25747527</v>
      </c>
      <c r="K23" s="1608">
        <v>52818866</v>
      </c>
      <c r="L23" s="5"/>
      <c r="M23" s="264"/>
      <c r="N23" s="265"/>
      <c r="O23" s="266"/>
      <c r="P23" s="267"/>
      <c r="Q23" s="52"/>
    </row>
    <row r="24" spans="1:17" ht="18">
      <c r="A24" s="268"/>
      <c r="B24" s="891" t="s">
        <v>1206</v>
      </c>
      <c r="C24" s="1623"/>
      <c r="D24" s="1811">
        <f t="shared" si="1"/>
        <v>102.8211606525079</v>
      </c>
      <c r="E24" s="1815">
        <f>6.85+22.71+7.36+6.57+7.16+15.89</f>
        <v>66.540000000000006</v>
      </c>
      <c r="F24" s="1605">
        <v>21773958</v>
      </c>
      <c r="G24" s="1606">
        <v>66940872</v>
      </c>
      <c r="H24" s="1607">
        <v>21667444</v>
      </c>
      <c r="I24" s="1608">
        <v>23709460</v>
      </c>
      <c r="J24" s="1608">
        <v>25978223</v>
      </c>
      <c r="K24" s="1608">
        <v>53183787</v>
      </c>
      <c r="L24" s="5"/>
      <c r="M24" s="264"/>
      <c r="N24" s="265"/>
      <c r="O24" s="266"/>
      <c r="P24" s="267"/>
      <c r="Q24" s="52"/>
    </row>
    <row r="25" spans="1:17" ht="18">
      <c r="A25" s="268"/>
      <c r="B25" s="1821" t="s">
        <v>1856</v>
      </c>
      <c r="C25" s="1840"/>
      <c r="D25" s="1811">
        <f t="shared" si="1"/>
        <v>102.84239421713121</v>
      </c>
      <c r="E25" s="1815">
        <f>3.17+6.61+2.71+2.77+2.64+6.16</f>
        <v>24.060000000000002</v>
      </c>
      <c r="F25" s="1798">
        <v>21739304</v>
      </c>
      <c r="G25" s="1780">
        <v>66757360</v>
      </c>
      <c r="H25" s="1780">
        <v>21603658</v>
      </c>
      <c r="I25" s="1639">
        <v>23934526</v>
      </c>
      <c r="J25" s="1639">
        <v>26003946</v>
      </c>
      <c r="K25" s="1639">
        <v>53071484</v>
      </c>
      <c r="L25" s="5"/>
      <c r="M25" s="264"/>
      <c r="N25" s="265"/>
      <c r="O25" s="266"/>
      <c r="P25" s="267"/>
      <c r="Q25" s="52"/>
    </row>
    <row r="26" spans="1:17" ht="18">
      <c r="A26" s="268"/>
      <c r="B26" s="891" t="s">
        <v>1836</v>
      </c>
      <c r="C26" s="1624"/>
      <c r="D26" s="1811">
        <f t="shared" si="1"/>
        <v>102.84239421713121</v>
      </c>
      <c r="E26" s="1815">
        <f>6.85+18.59+7.52+7.88+7.23+16.71</f>
        <v>64.78</v>
      </c>
      <c r="F26" s="1605">
        <v>21739304</v>
      </c>
      <c r="G26" s="1606">
        <v>66757360</v>
      </c>
      <c r="H26" s="1607">
        <v>21603658</v>
      </c>
      <c r="I26" s="1608">
        <v>23934526</v>
      </c>
      <c r="J26" s="1608">
        <v>26003946</v>
      </c>
      <c r="K26" s="1608">
        <v>53071484</v>
      </c>
      <c r="L26" s="5"/>
      <c r="M26" s="264"/>
      <c r="N26" s="265"/>
      <c r="O26" s="266"/>
      <c r="P26" s="267"/>
      <c r="Q26" s="52"/>
    </row>
    <row r="27" spans="1:17" ht="18">
      <c r="A27" s="268"/>
      <c r="B27" s="1837" t="s">
        <v>1837</v>
      </c>
      <c r="C27" s="1624" t="s">
        <v>41</v>
      </c>
      <c r="D27" s="1811">
        <f t="shared" si="1"/>
        <v>103.03102494437766</v>
      </c>
      <c r="E27" s="1815">
        <f>112.3+323.8+132.2+154.5+112.7+239.3</f>
        <v>1074.8</v>
      </c>
      <c r="F27" s="1605">
        <v>21709126</v>
      </c>
      <c r="G27" s="1606">
        <v>66303381</v>
      </c>
      <c r="H27" s="1607">
        <v>21769644</v>
      </c>
      <c r="I27" s="1608">
        <v>24155223</v>
      </c>
      <c r="J27" s="1608">
        <v>26023095</v>
      </c>
      <c r="K27" s="1608">
        <v>53133137</v>
      </c>
      <c r="L27" s="5"/>
      <c r="M27" s="264"/>
      <c r="N27" s="265"/>
      <c r="O27" s="266"/>
      <c r="P27" s="267"/>
      <c r="Q27" s="52"/>
    </row>
    <row r="28" spans="1:17" ht="18">
      <c r="A28" s="268"/>
      <c r="B28" s="1313" t="s">
        <v>1861</v>
      </c>
      <c r="C28" s="1624" t="s">
        <v>41</v>
      </c>
      <c r="D28" s="1811">
        <f t="shared" si="1"/>
        <v>103.98026071551185</v>
      </c>
      <c r="E28" s="1815">
        <f>1345.56+4746.71+1583.38+1300.1+1409.13+3278.44</f>
        <v>13663.320000000002</v>
      </c>
      <c r="F28" s="1605">
        <v>22091043</v>
      </c>
      <c r="G28" s="1606">
        <v>67934844</v>
      </c>
      <c r="H28" s="1607">
        <v>21791361</v>
      </c>
      <c r="I28" s="1608">
        <v>24138609</v>
      </c>
      <c r="J28" s="1608">
        <v>26143247</v>
      </c>
      <c r="K28" s="1608">
        <v>53613491</v>
      </c>
      <c r="L28" s="5"/>
      <c r="M28" s="264"/>
      <c r="N28" s="265"/>
      <c r="O28" s="266"/>
      <c r="P28" s="267"/>
      <c r="Q28" s="52"/>
    </row>
    <row r="29" spans="1:17" ht="18">
      <c r="A29" s="268"/>
      <c r="B29" s="299" t="s">
        <v>1180</v>
      </c>
      <c r="C29" s="1625"/>
      <c r="D29" s="1811">
        <f t="shared" si="1"/>
        <v>103.99123162220813</v>
      </c>
      <c r="E29" s="1815">
        <f>2.2+7.9+2.5+2.1+2.4+5.5</f>
        <v>22.6</v>
      </c>
      <c r="F29" s="1605">
        <v>21969566</v>
      </c>
      <c r="G29" s="1606">
        <v>67348121</v>
      </c>
      <c r="H29" s="1607">
        <v>22271072</v>
      </c>
      <c r="I29" s="1608">
        <v>24189941</v>
      </c>
      <c r="J29" s="1608">
        <v>26001548</v>
      </c>
      <c r="K29" s="1608">
        <v>53379740</v>
      </c>
      <c r="L29" s="5"/>
      <c r="M29" s="264"/>
      <c r="N29" s="265"/>
      <c r="O29" s="266"/>
      <c r="P29" s="267"/>
      <c r="Q29" s="52"/>
    </row>
    <row r="30" spans="1:17" ht="18">
      <c r="A30" s="268"/>
      <c r="B30" s="1315" t="s">
        <v>1867</v>
      </c>
      <c r="C30" s="1624" t="s">
        <v>41</v>
      </c>
      <c r="D30" s="1811">
        <f t="shared" si="1"/>
        <v>104.16496085151262</v>
      </c>
      <c r="E30" s="1815"/>
      <c r="F30" s="1605">
        <v>22053510</v>
      </c>
      <c r="G30" s="1606">
        <v>67999984</v>
      </c>
      <c r="H30" s="1607">
        <v>22136677</v>
      </c>
      <c r="I30" s="1608">
        <v>24194077</v>
      </c>
      <c r="J30" s="1608">
        <v>26042422</v>
      </c>
      <c r="K30" s="1608">
        <v>53445490</v>
      </c>
      <c r="L30" s="5"/>
      <c r="M30" s="264"/>
      <c r="N30" s="265"/>
      <c r="O30" s="266"/>
      <c r="P30" s="267"/>
      <c r="Q30" s="52"/>
    </row>
    <row r="31" spans="1:17" ht="18">
      <c r="A31" s="268"/>
      <c r="B31" s="891" t="s">
        <v>1838</v>
      </c>
      <c r="C31" s="1624" t="s">
        <v>41</v>
      </c>
      <c r="D31" s="1811">
        <f t="shared" si="1"/>
        <v>104.55384745916996</v>
      </c>
      <c r="E31" s="1815">
        <f>107.19+398.69+124.19+105.66+125.68+252.78</f>
        <v>1114.1899999999998</v>
      </c>
      <c r="F31" s="1798">
        <v>22091988</v>
      </c>
      <c r="G31" s="1780">
        <v>67852928</v>
      </c>
      <c r="H31" s="1780">
        <v>22165314</v>
      </c>
      <c r="I31" s="1639">
        <v>24367168</v>
      </c>
      <c r="J31" s="1639">
        <v>26364854</v>
      </c>
      <c r="K31" s="1639">
        <v>53550694</v>
      </c>
      <c r="L31" s="5"/>
      <c r="M31" s="264"/>
      <c r="N31" s="265"/>
      <c r="O31" s="266"/>
      <c r="P31" s="267"/>
      <c r="Q31" s="52"/>
    </row>
    <row r="32" spans="1:17" ht="18">
      <c r="A32" s="268"/>
      <c r="B32" s="1841" t="s">
        <v>1859</v>
      </c>
      <c r="C32" s="1624" t="s">
        <v>41</v>
      </c>
      <c r="D32" s="1811">
        <f t="shared" si="1"/>
        <v>104.55384745916996</v>
      </c>
      <c r="E32" s="1815">
        <f>106.53+387.54+119.96+104.3+123.33+248.63</f>
        <v>1090.29</v>
      </c>
      <c r="F32" s="1605">
        <v>22091988</v>
      </c>
      <c r="G32" s="1606">
        <v>67852928</v>
      </c>
      <c r="H32" s="1607">
        <v>22165314</v>
      </c>
      <c r="I32" s="1608">
        <v>24367168</v>
      </c>
      <c r="J32" s="1608">
        <v>26364854</v>
      </c>
      <c r="K32" s="1608">
        <v>53550694</v>
      </c>
      <c r="L32" s="5"/>
      <c r="M32" s="264"/>
      <c r="N32" s="265"/>
      <c r="O32" s="266"/>
      <c r="P32" s="267"/>
      <c r="Q32" s="52"/>
    </row>
    <row r="33" spans="1:17" ht="18">
      <c r="A33" s="268"/>
      <c r="B33" s="891" t="s">
        <v>1865</v>
      </c>
      <c r="C33" s="1627"/>
      <c r="D33" s="1811">
        <f t="shared" si="1"/>
        <v>104.65493019815926</v>
      </c>
      <c r="E33" s="1815">
        <f>17.6+48.8+22.8+22.8+13+36.2</f>
        <v>161.19999999999999</v>
      </c>
      <c r="F33" s="1617">
        <v>21916318</v>
      </c>
      <c r="G33" s="1618">
        <v>68189643</v>
      </c>
      <c r="H33" s="1619">
        <v>22432156</v>
      </c>
      <c r="I33" s="1608">
        <v>24246763</v>
      </c>
      <c r="J33" s="1608">
        <v>26331073</v>
      </c>
      <c r="K33" s="1608">
        <v>53705839</v>
      </c>
      <c r="L33" s="5"/>
      <c r="M33" s="264"/>
      <c r="N33" s="265"/>
      <c r="O33" s="266"/>
      <c r="P33" s="267"/>
      <c r="Q33" s="52"/>
    </row>
    <row r="34" spans="1:17" ht="18">
      <c r="A34" s="268"/>
      <c r="B34" s="1314" t="s">
        <v>1839</v>
      </c>
      <c r="C34" s="1624" t="s">
        <v>41</v>
      </c>
      <c r="D34" s="1811">
        <f t="shared" si="1"/>
        <v>104.73553510866358</v>
      </c>
      <c r="E34" s="1815">
        <f>307.2+1011.8+311.8+273.9+318.2+721.5</f>
        <v>2944.3999999999996</v>
      </c>
      <c r="F34" s="1605">
        <v>23406780</v>
      </c>
      <c r="G34" s="1606">
        <v>66400907</v>
      </c>
      <c r="H34" s="1607">
        <v>21499324</v>
      </c>
      <c r="I34" s="1608">
        <v>23658029</v>
      </c>
      <c r="J34" s="1608">
        <v>26513997</v>
      </c>
      <c r="K34" s="1608">
        <v>55044627</v>
      </c>
      <c r="L34" s="5"/>
      <c r="M34" s="264"/>
      <c r="N34" s="272"/>
      <c r="O34" s="266"/>
      <c r="P34" s="267"/>
      <c r="Q34" s="52"/>
    </row>
    <row r="35" spans="1:17" ht="18">
      <c r="A35" s="268"/>
      <c r="B35" s="891" t="s">
        <v>1204</v>
      </c>
      <c r="C35" s="1604"/>
      <c r="D35" s="1811">
        <f t="shared" si="1"/>
        <v>105.12382200323816</v>
      </c>
      <c r="E35" s="1815"/>
      <c r="F35" s="1617">
        <v>22138600</v>
      </c>
      <c r="G35" s="1618">
        <v>68465350</v>
      </c>
      <c r="H35" s="1619">
        <v>22402562</v>
      </c>
      <c r="I35" s="1608">
        <v>24416214</v>
      </c>
      <c r="J35" s="1608">
        <v>26530666</v>
      </c>
      <c r="K35" s="1608">
        <v>53685048</v>
      </c>
      <c r="L35" s="5"/>
      <c r="M35" s="264"/>
      <c r="N35" s="265"/>
      <c r="O35" s="266"/>
      <c r="P35" s="267"/>
      <c r="Q35" s="52"/>
    </row>
    <row r="36" spans="1:17" ht="18">
      <c r="A36" s="268"/>
      <c r="B36" s="895" t="s">
        <v>1869</v>
      </c>
      <c r="C36" s="1626"/>
      <c r="D36" s="1811">
        <f t="shared" si="1"/>
        <v>105.63316764647095</v>
      </c>
      <c r="E36" s="1815">
        <f>6.8+21.3+6.9+7+7.2+14.7</f>
        <v>63.900000000000006</v>
      </c>
      <c r="F36" s="1605">
        <v>22209762</v>
      </c>
      <c r="G36" s="1606">
        <v>68265826</v>
      </c>
      <c r="H36" s="1607">
        <v>22470393</v>
      </c>
      <c r="I36" s="1608">
        <v>24797558</v>
      </c>
      <c r="J36" s="1608">
        <v>26569292</v>
      </c>
      <c r="K36" s="1608">
        <v>54139508</v>
      </c>
      <c r="L36" s="5"/>
      <c r="M36" s="264"/>
      <c r="N36" s="265"/>
      <c r="O36" s="266"/>
      <c r="P36" s="267"/>
      <c r="Q36" s="52"/>
    </row>
    <row r="37" spans="1:17" ht="18">
      <c r="A37" s="268" t="s">
        <v>1181</v>
      </c>
      <c r="B37" s="891" t="s">
        <v>1203</v>
      </c>
      <c r="C37" s="1604"/>
      <c r="D37" s="1811">
        <f t="shared" si="1"/>
        <v>105.67550255411165</v>
      </c>
      <c r="E37" s="1815"/>
      <c r="F37" s="1605">
        <v>22224557</v>
      </c>
      <c r="G37" s="1606">
        <v>68433761</v>
      </c>
      <c r="H37" s="1607">
        <v>22507079</v>
      </c>
      <c r="I37" s="1608">
        <v>24660843</v>
      </c>
      <c r="J37" s="1608">
        <v>26678924</v>
      </c>
      <c r="K37" s="1608">
        <v>54097600</v>
      </c>
      <c r="L37" s="5"/>
      <c r="M37" s="264"/>
      <c r="N37" s="270"/>
      <c r="O37" s="266"/>
      <c r="P37" s="267"/>
      <c r="Q37" s="52"/>
    </row>
    <row r="38" spans="1:17" ht="18">
      <c r="A38" s="268"/>
      <c r="B38" s="1314" t="s">
        <v>1840</v>
      </c>
      <c r="C38" s="1624" t="s">
        <v>41</v>
      </c>
      <c r="D38" s="1811">
        <f t="shared" si="1"/>
        <v>105.68707429755658</v>
      </c>
      <c r="E38" s="1815">
        <f>3.34+11.48+3.66+3.2+3.73+7.54</f>
        <v>32.950000000000003</v>
      </c>
      <c r="F38" s="1617">
        <v>22277702</v>
      </c>
      <c r="G38" s="1618">
        <v>68406715</v>
      </c>
      <c r="H38" s="1619">
        <v>22504084</v>
      </c>
      <c r="I38" s="1608">
        <v>24782201</v>
      </c>
      <c r="J38" s="1608">
        <v>26479587</v>
      </c>
      <c r="K38" s="1608">
        <v>54166279</v>
      </c>
      <c r="L38" s="5"/>
      <c r="M38" s="269"/>
      <c r="N38" s="265"/>
      <c r="O38" s="266"/>
      <c r="P38" s="267"/>
      <c r="Q38" s="52"/>
    </row>
    <row r="39" spans="1:17" ht="18">
      <c r="A39" s="268" t="s">
        <v>1182</v>
      </c>
      <c r="B39" s="891" t="s">
        <v>1857</v>
      </c>
      <c r="C39" s="1624" t="s">
        <v>41</v>
      </c>
      <c r="D39" s="1811">
        <f t="shared" si="1"/>
        <v>105.94162362847352</v>
      </c>
      <c r="E39" s="1815">
        <f>1.09+3.79+1.28+1.09+1.17+2.76</f>
        <v>11.18</v>
      </c>
      <c r="F39" s="1617">
        <v>22433587</v>
      </c>
      <c r="G39" s="1618">
        <v>69078974</v>
      </c>
      <c r="H39" s="1619">
        <v>22559221</v>
      </c>
      <c r="I39" s="1608">
        <v>24421504</v>
      </c>
      <c r="J39" s="1608">
        <v>26781826</v>
      </c>
      <c r="K39" s="1608">
        <v>54113269</v>
      </c>
      <c r="L39" s="5"/>
      <c r="M39" s="264"/>
      <c r="N39" s="270"/>
      <c r="O39" s="266"/>
      <c r="P39" s="267"/>
      <c r="Q39" s="52"/>
    </row>
    <row r="40" spans="1:17" ht="18">
      <c r="A40" s="268"/>
      <c r="B40" s="1842" t="s">
        <v>1864</v>
      </c>
      <c r="C40" s="1624" t="s">
        <v>41</v>
      </c>
      <c r="D40" s="1811">
        <f t="shared" si="1"/>
        <v>106.00432539547685</v>
      </c>
      <c r="E40" s="1815">
        <f>12.6+44.4+14+12.3+13.4+30.8</f>
        <v>127.5</v>
      </c>
      <c r="F40" s="1798">
        <v>22323943</v>
      </c>
      <c r="G40" s="1780">
        <v>68407501</v>
      </c>
      <c r="H40" s="1780">
        <v>22614769</v>
      </c>
      <c r="I40" s="1639">
        <v>24901467</v>
      </c>
      <c r="J40" s="1639">
        <v>26554824</v>
      </c>
      <c r="K40" s="1639">
        <v>54338990</v>
      </c>
      <c r="L40" s="5"/>
      <c r="M40" s="264"/>
      <c r="N40" s="270"/>
      <c r="O40" s="266"/>
      <c r="P40" s="267"/>
      <c r="Q40" s="52"/>
    </row>
    <row r="41" spans="1:17" ht="18">
      <c r="A41" s="268"/>
      <c r="B41" s="1848" t="s">
        <v>1841</v>
      </c>
      <c r="C41" s="1626"/>
      <c r="D41" s="1811">
        <f t="shared" si="1"/>
        <v>106.56306849146287</v>
      </c>
      <c r="E41" s="1845"/>
      <c r="F41" s="1798">
        <v>22349704</v>
      </c>
      <c r="G41" s="1780">
        <v>69230650</v>
      </c>
      <c r="H41" s="1780">
        <v>22568666</v>
      </c>
      <c r="I41" s="1639">
        <v>24824110</v>
      </c>
      <c r="J41" s="1639">
        <v>27141458</v>
      </c>
      <c r="K41" s="1639">
        <v>54454613</v>
      </c>
      <c r="L41" s="5"/>
      <c r="M41" s="264"/>
      <c r="N41" s="270"/>
      <c r="O41" s="266"/>
      <c r="P41" s="267"/>
      <c r="Q41" s="52"/>
    </row>
    <row r="42" spans="1:17" ht="18">
      <c r="A42" s="268"/>
      <c r="B42" s="1316" t="s">
        <v>1858</v>
      </c>
      <c r="C42" s="1624" t="s">
        <v>41</v>
      </c>
      <c r="D42" s="1811">
        <f t="shared" ref="D42:D73" si="2">SUM(F42/F$8,G42/G$8,H42/H$8,I42/I$8,J42/J$8,K42/K$8)/6*100</f>
        <v>106.59639176433843</v>
      </c>
      <c r="E42" s="1815">
        <f>4.4+14.6+4.8+4.4+4.8+10.9</f>
        <v>43.9</v>
      </c>
      <c r="F42" s="1620">
        <v>22369551</v>
      </c>
      <c r="G42" s="1621">
        <v>69546120</v>
      </c>
      <c r="H42" s="1622">
        <v>22708276</v>
      </c>
      <c r="I42" s="1608">
        <v>24927456</v>
      </c>
      <c r="J42" s="1608">
        <v>26791860</v>
      </c>
      <c r="K42" s="1608">
        <v>54394816</v>
      </c>
      <c r="L42" s="5"/>
      <c r="M42" s="264"/>
      <c r="N42" s="265"/>
      <c r="O42" s="266"/>
      <c r="P42" s="267"/>
      <c r="Q42" s="52"/>
    </row>
    <row r="43" spans="1:17" ht="18">
      <c r="A43" s="268"/>
      <c r="B43" s="1842" t="s">
        <v>1868</v>
      </c>
      <c r="C43" s="1624" t="s">
        <v>41</v>
      </c>
      <c r="D43" s="1811">
        <f t="shared" si="2"/>
        <v>106.59652512119536</v>
      </c>
      <c r="E43" s="1815">
        <f>3.6+12+4+3.6+3.8+8.8</f>
        <v>35.800000000000004</v>
      </c>
      <c r="F43" s="1620">
        <v>22369503</v>
      </c>
      <c r="G43" s="1621">
        <v>69547135</v>
      </c>
      <c r="H43" s="1622">
        <v>22708163</v>
      </c>
      <c r="I43" s="1608">
        <v>24927481</v>
      </c>
      <c r="J43" s="1608">
        <v>26791804</v>
      </c>
      <c r="K43" s="1608">
        <v>54394889</v>
      </c>
      <c r="L43" s="5"/>
      <c r="M43" s="264"/>
      <c r="N43" s="265"/>
      <c r="O43" s="266"/>
      <c r="P43" s="267"/>
      <c r="Q43" s="52"/>
    </row>
    <row r="44" spans="1:17" ht="18">
      <c r="A44" s="268"/>
      <c r="B44" s="891" t="s">
        <v>1842</v>
      </c>
      <c r="C44" s="1604"/>
      <c r="D44" s="1811">
        <f t="shared" si="2"/>
        <v>106.67319378869816</v>
      </c>
      <c r="E44" s="1815">
        <f>6.8+28.4+7.7+9.9+7.6+18.6</f>
        <v>79</v>
      </c>
      <c r="F44" s="1800">
        <v>22448909</v>
      </c>
      <c r="G44" s="1818">
        <v>67870781</v>
      </c>
      <c r="H44" s="1818">
        <v>22421444</v>
      </c>
      <c r="I44" s="1639">
        <v>26244022</v>
      </c>
      <c r="J44" s="1639">
        <v>26478796</v>
      </c>
      <c r="K44" s="1639">
        <v>54117022</v>
      </c>
      <c r="L44" s="5"/>
      <c r="M44" s="264"/>
      <c r="N44" s="265"/>
      <c r="O44" s="266"/>
      <c r="P44" s="267"/>
      <c r="Q44" s="52"/>
    </row>
    <row r="45" spans="1:17" ht="18">
      <c r="A45" s="268"/>
      <c r="B45" s="891" t="s">
        <v>1843</v>
      </c>
      <c r="C45" s="1624" t="s">
        <v>41</v>
      </c>
      <c r="D45" s="1811">
        <f t="shared" si="2"/>
        <v>106.83616823448456</v>
      </c>
      <c r="E45" s="1815">
        <f>2.23+5.04+1.78+1.44+1.6+3.76</f>
        <v>15.849999999999998</v>
      </c>
      <c r="F45" s="1620">
        <v>22476052</v>
      </c>
      <c r="G45" s="1621">
        <v>69763820</v>
      </c>
      <c r="H45" s="1622">
        <v>22889216</v>
      </c>
      <c r="I45" s="1608">
        <v>24579496</v>
      </c>
      <c r="J45" s="1608">
        <v>27105996</v>
      </c>
      <c r="K45" s="1608">
        <v>54406810</v>
      </c>
      <c r="L45" s="5"/>
      <c r="M45" s="54"/>
      <c r="N45" s="270"/>
      <c r="O45" s="266"/>
      <c r="P45" s="267"/>
      <c r="Q45" s="52"/>
    </row>
    <row r="46" spans="1:17" ht="18">
      <c r="A46" s="268" t="s">
        <v>1183</v>
      </c>
      <c r="B46" s="1847" t="s">
        <v>1860</v>
      </c>
      <c r="C46" s="1624" t="s">
        <v>41</v>
      </c>
      <c r="D46" s="1811">
        <f t="shared" si="2"/>
        <v>106.83616823448456</v>
      </c>
      <c r="E46" s="1815">
        <f>1.39+4.4+1.31+1.26+1.31+2.74</f>
        <v>12.41</v>
      </c>
      <c r="F46" s="1617">
        <v>22476052</v>
      </c>
      <c r="G46" s="1618">
        <v>69763820</v>
      </c>
      <c r="H46" s="1607">
        <v>22889216</v>
      </c>
      <c r="I46" s="1608">
        <v>24579496</v>
      </c>
      <c r="J46" s="1608">
        <v>27105996</v>
      </c>
      <c r="K46" s="1608">
        <v>54406810</v>
      </c>
      <c r="L46" s="5"/>
      <c r="M46" s="54"/>
      <c r="N46" s="265"/>
      <c r="O46" s="266"/>
      <c r="P46" s="267"/>
      <c r="Q46" s="52"/>
    </row>
    <row r="47" spans="1:17" ht="18">
      <c r="A47" s="268" t="s">
        <v>1184</v>
      </c>
      <c r="B47" s="891" t="s">
        <v>1866</v>
      </c>
      <c r="C47" s="1604"/>
      <c r="D47" s="1811">
        <f t="shared" si="2"/>
        <v>107.19690315965926</v>
      </c>
      <c r="E47" s="1815"/>
      <c r="F47" s="1620">
        <v>22487987</v>
      </c>
      <c r="G47" s="1621">
        <v>71063290</v>
      </c>
      <c r="H47" s="1622">
        <v>22906100</v>
      </c>
      <c r="I47" s="1608">
        <v>24793318</v>
      </c>
      <c r="J47" s="1608">
        <v>26811647</v>
      </c>
      <c r="K47" s="1608">
        <v>54552801</v>
      </c>
      <c r="L47" s="5"/>
      <c r="M47" s="54"/>
      <c r="N47" s="270"/>
      <c r="O47" s="266"/>
      <c r="P47" s="267"/>
      <c r="Q47" s="52"/>
    </row>
    <row r="48" spans="1:17" ht="18">
      <c r="A48" s="268" t="s">
        <v>1185</v>
      </c>
      <c r="B48" s="1841" t="s">
        <v>1862</v>
      </c>
      <c r="C48" s="1624" t="s">
        <v>41</v>
      </c>
      <c r="D48" s="1811">
        <f t="shared" si="2"/>
        <v>108.04650675039792</v>
      </c>
      <c r="E48" s="1815">
        <f>2+6.9+2.1+1.9+2.1+4.8</f>
        <v>19.8</v>
      </c>
      <c r="F48" s="1620">
        <v>22620107</v>
      </c>
      <c r="G48" s="1621">
        <v>70625863</v>
      </c>
      <c r="H48" s="1622">
        <v>23113258</v>
      </c>
      <c r="I48" s="1608">
        <v>24968648</v>
      </c>
      <c r="J48" s="1608">
        <v>27202530</v>
      </c>
      <c r="K48" s="1608">
        <v>55506979</v>
      </c>
      <c r="L48" s="5"/>
      <c r="M48" s="264"/>
      <c r="N48" s="265"/>
      <c r="O48" s="266"/>
      <c r="P48" s="267"/>
      <c r="Q48" s="52"/>
    </row>
    <row r="49" spans="1:17" ht="18">
      <c r="A49" s="268" t="s">
        <v>1186</v>
      </c>
      <c r="B49" s="887" t="s">
        <v>1872</v>
      </c>
      <c r="C49" s="1604"/>
      <c r="D49" s="1811">
        <f t="shared" si="2"/>
        <v>108.66629625798767</v>
      </c>
      <c r="E49" s="1815">
        <f>36+131+39+36+40+92</f>
        <v>374</v>
      </c>
      <c r="F49" s="1620">
        <v>23271012</v>
      </c>
      <c r="G49" s="1621">
        <v>69737044</v>
      </c>
      <c r="H49" s="1622">
        <v>23212082</v>
      </c>
      <c r="I49" s="1608">
        <v>24642181</v>
      </c>
      <c r="J49" s="1608">
        <v>27857032</v>
      </c>
      <c r="K49" s="1608">
        <v>55707446</v>
      </c>
      <c r="L49" s="5"/>
      <c r="M49" s="264"/>
      <c r="N49" s="265"/>
      <c r="O49" s="266"/>
      <c r="P49" s="267"/>
      <c r="Q49" s="52"/>
    </row>
    <row r="50" spans="1:17" ht="18">
      <c r="A50" s="268" t="s">
        <v>1187</v>
      </c>
      <c r="B50" s="891" t="s">
        <v>1212</v>
      </c>
      <c r="C50" s="1604"/>
      <c r="D50" s="1811">
        <f t="shared" si="2"/>
        <v>109.0948277414434</v>
      </c>
      <c r="E50" s="1815"/>
      <c r="F50" s="1617">
        <v>22928506</v>
      </c>
      <c r="G50" s="1618">
        <v>72082762</v>
      </c>
      <c r="H50" s="1619">
        <v>23199216</v>
      </c>
      <c r="I50" s="1608">
        <v>24996128</v>
      </c>
      <c r="J50" s="1608">
        <v>27578962</v>
      </c>
      <c r="K50" s="1608">
        <v>55823830</v>
      </c>
      <c r="L50" s="5"/>
      <c r="M50" s="54"/>
      <c r="N50" s="265"/>
      <c r="O50" s="266"/>
      <c r="P50" s="267"/>
      <c r="Q50" s="52"/>
    </row>
    <row r="51" spans="1:17" ht="18">
      <c r="A51" s="268"/>
      <c r="B51" s="1841" t="s">
        <v>1863</v>
      </c>
      <c r="C51" s="1624" t="s">
        <v>41</v>
      </c>
      <c r="D51" s="1811">
        <f t="shared" si="2"/>
        <v>109.56179601068445</v>
      </c>
      <c r="E51" s="1815">
        <f>1.6+5.2+1.8+1.6+1.8+3.7</f>
        <v>15.700000000000003</v>
      </c>
      <c r="F51" s="1617">
        <v>22702329</v>
      </c>
      <c r="G51" s="1618">
        <v>74250487</v>
      </c>
      <c r="H51" s="1619">
        <v>23077785</v>
      </c>
      <c r="I51" s="1608">
        <v>25142197</v>
      </c>
      <c r="J51" s="1608">
        <v>27796657</v>
      </c>
      <c r="K51" s="1608">
        <v>55642047</v>
      </c>
      <c r="L51" s="5"/>
      <c r="M51" s="54"/>
      <c r="N51" s="265"/>
      <c r="O51" s="266"/>
      <c r="P51" s="267"/>
      <c r="Q51" s="52"/>
    </row>
    <row r="52" spans="1:17" ht="18">
      <c r="A52" s="268"/>
      <c r="B52" s="1844" t="s">
        <v>1844</v>
      </c>
      <c r="C52" s="1627"/>
      <c r="D52" s="1811">
        <f t="shared" si="2"/>
        <v>110.81966957258193</v>
      </c>
      <c r="E52" s="1815">
        <f>9.5+33.8+10.4+9.6+10.2+23.4</f>
        <v>96.9</v>
      </c>
      <c r="F52" s="1617">
        <v>23330940</v>
      </c>
      <c r="G52" s="1618">
        <v>72686341</v>
      </c>
      <c r="H52" s="1619">
        <v>23860493</v>
      </c>
      <c r="I52" s="1608">
        <v>25506012</v>
      </c>
      <c r="J52" s="1608">
        <v>27621765</v>
      </c>
      <c r="K52" s="1608">
        <v>56843123</v>
      </c>
      <c r="L52" s="5"/>
      <c r="M52" s="264"/>
      <c r="N52" s="265"/>
      <c r="O52" s="266"/>
      <c r="P52" s="267"/>
      <c r="Q52" s="52"/>
    </row>
    <row r="53" spans="1:17" ht="18">
      <c r="A53" s="268"/>
      <c r="B53" s="891" t="s">
        <v>1208</v>
      </c>
      <c r="C53" s="1623"/>
      <c r="D53" s="1811">
        <f t="shared" si="2"/>
        <v>110.99788415999178</v>
      </c>
      <c r="E53" s="1815"/>
      <c r="F53" s="1620">
        <v>23339576</v>
      </c>
      <c r="G53" s="1621">
        <v>72609038</v>
      </c>
      <c r="H53" s="1622">
        <v>23534720</v>
      </c>
      <c r="I53" s="1608">
        <v>25601756</v>
      </c>
      <c r="J53" s="1608">
        <v>28610084</v>
      </c>
      <c r="K53" s="1608">
        <v>55998088</v>
      </c>
      <c r="L53" s="5"/>
      <c r="M53" s="264"/>
      <c r="N53" s="270"/>
      <c r="O53" s="266"/>
      <c r="P53" s="53"/>
      <c r="Q53" s="274"/>
    </row>
    <row r="54" spans="1:17" ht="18">
      <c r="A54" s="268" t="s">
        <v>1188</v>
      </c>
      <c r="B54" s="284" t="s">
        <v>1845</v>
      </c>
      <c r="C54" s="1604"/>
      <c r="D54" s="1811">
        <f t="shared" si="2"/>
        <v>111.827387764262</v>
      </c>
      <c r="E54" s="1815"/>
      <c r="F54" s="1620">
        <v>24659156</v>
      </c>
      <c r="G54" s="1621">
        <v>69820640</v>
      </c>
      <c r="H54" s="1622">
        <v>24192990</v>
      </c>
      <c r="I54" s="1608">
        <v>25381880</v>
      </c>
      <c r="J54" s="1608">
        <v>27846064</v>
      </c>
      <c r="K54" s="1608">
        <v>58005508</v>
      </c>
      <c r="L54" s="5"/>
      <c r="M54" s="264"/>
      <c r="N54" s="265"/>
      <c r="O54" s="266"/>
      <c r="P54" s="53"/>
      <c r="Q54" s="52"/>
    </row>
    <row r="55" spans="1:17" ht="18">
      <c r="A55" s="268" t="s">
        <v>1189</v>
      </c>
      <c r="B55" s="284" t="s">
        <v>1846</v>
      </c>
      <c r="C55" s="1627"/>
      <c r="D55" s="1811">
        <f t="shared" si="2"/>
        <v>112.02474357315187</v>
      </c>
      <c r="E55" s="1815"/>
      <c r="F55" s="1628">
        <v>23424849</v>
      </c>
      <c r="G55" s="1629">
        <v>72529219</v>
      </c>
      <c r="H55" s="1607">
        <v>23866134</v>
      </c>
      <c r="I55" s="1608">
        <v>25784515</v>
      </c>
      <c r="J55" s="1608">
        <v>28861710</v>
      </c>
      <c r="K55" s="1608">
        <v>57297208</v>
      </c>
      <c r="L55" s="5"/>
      <c r="M55" s="264"/>
      <c r="N55" s="265"/>
      <c r="O55" s="266"/>
      <c r="P55" s="267"/>
      <c r="Q55" s="52"/>
    </row>
    <row r="56" spans="1:17" ht="18">
      <c r="A56" s="268" t="s">
        <v>1190</v>
      </c>
      <c r="B56" s="284" t="s">
        <v>1847</v>
      </c>
      <c r="C56" s="1604"/>
      <c r="D56" s="1811">
        <f t="shared" si="2"/>
        <v>113.97344164256285</v>
      </c>
      <c r="E56" s="1815"/>
      <c r="F56" s="1620">
        <v>23699382</v>
      </c>
      <c r="G56" s="1621">
        <v>75065418</v>
      </c>
      <c r="H56" s="1622">
        <v>24135163</v>
      </c>
      <c r="I56" s="1608">
        <v>26257927</v>
      </c>
      <c r="J56" s="1608">
        <v>29350464</v>
      </c>
      <c r="K56" s="1608">
        <v>57946615</v>
      </c>
      <c r="L56" s="5"/>
      <c r="M56" s="54"/>
      <c r="N56" s="265"/>
      <c r="O56" s="266"/>
      <c r="P56" s="267"/>
      <c r="Q56" s="52"/>
    </row>
    <row r="57" spans="1:17" ht="18">
      <c r="A57" s="268" t="s">
        <v>1191</v>
      </c>
      <c r="B57" s="1313" t="s">
        <v>1639</v>
      </c>
      <c r="C57" s="1627"/>
      <c r="D57" s="1811">
        <f t="shared" si="2"/>
        <v>114.78140975877345</v>
      </c>
      <c r="E57" s="1815">
        <f>6+19.4+6.2+25.6+6.6+13.8</f>
        <v>77.600000000000009</v>
      </c>
      <c r="F57" s="1617">
        <v>23449905</v>
      </c>
      <c r="G57" s="1618">
        <v>73137716</v>
      </c>
      <c r="H57" s="1619">
        <v>23516996</v>
      </c>
      <c r="I57" s="1608">
        <v>29562535</v>
      </c>
      <c r="J57" s="1608">
        <v>29447415</v>
      </c>
      <c r="K57" s="1608">
        <v>56389141</v>
      </c>
      <c r="L57" s="5"/>
      <c r="M57" s="264"/>
      <c r="N57" s="265"/>
      <c r="O57" s="266"/>
      <c r="P57" s="267"/>
      <c r="Q57" s="52"/>
    </row>
    <row r="58" spans="1:17" ht="18">
      <c r="A58" s="268" t="s">
        <v>1192</v>
      </c>
      <c r="B58" s="891" t="s">
        <v>1870</v>
      </c>
      <c r="C58" s="1627"/>
      <c r="D58" s="1811">
        <f t="shared" si="2"/>
        <v>116.2890833283668</v>
      </c>
      <c r="E58" s="1815">
        <f>64.9+240+73.2+65.9+71.6+155.4</f>
        <v>671</v>
      </c>
      <c r="F58" s="1617">
        <v>24479092</v>
      </c>
      <c r="G58" s="1618">
        <v>81714130</v>
      </c>
      <c r="H58" s="1619">
        <v>24953607</v>
      </c>
      <c r="I58" s="1608">
        <v>25538524</v>
      </c>
      <c r="J58" s="1608">
        <v>28463666</v>
      </c>
      <c r="K58" s="1608">
        <v>59446556</v>
      </c>
      <c r="L58" s="5"/>
      <c r="M58" s="264"/>
      <c r="N58" s="265"/>
      <c r="O58" s="266"/>
      <c r="P58" s="267"/>
      <c r="Q58" s="52"/>
    </row>
    <row r="59" spans="1:17" ht="18">
      <c r="A59" s="268" t="s">
        <v>1193</v>
      </c>
      <c r="B59" s="891" t="s">
        <v>1223</v>
      </c>
      <c r="C59" s="1616" t="s">
        <v>41</v>
      </c>
      <c r="D59" s="1811">
        <f t="shared" si="2"/>
        <v>116.36238993283644</v>
      </c>
      <c r="E59" s="1815"/>
      <c r="F59" s="1617">
        <v>23996797</v>
      </c>
      <c r="G59" s="1618">
        <v>80707547</v>
      </c>
      <c r="H59" s="1619">
        <v>24940763</v>
      </c>
      <c r="I59" s="1608">
        <v>25730820</v>
      </c>
      <c r="J59" s="1608">
        <v>28948020</v>
      </c>
      <c r="K59" s="1608">
        <v>60245302</v>
      </c>
      <c r="L59" s="5"/>
      <c r="M59" s="54"/>
      <c r="N59" s="270"/>
      <c r="O59" s="266"/>
      <c r="P59" s="267"/>
      <c r="Q59" s="52"/>
    </row>
    <row r="60" spans="1:17" ht="18">
      <c r="A60" s="268" t="s">
        <v>1194</v>
      </c>
      <c r="B60" s="887" t="s">
        <v>1222</v>
      </c>
      <c r="C60" s="1627"/>
      <c r="D60" s="1811">
        <f t="shared" si="2"/>
        <v>116.60774746360244</v>
      </c>
      <c r="E60" s="1815"/>
      <c r="F60" s="1617">
        <v>24092508</v>
      </c>
      <c r="G60" s="1618">
        <v>78579550</v>
      </c>
      <c r="H60" s="1619">
        <v>24617908</v>
      </c>
      <c r="I60" s="1608">
        <v>26560348</v>
      </c>
      <c r="J60" s="1608">
        <v>30277798</v>
      </c>
      <c r="K60" s="1608">
        <v>58626774</v>
      </c>
      <c r="L60" s="5"/>
      <c r="M60" s="264"/>
      <c r="N60" s="265"/>
      <c r="O60" s="266"/>
      <c r="P60" s="267"/>
      <c r="Q60" s="52"/>
    </row>
    <row r="61" spans="1:17" ht="18">
      <c r="A61" s="275"/>
      <c r="B61" s="299" t="s">
        <v>1848</v>
      </c>
      <c r="C61" s="1627"/>
      <c r="D61" s="1811">
        <f t="shared" si="2"/>
        <v>116.73075967082227</v>
      </c>
      <c r="E61" s="1815">
        <f>19.4+62.1+20.3+19.8+22+47.1</f>
        <v>190.7</v>
      </c>
      <c r="F61" s="1617">
        <v>24836542</v>
      </c>
      <c r="G61" s="1618">
        <v>77675360</v>
      </c>
      <c r="H61" s="1619">
        <v>24987370</v>
      </c>
      <c r="I61" s="1608">
        <v>25799227</v>
      </c>
      <c r="J61" s="1608">
        <v>29805556</v>
      </c>
      <c r="K61" s="1608">
        <v>59700789</v>
      </c>
      <c r="L61" s="5"/>
      <c r="M61" s="264"/>
      <c r="N61" s="265"/>
      <c r="O61" s="266"/>
      <c r="P61" s="267"/>
      <c r="Q61" s="52"/>
    </row>
    <row r="62" spans="1:17" ht="18">
      <c r="A62" s="275"/>
      <c r="B62" s="1313" t="s">
        <v>1269</v>
      </c>
      <c r="C62" s="1627"/>
      <c r="D62" s="1811">
        <f t="shared" si="2"/>
        <v>116.96211757475083</v>
      </c>
      <c r="E62" s="1815"/>
      <c r="F62" s="1617">
        <v>23628368</v>
      </c>
      <c r="G62" s="1618">
        <v>80911032</v>
      </c>
      <c r="H62" s="1619">
        <v>24692936</v>
      </c>
      <c r="I62" s="1608">
        <v>26511520</v>
      </c>
      <c r="J62" s="1608">
        <v>29781848</v>
      </c>
      <c r="K62" s="1608">
        <v>59973424</v>
      </c>
      <c r="L62" s="5"/>
      <c r="M62" s="264"/>
      <c r="N62" s="265"/>
      <c r="O62" s="266"/>
      <c r="P62" s="267"/>
      <c r="Q62" s="52"/>
    </row>
    <row r="63" spans="1:17" ht="18">
      <c r="A63" s="263"/>
      <c r="B63" s="286" t="s">
        <v>1221</v>
      </c>
      <c r="C63" s="1627"/>
      <c r="D63" s="1811">
        <f t="shared" si="2"/>
        <v>117.01724984526234</v>
      </c>
      <c r="E63" s="1815">
        <f>1.3+4.2+1.4+1.2+1.3+3.1</f>
        <v>12.5</v>
      </c>
      <c r="F63" s="1617">
        <v>25681785</v>
      </c>
      <c r="G63" s="1618">
        <v>75269417</v>
      </c>
      <c r="H63" s="1619">
        <v>24842361</v>
      </c>
      <c r="I63" s="1608">
        <v>26355281</v>
      </c>
      <c r="J63" s="1608">
        <v>30047809</v>
      </c>
      <c r="K63" s="1608">
        <v>59024365</v>
      </c>
      <c r="L63" s="5"/>
      <c r="M63" s="264"/>
      <c r="N63" s="265"/>
      <c r="O63" s="266"/>
      <c r="P63" s="267"/>
      <c r="Q63" s="52"/>
    </row>
    <row r="64" spans="1:17" ht="18">
      <c r="A64" s="263"/>
      <c r="B64" s="891" t="s">
        <v>1225</v>
      </c>
      <c r="C64" s="1604"/>
      <c r="D64" s="1811">
        <f t="shared" si="2"/>
        <v>118.09652576315406</v>
      </c>
      <c r="E64" s="1815"/>
      <c r="F64" s="1617">
        <v>24978808</v>
      </c>
      <c r="G64" s="1618">
        <v>81448175</v>
      </c>
      <c r="H64" s="1619">
        <v>25833929</v>
      </c>
      <c r="I64" s="1608">
        <v>25748699</v>
      </c>
      <c r="J64" s="1608">
        <v>28775616</v>
      </c>
      <c r="K64" s="1608">
        <v>60756554</v>
      </c>
      <c r="L64" s="5"/>
      <c r="M64" s="264"/>
      <c r="N64" s="265"/>
      <c r="O64" s="266"/>
      <c r="P64" s="267"/>
      <c r="Q64" s="52"/>
    </row>
    <row r="65" spans="1:17" ht="18" customHeight="1">
      <c r="A65" s="263"/>
      <c r="B65" s="892" t="s">
        <v>1195</v>
      </c>
      <c r="C65" s="1604"/>
      <c r="D65" s="1811">
        <f t="shared" si="2"/>
        <v>118.11907796657988</v>
      </c>
      <c r="E65" s="1815">
        <f>9.013+30.464+9.466+7.776+8.376+20.284</f>
        <v>85.378999999999991</v>
      </c>
      <c r="F65" s="1617">
        <v>25390864</v>
      </c>
      <c r="G65" s="1630">
        <v>80976880</v>
      </c>
      <c r="H65" s="1630">
        <v>25436512</v>
      </c>
      <c r="I65" s="1631">
        <v>25608704</v>
      </c>
      <c r="J65" s="1631">
        <v>29179440</v>
      </c>
      <c r="K65" s="1631">
        <v>60677456</v>
      </c>
      <c r="L65" s="5"/>
      <c r="M65" s="264"/>
      <c r="N65" s="265"/>
      <c r="O65" s="266"/>
      <c r="P65" s="267"/>
      <c r="Q65" s="52"/>
    </row>
    <row r="66" spans="1:17" ht="18">
      <c r="A66" s="263"/>
      <c r="B66" s="1319" t="s">
        <v>1216</v>
      </c>
      <c r="C66" s="1633"/>
      <c r="D66" s="1811">
        <f t="shared" si="2"/>
        <v>120.94252943122751</v>
      </c>
      <c r="E66" s="1815"/>
      <c r="F66" s="1634">
        <v>26465998</v>
      </c>
      <c r="G66" s="1635">
        <v>79087302</v>
      </c>
      <c r="H66" s="1635">
        <v>25755075</v>
      </c>
      <c r="I66" s="1636">
        <v>26912478</v>
      </c>
      <c r="J66" s="1636">
        <v>30757560</v>
      </c>
      <c r="K66" s="1636">
        <v>61334990</v>
      </c>
      <c r="L66" s="5"/>
      <c r="M66" s="54"/>
      <c r="N66" s="265"/>
      <c r="O66" s="266"/>
      <c r="P66" s="267"/>
      <c r="Q66" s="52"/>
    </row>
    <row r="67" spans="1:17" ht="18">
      <c r="A67" s="263"/>
      <c r="B67" s="887" t="s">
        <v>1226</v>
      </c>
      <c r="C67" s="1627"/>
      <c r="D67" s="1811">
        <f t="shared" si="2"/>
        <v>123.78794896659726</v>
      </c>
      <c r="E67" s="1815"/>
      <c r="F67" s="1617">
        <v>27056931</v>
      </c>
      <c r="G67" s="1618">
        <v>79965258</v>
      </c>
      <c r="H67" s="1619">
        <v>26567275</v>
      </c>
      <c r="I67" s="1608">
        <v>27609866</v>
      </c>
      <c r="J67" s="1608">
        <v>31375618</v>
      </c>
      <c r="K67" s="1608">
        <v>63187326</v>
      </c>
      <c r="L67" s="5"/>
      <c r="M67" s="54"/>
      <c r="N67" s="265"/>
      <c r="O67" s="266"/>
      <c r="P67" s="267"/>
      <c r="Q67" s="52"/>
    </row>
    <row r="68" spans="1:17" ht="18">
      <c r="A68" s="263"/>
      <c r="B68" s="895" t="s">
        <v>1849</v>
      </c>
      <c r="C68" s="1627"/>
      <c r="D68" s="1811">
        <f t="shared" si="2"/>
        <v>123.87021599401933</v>
      </c>
      <c r="E68" s="1815">
        <f>2+6+2+1+2+4</f>
        <v>17</v>
      </c>
      <c r="F68" s="1617">
        <v>27695138</v>
      </c>
      <c r="G68" s="1618">
        <v>89171638</v>
      </c>
      <c r="H68" s="1619">
        <v>26187653</v>
      </c>
      <c r="I68" s="1608">
        <v>25880453</v>
      </c>
      <c r="J68" s="1608">
        <v>29967774</v>
      </c>
      <c r="K68" s="1608">
        <v>62414575</v>
      </c>
      <c r="L68" s="5"/>
      <c r="M68" s="264"/>
      <c r="N68" s="265"/>
      <c r="O68" s="266"/>
      <c r="P68" s="267"/>
      <c r="Q68" s="52"/>
    </row>
    <row r="69" spans="1:17" ht="18">
      <c r="A69" s="263"/>
      <c r="B69" s="887" t="s">
        <v>1227</v>
      </c>
      <c r="C69" s="1627"/>
      <c r="D69" s="1811">
        <f t="shared" si="2"/>
        <v>124.93508154842357</v>
      </c>
      <c r="E69" s="1815"/>
      <c r="F69" s="1617">
        <v>27398117</v>
      </c>
      <c r="G69" s="1618">
        <v>80236215</v>
      </c>
      <c r="H69" s="1607">
        <v>27244564</v>
      </c>
      <c r="I69" s="1608">
        <v>27515368</v>
      </c>
      <c r="J69" s="1608">
        <v>31667591</v>
      </c>
      <c r="K69" s="1608">
        <v>63641733</v>
      </c>
      <c r="L69" s="5"/>
      <c r="M69" s="264"/>
      <c r="N69" s="265"/>
      <c r="O69" s="266"/>
      <c r="P69" s="267"/>
      <c r="Q69" s="52"/>
    </row>
    <row r="70" spans="1:17" ht="18">
      <c r="A70" s="263"/>
      <c r="B70" s="1837" t="s">
        <v>1871</v>
      </c>
      <c r="C70" s="1624" t="s">
        <v>41</v>
      </c>
      <c r="D70" s="1811">
        <f t="shared" si="2"/>
        <v>125.61380315303722</v>
      </c>
      <c r="E70" s="1815">
        <f>1+6+1+1+1+3</f>
        <v>13</v>
      </c>
      <c r="F70" s="1617">
        <v>27523339</v>
      </c>
      <c r="G70" s="1618">
        <v>82215252</v>
      </c>
      <c r="H70" s="1607">
        <v>26711964</v>
      </c>
      <c r="I70" s="1608">
        <v>28011325</v>
      </c>
      <c r="J70" s="1608">
        <v>31982233</v>
      </c>
      <c r="K70" s="1608">
        <v>63442995</v>
      </c>
      <c r="L70" s="5"/>
      <c r="M70" s="264"/>
      <c r="N70" s="265"/>
      <c r="O70" s="266"/>
      <c r="P70" s="267"/>
      <c r="Q70" s="52"/>
    </row>
    <row r="71" spans="1:17" ht="18">
      <c r="A71" s="263"/>
      <c r="B71" s="887" t="s">
        <v>1850</v>
      </c>
      <c r="C71" s="1627"/>
      <c r="D71" s="1811">
        <f t="shared" si="2"/>
        <v>126.42398177066173</v>
      </c>
      <c r="E71" s="1815"/>
      <c r="F71" s="1617">
        <v>25003753</v>
      </c>
      <c r="G71" s="1618">
        <v>91719090</v>
      </c>
      <c r="H71" s="1619">
        <v>26875488</v>
      </c>
      <c r="I71" s="1608">
        <v>28416094</v>
      </c>
      <c r="J71" s="1608">
        <v>31627225</v>
      </c>
      <c r="K71" s="1608">
        <v>64009357</v>
      </c>
      <c r="L71" s="5"/>
      <c r="M71" s="264"/>
      <c r="N71" s="265"/>
      <c r="O71" s="266"/>
      <c r="P71" s="267"/>
      <c r="Q71" s="52"/>
    </row>
    <row r="72" spans="1:17" ht="18">
      <c r="A72" s="263"/>
      <c r="B72" s="1313" t="s">
        <v>1362</v>
      </c>
      <c r="C72" s="1616" t="s">
        <v>41</v>
      </c>
      <c r="D72" s="1811">
        <f t="shared" si="2"/>
        <v>126.77425904054978</v>
      </c>
      <c r="E72" s="1815">
        <f>9+59+11+8+9+32</f>
        <v>128</v>
      </c>
      <c r="F72" s="1617">
        <v>26851122</v>
      </c>
      <c r="G72" s="1618">
        <v>90802425</v>
      </c>
      <c r="H72" s="1607">
        <v>28089211</v>
      </c>
      <c r="I72" s="1608">
        <v>24580852</v>
      </c>
      <c r="J72" s="1608">
        <v>31827490</v>
      </c>
      <c r="K72" s="1608">
        <v>66644195</v>
      </c>
      <c r="L72" s="5"/>
      <c r="M72" s="264"/>
      <c r="N72" s="265"/>
      <c r="O72" s="266"/>
      <c r="P72" s="267"/>
      <c r="Q72" s="52"/>
    </row>
    <row r="73" spans="1:17" ht="18">
      <c r="A73" s="263"/>
      <c r="B73" s="887" t="s">
        <v>1229</v>
      </c>
      <c r="C73" s="1627"/>
      <c r="D73" s="1811">
        <f t="shared" si="2"/>
        <v>127.12643614346631</v>
      </c>
      <c r="E73" s="1815"/>
      <c r="F73" s="1617">
        <v>28035880</v>
      </c>
      <c r="G73" s="1640">
        <v>81453180</v>
      </c>
      <c r="H73" s="1609">
        <v>27129184</v>
      </c>
      <c r="I73" s="1610">
        <v>28288800</v>
      </c>
      <c r="J73" s="1610">
        <v>32611012</v>
      </c>
      <c r="K73" s="1610">
        <v>64546204</v>
      </c>
      <c r="L73" s="5"/>
      <c r="M73" s="264"/>
      <c r="N73" s="265"/>
      <c r="O73" s="266"/>
      <c r="P73" s="267"/>
      <c r="Q73" s="52"/>
    </row>
    <row r="74" spans="1:17" ht="18">
      <c r="A74" s="263"/>
      <c r="B74" s="1317" t="s">
        <v>1851</v>
      </c>
      <c r="C74" s="1641"/>
      <c r="D74" s="1811">
        <f t="shared" ref="D74:D79" si="3">SUM(F74/F$8,G74/G$8,H74/H$8,I74/I$8,J74/J$8,K74/K$8)/6*100</f>
        <v>128.01837135844301</v>
      </c>
      <c r="E74" s="1815"/>
      <c r="F74" s="1617">
        <v>28130802</v>
      </c>
      <c r="G74" s="1618">
        <v>83413846</v>
      </c>
      <c r="H74" s="1619">
        <v>27135351</v>
      </c>
      <c r="I74" s="1608">
        <v>28707784</v>
      </c>
      <c r="J74" s="1608">
        <v>32559637</v>
      </c>
      <c r="K74" s="1608">
        <v>64682998</v>
      </c>
      <c r="L74" s="5"/>
      <c r="M74" s="273"/>
      <c r="N74" s="276"/>
      <c r="O74" s="266"/>
      <c r="P74" s="267"/>
      <c r="Q74" s="52"/>
    </row>
    <row r="75" spans="1:17" ht="18">
      <c r="A75" s="263"/>
      <c r="B75" s="1317" t="s">
        <v>1852</v>
      </c>
      <c r="C75" s="1626"/>
      <c r="D75" s="1811">
        <f t="shared" si="3"/>
        <v>154.33875535280873</v>
      </c>
      <c r="E75" s="1815"/>
      <c r="F75" s="1617">
        <v>28811693</v>
      </c>
      <c r="G75" s="1618">
        <v>124599400</v>
      </c>
      <c r="H75" s="1619">
        <v>33875159</v>
      </c>
      <c r="I75" s="1608">
        <v>34262259</v>
      </c>
      <c r="J75" s="1608">
        <v>35483592</v>
      </c>
      <c r="K75" s="1608">
        <v>77091437</v>
      </c>
      <c r="L75" s="5"/>
      <c r="M75" s="264"/>
      <c r="N75" s="265"/>
      <c r="O75" s="266"/>
      <c r="P75" s="267"/>
      <c r="Q75" s="52"/>
    </row>
    <row r="76" spans="1:17" ht="18">
      <c r="A76" s="263"/>
      <c r="B76" s="891" t="s">
        <v>1853</v>
      </c>
      <c r="C76" s="1616" t="s">
        <v>41</v>
      </c>
      <c r="D76" s="1811">
        <f t="shared" si="3"/>
        <v>157.09838007064283</v>
      </c>
      <c r="E76" s="1815">
        <f>7+34+9+8+8+21</f>
        <v>87</v>
      </c>
      <c r="F76" s="1617">
        <v>29841499</v>
      </c>
      <c r="G76" s="1618">
        <v>124326855</v>
      </c>
      <c r="H76" s="1619">
        <v>35177002</v>
      </c>
      <c r="I76" s="1608">
        <v>33886545</v>
      </c>
      <c r="J76" s="1608">
        <v>35652540</v>
      </c>
      <c r="K76" s="1608">
        <v>80671989</v>
      </c>
      <c r="L76" s="5"/>
      <c r="M76" s="264"/>
      <c r="N76" s="265"/>
      <c r="O76" s="266"/>
      <c r="P76" s="267"/>
      <c r="Q76" s="52"/>
    </row>
    <row r="77" spans="1:17" ht="18">
      <c r="A77" s="263"/>
      <c r="B77" s="1320" t="s">
        <v>1232</v>
      </c>
      <c r="C77" s="1642"/>
      <c r="D77" s="1811">
        <f t="shared" si="3"/>
        <v>158.81801576276737</v>
      </c>
      <c r="E77" s="1815"/>
      <c r="F77" s="1617">
        <v>30530732</v>
      </c>
      <c r="G77" s="1618">
        <v>125888449</v>
      </c>
      <c r="H77" s="1619">
        <v>34578420</v>
      </c>
      <c r="I77" s="1608">
        <v>34364578</v>
      </c>
      <c r="J77" s="1608">
        <v>37259032</v>
      </c>
      <c r="K77" s="1608">
        <v>80221162</v>
      </c>
      <c r="L77" s="5"/>
      <c r="M77" s="264"/>
      <c r="N77" s="265"/>
      <c r="O77" s="266"/>
      <c r="P77" s="267"/>
      <c r="Q77" s="52"/>
    </row>
    <row r="78" spans="1:17" ht="18">
      <c r="A78" s="263"/>
      <c r="B78" s="891" t="s">
        <v>1854</v>
      </c>
      <c r="C78" s="1624" t="s">
        <v>41</v>
      </c>
      <c r="D78" s="1811">
        <f t="shared" si="3"/>
        <v>161.74622642967702</v>
      </c>
      <c r="E78" s="1815">
        <f>2.5+7.2+2.8+2.2+2+5.7</f>
        <v>22.4</v>
      </c>
      <c r="F78" s="1617">
        <v>32456331</v>
      </c>
      <c r="G78" s="1618">
        <v>123860181</v>
      </c>
      <c r="H78" s="1619">
        <v>36998415</v>
      </c>
      <c r="I78" s="1608">
        <v>33710545</v>
      </c>
      <c r="J78" s="1608">
        <v>36370790</v>
      </c>
      <c r="K78" s="1608">
        <v>83541373</v>
      </c>
      <c r="L78" s="5"/>
      <c r="M78" s="54"/>
      <c r="N78" s="270"/>
      <c r="O78" s="266"/>
      <c r="P78" s="267"/>
      <c r="Q78" s="52"/>
    </row>
    <row r="79" spans="1:17" ht="18">
      <c r="A79" s="263"/>
      <c r="B79" s="1843" t="s">
        <v>1235</v>
      </c>
      <c r="C79" s="1624" t="s">
        <v>41</v>
      </c>
      <c r="D79" s="1811">
        <f t="shared" si="3"/>
        <v>175.8197383888569</v>
      </c>
      <c r="E79" s="1815"/>
      <c r="F79" s="1617">
        <v>36113065</v>
      </c>
      <c r="G79" s="1618">
        <v>118488777</v>
      </c>
      <c r="H79" s="1619">
        <v>37214437</v>
      </c>
      <c r="I79" s="1608">
        <v>40691551</v>
      </c>
      <c r="J79" s="1608">
        <v>44515781</v>
      </c>
      <c r="K79" s="1608">
        <v>89543762</v>
      </c>
      <c r="L79" s="5"/>
      <c r="M79" s="264"/>
      <c r="N79" s="265"/>
      <c r="O79" s="266"/>
      <c r="P79" s="267"/>
      <c r="Q79" s="52"/>
    </row>
    <row r="80" spans="1:17" ht="18">
      <c r="A80" s="263"/>
      <c r="B80" s="1321" t="s">
        <v>1211</v>
      </c>
      <c r="C80" s="1643"/>
      <c r="D80" s="1673" t="s">
        <v>1782</v>
      </c>
      <c r="E80" s="1573" t="s">
        <v>1782</v>
      </c>
      <c r="F80" s="1617">
        <v>22720782</v>
      </c>
      <c r="G80" s="1618">
        <v>70074024</v>
      </c>
      <c r="H80" s="1619">
        <v>23464783</v>
      </c>
      <c r="I80" s="1608">
        <v>25122699</v>
      </c>
      <c r="J80" s="1608">
        <v>27475633</v>
      </c>
      <c r="K80" s="1644" t="s">
        <v>495</v>
      </c>
      <c r="L80" s="5"/>
      <c r="M80" s="264"/>
      <c r="N80" s="265"/>
      <c r="O80" s="266"/>
      <c r="P80" s="53"/>
      <c r="Q80" s="52"/>
    </row>
    <row r="81" spans="1:17" ht="18">
      <c r="A81" s="263"/>
      <c r="B81" s="1321" t="s">
        <v>1233</v>
      </c>
      <c r="C81" s="1645"/>
      <c r="D81" s="1673" t="s">
        <v>1782</v>
      </c>
      <c r="E81" s="1573" t="s">
        <v>1782</v>
      </c>
      <c r="F81" s="1646" t="s">
        <v>495</v>
      </c>
      <c r="G81" s="1606">
        <v>95691188</v>
      </c>
      <c r="H81" s="1647" t="s">
        <v>495</v>
      </c>
      <c r="I81" s="1606">
        <v>29105544</v>
      </c>
      <c r="J81" s="1648" t="s">
        <v>495</v>
      </c>
      <c r="K81" s="1606">
        <v>68255848</v>
      </c>
      <c r="L81" s="285"/>
      <c r="M81" s="277"/>
      <c r="N81" s="257"/>
      <c r="O81" s="266"/>
      <c r="P81" s="278"/>
      <c r="Q81" s="52"/>
    </row>
    <row r="82" spans="1:17" ht="18">
      <c r="A82" s="263"/>
      <c r="B82" s="284" t="s">
        <v>1217</v>
      </c>
      <c r="C82" s="1649"/>
      <c r="D82" s="1674" t="s">
        <v>1782</v>
      </c>
      <c r="E82" s="1675" t="s">
        <v>1782</v>
      </c>
      <c r="F82" s="1650" t="s">
        <v>1234</v>
      </c>
      <c r="G82" s="1644" t="s">
        <v>1234</v>
      </c>
      <c r="H82" s="1651" t="s">
        <v>1234</v>
      </c>
      <c r="I82" s="1644" t="s">
        <v>1234</v>
      </c>
      <c r="J82" s="1644" t="s">
        <v>1234</v>
      </c>
      <c r="K82" s="1644" t="s">
        <v>1234</v>
      </c>
      <c r="L82" s="49"/>
      <c r="M82" s="277"/>
      <c r="N82" s="257"/>
      <c r="O82" s="266"/>
      <c r="P82" s="278"/>
      <c r="Q82" s="52"/>
    </row>
    <row r="83" spans="1:17" ht="18">
      <c r="A83" s="263"/>
      <c r="B83" s="1652" t="s">
        <v>1783</v>
      </c>
      <c r="C83" s="1653"/>
      <c r="D83" s="1653"/>
      <c r="E83" s="1653"/>
      <c r="F83" s="1654"/>
      <c r="G83" s="1654"/>
      <c r="H83" s="1654"/>
      <c r="I83" s="1655"/>
      <c r="J83" s="1655"/>
      <c r="K83" s="1655"/>
      <c r="L83" s="49"/>
      <c r="M83" s="264"/>
      <c r="N83" s="265"/>
      <c r="O83" s="266"/>
      <c r="P83" s="279"/>
      <c r="Q83" s="280"/>
    </row>
    <row r="84" spans="1:17" ht="18">
      <c r="A84" s="263"/>
      <c r="B84" s="1656" t="s">
        <v>1272</v>
      </c>
      <c r="C84" s="1653"/>
      <c r="D84" s="1653"/>
      <c r="E84" s="1653"/>
      <c r="F84" s="1654"/>
      <c r="G84" s="1654"/>
      <c r="H84" s="1654"/>
      <c r="I84" s="1655"/>
      <c r="J84" s="1655"/>
      <c r="K84" s="1655"/>
      <c r="L84" s="49"/>
      <c r="M84" s="264"/>
      <c r="N84" s="265"/>
      <c r="O84" s="266"/>
      <c r="P84" s="279"/>
      <c r="Q84" s="280"/>
    </row>
    <row r="85" spans="1:17" ht="18">
      <c r="A85" s="263"/>
      <c r="B85" s="1652" t="s">
        <v>1784</v>
      </c>
      <c r="C85" s="1653"/>
      <c r="D85" s="1653"/>
      <c r="E85" s="1653"/>
      <c r="F85" s="1654"/>
      <c r="G85" s="1654"/>
      <c r="H85" s="1654"/>
      <c r="I85" s="1655"/>
      <c r="J85" s="1655"/>
      <c r="K85" s="1655"/>
      <c r="L85" s="49"/>
      <c r="M85" s="264"/>
      <c r="N85" s="265"/>
      <c r="O85" s="266"/>
      <c r="P85" s="279"/>
      <c r="Q85" s="280"/>
    </row>
    <row r="86" spans="1:17">
      <c r="B86" s="1327"/>
      <c r="C86" s="1327"/>
      <c r="D86" s="1327"/>
      <c r="E86" s="1327"/>
      <c r="F86" s="1327"/>
      <c r="G86" s="1327"/>
      <c r="H86" s="1327"/>
      <c r="I86" s="1327"/>
      <c r="J86" s="1327"/>
      <c r="K86" s="1327"/>
    </row>
    <row r="87" spans="1:17">
      <c r="B87" s="1327"/>
      <c r="C87" s="1327"/>
      <c r="D87" s="1327"/>
      <c r="E87" s="1327"/>
      <c r="F87" s="1327"/>
      <c r="G87" s="1327"/>
      <c r="H87" s="1327"/>
      <c r="I87" s="1327"/>
      <c r="J87" s="1327"/>
      <c r="K87" s="1327"/>
    </row>
    <row r="88" spans="1:17" ht="15" customHeight="1">
      <c r="B88" s="1579" t="s">
        <v>1214</v>
      </c>
      <c r="C88" s="1580"/>
      <c r="D88" s="3153" t="s">
        <v>1781</v>
      </c>
      <c r="E88" s="3150" t="s">
        <v>47</v>
      </c>
      <c r="F88" s="1574" t="s">
        <v>1250</v>
      </c>
      <c r="G88" s="1574" t="s">
        <v>1259</v>
      </c>
      <c r="H88" s="1574" t="s">
        <v>1262</v>
      </c>
      <c r="I88" s="1574" t="s">
        <v>1265</v>
      </c>
      <c r="J88" s="1657"/>
      <c r="K88" s="1657"/>
    </row>
    <row r="89" spans="1:17" ht="38.25">
      <c r="B89" s="3148" t="s">
        <v>1360</v>
      </c>
      <c r="C89" s="1581"/>
      <c r="D89" s="3154"/>
      <c r="E89" s="3151"/>
      <c r="F89" s="1575" t="s">
        <v>1268</v>
      </c>
      <c r="G89" s="1575" t="s">
        <v>1260</v>
      </c>
      <c r="H89" s="1575" t="s">
        <v>1263</v>
      </c>
      <c r="I89" s="1575" t="s">
        <v>1266</v>
      </c>
      <c r="J89" s="288"/>
      <c r="K89" s="288"/>
    </row>
    <row r="90" spans="1:17" ht="15" customHeight="1">
      <c r="B90" s="3149"/>
      <c r="C90" s="1581"/>
      <c r="D90" s="3154"/>
      <c r="E90" s="3151"/>
      <c r="F90" s="1852" t="s">
        <v>1196</v>
      </c>
      <c r="G90" s="1851" t="s">
        <v>1196</v>
      </c>
      <c r="H90" s="1851" t="s">
        <v>1196</v>
      </c>
      <c r="I90" s="1851" t="s">
        <v>1196</v>
      </c>
      <c r="J90" s="289"/>
      <c r="K90" s="289"/>
    </row>
    <row r="91" spans="1:17" ht="14.25" customHeight="1">
      <c r="B91" s="1577" t="s">
        <v>1258</v>
      </c>
      <c r="C91" s="1658"/>
      <c r="D91" s="3155"/>
      <c r="E91" s="3156"/>
      <c r="F91" s="287" t="s">
        <v>1257</v>
      </c>
      <c r="G91" s="287" t="s">
        <v>1261</v>
      </c>
      <c r="H91" s="292" t="s">
        <v>1264</v>
      </c>
      <c r="I91" s="292" t="s">
        <v>1267</v>
      </c>
      <c r="J91" s="1327"/>
      <c r="K91" s="1327"/>
    </row>
    <row r="92" spans="1:17" ht="15.75" hidden="1">
      <c r="B92" s="1577"/>
      <c r="C92" s="1581"/>
      <c r="D92" s="1327">
        <v>100</v>
      </c>
      <c r="E92" s="1327"/>
      <c r="F92" s="1584">
        <f>MIN(F93:F163)</f>
        <v>150627544</v>
      </c>
      <c r="G92" s="1584">
        <f>MIN(G93:G163)</f>
        <v>116090808</v>
      </c>
      <c r="H92" s="1584">
        <f>MIN(H93:H163)</f>
        <v>107039399</v>
      </c>
      <c r="I92" s="1584">
        <f>MIN(I93:I163)</f>
        <v>155382738</v>
      </c>
      <c r="J92" s="1327"/>
      <c r="K92" s="1327"/>
    </row>
    <row r="93" spans="1:17" ht="15.75">
      <c r="B93" s="1578" t="s">
        <v>1242</v>
      </c>
      <c r="C93" s="1659"/>
      <c r="D93" s="1812">
        <f t="shared" ref="D93:D104" si="4">SUM(F93/F$92,G93/G$92,H93/H$92,I93/I$92)/4*100</f>
        <v>162.38664993274466</v>
      </c>
      <c r="E93" s="1573" t="s">
        <v>1782</v>
      </c>
      <c r="F93" s="1660">
        <v>243568446</v>
      </c>
      <c r="G93" s="1587">
        <v>184389200</v>
      </c>
      <c r="H93" s="1586">
        <v>175104080</v>
      </c>
      <c r="I93" s="1586">
        <v>257040080</v>
      </c>
      <c r="J93" s="1327"/>
      <c r="K93" s="1327"/>
    </row>
    <row r="94" spans="1:17" ht="15.75">
      <c r="B94" s="1311" t="s">
        <v>1825</v>
      </c>
      <c r="C94" s="1592"/>
      <c r="D94" s="1813">
        <f t="shared" si="4"/>
        <v>100.05566935153038</v>
      </c>
      <c r="E94" s="1815">
        <f>1289.1+994.4+914.7+1365.4</f>
        <v>4563.6000000000004</v>
      </c>
      <c r="F94" s="1661">
        <v>150627544</v>
      </c>
      <c r="G94" s="1608">
        <v>116349316</v>
      </c>
      <c r="H94" s="1608">
        <v>107039399</v>
      </c>
      <c r="I94" s="1608">
        <v>155382738</v>
      </c>
      <c r="J94" s="1327"/>
      <c r="K94" s="1327"/>
    </row>
    <row r="95" spans="1:17" ht="15.75">
      <c r="B95" s="1311" t="s">
        <v>1827</v>
      </c>
      <c r="C95" s="1592"/>
      <c r="D95" s="1813">
        <f t="shared" si="4"/>
        <v>100.09863679448306</v>
      </c>
      <c r="E95" s="1815">
        <f>1265.6+994.8+895.4+1329.9</f>
        <v>4485.7</v>
      </c>
      <c r="F95" s="1637">
        <v>150777093</v>
      </c>
      <c r="G95" s="1618">
        <v>116243444</v>
      </c>
      <c r="H95" s="1618">
        <v>107126805</v>
      </c>
      <c r="I95" s="1662">
        <v>155510347</v>
      </c>
      <c r="J95" s="1327"/>
      <c r="K95" s="1327"/>
    </row>
    <row r="96" spans="1:17" ht="15.75">
      <c r="B96" s="1311" t="s">
        <v>1873</v>
      </c>
      <c r="C96" s="1597"/>
      <c r="D96" s="1813">
        <f t="shared" si="4"/>
        <v>100.1462245293868</v>
      </c>
      <c r="E96" s="1815">
        <f>752.4+559.1+535+772.2</f>
        <v>2618.6999999999998</v>
      </c>
      <c r="F96" s="1637">
        <v>151091076</v>
      </c>
      <c r="G96" s="1618">
        <v>116090808</v>
      </c>
      <c r="H96" s="1618">
        <v>107213308</v>
      </c>
      <c r="I96" s="1662">
        <v>155560950</v>
      </c>
      <c r="J96" s="1327"/>
      <c r="K96" s="1327"/>
    </row>
    <row r="97" spans="2:11" ht="15.75">
      <c r="B97" s="1311" t="s">
        <v>1832</v>
      </c>
      <c r="C97" s="1653"/>
      <c r="D97" s="1813">
        <f t="shared" si="4"/>
        <v>100.38896870311933</v>
      </c>
      <c r="E97" s="1815">
        <f>133.3+99.9+91.6+143.6</f>
        <v>468.4</v>
      </c>
      <c r="F97" s="1637">
        <v>151690983</v>
      </c>
      <c r="G97" s="1618">
        <v>116452328</v>
      </c>
      <c r="H97" s="1618">
        <v>107400789</v>
      </c>
      <c r="I97" s="1662">
        <v>155694800</v>
      </c>
      <c r="J97" s="1327"/>
      <c r="K97" s="1327"/>
    </row>
    <row r="98" spans="2:11" ht="15.75">
      <c r="B98" s="891" t="s">
        <v>1833</v>
      </c>
      <c r="C98" s="1604"/>
      <c r="D98" s="1813">
        <f t="shared" si="4"/>
        <v>100.44987434466263</v>
      </c>
      <c r="E98" s="1815">
        <f>102.7+79.8+76.3+108.2</f>
        <v>367</v>
      </c>
      <c r="F98" s="1637">
        <v>151867224</v>
      </c>
      <c r="G98" s="1618">
        <v>116505875</v>
      </c>
      <c r="H98" s="1618">
        <v>107445761</v>
      </c>
      <c r="I98" s="1662">
        <v>155754589</v>
      </c>
      <c r="J98" s="1327"/>
      <c r="K98" s="1327"/>
    </row>
    <row r="99" spans="2:11" ht="15.75">
      <c r="B99" s="1312" t="s">
        <v>1836</v>
      </c>
      <c r="C99" s="1624"/>
      <c r="D99" s="1813">
        <f t="shared" si="4"/>
        <v>101.66288589680622</v>
      </c>
      <c r="E99" s="1815">
        <f>11.72+7.66+6.9+11.07</f>
        <v>37.35</v>
      </c>
      <c r="F99" s="1637">
        <v>153303507</v>
      </c>
      <c r="G99" s="1618">
        <v>119254076</v>
      </c>
      <c r="H99" s="1618">
        <v>108185096</v>
      </c>
      <c r="I99" s="1662">
        <v>157060604</v>
      </c>
      <c r="J99" s="1327"/>
      <c r="K99" s="1327"/>
    </row>
    <row r="100" spans="2:11" ht="15.75">
      <c r="B100" s="1821" t="s">
        <v>1856</v>
      </c>
      <c r="C100" s="1816"/>
      <c r="D100" s="1813">
        <f t="shared" si="4"/>
        <v>101.66288589680622</v>
      </c>
      <c r="E100" s="1815">
        <f>10.79+7.59+7.32+10.94</f>
        <v>36.64</v>
      </c>
      <c r="F100" s="1799">
        <v>153303507</v>
      </c>
      <c r="G100" s="1638">
        <v>119254076</v>
      </c>
      <c r="H100" s="1638">
        <v>108185096</v>
      </c>
      <c r="I100" s="1664">
        <v>157060604</v>
      </c>
      <c r="J100" s="1327"/>
      <c r="K100" s="1327"/>
    </row>
    <row r="101" spans="2:11" ht="15.75">
      <c r="B101" s="1315" t="s">
        <v>1205</v>
      </c>
      <c r="C101" s="1624" t="s">
        <v>41</v>
      </c>
      <c r="D101" s="1813">
        <f t="shared" si="4"/>
        <v>102.68553439732482</v>
      </c>
      <c r="E101" s="1815"/>
      <c r="F101" s="1637">
        <v>157647263</v>
      </c>
      <c r="G101" s="1618">
        <v>119848083</v>
      </c>
      <c r="H101" s="1618">
        <v>108344006</v>
      </c>
      <c r="I101" s="1662">
        <v>157910062</v>
      </c>
      <c r="J101" s="1327"/>
      <c r="K101" s="1327"/>
    </row>
    <row r="102" spans="2:11" ht="15.75">
      <c r="B102" s="1314" t="s">
        <v>1874</v>
      </c>
      <c r="C102" s="1624" t="s">
        <v>41</v>
      </c>
      <c r="D102" s="1813">
        <f t="shared" si="4"/>
        <v>103.09117981117721</v>
      </c>
      <c r="E102" s="1815">
        <f>744.1+473.9+466.8+665.5</f>
        <v>2350.3000000000002</v>
      </c>
      <c r="F102" s="1637">
        <v>154239743</v>
      </c>
      <c r="G102" s="1618">
        <v>118334498</v>
      </c>
      <c r="H102" s="1618">
        <v>109902899</v>
      </c>
      <c r="I102" s="1662">
        <v>163709285</v>
      </c>
      <c r="J102" s="1327"/>
      <c r="K102" s="1327"/>
    </row>
    <row r="103" spans="2:11" ht="15.75">
      <c r="B103" s="1314" t="s">
        <v>1839</v>
      </c>
      <c r="C103" s="1624" t="s">
        <v>41</v>
      </c>
      <c r="D103" s="1813">
        <f t="shared" si="4"/>
        <v>103.16634783218352</v>
      </c>
      <c r="E103" s="1815">
        <f>1810.2+1357.8+1214.2+2142.5</f>
        <v>6524.7</v>
      </c>
      <c r="F103" s="1637">
        <v>153713436</v>
      </c>
      <c r="G103" s="1618">
        <v>120233703</v>
      </c>
      <c r="H103" s="1618">
        <v>109412800</v>
      </c>
      <c r="I103" s="1662">
        <v>162888840</v>
      </c>
      <c r="J103" s="1327"/>
      <c r="K103" s="1327"/>
    </row>
    <row r="104" spans="2:11" ht="15.75">
      <c r="B104" s="1314" t="s">
        <v>1875</v>
      </c>
      <c r="C104" s="1616" t="s">
        <v>41</v>
      </c>
      <c r="D104" s="1813">
        <f t="shared" si="4"/>
        <v>104.60299604125431</v>
      </c>
      <c r="E104" s="1815">
        <f>16.23+12.09+10.73+16.51</f>
        <v>55.56</v>
      </c>
      <c r="F104" s="1637">
        <v>158952276</v>
      </c>
      <c r="G104" s="1618">
        <v>124126347</v>
      </c>
      <c r="H104" s="1618">
        <v>110343975</v>
      </c>
      <c r="I104" s="1662">
        <v>159851953</v>
      </c>
      <c r="J104" s="1327"/>
      <c r="K104" s="1327"/>
    </row>
    <row r="105" spans="2:11" ht="15.75">
      <c r="B105" s="891" t="s">
        <v>1857</v>
      </c>
      <c r="C105" s="1624" t="s">
        <v>41</v>
      </c>
      <c r="D105" s="1813">
        <f t="shared" ref="D105:D129" si="5">SUM(F105/F$92,G105/G$92,H105/H$92,I105/I$92)/4*100</f>
        <v>105.4811588618068</v>
      </c>
      <c r="E105" s="1815">
        <f>5.5+4+3.7+5.4</f>
        <v>18.600000000000001</v>
      </c>
      <c r="F105" s="1637">
        <v>161101872</v>
      </c>
      <c r="G105" s="1618">
        <v>126663458</v>
      </c>
      <c r="H105" s="1618">
        <v>110225473</v>
      </c>
      <c r="I105" s="1662">
        <v>159868754</v>
      </c>
      <c r="J105" s="1327"/>
      <c r="K105" s="1327"/>
    </row>
    <row r="106" spans="2:11" ht="15.75">
      <c r="B106" s="891" t="s">
        <v>1204</v>
      </c>
      <c r="C106" s="1604"/>
      <c r="D106" s="1813">
        <f t="shared" si="5"/>
        <v>105.61440877801513</v>
      </c>
      <c r="E106" s="1815"/>
      <c r="F106" s="1637">
        <v>160385778</v>
      </c>
      <c r="G106" s="1618">
        <v>126207808</v>
      </c>
      <c r="H106" s="1618">
        <v>111549742</v>
      </c>
      <c r="I106" s="1662">
        <v>160123150</v>
      </c>
      <c r="J106" s="1327"/>
      <c r="K106" s="1327"/>
    </row>
    <row r="107" spans="2:11" ht="15.75">
      <c r="B107" s="891" t="s">
        <v>1838</v>
      </c>
      <c r="C107" s="1624" t="s">
        <v>41</v>
      </c>
      <c r="D107" s="1813">
        <f t="shared" si="5"/>
        <v>106.16755286745891</v>
      </c>
      <c r="E107" s="1815">
        <f>713.6+593.2+462.6+709.7</f>
        <v>2479.1000000000004</v>
      </c>
      <c r="F107" s="1637">
        <v>160298734</v>
      </c>
      <c r="G107" s="1618">
        <v>124486694</v>
      </c>
      <c r="H107" s="1618">
        <v>112181482</v>
      </c>
      <c r="I107" s="1662">
        <v>165037484</v>
      </c>
      <c r="J107" s="1327"/>
      <c r="K107" s="1327"/>
    </row>
    <row r="108" spans="2:11" ht="15.75">
      <c r="B108" s="1841" t="s">
        <v>1859</v>
      </c>
      <c r="C108" s="1624" t="s">
        <v>41</v>
      </c>
      <c r="D108" s="1813">
        <f t="shared" si="5"/>
        <v>106.16755286745891</v>
      </c>
      <c r="E108" s="1815">
        <f>673.5+530.69+432.16+627.11</f>
        <v>2263.46</v>
      </c>
      <c r="F108" s="1799">
        <v>160298734</v>
      </c>
      <c r="G108" s="1638">
        <v>124486694</v>
      </c>
      <c r="H108" s="1638">
        <v>112181482</v>
      </c>
      <c r="I108" s="1664">
        <v>165037484</v>
      </c>
      <c r="J108" s="1327"/>
      <c r="K108" s="1327"/>
    </row>
    <row r="109" spans="2:11" ht="15.75">
      <c r="B109" s="1314" t="s">
        <v>1858</v>
      </c>
      <c r="C109" s="1624" t="s">
        <v>41</v>
      </c>
      <c r="D109" s="1813">
        <f t="shared" si="5"/>
        <v>107.51232285064955</v>
      </c>
      <c r="E109" s="1815">
        <f>44.31+32.31+29.23+44.25</f>
        <v>150.10000000000002</v>
      </c>
      <c r="F109" s="1637">
        <v>161428354</v>
      </c>
      <c r="G109" s="1618">
        <v>130192397</v>
      </c>
      <c r="H109" s="1618">
        <v>113900221</v>
      </c>
      <c r="I109" s="1662">
        <v>162098526</v>
      </c>
      <c r="J109" s="1327"/>
      <c r="K109" s="1327"/>
    </row>
    <row r="110" spans="2:11" ht="15.75">
      <c r="B110" s="1842" t="s">
        <v>1868</v>
      </c>
      <c r="C110" s="1624" t="s">
        <v>41</v>
      </c>
      <c r="D110" s="1813">
        <f t="shared" si="5"/>
        <v>107.51232285064955</v>
      </c>
      <c r="E110" s="1815">
        <f>17.53+13.27+11.83+17.5</f>
        <v>60.13</v>
      </c>
      <c r="F110" s="1799">
        <v>161428354</v>
      </c>
      <c r="G110" s="1638">
        <v>130192397</v>
      </c>
      <c r="H110" s="1638">
        <v>113900221</v>
      </c>
      <c r="I110" s="1664">
        <v>162098526</v>
      </c>
      <c r="J110" s="1327"/>
      <c r="K110" s="1327"/>
    </row>
    <row r="111" spans="2:11" ht="15.75">
      <c r="B111" s="891" t="s">
        <v>1843</v>
      </c>
      <c r="C111" s="1624" t="s">
        <v>41</v>
      </c>
      <c r="D111" s="1813">
        <f t="shared" si="5"/>
        <v>110.18994269588676</v>
      </c>
      <c r="E111" s="1815">
        <f>7.71+6.41+5.26+8.19</f>
        <v>27.57</v>
      </c>
      <c r="F111" s="1637">
        <v>164136530</v>
      </c>
      <c r="G111" s="1618">
        <v>132933026</v>
      </c>
      <c r="H111" s="1618">
        <v>116044102</v>
      </c>
      <c r="I111" s="1662">
        <v>169166728</v>
      </c>
      <c r="J111" s="1327"/>
      <c r="K111" s="1327"/>
    </row>
    <row r="112" spans="2:11" ht="15.75">
      <c r="B112" s="1847" t="s">
        <v>1860</v>
      </c>
      <c r="C112" s="1624" t="s">
        <v>41</v>
      </c>
      <c r="D112" s="1813">
        <f t="shared" si="5"/>
        <v>110.18994269588676</v>
      </c>
      <c r="E112" s="1815">
        <f>7.57+5.88+4.11+7.68</f>
        <v>25.24</v>
      </c>
      <c r="F112" s="1799">
        <v>164136530</v>
      </c>
      <c r="G112" s="1638">
        <v>132933026</v>
      </c>
      <c r="H112" s="1638">
        <v>116044102</v>
      </c>
      <c r="I112" s="1664">
        <v>169166728</v>
      </c>
      <c r="J112" s="1327"/>
      <c r="K112" s="1327"/>
    </row>
    <row r="113" spans="2:11" ht="15.75">
      <c r="B113" s="891" t="s">
        <v>1208</v>
      </c>
      <c r="C113" s="1623"/>
      <c r="D113" s="1813">
        <f t="shared" si="5"/>
        <v>113.42260244077032</v>
      </c>
      <c r="E113" s="1815"/>
      <c r="F113" s="1637">
        <v>167909042</v>
      </c>
      <c r="G113" s="1618">
        <v>141474012</v>
      </c>
      <c r="H113" s="1618">
        <v>120674792</v>
      </c>
      <c r="I113" s="1662">
        <v>167213248</v>
      </c>
      <c r="J113" s="1327"/>
      <c r="K113" s="1327"/>
    </row>
    <row r="114" spans="2:11" ht="15.75">
      <c r="B114" s="891" t="s">
        <v>1206</v>
      </c>
      <c r="C114" s="1623"/>
      <c r="D114" s="1813">
        <f t="shared" si="5"/>
        <v>114.96358018655886</v>
      </c>
      <c r="E114" s="1815"/>
      <c r="F114" s="1637">
        <v>167178516</v>
      </c>
      <c r="G114" s="1618">
        <v>147478746</v>
      </c>
      <c r="H114" s="1618">
        <v>123160275</v>
      </c>
      <c r="I114" s="1662">
        <v>165899374</v>
      </c>
      <c r="J114" s="1327"/>
      <c r="K114" s="1327"/>
    </row>
    <row r="115" spans="2:11" ht="15.75">
      <c r="B115" s="891" t="s">
        <v>1212</v>
      </c>
      <c r="C115" s="1604"/>
      <c r="D115" s="1813">
        <f t="shared" si="5"/>
        <v>115.61243942479888</v>
      </c>
      <c r="E115" s="1815"/>
      <c r="F115" s="1637">
        <v>170197350</v>
      </c>
      <c r="G115" s="1618">
        <v>144628460</v>
      </c>
      <c r="H115" s="1618">
        <v>122914676</v>
      </c>
      <c r="I115" s="1662">
        <v>170989610</v>
      </c>
      <c r="J115" s="1327"/>
      <c r="K115" s="1327"/>
    </row>
    <row r="116" spans="2:11" ht="15.75">
      <c r="B116" s="891" t="s">
        <v>1195</v>
      </c>
      <c r="C116" s="1604"/>
      <c r="D116" s="1813">
        <f t="shared" si="5"/>
        <v>121.22802367630786</v>
      </c>
      <c r="E116" s="1815">
        <f>54.41+36.86+37.26+58.43</f>
        <v>186.96</v>
      </c>
      <c r="F116" s="1637">
        <v>175637744</v>
      </c>
      <c r="G116" s="1618">
        <v>146398256</v>
      </c>
      <c r="H116" s="1618">
        <v>130638912</v>
      </c>
      <c r="I116" s="1662">
        <v>186698448</v>
      </c>
      <c r="J116" s="1327"/>
      <c r="K116" s="1327"/>
    </row>
    <row r="117" spans="2:11" ht="15.75">
      <c r="B117" s="299" t="s">
        <v>1848</v>
      </c>
      <c r="C117" s="1627"/>
      <c r="D117" s="1813">
        <f t="shared" si="5"/>
        <v>124.46272952893933</v>
      </c>
      <c r="E117" s="1815">
        <f>127.9+113.4+108.9+134.3</f>
        <v>484.50000000000006</v>
      </c>
      <c r="F117" s="1637">
        <v>176619973</v>
      </c>
      <c r="G117" s="1618">
        <v>158843595</v>
      </c>
      <c r="H117" s="1618">
        <v>132325676</v>
      </c>
      <c r="I117" s="1662">
        <v>186683763</v>
      </c>
      <c r="J117" s="1327"/>
      <c r="K117" s="1327"/>
    </row>
    <row r="118" spans="2:11" ht="15.75">
      <c r="B118" s="1313" t="s">
        <v>1639</v>
      </c>
      <c r="C118" s="1604"/>
      <c r="D118" s="1813">
        <f t="shared" si="5"/>
        <v>125.84348440682768</v>
      </c>
      <c r="E118" s="1815">
        <f>40.5+31.3+29.4+42.3</f>
        <v>143.5</v>
      </c>
      <c r="F118" s="1637">
        <v>185453996</v>
      </c>
      <c r="G118" s="1618">
        <v>155815222</v>
      </c>
      <c r="H118" s="1618">
        <v>133329513</v>
      </c>
      <c r="I118" s="1662">
        <v>188748817</v>
      </c>
      <c r="J118" s="1327"/>
      <c r="K118" s="1327"/>
    </row>
    <row r="119" spans="2:11" ht="15.75">
      <c r="B119" s="1322" t="s">
        <v>1849</v>
      </c>
      <c r="C119" s="1663"/>
      <c r="D119" s="1813">
        <f t="shared" si="5"/>
        <v>128.37063477677398</v>
      </c>
      <c r="E119" s="1815">
        <f>22+17+18+26</f>
        <v>83</v>
      </c>
      <c r="F119" s="1637">
        <v>186421382</v>
      </c>
      <c r="G119" s="1635">
        <v>155537940</v>
      </c>
      <c r="H119" s="1635">
        <v>139034969</v>
      </c>
      <c r="I119" s="1664">
        <v>195546772</v>
      </c>
      <c r="J119" s="1327"/>
      <c r="K119" s="1327"/>
    </row>
    <row r="120" spans="2:11" ht="15.75">
      <c r="B120" s="1318" t="s">
        <v>1861</v>
      </c>
      <c r="C120" s="1624" t="s">
        <v>41</v>
      </c>
      <c r="D120" s="1813">
        <f t="shared" si="5"/>
        <v>130.23404065867453</v>
      </c>
      <c r="E120" s="1815"/>
      <c r="F120" s="1637">
        <v>185333610</v>
      </c>
      <c r="G120" s="1618">
        <v>161299916</v>
      </c>
      <c r="H120" s="1618">
        <v>142696828</v>
      </c>
      <c r="I120" s="1662">
        <v>195222659</v>
      </c>
      <c r="J120" s="1327"/>
      <c r="K120" s="1327"/>
    </row>
    <row r="121" spans="2:11" ht="15.75">
      <c r="B121" s="891" t="s">
        <v>1225</v>
      </c>
      <c r="C121" s="1604"/>
      <c r="D121" s="1813">
        <f t="shared" si="5"/>
        <v>131.07364287463619</v>
      </c>
      <c r="E121" s="1815"/>
      <c r="F121" s="1637">
        <v>189040520</v>
      </c>
      <c r="G121" s="1618">
        <v>159823206</v>
      </c>
      <c r="H121" s="1618">
        <v>142191868</v>
      </c>
      <c r="I121" s="1662">
        <v>199326648</v>
      </c>
      <c r="J121" s="1327"/>
      <c r="K121" s="1327"/>
    </row>
    <row r="122" spans="2:11" ht="15.75">
      <c r="B122" s="1313" t="s">
        <v>1363</v>
      </c>
      <c r="C122" s="1624" t="s">
        <v>41</v>
      </c>
      <c r="D122" s="1813">
        <f t="shared" si="5"/>
        <v>140.55797060918042</v>
      </c>
      <c r="E122" s="1815">
        <f>106+57+59+106</f>
        <v>328</v>
      </c>
      <c r="F122" s="1637">
        <v>202126029</v>
      </c>
      <c r="G122" s="1618">
        <v>171634046</v>
      </c>
      <c r="H122" s="1618">
        <v>153573927</v>
      </c>
      <c r="I122" s="1662">
        <v>212445093</v>
      </c>
      <c r="J122" s="1327"/>
      <c r="K122" s="1327"/>
    </row>
    <row r="123" spans="2:11" ht="15.75">
      <c r="B123" s="891" t="s">
        <v>1876</v>
      </c>
      <c r="C123" s="1604"/>
      <c r="D123" s="1813">
        <f t="shared" si="5"/>
        <v>142.8509985497534</v>
      </c>
      <c r="E123" s="1815">
        <f>167.53+142.47+129.19+178.05</f>
        <v>617.24</v>
      </c>
      <c r="F123" s="1637">
        <v>197293500</v>
      </c>
      <c r="G123" s="1618">
        <v>184009698</v>
      </c>
      <c r="H123" s="1618">
        <v>161127331</v>
      </c>
      <c r="I123" s="1662">
        <v>204152934</v>
      </c>
      <c r="J123" s="1327"/>
      <c r="K123" s="1327"/>
    </row>
    <row r="124" spans="2:11" ht="15.75">
      <c r="B124" s="891" t="s">
        <v>1870</v>
      </c>
      <c r="C124" s="1604"/>
      <c r="D124" s="1813">
        <f t="shared" si="5"/>
        <v>145.54279182607493</v>
      </c>
      <c r="E124" s="1815">
        <f>475.4+353.5+305.9+451.6</f>
        <v>1586.4</v>
      </c>
      <c r="F124" s="1637">
        <v>210185686</v>
      </c>
      <c r="G124" s="1618">
        <v>176389401</v>
      </c>
      <c r="H124" s="1618">
        <v>157718789</v>
      </c>
      <c r="I124" s="1662">
        <v>222731510</v>
      </c>
      <c r="J124" s="1327"/>
      <c r="K124" s="1327"/>
    </row>
    <row r="125" spans="2:11" ht="15.75" customHeight="1">
      <c r="B125" s="891" t="s">
        <v>1835</v>
      </c>
      <c r="C125" s="1612"/>
      <c r="D125" s="1813">
        <f t="shared" si="5"/>
        <v>152.45615296474622</v>
      </c>
      <c r="E125" s="1815"/>
      <c r="F125" s="1637">
        <v>225322396</v>
      </c>
      <c r="G125" s="1618">
        <v>180085964</v>
      </c>
      <c r="H125" s="1618">
        <v>164914160</v>
      </c>
      <c r="I125" s="1662">
        <v>234692836</v>
      </c>
      <c r="J125" s="1327"/>
      <c r="K125" s="1327"/>
    </row>
    <row r="126" spans="2:11" ht="15.75" customHeight="1">
      <c r="B126" s="1318" t="s">
        <v>1215</v>
      </c>
      <c r="C126" s="1604"/>
      <c r="D126" s="1813">
        <f t="shared" si="5"/>
        <v>155.68868548414844</v>
      </c>
      <c r="E126" s="1815"/>
      <c r="F126" s="1637">
        <v>232137008</v>
      </c>
      <c r="G126" s="1618">
        <v>183152127</v>
      </c>
      <c r="H126" s="1618">
        <v>167827069</v>
      </c>
      <c r="I126" s="1662">
        <v>239421853</v>
      </c>
      <c r="J126" s="1327"/>
      <c r="K126" s="1327"/>
    </row>
    <row r="127" spans="2:11" ht="15.75">
      <c r="B127" s="891" t="s">
        <v>1866</v>
      </c>
      <c r="C127" s="1604"/>
      <c r="D127" s="1813">
        <f t="shared" si="5"/>
        <v>156.04201008873025</v>
      </c>
      <c r="E127" s="1815"/>
      <c r="F127" s="1637">
        <v>228870703</v>
      </c>
      <c r="G127" s="1618">
        <v>182901361</v>
      </c>
      <c r="H127" s="1618">
        <v>168999491</v>
      </c>
      <c r="I127" s="1662">
        <v>243620999</v>
      </c>
      <c r="J127" s="1327"/>
      <c r="K127" s="1327"/>
    </row>
    <row r="128" spans="2:11" ht="15.75">
      <c r="B128" s="891" t="s">
        <v>1210</v>
      </c>
      <c r="C128" s="1624" t="s">
        <v>41</v>
      </c>
      <c r="D128" s="1813">
        <f t="shared" si="5"/>
        <v>158.26766240931147</v>
      </c>
      <c r="E128" s="1815">
        <f>12.7+9.6+9.5+13.8</f>
        <v>45.599999999999994</v>
      </c>
      <c r="F128" s="1637">
        <v>237513749</v>
      </c>
      <c r="G128" s="1618">
        <v>183285672</v>
      </c>
      <c r="H128" s="1618">
        <v>171008191</v>
      </c>
      <c r="I128" s="1662">
        <v>245107922</v>
      </c>
      <c r="J128" s="1327"/>
      <c r="K128" s="1327"/>
    </row>
    <row r="129" spans="2:11" ht="15.75">
      <c r="B129" s="891" t="s">
        <v>1853</v>
      </c>
      <c r="C129" s="1624" t="s">
        <v>41</v>
      </c>
      <c r="D129" s="1813">
        <f t="shared" si="5"/>
        <v>158.60795048866072</v>
      </c>
      <c r="E129" s="1815">
        <f>61+48+46+64</f>
        <v>219</v>
      </c>
      <c r="F129" s="1637">
        <v>237700597</v>
      </c>
      <c r="G129" s="1618">
        <v>184503096</v>
      </c>
      <c r="H129" s="1618">
        <v>171249654</v>
      </c>
      <c r="I129" s="1662">
        <v>245050182</v>
      </c>
      <c r="J129" s="1327"/>
      <c r="K129" s="1327"/>
    </row>
    <row r="130" spans="2:11" ht="15.75">
      <c r="B130" s="887" t="s">
        <v>1220</v>
      </c>
      <c r="C130" s="1604"/>
      <c r="D130" s="1813">
        <f>SUM(F130/F$92,G130/G$92,H130/H$92,I130/I$92)/4*100</f>
        <v>159.92755955683958</v>
      </c>
      <c r="E130" s="1815"/>
      <c r="F130" s="1637">
        <v>240581086</v>
      </c>
      <c r="G130" s="1640">
        <v>183579529</v>
      </c>
      <c r="H130" s="1640">
        <v>173373467</v>
      </c>
      <c r="I130" s="1662">
        <v>248433680</v>
      </c>
      <c r="J130" s="1327"/>
      <c r="K130" s="1327"/>
    </row>
    <row r="131" spans="2:11" ht="15.75">
      <c r="B131" s="887" t="s">
        <v>1230</v>
      </c>
      <c r="C131" s="1604"/>
      <c r="D131" s="1813">
        <f>SUM(F131/F$92,G131/G$92,H131/H$92,I131/I$92)/4*100</f>
        <v>164.01529687152555</v>
      </c>
      <c r="E131" s="1815"/>
      <c r="F131" s="1637">
        <v>246981873</v>
      </c>
      <c r="G131" s="1618">
        <v>187269687</v>
      </c>
      <c r="H131" s="1618">
        <v>177835637</v>
      </c>
      <c r="I131" s="1662">
        <v>255820787</v>
      </c>
      <c r="J131" s="1327"/>
      <c r="K131" s="1327"/>
    </row>
    <row r="132" spans="2:11" ht="15.75">
      <c r="B132" s="286" t="s">
        <v>1855</v>
      </c>
      <c r="C132" s="1624" t="s">
        <v>41</v>
      </c>
      <c r="D132" s="1673" t="s">
        <v>1782</v>
      </c>
      <c r="E132" s="1573" t="s">
        <v>1782</v>
      </c>
      <c r="F132" s="1665" t="s">
        <v>549</v>
      </c>
      <c r="G132" s="1666" t="s">
        <v>549</v>
      </c>
      <c r="H132" s="1666" t="s">
        <v>549</v>
      </c>
      <c r="I132" s="1667" t="s">
        <v>549</v>
      </c>
      <c r="J132" s="1327"/>
      <c r="K132" s="1327"/>
    </row>
    <row r="133" spans="2:11" ht="15.75">
      <c r="B133" s="1317" t="s">
        <v>1219</v>
      </c>
      <c r="C133" s="1641"/>
      <c r="D133" s="1673" t="s">
        <v>1782</v>
      </c>
      <c r="E133" s="1573" t="s">
        <v>1782</v>
      </c>
      <c r="F133" s="1665" t="s">
        <v>549</v>
      </c>
      <c r="G133" s="1666" t="s">
        <v>549</v>
      </c>
      <c r="H133" s="1666" t="s">
        <v>549</v>
      </c>
      <c r="I133" s="1667" t="s">
        <v>549</v>
      </c>
      <c r="J133" s="1327"/>
      <c r="K133" s="1327"/>
    </row>
    <row r="134" spans="2:11" ht="15.75">
      <c r="B134" s="1317" t="s">
        <v>1216</v>
      </c>
      <c r="C134" s="1604"/>
      <c r="D134" s="1673" t="s">
        <v>1782</v>
      </c>
      <c r="E134" s="1573" t="s">
        <v>1782</v>
      </c>
      <c r="F134" s="1665" t="s">
        <v>549</v>
      </c>
      <c r="G134" s="1666" t="s">
        <v>549</v>
      </c>
      <c r="H134" s="1666" t="s">
        <v>549</v>
      </c>
      <c r="I134" s="1667" t="s">
        <v>549</v>
      </c>
      <c r="J134" s="1327"/>
      <c r="K134" s="1327"/>
    </row>
    <row r="135" spans="2:11" ht="15.75">
      <c r="B135" s="1841" t="s">
        <v>1862</v>
      </c>
      <c r="C135" s="1624" t="s">
        <v>41</v>
      </c>
      <c r="D135" s="1673" t="s">
        <v>1782</v>
      </c>
      <c r="E135" s="1573" t="s">
        <v>1782</v>
      </c>
      <c r="F135" s="1668" t="s">
        <v>549</v>
      </c>
      <c r="G135" s="1644" t="s">
        <v>549</v>
      </c>
      <c r="H135" s="1644" t="s">
        <v>549</v>
      </c>
      <c r="I135" s="1644" t="s">
        <v>549</v>
      </c>
      <c r="J135" s="1327"/>
      <c r="K135" s="1327"/>
    </row>
    <row r="136" spans="2:11" ht="15.75">
      <c r="B136" s="891" t="s">
        <v>1223</v>
      </c>
      <c r="C136" s="1616" t="s">
        <v>41</v>
      </c>
      <c r="D136" s="1673" t="s">
        <v>1782</v>
      </c>
      <c r="E136" s="1573" t="s">
        <v>1782</v>
      </c>
      <c r="F136" s="1668" t="s">
        <v>549</v>
      </c>
      <c r="G136" s="1644" t="s">
        <v>549</v>
      </c>
      <c r="H136" s="1644" t="s">
        <v>549</v>
      </c>
      <c r="I136" s="1644" t="s">
        <v>549</v>
      </c>
      <c r="J136" s="1327"/>
      <c r="K136" s="1327"/>
    </row>
    <row r="137" spans="2:11" ht="15.75">
      <c r="B137" s="887" t="s">
        <v>1226</v>
      </c>
      <c r="C137" s="1604"/>
      <c r="D137" s="1673" t="s">
        <v>1782</v>
      </c>
      <c r="E137" s="1573" t="s">
        <v>1782</v>
      </c>
      <c r="F137" s="1668" t="s">
        <v>549</v>
      </c>
      <c r="G137" s="1644" t="s">
        <v>549</v>
      </c>
      <c r="H137" s="1644" t="s">
        <v>549</v>
      </c>
      <c r="I137" s="1644" t="s">
        <v>549</v>
      </c>
      <c r="J137" s="1327"/>
      <c r="K137" s="1327"/>
    </row>
    <row r="138" spans="2:11" ht="15.75">
      <c r="B138" s="284" t="s">
        <v>1237</v>
      </c>
      <c r="C138" s="1627"/>
      <c r="D138" s="1673" t="s">
        <v>1782</v>
      </c>
      <c r="E138" s="1573" t="s">
        <v>1782</v>
      </c>
      <c r="F138" s="1665" t="s">
        <v>549</v>
      </c>
      <c r="G138" s="1666" t="s">
        <v>549</v>
      </c>
      <c r="H138" s="1666" t="s">
        <v>549</v>
      </c>
      <c r="I138" s="1667" t="s">
        <v>549</v>
      </c>
      <c r="J138" s="1327"/>
      <c r="K138" s="1327"/>
    </row>
    <row r="139" spans="2:11" ht="15.75">
      <c r="B139" s="284" t="s">
        <v>1236</v>
      </c>
      <c r="C139" s="1627"/>
      <c r="D139" s="1673" t="s">
        <v>1782</v>
      </c>
      <c r="E139" s="1573" t="s">
        <v>1782</v>
      </c>
      <c r="F139" s="1665" t="s">
        <v>549</v>
      </c>
      <c r="G139" s="1666" t="s">
        <v>549</v>
      </c>
      <c r="H139" s="1666" t="s">
        <v>549</v>
      </c>
      <c r="I139" s="1667" t="s">
        <v>549</v>
      </c>
      <c r="J139" s="1327"/>
      <c r="K139" s="1327"/>
    </row>
    <row r="140" spans="2:11" ht="15.75">
      <c r="B140" s="887" t="s">
        <v>1831</v>
      </c>
      <c r="C140" s="1632"/>
      <c r="D140" s="1673" t="s">
        <v>1782</v>
      </c>
      <c r="E140" s="1573" t="s">
        <v>1782</v>
      </c>
      <c r="F140" s="1665" t="s">
        <v>549</v>
      </c>
      <c r="G140" s="1666" t="s">
        <v>549</v>
      </c>
      <c r="H140" s="1666" t="s">
        <v>549</v>
      </c>
      <c r="I140" s="1667" t="s">
        <v>549</v>
      </c>
      <c r="J140" s="1327"/>
      <c r="K140" s="1327"/>
    </row>
    <row r="141" spans="2:11" ht="15.75">
      <c r="B141" s="891" t="s">
        <v>1826</v>
      </c>
      <c r="C141" s="1632"/>
      <c r="D141" s="1673" t="s">
        <v>1782</v>
      </c>
      <c r="E141" s="1573" t="s">
        <v>1782</v>
      </c>
      <c r="F141" s="1665" t="s">
        <v>549</v>
      </c>
      <c r="G141" s="1666" t="s">
        <v>549</v>
      </c>
      <c r="H141" s="1666" t="s">
        <v>549</v>
      </c>
      <c r="I141" s="1667" t="s">
        <v>549</v>
      </c>
      <c r="J141" s="1327"/>
      <c r="K141" s="1327"/>
    </row>
    <row r="142" spans="2:11" ht="15.75">
      <c r="B142" s="891" t="s">
        <v>1830</v>
      </c>
      <c r="C142" s="1627"/>
      <c r="D142" s="1673" t="s">
        <v>1782</v>
      </c>
      <c r="E142" s="1573" t="s">
        <v>1782</v>
      </c>
      <c r="F142" s="1665" t="s">
        <v>549</v>
      </c>
      <c r="G142" s="1666" t="s">
        <v>549</v>
      </c>
      <c r="H142" s="1666" t="s">
        <v>549</v>
      </c>
      <c r="I142" s="1667" t="s">
        <v>549</v>
      </c>
      <c r="J142" s="1327"/>
      <c r="K142" s="1327"/>
    </row>
    <row r="143" spans="2:11" ht="15.75">
      <c r="B143" s="887" t="s">
        <v>1227</v>
      </c>
      <c r="C143" s="1627"/>
      <c r="D143" s="1673" t="s">
        <v>1782</v>
      </c>
      <c r="E143" s="1573" t="s">
        <v>1782</v>
      </c>
      <c r="F143" s="1665" t="s">
        <v>549</v>
      </c>
      <c r="G143" s="1666" t="s">
        <v>549</v>
      </c>
      <c r="H143" s="1666" t="s">
        <v>549</v>
      </c>
      <c r="I143" s="1667" t="s">
        <v>549</v>
      </c>
      <c r="J143" s="1327"/>
      <c r="K143" s="1327"/>
    </row>
    <row r="144" spans="2:11" ht="15.75">
      <c r="B144" s="895" t="s">
        <v>1869</v>
      </c>
      <c r="C144" s="1641"/>
      <c r="D144" s="1673" t="s">
        <v>1782</v>
      </c>
      <c r="E144" s="1573" t="s">
        <v>1782</v>
      </c>
      <c r="F144" s="1665" t="s">
        <v>549</v>
      </c>
      <c r="G144" s="1666" t="s">
        <v>549</v>
      </c>
      <c r="H144" s="1666" t="s">
        <v>549</v>
      </c>
      <c r="I144" s="1667" t="s">
        <v>549</v>
      </c>
      <c r="J144" s="1327"/>
      <c r="K144" s="1327"/>
    </row>
    <row r="145" spans="2:11" ht="15.75" customHeight="1">
      <c r="B145" s="1321" t="s">
        <v>1211</v>
      </c>
      <c r="C145" s="1669"/>
      <c r="D145" s="1673" t="s">
        <v>1782</v>
      </c>
      <c r="E145" s="1573" t="s">
        <v>1782</v>
      </c>
      <c r="F145" s="1665" t="s">
        <v>549</v>
      </c>
      <c r="G145" s="1666" t="s">
        <v>549</v>
      </c>
      <c r="H145" s="1666" t="s">
        <v>549</v>
      </c>
      <c r="I145" s="1667" t="s">
        <v>549</v>
      </c>
      <c r="J145" s="1327"/>
      <c r="K145" s="1327"/>
    </row>
    <row r="146" spans="2:11" ht="15.75">
      <c r="B146" s="1323" t="s">
        <v>1229</v>
      </c>
      <c r="C146" s="1604"/>
      <c r="D146" s="1673" t="s">
        <v>1782</v>
      </c>
      <c r="E146" s="1573" t="s">
        <v>1782</v>
      </c>
      <c r="F146" s="1668" t="s">
        <v>549</v>
      </c>
      <c r="G146" s="1644" t="s">
        <v>549</v>
      </c>
      <c r="H146" s="1644" t="s">
        <v>549</v>
      </c>
      <c r="I146" s="1644" t="s">
        <v>549</v>
      </c>
      <c r="J146" s="1327"/>
      <c r="K146" s="1327"/>
    </row>
    <row r="147" spans="2:11" ht="15.75" customHeight="1">
      <c r="B147" s="1321" t="s">
        <v>1233</v>
      </c>
      <c r="C147" s="1645"/>
      <c r="D147" s="1673" t="s">
        <v>1782</v>
      </c>
      <c r="E147" s="1573" t="s">
        <v>1782</v>
      </c>
      <c r="F147" s="1665" t="s">
        <v>549</v>
      </c>
      <c r="G147" s="1666" t="s">
        <v>549</v>
      </c>
      <c r="H147" s="1666" t="s">
        <v>549</v>
      </c>
      <c r="I147" s="1667" t="s">
        <v>549</v>
      </c>
      <c r="J147" s="1327"/>
      <c r="K147" s="1327"/>
    </row>
    <row r="148" spans="2:11" ht="15.75">
      <c r="B148" s="299" t="s">
        <v>1180</v>
      </c>
      <c r="C148" s="1670"/>
      <c r="D148" s="1673" t="s">
        <v>1782</v>
      </c>
      <c r="E148" s="1573" t="s">
        <v>1782</v>
      </c>
      <c r="F148" s="1671" t="s">
        <v>549</v>
      </c>
      <c r="G148" s="1667" t="s">
        <v>549</v>
      </c>
      <c r="H148" s="1666" t="s">
        <v>549</v>
      </c>
      <c r="I148" s="1667" t="s">
        <v>549</v>
      </c>
      <c r="J148" s="1327"/>
      <c r="K148" s="1327"/>
    </row>
    <row r="149" spans="2:11" ht="15.75">
      <c r="B149" s="1313" t="s">
        <v>1209</v>
      </c>
      <c r="C149" s="1627"/>
      <c r="D149" s="1673" t="s">
        <v>1782</v>
      </c>
      <c r="E149" s="1573" t="s">
        <v>1782</v>
      </c>
      <c r="F149" s="1671" t="s">
        <v>549</v>
      </c>
      <c r="G149" s="1666" t="s">
        <v>549</v>
      </c>
      <c r="H149" s="1666" t="s">
        <v>549</v>
      </c>
      <c r="I149" s="1667" t="s">
        <v>549</v>
      </c>
      <c r="J149" s="1327"/>
      <c r="K149" s="1327"/>
    </row>
    <row r="150" spans="2:11" ht="15.75">
      <c r="B150" s="1324" t="s">
        <v>1232</v>
      </c>
      <c r="C150" s="1642"/>
      <c r="D150" s="1673" t="s">
        <v>1782</v>
      </c>
      <c r="E150" s="1573" t="s">
        <v>1782</v>
      </c>
      <c r="F150" s="1665" t="s">
        <v>549</v>
      </c>
      <c r="G150" s="1666" t="s">
        <v>549</v>
      </c>
      <c r="H150" s="1666" t="s">
        <v>549</v>
      </c>
      <c r="I150" s="1667" t="s">
        <v>549</v>
      </c>
      <c r="J150" s="1327"/>
      <c r="K150" s="1327"/>
    </row>
    <row r="151" spans="2:11" ht="15.75">
      <c r="B151" s="887" t="s">
        <v>1222</v>
      </c>
      <c r="C151" s="1627"/>
      <c r="D151" s="1673" t="s">
        <v>1782</v>
      </c>
      <c r="E151" s="1573" t="s">
        <v>1782</v>
      </c>
      <c r="F151" s="1665" t="s">
        <v>549</v>
      </c>
      <c r="G151" s="1666" t="s">
        <v>549</v>
      </c>
      <c r="H151" s="1667" t="s">
        <v>549</v>
      </c>
      <c r="I151" s="1667" t="s">
        <v>549</v>
      </c>
      <c r="J151" s="1327"/>
      <c r="K151" s="1327"/>
    </row>
    <row r="152" spans="2:11" ht="15.75">
      <c r="B152" s="1837" t="s">
        <v>1871</v>
      </c>
      <c r="C152" s="1624" t="s">
        <v>41</v>
      </c>
      <c r="D152" s="1673" t="s">
        <v>1782</v>
      </c>
      <c r="E152" s="1573" t="s">
        <v>1782</v>
      </c>
      <c r="F152" s="1665" t="s">
        <v>549</v>
      </c>
      <c r="G152" s="1666" t="s">
        <v>549</v>
      </c>
      <c r="H152" s="1666" t="s">
        <v>549</v>
      </c>
      <c r="I152" s="1667" t="s">
        <v>549</v>
      </c>
      <c r="J152" s="1327"/>
      <c r="K152" s="1327"/>
    </row>
    <row r="153" spans="2:11" ht="15.75">
      <c r="B153" s="891" t="s">
        <v>1203</v>
      </c>
      <c r="C153" s="1627"/>
      <c r="D153" s="1673" t="s">
        <v>1782</v>
      </c>
      <c r="E153" s="1573" t="s">
        <v>1782</v>
      </c>
      <c r="F153" s="1665" t="s">
        <v>549</v>
      </c>
      <c r="G153" s="1666" t="s">
        <v>549</v>
      </c>
      <c r="H153" s="1666" t="s">
        <v>549</v>
      </c>
      <c r="I153" s="1667" t="s">
        <v>549</v>
      </c>
      <c r="J153" s="1327"/>
      <c r="K153" s="1327"/>
    </row>
    <row r="154" spans="2:11" ht="15.75">
      <c r="B154" s="891" t="s">
        <v>1865</v>
      </c>
      <c r="C154" s="1627"/>
      <c r="D154" s="1673" t="s">
        <v>1782</v>
      </c>
      <c r="E154" s="1573" t="s">
        <v>1782</v>
      </c>
      <c r="F154" s="1665" t="s">
        <v>549</v>
      </c>
      <c r="G154" s="1666" t="s">
        <v>549</v>
      </c>
      <c r="H154" s="1666" t="s">
        <v>549</v>
      </c>
      <c r="I154" s="1667" t="s">
        <v>549</v>
      </c>
      <c r="J154" s="1327"/>
      <c r="K154" s="1327"/>
    </row>
    <row r="155" spans="2:11" ht="15.75">
      <c r="B155" s="891" t="s">
        <v>1178</v>
      </c>
      <c r="C155" s="1642"/>
      <c r="D155" s="1673" t="s">
        <v>1782</v>
      </c>
      <c r="E155" s="1573" t="s">
        <v>1782</v>
      </c>
      <c r="F155" s="1668" t="s">
        <v>549</v>
      </c>
      <c r="G155" s="1644" t="s">
        <v>549</v>
      </c>
      <c r="H155" s="1644" t="s">
        <v>549</v>
      </c>
      <c r="I155" s="1644" t="s">
        <v>549</v>
      </c>
      <c r="J155" s="1327"/>
      <c r="K155" s="1327"/>
    </row>
    <row r="156" spans="2:11" ht="15.75">
      <c r="B156" s="286" t="s">
        <v>1221</v>
      </c>
      <c r="C156" s="1604"/>
      <c r="D156" s="1673" t="s">
        <v>1782</v>
      </c>
      <c r="E156" s="1573" t="s">
        <v>1782</v>
      </c>
      <c r="F156" s="1668" t="s">
        <v>549</v>
      </c>
      <c r="G156" s="1644" t="s">
        <v>549</v>
      </c>
      <c r="H156" s="1644" t="s">
        <v>549</v>
      </c>
      <c r="I156" s="1644" t="s">
        <v>549</v>
      </c>
      <c r="J156" s="1327"/>
      <c r="K156" s="1327"/>
    </row>
    <row r="157" spans="2:11" ht="15.75">
      <c r="B157" s="284" t="s">
        <v>1238</v>
      </c>
      <c r="C157" s="1627"/>
      <c r="D157" s="1673" t="s">
        <v>1782</v>
      </c>
      <c r="E157" s="1573" t="s">
        <v>1782</v>
      </c>
      <c r="F157" s="1665" t="s">
        <v>549</v>
      </c>
      <c r="G157" s="1666" t="s">
        <v>549</v>
      </c>
      <c r="H157" s="1666" t="s">
        <v>549</v>
      </c>
      <c r="I157" s="1667" t="s">
        <v>549</v>
      </c>
      <c r="J157" s="1327"/>
      <c r="K157" s="1327"/>
    </row>
    <row r="158" spans="2:11" ht="15.75">
      <c r="B158" s="1313" t="s">
        <v>1235</v>
      </c>
      <c r="C158" s="1616" t="s">
        <v>41</v>
      </c>
      <c r="D158" s="1673" t="s">
        <v>1782</v>
      </c>
      <c r="E158" s="1573" t="s">
        <v>1782</v>
      </c>
      <c r="F158" s="1665" t="s">
        <v>549</v>
      </c>
      <c r="G158" s="1666" t="s">
        <v>549</v>
      </c>
      <c r="H158" s="1666" t="s">
        <v>549</v>
      </c>
      <c r="I158" s="1667" t="s">
        <v>549</v>
      </c>
      <c r="J158" s="1327"/>
      <c r="K158" s="1327"/>
    </row>
    <row r="159" spans="2:11" ht="15.75">
      <c r="B159" s="1313" t="s">
        <v>1269</v>
      </c>
      <c r="C159" s="1604"/>
      <c r="D159" s="1673" t="s">
        <v>1782</v>
      </c>
      <c r="E159" s="1573" t="s">
        <v>1782</v>
      </c>
      <c r="F159" s="1665" t="s">
        <v>549</v>
      </c>
      <c r="G159" s="1666" t="s">
        <v>549</v>
      </c>
      <c r="H159" s="1666" t="s">
        <v>549</v>
      </c>
      <c r="I159" s="1667" t="s">
        <v>549</v>
      </c>
      <c r="J159" s="1327"/>
      <c r="K159" s="1327"/>
    </row>
    <row r="160" spans="2:11" ht="15.75" customHeight="1">
      <c r="B160" s="284" t="s">
        <v>1217</v>
      </c>
      <c r="C160" s="1626"/>
      <c r="D160" s="1673" t="s">
        <v>1782</v>
      </c>
      <c r="E160" s="1573" t="s">
        <v>1782</v>
      </c>
      <c r="F160" s="1665" t="s">
        <v>549</v>
      </c>
      <c r="G160" s="1666" t="s">
        <v>549</v>
      </c>
      <c r="H160" s="1666" t="s">
        <v>549</v>
      </c>
      <c r="I160" s="1667" t="s">
        <v>549</v>
      </c>
      <c r="J160" s="1327"/>
      <c r="K160" s="1327"/>
    </row>
    <row r="161" spans="2:11" ht="15.75" customHeight="1">
      <c r="B161" s="1317" t="s">
        <v>1231</v>
      </c>
      <c r="C161" s="1672"/>
      <c r="D161" s="1673" t="s">
        <v>1782</v>
      </c>
      <c r="E161" s="1573" t="s">
        <v>1782</v>
      </c>
      <c r="F161" s="1668" t="s">
        <v>549</v>
      </c>
      <c r="G161" s="1644" t="s">
        <v>549</v>
      </c>
      <c r="H161" s="1644" t="s">
        <v>549</v>
      </c>
      <c r="I161" s="1644" t="s">
        <v>549</v>
      </c>
      <c r="J161" s="1327"/>
      <c r="K161" s="1327"/>
    </row>
    <row r="162" spans="2:11" ht="15.75" customHeight="1">
      <c r="B162" s="1317" t="s">
        <v>1218</v>
      </c>
      <c r="C162" s="1672"/>
      <c r="D162" s="1673" t="s">
        <v>1782</v>
      </c>
      <c r="E162" s="1573" t="s">
        <v>1782</v>
      </c>
      <c r="F162" s="1668" t="s">
        <v>549</v>
      </c>
      <c r="G162" s="1644" t="s">
        <v>549</v>
      </c>
      <c r="H162" s="1644" t="s">
        <v>549</v>
      </c>
      <c r="I162" s="1644" t="s">
        <v>549</v>
      </c>
      <c r="J162" s="1327"/>
      <c r="K162" s="1327"/>
    </row>
    <row r="163" spans="2:11" ht="15.75" customHeight="1">
      <c r="B163" s="1841" t="s">
        <v>1863</v>
      </c>
      <c r="C163" s="1624" t="s">
        <v>41</v>
      </c>
      <c r="D163" s="1674" t="s">
        <v>1782</v>
      </c>
      <c r="E163" s="1675" t="s">
        <v>1782</v>
      </c>
      <c r="F163" s="1668" t="s">
        <v>549</v>
      </c>
      <c r="G163" s="1644" t="s">
        <v>549</v>
      </c>
      <c r="H163" s="1644" t="s">
        <v>549</v>
      </c>
      <c r="I163" s="1644" t="s">
        <v>549</v>
      </c>
      <c r="J163" s="1327"/>
      <c r="K163" s="1327"/>
    </row>
    <row r="164" spans="2:11" ht="15">
      <c r="B164" s="1652" t="s">
        <v>1783</v>
      </c>
      <c r="C164" s="1327"/>
      <c r="D164" s="1327"/>
      <c r="E164" s="1327"/>
      <c r="F164" s="1327"/>
      <c r="G164" s="1327"/>
      <c r="H164" s="1327"/>
      <c r="I164" s="1327"/>
      <c r="J164" s="1327"/>
      <c r="K164" s="1327"/>
    </row>
    <row r="165" spans="2:11" ht="15">
      <c r="B165" s="1656" t="s">
        <v>1272</v>
      </c>
      <c r="C165" s="1327"/>
      <c r="D165" s="1327"/>
      <c r="E165" s="1327"/>
      <c r="F165" s="1327"/>
      <c r="G165" s="1327"/>
      <c r="H165" s="1327"/>
      <c r="I165" s="1327"/>
      <c r="J165" s="1327"/>
      <c r="K165" s="1327"/>
    </row>
    <row r="166" spans="2:11" ht="15">
      <c r="B166" s="1652" t="s">
        <v>1784</v>
      </c>
      <c r="C166" s="1327"/>
      <c r="D166" s="1327"/>
      <c r="E166" s="1327"/>
      <c r="F166" s="1327"/>
      <c r="G166" s="1327"/>
      <c r="H166" s="1327"/>
      <c r="I166" s="1327"/>
      <c r="J166" s="1327"/>
      <c r="K166" s="1327"/>
    </row>
    <row r="167" spans="2:11">
      <c r="B167" s="1327"/>
      <c r="C167" s="1327"/>
      <c r="D167" s="1327"/>
      <c r="E167" s="1327"/>
      <c r="F167" s="1327"/>
      <c r="G167" s="1327"/>
      <c r="H167" s="1327"/>
      <c r="I167" s="1327"/>
      <c r="J167" s="1327"/>
      <c r="K167" s="1327"/>
    </row>
    <row r="168" spans="2:11">
      <c r="B168" s="1327"/>
      <c r="C168" s="1327"/>
      <c r="D168" s="1327"/>
      <c r="E168" s="1327"/>
      <c r="F168" s="1327"/>
      <c r="G168" s="1327"/>
      <c r="H168" s="1327"/>
      <c r="I168" s="1327"/>
      <c r="J168" s="1327"/>
      <c r="K168" s="1327"/>
    </row>
    <row r="169" spans="2:11">
      <c r="B169" s="1327"/>
      <c r="C169" s="1327"/>
      <c r="D169" s="1327"/>
      <c r="E169" s="1327"/>
      <c r="F169" s="1327"/>
      <c r="G169" s="1327"/>
      <c r="H169" s="1327"/>
      <c r="I169" s="1327"/>
      <c r="J169" s="1327"/>
      <c r="K169" s="1327"/>
    </row>
    <row r="170" spans="2:11">
      <c r="B170" s="1327"/>
      <c r="C170" s="1327"/>
      <c r="D170" s="1327"/>
      <c r="E170" s="1327"/>
      <c r="F170" s="1327"/>
      <c r="G170" s="1327"/>
      <c r="H170" s="1327"/>
      <c r="I170" s="1327"/>
      <c r="J170" s="1327"/>
      <c r="K170" s="1327"/>
    </row>
  </sheetData>
  <sortState ref="B105:I129">
    <sortCondition ref="D105:D129"/>
  </sortState>
  <mergeCells count="7">
    <mergeCell ref="B5:B6"/>
    <mergeCell ref="B89:B90"/>
    <mergeCell ref="C1:L3"/>
    <mergeCell ref="E4:E7"/>
    <mergeCell ref="D4:D7"/>
    <mergeCell ref="D88:D91"/>
    <mergeCell ref="E88:E91"/>
  </mergeCells>
  <conditionalFormatting sqref="F82">
    <cfRule type="colorScale" priority="38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82 I9:I82 K10:K82">
    <cfRule type="cellIs" dxfId="160" priority="388" operator="lessThan">
      <formula>MIN(F$10:F$82)*1.1</formula>
    </cfRule>
  </conditionalFormatting>
  <conditionalFormatting sqref="F82">
    <cfRule type="cellIs" dxfId="159" priority="387" operator="equal">
      <formula>MIN(F$10:F$82)</formula>
    </cfRule>
  </conditionalFormatting>
  <conditionalFormatting sqref="D163">
    <cfRule type="dataBar" priority="3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{E5F9C900-5916-4091-B9AB-28F1CDDA6A0D}</x14:id>
        </ext>
      </extLst>
    </cfRule>
  </conditionalFormatting>
  <conditionalFormatting sqref="F156">
    <cfRule type="colorScale" priority="35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56">
    <cfRule type="cellIs" dxfId="158" priority="355" operator="lessThan">
      <formula>MIN(F$10:F$82)*1.1</formula>
    </cfRule>
  </conditionalFormatting>
  <conditionalFormatting sqref="F156">
    <cfRule type="cellIs" dxfId="157" priority="354" operator="equal">
      <formula>MIN(F$10:F$82)</formula>
    </cfRule>
  </conditionalFormatting>
  <conditionalFormatting sqref="G156">
    <cfRule type="colorScale" priority="350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56">
    <cfRule type="cellIs" dxfId="156" priority="349" operator="lessThan">
      <formula>MIN(G$10:G$82)*1.1</formula>
    </cfRule>
  </conditionalFormatting>
  <conditionalFormatting sqref="G156">
    <cfRule type="cellIs" dxfId="155" priority="348" operator="equal">
      <formula>MIN(G$10:G$82)</formula>
    </cfRule>
  </conditionalFormatting>
  <conditionalFormatting sqref="H156">
    <cfRule type="colorScale" priority="344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56">
    <cfRule type="cellIs" dxfId="154" priority="343" operator="lessThan">
      <formula>MIN(H$10:H$82)*1.1</formula>
    </cfRule>
  </conditionalFormatting>
  <conditionalFormatting sqref="H156">
    <cfRule type="cellIs" dxfId="153" priority="342" operator="equal">
      <formula>MIN(H$10:H$82)</formula>
    </cfRule>
  </conditionalFormatting>
  <conditionalFormatting sqref="I156">
    <cfRule type="colorScale" priority="33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56">
    <cfRule type="cellIs" dxfId="152" priority="337" operator="lessThan">
      <formula>MIN(I$10:I$82)*1.1</formula>
    </cfRule>
  </conditionalFormatting>
  <conditionalFormatting sqref="I156">
    <cfRule type="cellIs" dxfId="151" priority="336" operator="equal">
      <formula>MIN(I$10:I$82)</formula>
    </cfRule>
  </conditionalFormatting>
  <conditionalFormatting sqref="F155">
    <cfRule type="colorScale" priority="33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55">
    <cfRule type="cellIs" dxfId="150" priority="331" operator="lessThan">
      <formula>MIN(F$10:F$82)*1.1</formula>
    </cfRule>
  </conditionalFormatting>
  <conditionalFormatting sqref="F155">
    <cfRule type="cellIs" dxfId="149" priority="330" operator="equal">
      <formula>MIN(F$10:F$82)</formula>
    </cfRule>
  </conditionalFormatting>
  <conditionalFormatting sqref="G155">
    <cfRule type="colorScale" priority="32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55">
    <cfRule type="cellIs" dxfId="148" priority="325" operator="lessThan">
      <formula>MIN(G$10:G$82)*1.1</formula>
    </cfRule>
  </conditionalFormatting>
  <conditionalFormatting sqref="G155">
    <cfRule type="cellIs" dxfId="147" priority="324" operator="equal">
      <formula>MIN(G$10:G$82)</formula>
    </cfRule>
  </conditionalFormatting>
  <conditionalFormatting sqref="H155">
    <cfRule type="colorScale" priority="320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55">
    <cfRule type="cellIs" dxfId="146" priority="319" operator="lessThan">
      <formula>MIN(H$10:H$82)*1.1</formula>
    </cfRule>
  </conditionalFormatting>
  <conditionalFormatting sqref="H155">
    <cfRule type="cellIs" dxfId="145" priority="318" operator="equal">
      <formula>MIN(H$10:H$82)</formula>
    </cfRule>
  </conditionalFormatting>
  <conditionalFormatting sqref="I155">
    <cfRule type="colorScale" priority="314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55">
    <cfRule type="cellIs" dxfId="144" priority="313" operator="lessThan">
      <formula>MIN(I$10:I$82)*1.1</formula>
    </cfRule>
  </conditionalFormatting>
  <conditionalFormatting sqref="I155">
    <cfRule type="cellIs" dxfId="143" priority="312" operator="equal">
      <formula>MIN(I$10:I$82)</formula>
    </cfRule>
  </conditionalFormatting>
  <conditionalFormatting sqref="F163">
    <cfRule type="colorScale" priority="30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63">
    <cfRule type="cellIs" dxfId="142" priority="307" operator="lessThan">
      <formula>MIN(F$10:F$82)*1.1</formula>
    </cfRule>
  </conditionalFormatting>
  <conditionalFormatting sqref="F163">
    <cfRule type="cellIs" dxfId="141" priority="306" operator="equal">
      <formula>MIN(F$10:F$82)</formula>
    </cfRule>
  </conditionalFormatting>
  <conditionalFormatting sqref="G163">
    <cfRule type="colorScale" priority="30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63">
    <cfRule type="cellIs" dxfId="140" priority="301" operator="lessThan">
      <formula>MIN(G$10:G$82)*1.1</formula>
    </cfRule>
  </conditionalFormatting>
  <conditionalFormatting sqref="G163">
    <cfRule type="cellIs" dxfId="139" priority="300" operator="equal">
      <formula>MIN(G$10:G$82)</formula>
    </cfRule>
  </conditionalFormatting>
  <conditionalFormatting sqref="H163">
    <cfRule type="colorScale" priority="29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63">
    <cfRule type="cellIs" dxfId="138" priority="295" operator="lessThan">
      <formula>MIN(H$10:H$82)*1.1</formula>
    </cfRule>
  </conditionalFormatting>
  <conditionalFormatting sqref="H163">
    <cfRule type="cellIs" dxfId="137" priority="294" operator="equal">
      <formula>MIN(H$10:H$82)</formula>
    </cfRule>
  </conditionalFormatting>
  <conditionalFormatting sqref="I163">
    <cfRule type="colorScale" priority="290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63">
    <cfRule type="cellIs" dxfId="136" priority="289" operator="lessThan">
      <formula>MIN(I$10:I$82)*1.1</formula>
    </cfRule>
  </conditionalFormatting>
  <conditionalFormatting sqref="I163">
    <cfRule type="cellIs" dxfId="135" priority="288" operator="equal">
      <formula>MIN(I$10:I$82)</formula>
    </cfRule>
  </conditionalFormatting>
  <conditionalFormatting sqref="F162">
    <cfRule type="colorScale" priority="284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62">
    <cfRule type="cellIs" dxfId="134" priority="283" operator="lessThan">
      <formula>MIN(F$10:F$82)*1.1</formula>
    </cfRule>
  </conditionalFormatting>
  <conditionalFormatting sqref="F162">
    <cfRule type="cellIs" dxfId="133" priority="282" operator="equal">
      <formula>MIN(F$10:F$82)</formula>
    </cfRule>
  </conditionalFormatting>
  <conditionalFormatting sqref="G162">
    <cfRule type="colorScale" priority="27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62">
    <cfRule type="cellIs" dxfId="132" priority="277" operator="lessThan">
      <formula>MIN(G$10:G$82)*1.1</formula>
    </cfRule>
  </conditionalFormatting>
  <conditionalFormatting sqref="G162">
    <cfRule type="cellIs" dxfId="131" priority="276" operator="equal">
      <formula>MIN(G$10:G$82)</formula>
    </cfRule>
  </conditionalFormatting>
  <conditionalFormatting sqref="H162">
    <cfRule type="colorScale" priority="27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62">
    <cfRule type="cellIs" dxfId="130" priority="271" operator="lessThan">
      <formula>MIN(H$10:H$82)*1.1</formula>
    </cfRule>
  </conditionalFormatting>
  <conditionalFormatting sqref="H162">
    <cfRule type="cellIs" dxfId="129" priority="270" operator="equal">
      <formula>MIN(H$10:H$82)</formula>
    </cfRule>
  </conditionalFormatting>
  <conditionalFormatting sqref="I162">
    <cfRule type="colorScale" priority="26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62">
    <cfRule type="cellIs" dxfId="128" priority="265" operator="lessThan">
      <formula>MIN(I$10:I$82)*1.1</formula>
    </cfRule>
  </conditionalFormatting>
  <conditionalFormatting sqref="I162">
    <cfRule type="cellIs" dxfId="127" priority="264" operator="equal">
      <formula>MIN(I$10:I$82)</formula>
    </cfRule>
  </conditionalFormatting>
  <conditionalFormatting sqref="F161">
    <cfRule type="colorScale" priority="260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61">
    <cfRule type="cellIs" dxfId="126" priority="259" operator="lessThan">
      <formula>MIN(F$10:F$82)*1.1</formula>
    </cfRule>
  </conditionalFormatting>
  <conditionalFormatting sqref="F161">
    <cfRule type="cellIs" dxfId="125" priority="258" operator="equal">
      <formula>MIN(F$10:F$82)</formula>
    </cfRule>
  </conditionalFormatting>
  <conditionalFormatting sqref="G161">
    <cfRule type="colorScale" priority="254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61">
    <cfRule type="cellIs" dxfId="124" priority="253" operator="lessThan">
      <formula>MIN(G$10:G$82)*1.1</formula>
    </cfRule>
  </conditionalFormatting>
  <conditionalFormatting sqref="G161">
    <cfRule type="cellIs" dxfId="123" priority="252" operator="equal">
      <formula>MIN(G$10:G$82)</formula>
    </cfRule>
  </conditionalFormatting>
  <conditionalFormatting sqref="H161">
    <cfRule type="colorScale" priority="24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61">
    <cfRule type="cellIs" dxfId="122" priority="247" operator="lessThan">
      <formula>MIN(H$10:H$82)*1.1</formula>
    </cfRule>
  </conditionalFormatting>
  <conditionalFormatting sqref="H161">
    <cfRule type="cellIs" dxfId="121" priority="246" operator="equal">
      <formula>MIN(H$10:H$82)</formula>
    </cfRule>
  </conditionalFormatting>
  <conditionalFormatting sqref="I161">
    <cfRule type="colorScale" priority="24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61">
    <cfRule type="cellIs" dxfId="120" priority="241" operator="lessThan">
      <formula>MIN(I$10:I$82)*1.1</formula>
    </cfRule>
  </conditionalFormatting>
  <conditionalFormatting sqref="I161">
    <cfRule type="cellIs" dxfId="119" priority="240" operator="equal">
      <formula>MIN(I$10:I$82)</formula>
    </cfRule>
  </conditionalFormatting>
  <conditionalFormatting sqref="D132:D139 E94:E131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{8D8B1997-973B-4A91-A2A0-D5EAA84DCC8F}</x14:id>
        </ext>
      </extLst>
    </cfRule>
  </conditionalFormatting>
  <conditionalFormatting sqref="E93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{F7B57AC2-5FAB-467D-9335-B0D569F0D8AB}</x14:id>
        </ext>
      </extLst>
    </cfRule>
  </conditionalFormatting>
  <conditionalFormatting sqref="D140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{AA846ADB-C681-4C0D-98C7-106DA39A024A}</x14:id>
        </ext>
      </extLst>
    </cfRule>
  </conditionalFormatting>
  <conditionalFormatting sqref="D141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{444A3FB3-DCA4-41B1-ADCF-EA37DD9A04E2}</x14:id>
        </ext>
      </extLst>
    </cfRule>
  </conditionalFormatting>
  <conditionalFormatting sqref="D142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{1C1C5FF3-E916-41F8-989B-44F3176B7D31}</x14:id>
        </ext>
      </extLst>
    </cfRule>
  </conditionalFormatting>
  <conditionalFormatting sqref="D14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{E9449800-D8CB-40F0-B35E-D1EE6EAEA12D}</x14:id>
        </ext>
      </extLst>
    </cfRule>
  </conditionalFormatting>
  <conditionalFormatting sqref="D162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{CBD6A6B0-19DF-4B87-8300-E16AC9827D65}</x14:id>
        </ext>
      </extLst>
    </cfRule>
  </conditionalFormatting>
  <conditionalFormatting sqref="D161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{7AA83131-C6A1-43F6-ADB0-CC6E53D25081}</x14:id>
        </ext>
      </extLst>
    </cfRule>
  </conditionalFormatting>
  <conditionalFormatting sqref="D160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{BC59B6EC-9A61-41EA-986F-A8E824D1B90E}</x14:id>
        </ext>
      </extLst>
    </cfRule>
  </conditionalFormatting>
  <conditionalFormatting sqref="D159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{5454F7FF-21C3-4C43-9AB6-5F55F079F44B}</x14:id>
        </ext>
      </extLst>
    </cfRule>
  </conditionalFormatting>
  <conditionalFormatting sqref="D158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{B6FB1CA5-7A34-4CAB-8DCB-1CEFB3E77705}</x14:id>
        </ext>
      </extLst>
    </cfRule>
  </conditionalFormatting>
  <conditionalFormatting sqref="D157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{06E6164E-ED1A-4DB8-B7F5-BC2260405574}</x14:id>
        </ext>
      </extLst>
    </cfRule>
  </conditionalFormatting>
  <conditionalFormatting sqref="D15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{5C444B3F-A391-4180-9427-5CAAAF8FAD9C}</x14:id>
        </ext>
      </extLst>
    </cfRule>
  </conditionalFormatting>
  <conditionalFormatting sqref="D155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{207FC607-0A0E-4EAF-9814-085D805448FD}</x14:id>
        </ext>
      </extLst>
    </cfRule>
  </conditionalFormatting>
  <conditionalFormatting sqref="D154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{162BD88B-41B8-4514-8A50-7CEE04D6CCEC}</x14:id>
        </ext>
      </extLst>
    </cfRule>
  </conditionalFormatting>
  <conditionalFormatting sqref="D153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{D40DB43B-7184-4D0F-B29E-6D54F8FEF6B2}</x14:id>
        </ext>
      </extLst>
    </cfRule>
  </conditionalFormatting>
  <conditionalFormatting sqref="D152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{E6C3884B-B40D-40E2-973D-B2FDD5F540C5}</x14:id>
        </ext>
      </extLst>
    </cfRule>
  </conditionalFormatting>
  <conditionalFormatting sqref="D15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{808659A6-8E45-4F0D-A2C3-651F63A1F56D}</x14:id>
        </ext>
      </extLst>
    </cfRule>
  </conditionalFormatting>
  <conditionalFormatting sqref="D150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{2E155009-5ECA-4D57-A491-2A8602CF92D0}</x14:id>
        </ext>
      </extLst>
    </cfRule>
  </conditionalFormatting>
  <conditionalFormatting sqref="D149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{91E5F895-1C3D-453C-82B6-FCE633782BA3}</x14:id>
        </ext>
      </extLst>
    </cfRule>
  </conditionalFormatting>
  <conditionalFormatting sqref="D148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{97FB07E3-7D76-4DE3-90E7-0D3AEF4382B0}</x14:id>
        </ext>
      </extLst>
    </cfRule>
  </conditionalFormatting>
  <conditionalFormatting sqref="D147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{2ED31307-322F-4D23-86BC-7311202E9E00}</x14:id>
        </ext>
      </extLst>
    </cfRule>
  </conditionalFormatting>
  <conditionalFormatting sqref="D14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{A013F6FD-0B0C-43D3-806C-0BF38E49AE4B}</x14:id>
        </ext>
      </extLst>
    </cfRule>
  </conditionalFormatting>
  <conditionalFormatting sqref="D145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{FCE69D60-FE26-4921-8CF5-656B85A91C7D}</x14:id>
        </ext>
      </extLst>
    </cfRule>
  </conditionalFormatting>
  <conditionalFormatting sqref="D144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{63877378-5632-4990-9DB7-304357855CA5}</x14:id>
        </ext>
      </extLst>
    </cfRule>
  </conditionalFormatting>
  <conditionalFormatting sqref="E163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{05753ADB-32CE-4BD1-8F6A-5A82016D2142}</x14:id>
        </ext>
      </extLst>
    </cfRule>
  </conditionalFormatting>
  <conditionalFormatting sqref="E132:E139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{AB7ED735-28FD-4C66-9100-61FAFEBA1C3B}</x14:id>
        </ext>
      </extLst>
    </cfRule>
  </conditionalFormatting>
  <conditionalFormatting sqref="E140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{E7D84F9F-3DA0-4487-9174-0959B25C6838}</x14:id>
        </ext>
      </extLst>
    </cfRule>
  </conditionalFormatting>
  <conditionalFormatting sqref="E14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{FBDD391E-5B8F-468E-BED5-5F2D6904D05F}</x14:id>
        </ext>
      </extLst>
    </cfRule>
  </conditionalFormatting>
  <conditionalFormatting sqref="E142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{76933375-3D30-4B84-BAC1-50E9F6A84C2D}</x14:id>
        </ext>
      </extLst>
    </cfRule>
  </conditionalFormatting>
  <conditionalFormatting sqref="E143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{664212FA-AB1D-414A-B383-CD2444871842}</x14:id>
        </ext>
      </extLst>
    </cfRule>
  </conditionalFormatting>
  <conditionalFormatting sqref="E16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{67131AE0-477A-4556-812F-1E03C53EB84B}</x14:id>
        </ext>
      </extLst>
    </cfRule>
  </conditionalFormatting>
  <conditionalFormatting sqref="E16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{DCA66ACC-C31B-474E-984D-0783C01E3641}</x14:id>
        </ext>
      </extLst>
    </cfRule>
  </conditionalFormatting>
  <conditionalFormatting sqref="E160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{E1D001DD-8B82-4B11-BB1D-B3F3B069C538}</x14:id>
        </ext>
      </extLst>
    </cfRule>
  </conditionalFormatting>
  <conditionalFormatting sqref="E159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{B7AAE7E6-4387-4EA1-B4BE-289FD0BE2713}</x14:id>
        </ext>
      </extLst>
    </cfRule>
  </conditionalFormatting>
  <conditionalFormatting sqref="E158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{7AC45143-C5E0-486B-AC2B-F46EE1BF1B52}</x14:id>
        </ext>
      </extLst>
    </cfRule>
  </conditionalFormatting>
  <conditionalFormatting sqref="E157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{E83B7A99-09BD-438B-98B6-AF9807154A4C}</x14:id>
        </ext>
      </extLst>
    </cfRule>
  </conditionalFormatting>
  <conditionalFormatting sqref="E15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{F495FCDC-38C9-49F4-B133-3E1934D8CE45}</x14:id>
        </ext>
      </extLst>
    </cfRule>
  </conditionalFormatting>
  <conditionalFormatting sqref="E155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{312FA6E9-C245-408C-9AE9-C37F4EC734E0}</x14:id>
        </ext>
      </extLst>
    </cfRule>
  </conditionalFormatting>
  <conditionalFormatting sqref="E15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{09EF6E9B-DE8F-4E54-A6C2-5E063D3CB802}</x14:id>
        </ext>
      </extLst>
    </cfRule>
  </conditionalFormatting>
  <conditionalFormatting sqref="E153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{D769CE7A-4464-423B-BE46-D44AAD42BE7E}</x14:id>
        </ext>
      </extLst>
    </cfRule>
  </conditionalFormatting>
  <conditionalFormatting sqref="E152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{2478A258-CDF6-406B-AA1B-65BA5471E9E0}</x14:id>
        </ext>
      </extLst>
    </cfRule>
  </conditionalFormatting>
  <conditionalFormatting sqref="E151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{1AFB080C-BB3E-42B3-91E2-8E7EA1351D42}</x14:id>
        </ext>
      </extLst>
    </cfRule>
  </conditionalFormatting>
  <conditionalFormatting sqref="E150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{F5CAEDD1-9B6D-437A-8A0C-F693DFFF8845}</x14:id>
        </ext>
      </extLst>
    </cfRule>
  </conditionalFormatting>
  <conditionalFormatting sqref="E14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{972BC8A6-EF02-4792-92C9-534ED9CABED1}</x14:id>
        </ext>
      </extLst>
    </cfRule>
  </conditionalFormatting>
  <conditionalFormatting sqref="E14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{2C2CFDE7-DF9B-4D0D-A1A7-30AD171383BB}</x14:id>
        </ext>
      </extLst>
    </cfRule>
  </conditionalFormatting>
  <conditionalFormatting sqref="E147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{8536D5B3-4487-4C35-8444-978961C0BF76}</x14:id>
        </ext>
      </extLst>
    </cfRule>
  </conditionalFormatting>
  <conditionalFormatting sqref="E14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{02250EA5-6FD2-47A3-AA31-BF8DD0FAC473}</x14:id>
        </ext>
      </extLst>
    </cfRule>
  </conditionalFormatting>
  <conditionalFormatting sqref="E145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{37334317-5530-49DC-85BD-AD73F704F456}</x14:id>
        </ext>
      </extLst>
    </cfRule>
  </conditionalFormatting>
  <conditionalFormatting sqref="E14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{D9241248-DF95-4C50-B0C7-D0111F451DD5}</x14:id>
        </ext>
      </extLst>
    </cfRule>
  </conditionalFormatting>
  <conditionalFormatting sqref="D8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{6DEF2A87-0655-4CDA-A182-3F00DC30198E}</x14:id>
        </ext>
      </extLst>
    </cfRule>
  </conditionalFormatting>
  <conditionalFormatting sqref="D8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{5A62B750-280C-4AEF-AE47-EE5A2338AF3B}</x14:id>
        </ext>
      </extLst>
    </cfRule>
  </conditionalFormatting>
  <conditionalFormatting sqref="D8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{DE26E0DF-B529-416E-B669-A80B6E95F0D1}</x14:id>
        </ext>
      </extLst>
    </cfRule>
  </conditionalFormatting>
  <conditionalFormatting sqref="E8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{521812CE-A9F0-4E33-8A1B-C35325A2176D}</x14:id>
        </ext>
      </extLst>
    </cfRule>
  </conditionalFormatting>
  <conditionalFormatting sqref="E8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{05A7AEA8-A618-4BE2-836E-9C07ECFC884E}</x14:id>
        </ext>
      </extLst>
    </cfRule>
  </conditionalFormatting>
  <conditionalFormatting sqref="E8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{46A0160E-4790-4785-A4C4-A72141BF50E9}</x14:id>
        </ext>
      </extLst>
    </cfRule>
  </conditionalFormatting>
  <conditionalFormatting sqref="I10:I82">
    <cfRule type="cellIs" dxfId="118" priority="15806" operator="equal">
      <formula>MIN(I$10:I$82)</formula>
    </cfRule>
    <cfRule type="cellIs" dxfId="117" priority="15807" operator="lessThan">
      <formula>MIN(I$10:I$82)*1.1</formula>
    </cfRule>
    <cfRule type="colorScale" priority="1580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0:I82">
    <cfRule type="cellIs" dxfId="116" priority="15827" operator="equal">
      <formula>MIN(I$10:I$82)</formula>
    </cfRule>
    <cfRule type="colorScale" priority="1582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0:G82">
    <cfRule type="cellIs" dxfId="115" priority="15839" operator="equal">
      <formula>MIN(G$10:G$82)</formula>
    </cfRule>
    <cfRule type="cellIs" dxfId="114" priority="15840" operator="lessThan">
      <formula>MIN(G$10:G$82)*1.1</formula>
    </cfRule>
    <cfRule type="colorScale" priority="15841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0:F82">
    <cfRule type="cellIs" dxfId="113" priority="15860" operator="equal">
      <formula>MIN(F$10:F$82)</formula>
    </cfRule>
    <cfRule type="cellIs" dxfId="112" priority="15861" operator="lessThan">
      <formula>MIN(F$10:F$82)*1.1</formula>
    </cfRule>
    <cfRule type="colorScale" priority="1586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0:H82">
    <cfRule type="cellIs" dxfId="111" priority="15881" operator="equal">
      <formula>MIN(H$10:H$82)</formula>
    </cfRule>
    <cfRule type="colorScale" priority="15882">
      <colorScale>
        <cfvo type="min"/>
        <cfvo type="percentile" val="50"/>
        <cfvo type="max"/>
        <color rgb="FFFFFF99"/>
        <color rgb="FFFFCC99"/>
        <color rgb="FF99CCFF"/>
      </colorScale>
    </cfRule>
    <cfRule type="cellIs" dxfId="110" priority="15883" operator="lessThan">
      <formula>MIN(H$10:H$82)*1.1</formula>
    </cfRule>
  </conditionalFormatting>
  <conditionalFormatting sqref="J10:J82">
    <cfRule type="cellIs" dxfId="109" priority="15902" operator="equal">
      <formula>MIN(J$10:J$82)</formula>
    </cfRule>
    <cfRule type="cellIs" dxfId="108" priority="15903" operator="lessThan">
      <formula>MIN(J$10:J$82)*1.1</formula>
    </cfRule>
    <cfRule type="colorScale" priority="15904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K10:K82">
    <cfRule type="cellIs" dxfId="107" priority="15923" operator="equal">
      <formula>MIN(K$10:K$82)</formula>
    </cfRule>
    <cfRule type="cellIs" dxfId="106" priority="15924" operator="lessThan">
      <formula>MIN(K$10:K$82)*1.1</formula>
    </cfRule>
    <cfRule type="colorScale" priority="1592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D9:E79">
    <cfRule type="dataBar" priority="159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{275F6464-BCF8-44A7-882A-1563535FDF0E}</x14:id>
        </ext>
      </extLst>
    </cfRule>
  </conditionalFormatting>
  <conditionalFormatting sqref="F156">
    <cfRule type="cellIs" dxfId="105" priority="15946" operator="equal">
      <formula>MIN(F$10:F$82)</formula>
    </cfRule>
    <cfRule type="cellIs" dxfId="104" priority="15947" operator="lessThan">
      <formula>MIN(F$10:F$82)*1.1</formula>
    </cfRule>
    <cfRule type="colorScale" priority="1594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56">
    <cfRule type="cellIs" dxfId="103" priority="15949" operator="equal">
      <formula>MIN(G$10:G$82)</formula>
    </cfRule>
    <cfRule type="cellIs" dxfId="102" priority="15950" operator="lessThan">
      <formula>MIN(G$10:G$82)*1.1</formula>
    </cfRule>
    <cfRule type="colorScale" priority="15951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56">
    <cfRule type="cellIs" dxfId="101" priority="15952" operator="equal">
      <formula>MIN(H$10:H$82)</formula>
    </cfRule>
    <cfRule type="cellIs" dxfId="100" priority="15953" operator="lessThan">
      <formula>MIN(H$10:H$82)*1.1</formula>
    </cfRule>
    <cfRule type="colorScale" priority="15954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56">
    <cfRule type="cellIs" dxfId="99" priority="15955" operator="equal">
      <formula>MIN(I$10:I$82)</formula>
    </cfRule>
    <cfRule type="cellIs" dxfId="98" priority="15956" operator="lessThan">
      <formula>MIN(I$10:I$82)*1.1</formula>
    </cfRule>
    <cfRule type="colorScale" priority="15957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55">
    <cfRule type="cellIs" dxfId="97" priority="15958" operator="equal">
      <formula>MIN(F$10:F$82)</formula>
    </cfRule>
    <cfRule type="cellIs" dxfId="96" priority="15959" operator="lessThan">
      <formula>MIN(F$10:F$82)*1.1</formula>
    </cfRule>
    <cfRule type="colorScale" priority="15960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55">
    <cfRule type="cellIs" dxfId="95" priority="15961" operator="equal">
      <formula>MIN(G$10:G$82)</formula>
    </cfRule>
    <cfRule type="cellIs" dxfId="94" priority="15962" operator="lessThan">
      <formula>MIN(G$10:G$82)*1.1</formula>
    </cfRule>
    <cfRule type="colorScale" priority="1596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55">
    <cfRule type="cellIs" dxfId="93" priority="15964" operator="equal">
      <formula>MIN(H$10:H$82)</formula>
    </cfRule>
    <cfRule type="cellIs" dxfId="92" priority="15965" operator="lessThan">
      <formula>MIN(H$10:H$82)*1.1</formula>
    </cfRule>
    <cfRule type="colorScale" priority="1596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55">
    <cfRule type="cellIs" dxfId="91" priority="15967" operator="equal">
      <formula>MIN(I$10:I$82)</formula>
    </cfRule>
    <cfRule type="cellIs" dxfId="90" priority="15968" operator="lessThan">
      <formula>MIN(I$10:I$82)*1.1</formula>
    </cfRule>
    <cfRule type="colorScale" priority="1596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63">
    <cfRule type="cellIs" dxfId="89" priority="15970" operator="equal">
      <formula>MIN(F$10:F$82)</formula>
    </cfRule>
    <cfRule type="cellIs" dxfId="88" priority="15971" operator="lessThan">
      <formula>MIN(F$10:F$82)*1.1</formula>
    </cfRule>
    <cfRule type="colorScale" priority="1597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63">
    <cfRule type="cellIs" dxfId="87" priority="15973" operator="equal">
      <formula>MIN(G$10:G$82)</formula>
    </cfRule>
    <cfRule type="cellIs" dxfId="86" priority="15974" operator="lessThan">
      <formula>MIN(G$10:G$82)*1.1</formula>
    </cfRule>
    <cfRule type="colorScale" priority="1597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63">
    <cfRule type="cellIs" dxfId="85" priority="15976" operator="equal">
      <formula>MIN(H$10:H$82)</formula>
    </cfRule>
    <cfRule type="cellIs" dxfId="84" priority="15977" operator="lessThan">
      <formula>MIN(H$10:H$82)*1.1</formula>
    </cfRule>
    <cfRule type="colorScale" priority="1597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63">
    <cfRule type="cellIs" dxfId="83" priority="15979" operator="equal">
      <formula>MIN(I$10:I$82)</formula>
    </cfRule>
    <cfRule type="cellIs" dxfId="82" priority="15980" operator="lessThan">
      <formula>MIN(I$10:I$82)*1.1</formula>
    </cfRule>
    <cfRule type="colorScale" priority="15981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62">
    <cfRule type="cellIs" dxfId="81" priority="15982" operator="equal">
      <formula>MIN(F$10:F$82)</formula>
    </cfRule>
    <cfRule type="cellIs" dxfId="80" priority="15983" operator="lessThan">
      <formula>MIN(F$10:F$82)*1.1</formula>
    </cfRule>
    <cfRule type="colorScale" priority="15984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62">
    <cfRule type="cellIs" dxfId="79" priority="15985" operator="equal">
      <formula>MIN(G$10:G$82)</formula>
    </cfRule>
    <cfRule type="cellIs" dxfId="78" priority="15986" operator="lessThan">
      <formula>MIN(G$10:G$82)*1.1</formula>
    </cfRule>
    <cfRule type="colorScale" priority="15987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62">
    <cfRule type="cellIs" dxfId="77" priority="15988" operator="equal">
      <formula>MIN(H$10:H$82)</formula>
    </cfRule>
    <cfRule type="cellIs" dxfId="76" priority="15989" operator="lessThan">
      <formula>MIN(H$10:H$82)*1.1</formula>
    </cfRule>
    <cfRule type="colorScale" priority="15990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62">
    <cfRule type="cellIs" dxfId="75" priority="15991" operator="equal">
      <formula>MIN(I$10:I$82)</formula>
    </cfRule>
    <cfRule type="cellIs" dxfId="74" priority="15992" operator="lessThan">
      <formula>MIN(I$10:I$82)*1.1</formula>
    </cfRule>
    <cfRule type="colorScale" priority="1599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61">
    <cfRule type="cellIs" dxfId="73" priority="15994" operator="equal">
      <formula>MIN(F$10:F$82)</formula>
    </cfRule>
    <cfRule type="cellIs" dxfId="72" priority="15995" operator="lessThan">
      <formula>MIN(F$10:F$82)*1.1</formula>
    </cfRule>
    <cfRule type="colorScale" priority="1599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61">
    <cfRule type="cellIs" dxfId="71" priority="15997" operator="equal">
      <formula>MIN(G$10:G$82)</formula>
    </cfRule>
    <cfRule type="cellIs" dxfId="70" priority="15998" operator="lessThan">
      <formula>MIN(G$10:G$82)*1.1</formula>
    </cfRule>
    <cfRule type="colorScale" priority="1599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61">
    <cfRule type="cellIs" dxfId="69" priority="16000" operator="equal">
      <formula>MIN(H$10:H$82)</formula>
    </cfRule>
    <cfRule type="cellIs" dxfId="68" priority="16001" operator="lessThan">
      <formula>MIN(H$10:H$82)*1.1</formula>
    </cfRule>
    <cfRule type="colorScale" priority="1600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61">
    <cfRule type="cellIs" dxfId="67" priority="16003" operator="equal">
      <formula>MIN(I$10:I$82)</formula>
    </cfRule>
    <cfRule type="cellIs" dxfId="66" priority="16004" operator="lessThan">
      <formula>MIN(I$10:I$82)*1.1</formula>
    </cfRule>
    <cfRule type="colorScale" priority="1600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K10:K82">
    <cfRule type="cellIs" dxfId="65" priority="16006" operator="equal">
      <formula>MIN(K$10:K$86)</formula>
    </cfRule>
    <cfRule type="colorScale" priority="16007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E10:E79">
    <cfRule type="cellIs" dxfId="64" priority="16018" operator="equal">
      <formula>MIN(E$10:E$79)</formula>
    </cfRule>
  </conditionalFormatting>
  <conditionalFormatting sqref="H94:H153">
    <cfRule type="cellIs" dxfId="63" priority="16043" operator="equal">
      <formula>MIN(H$94:H$153)</formula>
    </cfRule>
    <cfRule type="cellIs" dxfId="62" priority="16044" operator="lessThan">
      <formula>MIN(H$94:H$153)*1.1</formula>
    </cfRule>
    <cfRule type="colorScale" priority="1604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94:I153">
    <cfRule type="cellIs" dxfId="61" priority="16049" operator="equal">
      <formula>MIN(I$94:I$153)</formula>
    </cfRule>
    <cfRule type="cellIs" dxfId="60" priority="16050" operator="lessThan">
      <formula>MIN(I$94:I$153)*1.1</formula>
    </cfRule>
    <cfRule type="colorScale" priority="16051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94:G153">
    <cfRule type="cellIs" dxfId="59" priority="16055" operator="equal">
      <formula>MIN(G$94:G$153)</formula>
    </cfRule>
    <cfRule type="cellIs" dxfId="58" priority="16056" operator="lessThan">
      <formula>MIN(G$94:G$153)*1.1</formula>
    </cfRule>
    <cfRule type="colorScale" priority="16057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94:F153">
    <cfRule type="cellIs" dxfId="57" priority="16061" operator="equal">
      <formula>MIN(F$94:F$153)</formula>
    </cfRule>
    <cfRule type="cellIs" dxfId="56" priority="16062" operator="lessThan">
      <formula>MIN(F$94:F$153)*1.1</formula>
    </cfRule>
    <cfRule type="colorScale" priority="1606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E94:E131">
    <cfRule type="cellIs" dxfId="55" priority="3" operator="equal">
      <formula>MIN(E$94:E$131)</formula>
    </cfRule>
  </conditionalFormatting>
  <conditionalFormatting sqref="D93:D1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{20A0164F-5FD8-44D5-9A82-DCA3A5EFE857}</x14:id>
        </ext>
      </extLst>
    </cfRule>
  </conditionalFormatting>
  <conditionalFormatting sqref="D9:D7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{7D59A405-C7B6-4D1E-8B7C-15F5B1790F60}</x14:id>
        </ext>
      </extLst>
    </cfRule>
  </conditionalFormatting>
  <hyperlinks>
    <hyperlink ref="B54" r:id="rId1" display="SONARC v2.1i (27.06.1994) -F4096 -O0 -S2 -X"/>
    <hyperlink ref="B72" r:id="rId2" display="7-Zip x64 9.1.7 (0=delta:4 1=lzma:lp1:d96:fb273) Igor Pavlov"/>
    <hyperlink ref="B82" r:id="rId3" display="VOCPACK v1.0 (02.03.1993) Nicola Ferioli"/>
    <hyperlink ref="B70" r:id="rId4" display="Onda Lossless Audio v2.2 (07.01.2008) JAVA"/>
    <hyperlink ref="B68" r:id="rId5" display="WinRar x64 v3.92 (4096 KB dictionary + Delta) Eugene Roshal"/>
    <hyperlink ref="B64" r:id="rId6" display="WinAce v2.69 Final (4096 KB dict + Delta) Marcel Lemke"/>
    <hyperlink ref="B63" r:id="rId7" display="Shorten v3.51 - 3.61 (14.02.2003) Tony Robinson"/>
    <hyperlink ref="B65" r:id="rId8"/>
    <hyperlink ref="B58" r:id="rId9" display="UHARC v0.6b (PPM, 32MB dict., Multimedia ) U. Herklotz"/>
    <hyperlink ref="B53" r:id="rId10" display="OSQ Steinberg Wavelab 6 Ess. Original Sound Quality"/>
    <hyperlink ref="B59" r:id="rId11" display="Bonk v1.0.7 (2001-26.02.2008) -32 Robert Kausch"/>
    <hyperlink ref="B13" r:id="rId12" display="LA v0.4b (08.02.2004) -high Michael Bevin"/>
    <hyperlink ref="B16" r:id="rId13" display="LA v0.4b (08.02.2004) normal Michael Bevin"/>
    <hyperlink ref="B11" r:id="rId14" display="OptimFrog v4.910ex (11.02.'11) --max. -experimental Florin Ghido"/>
    <hyperlink ref="B19" r:id="rId15" display="OptimFrog v4.910ex (11.02.'11) --mode highnew Florin Ghido"/>
    <hyperlink ref="B18" r:id="rId16" display="OptimFrog v4.910ex (11.02.'11) --mode extranew Florin Ghido"/>
    <hyperlink ref="B15" r:id="rId17" display="OptimFrog v4.910ex (11.02.'11) --bestnew -opt. Best Florin Ghido"/>
    <hyperlink ref="B12" r:id="rId18" display="OptimFrog v4.910ex (11.02.'11) --maximumcompression F. Ghido"/>
    <hyperlink ref="B23" r:id="rId19" display="STUFFIT 2010 v14.0.0.9 (2009) SITX"/>
    <hyperlink ref="B21" r:id="rId20" display="Monkey's Audio v4.01 (28.04.06) (insane) Matthew T. Ashland"/>
    <hyperlink ref="B55" r:id="rId21" display="KrishnaSoft Sound Process.Soft. v1 (06.06.00)"/>
    <hyperlink ref="B36" r:id="rId22" display="LPAC Archiver v1.41 (01.10.2002) Extra High + JointStereo"/>
    <hyperlink ref="B45" r:id="rId23" display="WAVPACK v4.60.1 (29.11.2009) no option David Bryant"/>
    <hyperlink ref="B48" r:id="rId24"/>
    <hyperlink ref="B38" r:id="rId25" display="FlaCCL 0.4 (14.06.2011) Gregory S. Chudov -11 -b 4096"/>
    <hyperlink ref="B37" r:id="rId26"/>
    <hyperlink ref="B42" r:id="rId27" display="FLAC 1.2.1 (17.09.07) Josh Coalson -8 -b 4096"/>
    <hyperlink ref="B44" r:id="rId28" display="SBC Archiver v0.970 (2004) -m3 -b63 Sami J. Makinen"/>
    <hyperlink ref="B39" r:id="rId29" display="TTA TrueAudio 3.4.1 (27.07.'07) Alexander Djourik"/>
    <hyperlink ref="B34" r:id="rId30" display="MPEG-4 ALS RM23 (29.01.2011) -i -o1023 -a -b -z3 -p"/>
    <hyperlink ref="B27" r:id="rId31" display="MPEG-4 ALS RM23 (29.01.2011) (RM20) -7 -a"/>
    <hyperlink ref="B77" r:id="rId32" display="MultitrackStudio Lite 7.1  (2012) .GJS Bremmers Audio Design"/>
    <hyperlink ref="B35" r:id="rId33"/>
    <hyperlink ref="B31" r:id="rId34" display="WAVPACK v4.60.1 (29.11.2009)) -HHX6 David Bryant"/>
    <hyperlink ref="B30" r:id="rId35" display="FreeARC 0.67 ultra (2012) Bulat Ziganshin"/>
    <hyperlink ref="B24" r:id="rId36"/>
    <hyperlink ref="B26" r:id="rId37" display="TAK 2.2.0 (29.05.2011) -p4m Thomas Becker"/>
    <hyperlink ref="B10" r:id="rId38" display="SAC 0.0.6a4 (05.08.2007) --insane Sebastian"/>
    <hyperlink ref="B78" r:id="rId39" display="GZIP 1.3.5 (-9) ('07) Jean-Loup Gailly &amp; Mark Adler"/>
    <hyperlink ref="B76" r:id="rId40" display="BZIP2 1.0 (2008) -9 Julian Seward"/>
    <hyperlink ref="B50" r:id="rId41"/>
    <hyperlink ref="B79" r:id="rId42"/>
    <hyperlink ref="B56" r:id="rId43" display="KrishnaSoft Sound Process.Soft. v1 (06.06.00)"/>
    <hyperlink ref="F6" r:id="rId44"/>
    <hyperlink ref="F90" r:id="rId45"/>
    <hyperlink ref="B157" r:id="rId46" display="SONARC v2.1i (27.06.1994) -F4096 -O0 -S2 -X"/>
    <hyperlink ref="B160" r:id="rId47" display="VOCPACK v1.0 (02.03.1993) Nicola Ferioli"/>
    <hyperlink ref="B119" r:id="rId48" display="WinRar x64 v3.92 (4096 KB dictionary + Delta) Eugene Roshal"/>
    <hyperlink ref="B121" r:id="rId49" display="WinAce v2.69 Final (4096 KB dict + Delta) Marcel Lemke"/>
    <hyperlink ref="B156" r:id="rId50" display="Shorten v3.51 - 3.61 (14.02.2003) Tony Robinson"/>
    <hyperlink ref="B116" r:id="rId51"/>
    <hyperlink ref="B113" r:id="rId52" display="OSQ Steinberg Wavelab 6 Ess. Original Sound Quality"/>
    <hyperlink ref="B136" r:id="rId53" display="Bonk v1.0.7 (2001-26.02.2008) -32 Robert Kausch"/>
    <hyperlink ref="B141" r:id="rId54" display="LA v0.4b (08.02.2004) -high Michael Bevin"/>
    <hyperlink ref="B142" r:id="rId55" display="LA v0.4b (08.02.2004) normal Michael Bevin"/>
    <hyperlink ref="B94" r:id="rId56" display="OptimFrog v4.910ex (11.02.'11) --max. -experimental Florin Ghido"/>
    <hyperlink ref="B98" r:id="rId57" display="OptimFrog v4.910ex (11.02.'11) --mode highnew Florin Ghido"/>
    <hyperlink ref="B97" r:id="rId58" display="OptimFrog v4.910ex (11.02.'11) --mode extranew Florin Ghido"/>
    <hyperlink ref="B96" r:id="rId59" display="OptimFrog v4.910ex (11.02.'11) --bestnew -opt. Best Florin Ghido"/>
    <hyperlink ref="B95" r:id="rId60" display="OptimFrog v4.910ex (11.02.'11) --maximumcompression F. Ghido"/>
    <hyperlink ref="B126" r:id="rId61" display="STUFFIT 2010 v14.0.0.9 (2009) SITX"/>
    <hyperlink ref="B139" r:id="rId62" display="KrishnaSoft Sound Process.Soft. v1 (06.06.00)"/>
    <hyperlink ref="B111" r:id="rId63" display="WAVPACK v4.60.1 (29.11.2009) no option David Bryant"/>
    <hyperlink ref="B104" r:id="rId64" display="FlaCCL 0.4 (14.06.2011) Gregory S. Chudov -11 -b 4096"/>
    <hyperlink ref="B153" r:id="rId65"/>
    <hyperlink ref="B109" r:id="rId66" display="FLAC 1.2.1 (17.09.07) Josh Coalson -8 -b 4096"/>
    <hyperlink ref="B123" r:id="rId67" display="SBC Archiver v0.970 (2004) -m3 -b63 Sami J. Makinen"/>
    <hyperlink ref="B103" r:id="rId68" display="MPEG-4 ALS RM23 (29.01.2011) -i -o1023 -a -b -z3 -p"/>
    <hyperlink ref="B102" r:id="rId69" display="MPEG-4 ALS RM23 (29.01.2011) (RM20) -7 -a"/>
    <hyperlink ref="B150" r:id="rId70" display="MultitrackStudio Lite 7.1  (2012) .GJS Bremmers Audio Design"/>
    <hyperlink ref="B149" r:id="rId71"/>
    <hyperlink ref="B106" r:id="rId72"/>
    <hyperlink ref="B107" r:id="rId73" display="WAVPACK v4.60.1 (29.11.2009)) -HHX6 David Bryant"/>
    <hyperlink ref="B101" r:id="rId74"/>
    <hyperlink ref="B114" r:id="rId75"/>
    <hyperlink ref="B99" r:id="rId76" display="TAK 2.2.0 (29.05.2011) -p4m Thomas Becker"/>
    <hyperlink ref="B155" r:id="rId77"/>
    <hyperlink ref="B128" r:id="rId78" display="GZIP 1.3.5 (-9) ('07) Jean-Loup Gailly &amp; Mark Adler"/>
    <hyperlink ref="B129" r:id="rId79" display="BZIP2 1.0 (2008) -9 Julian Seward"/>
    <hyperlink ref="B115" r:id="rId80"/>
    <hyperlink ref="B158" r:id="rId81"/>
    <hyperlink ref="B138" r:id="rId82" display="KrishnaSoft Sound Process.Soft. v1 (06.06.00)"/>
    <hyperlink ref="G90" r:id="rId83"/>
    <hyperlink ref="H90" r:id="rId84"/>
    <hyperlink ref="I90" r:id="rId85"/>
    <hyperlink ref="B159" r:id="rId86" display="SONY Perfect Clarity Audio .PCA (Sound Forge Pro 10 Trial)"/>
    <hyperlink ref="B127" r:id="rId87" display="Squeez 5.63 (2008) SQX2 ultra 32 MB auto (SpeedCommander 14)"/>
    <hyperlink ref="B120" r:id="rId88" location="1350" display="PAQ8pxd_v4 (19.04.2012) -7 -worldwide PAQ crew-"/>
    <hyperlink ref="B28" r:id="rId89" location="1350" display="PAQ8pxd_v4 (19.04.2012) -7 -worldwide PAQ crew-"/>
    <hyperlink ref="B62" r:id="rId90" display="SONY Perfect Clarity Audio .PCA (Sound Forge Pro 10 Trial)"/>
    <hyperlink ref="B14" r:id="rId91" display="LA 0.4b (08.02.2004) normal Michael Bevin"/>
    <hyperlink ref="B17" r:id="rId92" display="LA 0.2 (07.09.2002) -no option- Michael Bevin"/>
    <hyperlink ref="B47" r:id="rId93" display="Squeez 5.63 (2008) SQX2 ultra 32 MB auto (SpeedCommander 14)"/>
    <hyperlink ref="B22" r:id="rId94" display="WinRK 3.1.2 beta (2005) best asymmetric Malcolm Taylor"/>
    <hyperlink ref="B125" r:id="rId95" display="WinRK 3.1.2 beta (2005) best asymmetric Malcolm Taylor"/>
    <hyperlink ref="B154" r:id="rId96" display="RKAU 1.07 (11.12.2000) Malcolm Taylor"/>
    <hyperlink ref="B33" r:id="rId97" display="RKAU 1.07 (11.12.2000) Malcolm Taylor"/>
    <hyperlink ref="G6" r:id="rId98"/>
    <hyperlink ref="H6" r:id="rId99"/>
    <hyperlink ref="B122" r:id="rId100" display="7-Zip x64 9.1.7 (0=delta:4 1=lzma:lp1:d96:fb273) Igor Pavlov"/>
    <hyperlink ref="I6" r:id="rId101"/>
    <hyperlink ref="J6" r:id="rId102"/>
    <hyperlink ref="K6" r:id="rId103"/>
    <hyperlink ref="B3" r:id="rId104"/>
    <hyperlink ref="B2" r:id="rId105"/>
    <hyperlink ref="B57" r:id="rId106" display="ZCM 0.60d -m7 -r -s (2012) N.F. Antonio"/>
    <hyperlink ref="B25" r:id="rId107" display="TAK 2.2.0 (29.05.2011) -p4m Thomas Becker"/>
    <hyperlink ref="B43" r:id="rId108" display="FLAC 1.3.0 x64  -8 -b 4096 (02.06.2013) Josh Coalson"/>
    <hyperlink ref="B32" r:id="rId109"/>
    <hyperlink ref="B46" r:id="rId110"/>
    <hyperlink ref="B51" r:id="rId111" display="WMA 0.2.9b --codec lossless (2011-2013) Microsoft Corporation"/>
    <hyperlink ref="B40" r:id="rId112" display="FLAKE 0.11 -12 (2007) Justin Ruggles"/>
    <hyperlink ref="B124" r:id="rId113" display="UHARC v0.6b (PPM, 32MB dict., Multimedia ) U. Herklotz"/>
    <hyperlink ref="B135" r:id="rId114"/>
    <hyperlink ref="B144" r:id="rId115" display="LPAC Archiver v1.41 (01.10.2002) Extra High + JointStereo"/>
    <hyperlink ref="B152" r:id="rId116" display="Onda Lossless Audio v2.2 (07.01.2008) JAVA"/>
    <hyperlink ref="B163" r:id="rId117" display="WMA 0.2.9b --codec lossless (2011-2013) Microsoft Corporation"/>
    <hyperlink ref="B112" r:id="rId118"/>
    <hyperlink ref="B110" r:id="rId119" display="FLAC 1.3.0 x64  -8 -b 4096 (02.06.2013) Josh Coalson"/>
    <hyperlink ref="B108" r:id="rId120"/>
    <hyperlink ref="B100" r:id="rId121" display="TAK 2.2.0 (29.05.2011) -p4m Thomas Becker"/>
    <hyperlink ref="B118" r:id="rId122" display="ZCM 0.60d -m7 -r -s (2012) N.F. Antonio"/>
    <hyperlink ref="B105" r:id="rId123" display="TTA TrueAudio 3.4.1 (27.07.'07) Alexander Djourik"/>
  </hyperlinks>
  <pageMargins left="0.70866141732283472" right="0.70866141732283472" top="0.74803149606299213" bottom="0.74803149606299213" header="0.31496062992125984" footer="0.31496062992125984"/>
  <pageSetup paperSize="9" scale="65" fitToWidth="2" fitToHeight="2" orientation="portrait" r:id="rId124"/>
  <drawing r:id="rId125"/>
  <legacyDrawing r:id="rId126"/>
  <picture r:id="rId12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F9C900-5916-4091-B9AB-28F1CDDA6A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D163</xm:sqref>
        </x14:conditionalFormatting>
        <x14:conditionalFormatting xmlns:xm="http://schemas.microsoft.com/office/excel/2006/main">
          <x14:cfRule type="dataBar" id="{8D8B1997-973B-4A91-A2A0-D5EAA84DCC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D132:D139 E94:E131</xm:sqref>
        </x14:conditionalFormatting>
        <x14:conditionalFormatting xmlns:xm="http://schemas.microsoft.com/office/excel/2006/main">
          <x14:cfRule type="dataBar" id="{F7B57AC2-5FAB-467D-9335-B0D569F0D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AA846ADB-C681-4C0D-98C7-106DA39A02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D140</xm:sqref>
        </x14:conditionalFormatting>
        <x14:conditionalFormatting xmlns:xm="http://schemas.microsoft.com/office/excel/2006/main">
          <x14:cfRule type="dataBar" id="{444A3FB3-DCA4-41B1-ADCF-EA37DD9A04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D141</xm:sqref>
        </x14:conditionalFormatting>
        <x14:conditionalFormatting xmlns:xm="http://schemas.microsoft.com/office/excel/2006/main">
          <x14:cfRule type="dataBar" id="{1C1C5FF3-E916-41F8-989B-44F3176B7D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D142</xm:sqref>
        </x14:conditionalFormatting>
        <x14:conditionalFormatting xmlns:xm="http://schemas.microsoft.com/office/excel/2006/main">
          <x14:cfRule type="dataBar" id="{E9449800-D8CB-40F0-B35E-D1EE6EAEA1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D143</xm:sqref>
        </x14:conditionalFormatting>
        <x14:conditionalFormatting xmlns:xm="http://schemas.microsoft.com/office/excel/2006/main">
          <x14:cfRule type="dataBar" id="{CBD6A6B0-19DF-4B87-8300-E16AC9827D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D162</xm:sqref>
        </x14:conditionalFormatting>
        <x14:conditionalFormatting xmlns:xm="http://schemas.microsoft.com/office/excel/2006/main">
          <x14:cfRule type="dataBar" id="{7AA83131-C6A1-43F6-ADB0-CC6E53D250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D161</xm:sqref>
        </x14:conditionalFormatting>
        <x14:conditionalFormatting xmlns:xm="http://schemas.microsoft.com/office/excel/2006/main">
          <x14:cfRule type="dataBar" id="{BC59B6EC-9A61-41EA-986F-A8E824D1B9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D160</xm:sqref>
        </x14:conditionalFormatting>
        <x14:conditionalFormatting xmlns:xm="http://schemas.microsoft.com/office/excel/2006/main">
          <x14:cfRule type="dataBar" id="{5454F7FF-21C3-4C43-9AB6-5F55F079F4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D159</xm:sqref>
        </x14:conditionalFormatting>
        <x14:conditionalFormatting xmlns:xm="http://schemas.microsoft.com/office/excel/2006/main">
          <x14:cfRule type="dataBar" id="{B6FB1CA5-7A34-4CAB-8DCB-1CEFB3E777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D158</xm:sqref>
        </x14:conditionalFormatting>
        <x14:conditionalFormatting xmlns:xm="http://schemas.microsoft.com/office/excel/2006/main">
          <x14:cfRule type="dataBar" id="{06E6164E-ED1A-4DB8-B7F5-BC22604055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D157</xm:sqref>
        </x14:conditionalFormatting>
        <x14:conditionalFormatting xmlns:xm="http://schemas.microsoft.com/office/excel/2006/main">
          <x14:cfRule type="dataBar" id="{5C444B3F-A391-4180-9427-5CAAAF8FAD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D156</xm:sqref>
        </x14:conditionalFormatting>
        <x14:conditionalFormatting xmlns:xm="http://schemas.microsoft.com/office/excel/2006/main">
          <x14:cfRule type="dataBar" id="{207FC607-0A0E-4EAF-9814-085D805448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D155</xm:sqref>
        </x14:conditionalFormatting>
        <x14:conditionalFormatting xmlns:xm="http://schemas.microsoft.com/office/excel/2006/main">
          <x14:cfRule type="dataBar" id="{162BD88B-41B8-4514-8A50-7CEE04D6CC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D154</xm:sqref>
        </x14:conditionalFormatting>
        <x14:conditionalFormatting xmlns:xm="http://schemas.microsoft.com/office/excel/2006/main">
          <x14:cfRule type="dataBar" id="{D40DB43B-7184-4D0F-B29E-6D54F8FE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D153</xm:sqref>
        </x14:conditionalFormatting>
        <x14:conditionalFormatting xmlns:xm="http://schemas.microsoft.com/office/excel/2006/main">
          <x14:cfRule type="dataBar" id="{E6C3884B-B40D-40E2-973D-B2FDD5F540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D152</xm:sqref>
        </x14:conditionalFormatting>
        <x14:conditionalFormatting xmlns:xm="http://schemas.microsoft.com/office/excel/2006/main">
          <x14:cfRule type="dataBar" id="{808659A6-8E45-4F0D-A2C3-651F63A1F5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D151</xm:sqref>
        </x14:conditionalFormatting>
        <x14:conditionalFormatting xmlns:xm="http://schemas.microsoft.com/office/excel/2006/main">
          <x14:cfRule type="dataBar" id="{2E155009-5ECA-4D57-A491-2A8602CF92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D150</xm:sqref>
        </x14:conditionalFormatting>
        <x14:conditionalFormatting xmlns:xm="http://schemas.microsoft.com/office/excel/2006/main">
          <x14:cfRule type="dataBar" id="{91E5F895-1C3D-453C-82B6-FCE633782B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D149</xm:sqref>
        </x14:conditionalFormatting>
        <x14:conditionalFormatting xmlns:xm="http://schemas.microsoft.com/office/excel/2006/main">
          <x14:cfRule type="dataBar" id="{97FB07E3-7D76-4DE3-90E7-0D3AEF4382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D148</xm:sqref>
        </x14:conditionalFormatting>
        <x14:conditionalFormatting xmlns:xm="http://schemas.microsoft.com/office/excel/2006/main">
          <x14:cfRule type="dataBar" id="{2ED31307-322F-4D23-86BC-7311202E9E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D147</xm:sqref>
        </x14:conditionalFormatting>
        <x14:conditionalFormatting xmlns:xm="http://schemas.microsoft.com/office/excel/2006/main">
          <x14:cfRule type="dataBar" id="{A013F6FD-0B0C-43D3-806C-0BF38E49AE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D146</xm:sqref>
        </x14:conditionalFormatting>
        <x14:conditionalFormatting xmlns:xm="http://schemas.microsoft.com/office/excel/2006/main">
          <x14:cfRule type="dataBar" id="{FCE69D60-FE26-4921-8CF5-656B85A91C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D145</xm:sqref>
        </x14:conditionalFormatting>
        <x14:conditionalFormatting xmlns:xm="http://schemas.microsoft.com/office/excel/2006/main">
          <x14:cfRule type="dataBar" id="{63877378-5632-4990-9DB7-304357855C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D144</xm:sqref>
        </x14:conditionalFormatting>
        <x14:conditionalFormatting xmlns:xm="http://schemas.microsoft.com/office/excel/2006/main">
          <x14:cfRule type="dataBar" id="{05753ADB-32CE-4BD1-8F6A-5A82016D21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AB7ED735-28FD-4C66-9100-61FAFEBA1C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E132:E139</xm:sqref>
        </x14:conditionalFormatting>
        <x14:conditionalFormatting xmlns:xm="http://schemas.microsoft.com/office/excel/2006/main">
          <x14:cfRule type="dataBar" id="{E7D84F9F-3DA0-4487-9174-0959B25C68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FBDD391E-5B8F-468E-BED5-5F2D6904D0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E141</xm:sqref>
        </x14:conditionalFormatting>
        <x14:conditionalFormatting xmlns:xm="http://schemas.microsoft.com/office/excel/2006/main">
          <x14:cfRule type="dataBar" id="{76933375-3D30-4B84-BAC1-50E9F6A84C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E142</xm:sqref>
        </x14:conditionalFormatting>
        <x14:conditionalFormatting xmlns:xm="http://schemas.microsoft.com/office/excel/2006/main">
          <x14:cfRule type="dataBar" id="{664212FA-AB1D-414A-B383-CD24448718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67131AE0-477A-4556-812F-1E03C53EB8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E162</xm:sqref>
        </x14:conditionalFormatting>
        <x14:conditionalFormatting xmlns:xm="http://schemas.microsoft.com/office/excel/2006/main">
          <x14:cfRule type="dataBar" id="{DCA66ACC-C31B-474E-984D-0783C01E36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E161</xm:sqref>
        </x14:conditionalFormatting>
        <x14:conditionalFormatting xmlns:xm="http://schemas.microsoft.com/office/excel/2006/main">
          <x14:cfRule type="dataBar" id="{E1D001DD-8B82-4B11-BB1D-B3F3B069C5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B7AAE7E6-4387-4EA1-B4BE-289FD0BE2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7AC45143-C5E0-486B-AC2B-F46EE1BF1B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E83B7A99-09BD-438B-98B6-AF9807154A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E157</xm:sqref>
        </x14:conditionalFormatting>
        <x14:conditionalFormatting xmlns:xm="http://schemas.microsoft.com/office/excel/2006/main">
          <x14:cfRule type="dataBar" id="{F495FCDC-38C9-49F4-B133-3E1934D8CE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E156</xm:sqref>
        </x14:conditionalFormatting>
        <x14:conditionalFormatting xmlns:xm="http://schemas.microsoft.com/office/excel/2006/main">
          <x14:cfRule type="dataBar" id="{312FA6E9-C245-408C-9AE9-C37F4EC734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09EF6E9B-DE8F-4E54-A6C2-5E063D3CB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D769CE7A-4464-423B-BE46-D44AAD42BE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2478A258-CDF6-406B-AA1B-65BA5471E9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E152</xm:sqref>
        </x14:conditionalFormatting>
        <x14:conditionalFormatting xmlns:xm="http://schemas.microsoft.com/office/excel/2006/main">
          <x14:cfRule type="dataBar" id="{1AFB080C-BB3E-42B3-91E2-8E7EA1351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E151</xm:sqref>
        </x14:conditionalFormatting>
        <x14:conditionalFormatting xmlns:xm="http://schemas.microsoft.com/office/excel/2006/main">
          <x14:cfRule type="dataBar" id="{F5CAEDD1-9B6D-437A-8A0C-F693DFFF88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972BC8A6-EF02-4792-92C9-534ED9CABE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2C2CFDE7-DF9B-4D0D-A1A7-30AD171383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8536D5B3-4487-4C35-8444-978961C0BF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E147</xm:sqref>
        </x14:conditionalFormatting>
        <x14:conditionalFormatting xmlns:xm="http://schemas.microsoft.com/office/excel/2006/main">
          <x14:cfRule type="dataBar" id="{02250EA5-6FD2-47A3-AA31-BF8DD0FAC4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E146</xm:sqref>
        </x14:conditionalFormatting>
        <x14:conditionalFormatting xmlns:xm="http://schemas.microsoft.com/office/excel/2006/main">
          <x14:cfRule type="dataBar" id="{37334317-5530-49DC-85BD-AD73F704F4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D9241248-DF95-4C50-B0C7-D0111F451D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6DEF2A87-0655-4CDA-A182-3F00DC3019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5A62B750-280C-4AEF-AE47-EE5A2338AF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DE26E0DF-B529-416E-B669-A80B6E95F0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521812CE-A9F0-4E33-8A1B-C35325A217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E82</xm:sqref>
        </x14:conditionalFormatting>
        <x14:conditionalFormatting xmlns:xm="http://schemas.microsoft.com/office/excel/2006/main">
          <x14:cfRule type="dataBar" id="{05A7AEA8-A618-4BE2-836E-9C07ECFC88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E81</xm:sqref>
        </x14:conditionalFormatting>
        <x14:conditionalFormatting xmlns:xm="http://schemas.microsoft.com/office/excel/2006/main">
          <x14:cfRule type="dataBar" id="{46A0160E-4790-4785-A4C4-A72141BF50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275F6464-BCF8-44A7-882A-1563535FDF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D9:E79</xm:sqref>
        </x14:conditionalFormatting>
        <x14:conditionalFormatting xmlns:xm="http://schemas.microsoft.com/office/excel/2006/main">
          <x14:cfRule type="dataBar" id="{20A0164F-5FD8-44D5-9A82-DCA3A5EFE8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D93:D131</xm:sqref>
        </x14:conditionalFormatting>
        <x14:conditionalFormatting xmlns:xm="http://schemas.microsoft.com/office/excel/2006/main">
          <x14:cfRule type="dataBar" id="{7D59A405-C7B6-4D1E-8B7C-15F5B1790F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D9:D79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68"/>
  <sheetViews>
    <sheetView showGridLines="0" workbookViewId="0"/>
  </sheetViews>
  <sheetFormatPr baseColWidth="10" defaultRowHeight="15"/>
  <cols>
    <col min="1" max="1" width="21.28515625" customWidth="1"/>
    <col min="3" max="5" width="13.7109375" customWidth="1"/>
    <col min="6" max="9" width="14.28515625" customWidth="1"/>
    <col min="10" max="19" width="13.7109375" customWidth="1"/>
  </cols>
  <sheetData>
    <row r="1" spans="1:19" ht="59.25">
      <c r="A1" s="1858" t="s">
        <v>2006</v>
      </c>
      <c r="B1" s="1859"/>
      <c r="C1" s="1860"/>
      <c r="D1" s="1860"/>
      <c r="E1" s="1860"/>
      <c r="F1" s="1860"/>
      <c r="G1" s="1860"/>
      <c r="H1" s="1860"/>
      <c r="I1" s="1861"/>
      <c r="J1" s="1861"/>
      <c r="K1" s="1862"/>
      <c r="L1" s="1862"/>
      <c r="M1" s="1862"/>
      <c r="N1" s="1862"/>
      <c r="O1" s="1862"/>
      <c r="P1" s="1862"/>
    </row>
    <row r="2" spans="1:19" ht="12.95" customHeight="1">
      <c r="A2" s="1911" t="s">
        <v>1213</v>
      </c>
      <c r="B2" s="1864"/>
      <c r="C2" s="1865" t="s">
        <v>1938</v>
      </c>
      <c r="D2" s="1890" t="s">
        <v>2013</v>
      </c>
      <c r="E2" s="1890" t="s">
        <v>2013</v>
      </c>
      <c r="F2" s="1890" t="s">
        <v>2013</v>
      </c>
      <c r="G2" s="1890" t="s">
        <v>2013</v>
      </c>
      <c r="H2" s="1890" t="s">
        <v>2013</v>
      </c>
      <c r="I2" s="1890" t="s">
        <v>2013</v>
      </c>
      <c r="J2" s="1867" t="s">
        <v>1939</v>
      </c>
      <c r="K2" s="1868" t="s">
        <v>1993</v>
      </c>
      <c r="L2" s="1868" t="s">
        <v>1994</v>
      </c>
      <c r="M2" s="1868" t="s">
        <v>1940</v>
      </c>
      <c r="N2" s="1868" t="s">
        <v>1941</v>
      </c>
      <c r="O2" s="1868" t="s">
        <v>2005</v>
      </c>
      <c r="P2" s="1868" t="s">
        <v>1942</v>
      </c>
      <c r="Q2" s="1866" t="s">
        <v>1990</v>
      </c>
      <c r="R2" s="1868" t="s">
        <v>1943</v>
      </c>
      <c r="S2" s="1868" t="s">
        <v>1991</v>
      </c>
    </row>
    <row r="3" spans="1:19" ht="12.95" customHeight="1">
      <c r="A3" s="1863"/>
      <c r="B3" s="1864"/>
      <c r="C3" s="1865"/>
      <c r="D3" s="1905" t="s">
        <v>2020</v>
      </c>
      <c r="E3" s="1905" t="s">
        <v>2020</v>
      </c>
      <c r="F3" s="1882" t="s">
        <v>2025</v>
      </c>
      <c r="G3" s="1905" t="s">
        <v>2020</v>
      </c>
      <c r="H3" s="1905" t="s">
        <v>2014</v>
      </c>
      <c r="I3" s="1905" t="s">
        <v>2015</v>
      </c>
      <c r="J3" s="1872" t="s">
        <v>1946</v>
      </c>
      <c r="K3" s="1871" t="s">
        <v>1996</v>
      </c>
      <c r="L3" s="1871" t="s">
        <v>2000</v>
      </c>
      <c r="M3" s="1873" t="s">
        <v>1947</v>
      </c>
      <c r="N3" s="1873" t="s">
        <v>1948</v>
      </c>
      <c r="O3" s="1871" t="s">
        <v>1949</v>
      </c>
      <c r="P3" s="1873" t="s">
        <v>1950</v>
      </c>
      <c r="Q3" s="1871" t="s">
        <v>1945</v>
      </c>
      <c r="R3" s="1873" t="s">
        <v>1951</v>
      </c>
      <c r="S3" s="1873" t="s">
        <v>1992</v>
      </c>
    </row>
    <row r="4" spans="1:19" ht="12.95" customHeight="1">
      <c r="A4" s="1869" t="s">
        <v>1944</v>
      </c>
      <c r="B4" s="1870"/>
      <c r="C4" s="1870"/>
      <c r="D4" s="1882" t="s">
        <v>2025</v>
      </c>
      <c r="E4" s="1905" t="s">
        <v>2014</v>
      </c>
      <c r="F4" s="1882"/>
      <c r="G4" s="1905" t="s">
        <v>2015</v>
      </c>
      <c r="H4" s="1905"/>
      <c r="I4" s="1905"/>
      <c r="J4" s="1872"/>
      <c r="K4" s="1871"/>
      <c r="L4" s="1871"/>
      <c r="M4" s="1873"/>
      <c r="N4" s="1873"/>
      <c r="O4" s="1871"/>
      <c r="P4" s="1873"/>
      <c r="Q4" s="1871"/>
      <c r="R4" s="1873"/>
      <c r="S4" s="1873"/>
    </row>
    <row r="5" spans="1:19" ht="12.95" customHeight="1">
      <c r="A5" s="1887" t="s">
        <v>2004</v>
      </c>
      <c r="B5" s="1874"/>
      <c r="C5" s="1875">
        <v>26943621</v>
      </c>
      <c r="D5" s="1889">
        <v>22408817</v>
      </c>
      <c r="E5" s="1875">
        <v>22681080</v>
      </c>
      <c r="F5" s="1875">
        <v>22827809</v>
      </c>
      <c r="G5" s="1875">
        <v>23029296</v>
      </c>
      <c r="H5" s="1875">
        <v>23170939</v>
      </c>
      <c r="I5" s="1875">
        <v>23491152</v>
      </c>
      <c r="J5" s="1875">
        <v>25723824</v>
      </c>
      <c r="K5" s="1875">
        <v>25893980</v>
      </c>
      <c r="L5" s="1875">
        <v>25972991</v>
      </c>
      <c r="M5" s="1875">
        <v>26120312</v>
      </c>
      <c r="N5" s="1875">
        <v>26046996</v>
      </c>
      <c r="O5" s="1875">
        <v>26114799</v>
      </c>
      <c r="P5" s="1875">
        <v>26101088</v>
      </c>
      <c r="Q5" s="1875">
        <v>24583036</v>
      </c>
      <c r="R5" s="1875">
        <v>26308822</v>
      </c>
      <c r="S5" s="1884">
        <v>23314403</v>
      </c>
    </row>
    <row r="6" spans="1:19" ht="12.95" customHeight="1">
      <c r="A6" s="1887" t="s">
        <v>1952</v>
      </c>
      <c r="B6" s="1874"/>
      <c r="C6" s="1875">
        <v>26501199</v>
      </c>
      <c r="D6" s="1889">
        <v>22609260</v>
      </c>
      <c r="E6" s="1875">
        <v>22857615</v>
      </c>
      <c r="F6" s="1875">
        <v>23363496</v>
      </c>
      <c r="G6" s="1875">
        <v>23232896</v>
      </c>
      <c r="H6" s="1875">
        <v>23686533</v>
      </c>
      <c r="I6" s="1875">
        <v>24004784</v>
      </c>
      <c r="J6" s="1875">
        <v>25977296</v>
      </c>
      <c r="K6" s="1875">
        <v>26069996</v>
      </c>
      <c r="L6" s="1875">
        <v>26070348</v>
      </c>
      <c r="M6" s="1875">
        <v>26153282</v>
      </c>
      <c r="N6" s="1875">
        <v>26085262</v>
      </c>
      <c r="O6" s="1875">
        <v>26288976</v>
      </c>
      <c r="P6" s="1875">
        <v>26145447</v>
      </c>
      <c r="Q6" s="1875">
        <v>25596338</v>
      </c>
      <c r="R6" s="1875">
        <v>26208189</v>
      </c>
      <c r="S6" s="1875">
        <v>23747918</v>
      </c>
    </row>
    <row r="7" spans="1:19" ht="12.95" customHeight="1">
      <c r="A7" s="1887" t="s">
        <v>1953</v>
      </c>
      <c r="B7" s="1874"/>
      <c r="C7" s="1875">
        <v>24937810</v>
      </c>
      <c r="D7" s="1889">
        <v>21627385</v>
      </c>
      <c r="E7" s="1875">
        <v>21785180</v>
      </c>
      <c r="F7" s="1875">
        <v>22268543</v>
      </c>
      <c r="G7" s="1875">
        <v>21996016</v>
      </c>
      <c r="H7" s="1875">
        <v>22504756</v>
      </c>
      <c r="I7" s="1875">
        <v>22666192</v>
      </c>
      <c r="J7" s="1875">
        <v>24091840</v>
      </c>
      <c r="K7" s="1875">
        <v>24258146</v>
      </c>
      <c r="L7" s="1875">
        <v>24202191</v>
      </c>
      <c r="M7" s="1875">
        <v>24251444</v>
      </c>
      <c r="N7" s="1875">
        <v>24180906</v>
      </c>
      <c r="O7" s="1875">
        <v>24352651</v>
      </c>
      <c r="P7" s="1875">
        <v>24180906</v>
      </c>
      <c r="Q7" s="1875">
        <v>23448148</v>
      </c>
      <c r="R7" s="1875">
        <v>24427804</v>
      </c>
      <c r="S7" s="1875">
        <v>22519103</v>
      </c>
    </row>
    <row r="8" spans="1:19" ht="12.95" customHeight="1">
      <c r="A8" s="1887" t="s">
        <v>1954</v>
      </c>
      <c r="B8" s="1874"/>
      <c r="C8" s="1875">
        <v>19901392</v>
      </c>
      <c r="D8" s="1889">
        <v>10849224</v>
      </c>
      <c r="E8" s="1883">
        <v>11648449</v>
      </c>
      <c r="F8" s="1883">
        <v>11012359</v>
      </c>
      <c r="G8" s="1883">
        <v>11221360</v>
      </c>
      <c r="H8" s="1883">
        <v>11648449</v>
      </c>
      <c r="I8" s="1883">
        <v>11221360</v>
      </c>
      <c r="J8" s="1875">
        <v>11221360</v>
      </c>
      <c r="K8" s="1875">
        <v>12954154</v>
      </c>
      <c r="L8" s="1875">
        <v>12434658</v>
      </c>
      <c r="M8" s="1875">
        <v>14871511</v>
      </c>
      <c r="N8" s="1875">
        <v>14852229</v>
      </c>
      <c r="O8" s="1875">
        <v>14841386</v>
      </c>
      <c r="P8" s="1875">
        <v>14007560</v>
      </c>
      <c r="Q8" s="1875">
        <v>12515898</v>
      </c>
      <c r="R8" s="1875">
        <v>17145988</v>
      </c>
      <c r="S8" s="1883">
        <v>19901392</v>
      </c>
    </row>
    <row r="9" spans="1:19" ht="12.95" customHeight="1">
      <c r="A9" s="1887" t="s">
        <v>1955</v>
      </c>
      <c r="B9" s="1874"/>
      <c r="C9" s="1875">
        <v>26146816</v>
      </c>
      <c r="D9" s="1883">
        <v>13329721</v>
      </c>
      <c r="E9" s="1889">
        <v>12233609</v>
      </c>
      <c r="F9" s="1883">
        <v>13484909</v>
      </c>
      <c r="G9" s="1883">
        <v>12674048</v>
      </c>
      <c r="H9" s="1889">
        <v>12233609</v>
      </c>
      <c r="I9" s="1883">
        <v>12674048</v>
      </c>
      <c r="J9" s="1875">
        <v>12674048</v>
      </c>
      <c r="K9" s="1875">
        <v>13085114</v>
      </c>
      <c r="L9" s="1875">
        <v>12792840</v>
      </c>
      <c r="M9" s="1875">
        <v>14420578</v>
      </c>
      <c r="N9" s="1875">
        <v>15258928</v>
      </c>
      <c r="O9" s="1875">
        <v>15217095</v>
      </c>
      <c r="P9" s="1875">
        <v>15255780</v>
      </c>
      <c r="Q9" s="1875">
        <v>17264018</v>
      </c>
      <c r="R9" s="1875">
        <v>18196297</v>
      </c>
      <c r="S9" s="1883">
        <v>26146816</v>
      </c>
    </row>
    <row r="10" spans="1:19" ht="12.95" customHeight="1">
      <c r="A10" s="1887" t="s">
        <v>1956</v>
      </c>
      <c r="B10" s="1874"/>
      <c r="C10" s="1875">
        <v>19768256</v>
      </c>
      <c r="D10" s="1889">
        <v>11231744</v>
      </c>
      <c r="E10" s="1883">
        <v>14070343</v>
      </c>
      <c r="F10" s="1883">
        <v>11347831</v>
      </c>
      <c r="G10" s="1889">
        <v>13945200</v>
      </c>
      <c r="H10" s="1883">
        <v>14070343</v>
      </c>
      <c r="I10" s="1889">
        <v>13945200</v>
      </c>
      <c r="J10" s="1889">
        <v>13945200</v>
      </c>
      <c r="K10" s="1875">
        <v>14918670</v>
      </c>
      <c r="L10" s="1875">
        <v>14425321</v>
      </c>
      <c r="M10" s="1875">
        <v>16677897</v>
      </c>
      <c r="N10" s="1875">
        <v>16911582</v>
      </c>
      <c r="O10" s="1875">
        <v>16899865</v>
      </c>
      <c r="P10" s="1875">
        <v>16341189</v>
      </c>
      <c r="Q10" s="1875">
        <v>15732148</v>
      </c>
      <c r="R10" s="1875">
        <v>18006391</v>
      </c>
      <c r="S10" s="1883">
        <v>19768256</v>
      </c>
    </row>
    <row r="11" spans="1:19" ht="12.95" customHeight="1">
      <c r="A11" s="1887" t="s">
        <v>1957</v>
      </c>
      <c r="B11" s="1874"/>
      <c r="C11" s="1875">
        <v>10583732</v>
      </c>
      <c r="D11" s="1889">
        <v>5290026</v>
      </c>
      <c r="E11" s="1875">
        <v>5375711</v>
      </c>
      <c r="F11" s="1875">
        <v>5289999</v>
      </c>
      <c r="G11" s="1875">
        <v>5420000</v>
      </c>
      <c r="H11" s="1875">
        <v>5375773</v>
      </c>
      <c r="I11" s="1875">
        <v>5419968</v>
      </c>
      <c r="J11" s="1875">
        <v>5785728</v>
      </c>
      <c r="K11" s="1875">
        <v>5984194</v>
      </c>
      <c r="L11" s="1875">
        <v>5874660</v>
      </c>
      <c r="M11" s="1875">
        <v>6349512</v>
      </c>
      <c r="N11" s="1875">
        <v>6811182</v>
      </c>
      <c r="O11" s="1875">
        <v>6767662</v>
      </c>
      <c r="P11" s="1875">
        <v>6715697</v>
      </c>
      <c r="Q11" s="1875">
        <v>9152240</v>
      </c>
      <c r="R11" s="1875">
        <v>8076926</v>
      </c>
      <c r="S11" s="1883">
        <v>10583732</v>
      </c>
    </row>
    <row r="12" spans="1:19" ht="12.95" customHeight="1">
      <c r="A12" s="1887" t="s">
        <v>1958</v>
      </c>
      <c r="B12" s="1874"/>
      <c r="C12" s="1875">
        <v>18432256</v>
      </c>
      <c r="D12" s="1889">
        <v>9732576</v>
      </c>
      <c r="E12" s="1875">
        <v>9868740</v>
      </c>
      <c r="F12" s="1875">
        <v>9733617</v>
      </c>
      <c r="G12" s="1875">
        <v>10035984</v>
      </c>
      <c r="H12" s="1875">
        <v>9869983</v>
      </c>
      <c r="I12" s="1875">
        <v>10037056</v>
      </c>
      <c r="J12" s="1875">
        <v>10918720</v>
      </c>
      <c r="K12" s="1875">
        <v>12491364</v>
      </c>
      <c r="L12" s="1875">
        <v>11930669</v>
      </c>
      <c r="M12" s="1875">
        <v>13891213</v>
      </c>
      <c r="N12" s="1875">
        <v>14716229</v>
      </c>
      <c r="O12" s="1875">
        <v>14637416</v>
      </c>
      <c r="P12" s="1875">
        <v>13629393</v>
      </c>
      <c r="Q12" s="1875">
        <v>12743874</v>
      </c>
      <c r="R12" s="1875">
        <v>17175883</v>
      </c>
      <c r="S12" s="1883">
        <v>18432256</v>
      </c>
    </row>
    <row r="13" spans="1:19" ht="12.95" customHeight="1">
      <c r="A13" s="1887" t="s">
        <v>1959</v>
      </c>
      <c r="B13" s="1874"/>
      <c r="C13" s="1875">
        <v>12513574</v>
      </c>
      <c r="D13" s="1889">
        <v>9639855</v>
      </c>
      <c r="E13" s="1875">
        <v>9708369</v>
      </c>
      <c r="F13" s="1875">
        <v>10081231</v>
      </c>
      <c r="G13" s="1875">
        <v>9823072</v>
      </c>
      <c r="H13" s="1875">
        <v>10169468</v>
      </c>
      <c r="I13" s="1875">
        <v>10278960</v>
      </c>
      <c r="J13" s="1875">
        <v>11592560</v>
      </c>
      <c r="K13" s="1875">
        <v>11557946</v>
      </c>
      <c r="L13" s="1875">
        <v>12435894</v>
      </c>
      <c r="M13" s="1875">
        <v>11897462</v>
      </c>
      <c r="N13" s="1875">
        <v>12118299</v>
      </c>
      <c r="O13" s="1875">
        <v>12071053</v>
      </c>
      <c r="P13" s="1875">
        <v>12221194</v>
      </c>
      <c r="Q13" s="1875">
        <v>12025580</v>
      </c>
      <c r="R13" s="1875">
        <v>12210945</v>
      </c>
      <c r="S13" s="1875">
        <v>10341007</v>
      </c>
    </row>
    <row r="14" spans="1:19" ht="12.95" customHeight="1">
      <c r="A14" s="1887" t="s">
        <v>1960</v>
      </c>
      <c r="B14" s="1874"/>
      <c r="C14" s="1875">
        <v>20276750</v>
      </c>
      <c r="D14" s="1889">
        <v>17237350</v>
      </c>
      <c r="E14" s="1875">
        <v>17479617</v>
      </c>
      <c r="F14" s="1875">
        <v>17695327</v>
      </c>
      <c r="G14" s="1875">
        <v>17599728</v>
      </c>
      <c r="H14" s="1875">
        <v>17983124</v>
      </c>
      <c r="I14" s="1875">
        <v>18110992</v>
      </c>
      <c r="J14" s="1875">
        <v>19582256</v>
      </c>
      <c r="K14" s="1875">
        <v>19688608</v>
      </c>
      <c r="L14" s="1875">
        <v>20055936</v>
      </c>
      <c r="M14" s="1875">
        <v>19854565</v>
      </c>
      <c r="N14" s="1875">
        <v>19931023</v>
      </c>
      <c r="O14" s="1875">
        <v>19941797</v>
      </c>
      <c r="P14" s="1875">
        <v>19984410</v>
      </c>
      <c r="Q14" s="1875">
        <v>18646862</v>
      </c>
      <c r="R14" s="1875">
        <v>19960133</v>
      </c>
      <c r="S14" s="1875">
        <v>17980171</v>
      </c>
    </row>
    <row r="15" spans="1:19" ht="12.95" customHeight="1">
      <c r="A15" s="1887" t="s">
        <v>1961</v>
      </c>
      <c r="B15" s="1874"/>
      <c r="C15" s="1875">
        <v>28109879</v>
      </c>
      <c r="D15" s="1889">
        <v>23801222</v>
      </c>
      <c r="E15" s="1875">
        <v>24033763</v>
      </c>
      <c r="F15" s="1875">
        <v>24631078</v>
      </c>
      <c r="G15" s="1875">
        <v>24328016</v>
      </c>
      <c r="H15" s="1875">
        <v>24950802</v>
      </c>
      <c r="I15" s="1875">
        <v>25228832</v>
      </c>
      <c r="J15" s="1875">
        <v>27620480</v>
      </c>
      <c r="K15" s="1875">
        <v>27700040</v>
      </c>
      <c r="L15" s="1875">
        <v>28125904</v>
      </c>
      <c r="M15" s="1875">
        <v>28028504</v>
      </c>
      <c r="N15" s="1875">
        <v>28021588</v>
      </c>
      <c r="O15" s="1875">
        <v>28110049</v>
      </c>
      <c r="P15" s="1875">
        <v>28090554</v>
      </c>
      <c r="Q15" s="1875">
        <v>27251966</v>
      </c>
      <c r="R15" s="1875">
        <v>28037188</v>
      </c>
      <c r="S15" s="1875">
        <v>24821100</v>
      </c>
    </row>
    <row r="16" spans="1:19" ht="12.95" customHeight="1">
      <c r="A16" s="1887" t="s">
        <v>1962</v>
      </c>
      <c r="B16" s="1874"/>
      <c r="C16" s="1875">
        <v>16182707</v>
      </c>
      <c r="D16" s="1889">
        <v>14679468</v>
      </c>
      <c r="E16" s="1875">
        <v>14885167</v>
      </c>
      <c r="F16" s="1875">
        <v>14904579</v>
      </c>
      <c r="G16" s="1875">
        <v>15133728</v>
      </c>
      <c r="H16" s="1875">
        <v>15136690</v>
      </c>
      <c r="I16" s="1875">
        <v>15362960</v>
      </c>
      <c r="J16" s="1875">
        <v>15996848</v>
      </c>
      <c r="K16" s="1875">
        <v>16002568</v>
      </c>
      <c r="L16" s="1875">
        <v>16191027</v>
      </c>
      <c r="M16" s="1875">
        <v>16095430</v>
      </c>
      <c r="N16" s="1875">
        <v>16011662</v>
      </c>
      <c r="O16" s="1875">
        <v>16156023</v>
      </c>
      <c r="P16" s="1875">
        <v>16060498</v>
      </c>
      <c r="Q16" s="1875">
        <v>21263152</v>
      </c>
      <c r="R16" s="1875">
        <v>16028988</v>
      </c>
      <c r="S16" s="1875">
        <v>15748459</v>
      </c>
    </row>
    <row r="17" spans="1:19" ht="12.95" customHeight="1">
      <c r="A17" s="1887" t="s">
        <v>1963</v>
      </c>
      <c r="B17" s="1874"/>
      <c r="C17" s="1875">
        <v>16152516</v>
      </c>
      <c r="D17" s="1889">
        <v>14539632</v>
      </c>
      <c r="E17" s="1875">
        <v>14763880</v>
      </c>
      <c r="F17" s="1875">
        <v>14726754</v>
      </c>
      <c r="G17" s="1875">
        <v>14983376</v>
      </c>
      <c r="H17" s="1875">
        <v>14974028</v>
      </c>
      <c r="I17" s="1875">
        <v>15174688</v>
      </c>
      <c r="J17" s="1875">
        <v>15908496</v>
      </c>
      <c r="K17" s="1875">
        <v>15940722</v>
      </c>
      <c r="L17" s="1875">
        <v>16161545</v>
      </c>
      <c r="M17" s="1875">
        <v>16067932</v>
      </c>
      <c r="N17" s="1875">
        <v>16010390</v>
      </c>
      <c r="O17" s="1875">
        <v>16101302</v>
      </c>
      <c r="P17" s="1875">
        <v>16062638</v>
      </c>
      <c r="Q17" s="1875">
        <v>21297726</v>
      </c>
      <c r="R17" s="1875">
        <v>16028895</v>
      </c>
      <c r="S17" s="1875">
        <v>15683579</v>
      </c>
    </row>
    <row r="18" spans="1:19" ht="12.95" customHeight="1">
      <c r="A18" s="1887" t="s">
        <v>1964</v>
      </c>
      <c r="B18" s="1874"/>
      <c r="C18" s="1875">
        <v>19320944</v>
      </c>
      <c r="D18" s="1889">
        <v>12759842</v>
      </c>
      <c r="E18" s="1875">
        <v>12832431</v>
      </c>
      <c r="F18" s="1875">
        <v>13005918</v>
      </c>
      <c r="G18" s="1875">
        <v>13026816</v>
      </c>
      <c r="H18" s="1875">
        <v>13097287</v>
      </c>
      <c r="I18" s="1875">
        <v>13276464</v>
      </c>
      <c r="J18" s="1875">
        <v>12502544</v>
      </c>
      <c r="K18" s="1875">
        <v>13737918</v>
      </c>
      <c r="L18" s="1875">
        <v>13476125</v>
      </c>
      <c r="M18" s="1875">
        <v>14916737</v>
      </c>
      <c r="N18" s="1875">
        <v>14482717</v>
      </c>
      <c r="O18" s="1875">
        <v>14460583</v>
      </c>
      <c r="P18" s="1875">
        <v>15912537</v>
      </c>
      <c r="Q18" s="1875">
        <v>18630460</v>
      </c>
      <c r="R18" s="1875">
        <v>15984705</v>
      </c>
      <c r="S18" s="1883">
        <v>19320944</v>
      </c>
    </row>
    <row r="19" spans="1:19" ht="12.95" customHeight="1">
      <c r="A19" s="1887" t="s">
        <v>2003</v>
      </c>
      <c r="B19" s="1874"/>
      <c r="C19" s="1875">
        <v>19826176</v>
      </c>
      <c r="D19" s="1889">
        <v>13387982</v>
      </c>
      <c r="E19" s="1875">
        <v>13575720</v>
      </c>
      <c r="F19" s="1875">
        <v>13517975</v>
      </c>
      <c r="G19" s="1875">
        <v>13826944</v>
      </c>
      <c r="H19" s="1875">
        <v>13710009</v>
      </c>
      <c r="I19" s="1875">
        <v>13953408</v>
      </c>
      <c r="J19" s="1875">
        <v>14688320</v>
      </c>
      <c r="K19" s="1875">
        <v>15720530</v>
      </c>
      <c r="L19" s="1875">
        <v>17623561</v>
      </c>
      <c r="M19" s="1875">
        <v>17351055</v>
      </c>
      <c r="N19" s="1875">
        <v>16287709</v>
      </c>
      <c r="O19" s="1875">
        <v>16239048</v>
      </c>
      <c r="P19" s="1875">
        <v>17656303</v>
      </c>
      <c r="Q19" s="1875">
        <v>19115512</v>
      </c>
      <c r="R19" s="1875">
        <v>18639201</v>
      </c>
      <c r="S19" s="1875">
        <v>16016570</v>
      </c>
    </row>
    <row r="20" spans="1:19" ht="12.95" customHeight="1">
      <c r="A20" s="1887" t="s">
        <v>1965</v>
      </c>
      <c r="B20" s="1874"/>
      <c r="C20" s="1875">
        <v>19788288</v>
      </c>
      <c r="D20" s="1889">
        <v>14649291</v>
      </c>
      <c r="E20" s="1875">
        <v>14807129</v>
      </c>
      <c r="F20" s="1875">
        <v>14755855</v>
      </c>
      <c r="G20" s="1875">
        <v>14944560</v>
      </c>
      <c r="H20" s="1875">
        <v>14919003</v>
      </c>
      <c r="I20" s="1875">
        <v>15050608</v>
      </c>
      <c r="J20" s="1875">
        <v>15843024</v>
      </c>
      <c r="K20" s="1875">
        <v>17623636</v>
      </c>
      <c r="L20" s="1875">
        <v>18553821</v>
      </c>
      <c r="M20" s="1875">
        <v>18518843</v>
      </c>
      <c r="N20" s="1875">
        <v>17920370</v>
      </c>
      <c r="O20" s="1875">
        <v>17891891</v>
      </c>
      <c r="P20" s="1875">
        <v>18406890</v>
      </c>
      <c r="Q20" s="1875">
        <v>18049584</v>
      </c>
      <c r="R20" s="1875">
        <v>18990409</v>
      </c>
      <c r="S20" s="1875">
        <v>15496110</v>
      </c>
    </row>
    <row r="21" spans="1:19" ht="12.95" customHeight="1">
      <c r="A21" s="1887" t="s">
        <v>1966</v>
      </c>
      <c r="B21" s="1874"/>
      <c r="C21" s="1875">
        <v>26228938</v>
      </c>
      <c r="D21" s="1889">
        <v>18922937</v>
      </c>
      <c r="E21" s="1875">
        <v>19043772</v>
      </c>
      <c r="F21" s="1875">
        <v>19228283</v>
      </c>
      <c r="G21" s="1875">
        <v>19179552</v>
      </c>
      <c r="H21" s="1875">
        <v>19382743</v>
      </c>
      <c r="I21" s="1875">
        <v>19488752</v>
      </c>
      <c r="J21" s="1875">
        <v>21894320</v>
      </c>
      <c r="K21" s="1874">
        <v>21633732</v>
      </c>
      <c r="L21" s="1875">
        <v>21700508</v>
      </c>
      <c r="M21" s="1875">
        <v>23351907</v>
      </c>
      <c r="N21" s="1875">
        <v>23408358</v>
      </c>
      <c r="O21" s="1875">
        <v>23358773</v>
      </c>
      <c r="P21" s="1875">
        <v>24050554</v>
      </c>
      <c r="Q21" s="1875">
        <v>22116264</v>
      </c>
      <c r="R21" s="1875">
        <v>24222840</v>
      </c>
      <c r="S21" s="1883">
        <v>26228938</v>
      </c>
    </row>
    <row r="22" spans="1:19" ht="12.95" customHeight="1">
      <c r="A22" s="1887" t="s">
        <v>1967</v>
      </c>
      <c r="B22" s="1874"/>
      <c r="C22" s="1875">
        <v>21659481</v>
      </c>
      <c r="D22" s="1889">
        <v>12930974</v>
      </c>
      <c r="E22" s="1875">
        <v>13071832</v>
      </c>
      <c r="F22" s="1875">
        <v>13621226</v>
      </c>
      <c r="G22" s="1875">
        <v>13158672</v>
      </c>
      <c r="H22" s="1875">
        <v>13821449</v>
      </c>
      <c r="I22" s="1875">
        <v>13881040</v>
      </c>
      <c r="J22" s="1875">
        <v>14668784</v>
      </c>
      <c r="K22" s="1874">
        <v>15444642</v>
      </c>
      <c r="L22" s="1875">
        <v>15175793</v>
      </c>
      <c r="M22" s="1875">
        <v>16776193</v>
      </c>
      <c r="N22" s="1875">
        <v>17469756</v>
      </c>
      <c r="O22" s="1875">
        <v>17413317</v>
      </c>
      <c r="P22" s="1875">
        <v>17200357</v>
      </c>
      <c r="Q22" s="1875">
        <v>13851250</v>
      </c>
      <c r="R22" s="1875">
        <v>19499022</v>
      </c>
      <c r="S22" s="1883">
        <v>21659481</v>
      </c>
    </row>
    <row r="23" spans="1:19" ht="12.95" customHeight="1">
      <c r="A23" s="1887" t="s">
        <v>1968</v>
      </c>
      <c r="B23" s="1874"/>
      <c r="C23" s="1875">
        <v>39347960</v>
      </c>
      <c r="D23" s="1875">
        <v>23623872</v>
      </c>
      <c r="E23" s="1875">
        <v>23758966</v>
      </c>
      <c r="F23" s="1875">
        <v>25083030</v>
      </c>
      <c r="G23" s="1875">
        <v>23926976</v>
      </c>
      <c r="H23" s="1875">
        <v>25332292</v>
      </c>
      <c r="I23" s="1875">
        <v>25430032</v>
      </c>
      <c r="J23" s="1875">
        <v>25938544</v>
      </c>
      <c r="K23" s="1874">
        <v>25755290</v>
      </c>
      <c r="L23" s="1875">
        <v>25283875</v>
      </c>
      <c r="M23" s="1875">
        <v>29091246</v>
      </c>
      <c r="N23" s="1875">
        <v>29568528</v>
      </c>
      <c r="O23" s="1875">
        <v>29455237</v>
      </c>
      <c r="P23" s="1875">
        <v>30978788</v>
      </c>
      <c r="Q23" s="1889">
        <v>22494012</v>
      </c>
      <c r="R23" s="1875">
        <v>34525155</v>
      </c>
      <c r="S23" s="1883">
        <v>39347960</v>
      </c>
    </row>
    <row r="24" spans="1:19" ht="12.95" customHeight="1">
      <c r="A24" s="1887" t="s">
        <v>1969</v>
      </c>
      <c r="B24" s="1874"/>
      <c r="C24" s="1884">
        <v>37642656</v>
      </c>
      <c r="D24" s="1884">
        <v>20301668</v>
      </c>
      <c r="E24" s="1884">
        <v>20503945</v>
      </c>
      <c r="F24" s="1884">
        <v>21518344</v>
      </c>
      <c r="G24" s="1884">
        <v>20720640</v>
      </c>
      <c r="H24" s="1884">
        <v>21789874</v>
      </c>
      <c r="I24" s="1884">
        <v>21960080</v>
      </c>
      <c r="J24" s="1884">
        <v>22635392</v>
      </c>
      <c r="K24" s="1885">
        <v>22395272</v>
      </c>
      <c r="L24" s="1875">
        <v>22189301</v>
      </c>
      <c r="M24" s="1884">
        <v>24958874</v>
      </c>
      <c r="N24" s="1884">
        <v>25893326</v>
      </c>
      <c r="O24" s="1884">
        <v>25901286</v>
      </c>
      <c r="P24" s="1884">
        <v>27565433</v>
      </c>
      <c r="Q24" s="1888">
        <v>19992298</v>
      </c>
      <c r="R24" s="1884">
        <v>30467517</v>
      </c>
      <c r="S24" s="1886">
        <v>37642656</v>
      </c>
    </row>
    <row r="25" spans="1:19" ht="12.95" customHeight="1">
      <c r="A25" s="1887" t="s">
        <v>1970</v>
      </c>
      <c r="B25" s="1874"/>
      <c r="C25" s="1875">
        <v>14337044</v>
      </c>
      <c r="D25" s="1889">
        <v>11795899</v>
      </c>
      <c r="E25" s="1883">
        <v>12307516</v>
      </c>
      <c r="F25" s="1883">
        <v>12109784</v>
      </c>
      <c r="G25" s="1883">
        <v>12807056</v>
      </c>
      <c r="H25" s="1883">
        <v>12307516</v>
      </c>
      <c r="I25" s="1883">
        <v>12807056</v>
      </c>
      <c r="J25" s="1875">
        <v>12807056</v>
      </c>
      <c r="K25" s="1875">
        <v>12416478</v>
      </c>
      <c r="L25" s="1875">
        <v>14383003</v>
      </c>
      <c r="M25" s="1875">
        <v>13184268</v>
      </c>
      <c r="N25" s="1875">
        <v>13595307</v>
      </c>
      <c r="O25" s="1875">
        <v>13536625</v>
      </c>
      <c r="P25" s="1875">
        <v>14072785</v>
      </c>
      <c r="Q25" s="1875">
        <v>13933380</v>
      </c>
      <c r="R25" s="1875">
        <v>14123276</v>
      </c>
      <c r="S25" s="1883">
        <v>14337044</v>
      </c>
    </row>
    <row r="26" spans="1:19" ht="12.95" customHeight="1">
      <c r="A26" s="1887" t="s">
        <v>1971</v>
      </c>
      <c r="B26" s="1874"/>
      <c r="C26" s="1875">
        <v>45761372</v>
      </c>
      <c r="D26" s="1889">
        <v>35913412</v>
      </c>
      <c r="E26" s="1883">
        <v>37937429</v>
      </c>
      <c r="F26" s="1883">
        <v>37382148</v>
      </c>
      <c r="G26" s="1883">
        <v>39033024</v>
      </c>
      <c r="H26" s="1883">
        <v>37937429</v>
      </c>
      <c r="I26" s="1883">
        <v>39033024</v>
      </c>
      <c r="J26" s="1875">
        <v>39033024</v>
      </c>
      <c r="K26" s="1874">
        <v>39101976</v>
      </c>
      <c r="L26" s="1875">
        <v>45871260</v>
      </c>
      <c r="M26" s="1875">
        <v>40441732</v>
      </c>
      <c r="N26" s="1875">
        <v>41681197</v>
      </c>
      <c r="O26" s="1875">
        <v>41652158</v>
      </c>
      <c r="P26" s="1875">
        <v>43697434</v>
      </c>
      <c r="Q26" s="1875">
        <v>45761372</v>
      </c>
      <c r="R26" s="1875">
        <v>43841547</v>
      </c>
      <c r="S26" s="1883">
        <v>45761372</v>
      </c>
    </row>
    <row r="27" spans="1:19" ht="12.95" customHeight="1">
      <c r="A27" s="1887" t="s">
        <v>1972</v>
      </c>
      <c r="B27" s="1874"/>
      <c r="C27" s="1875">
        <v>17039360</v>
      </c>
      <c r="D27" s="1889">
        <v>13577475</v>
      </c>
      <c r="E27" s="1875">
        <v>13782189</v>
      </c>
      <c r="F27" s="1875">
        <v>13714130</v>
      </c>
      <c r="G27" s="1875">
        <v>14052720</v>
      </c>
      <c r="H27" s="1875">
        <v>13932862</v>
      </c>
      <c r="I27" s="1875">
        <v>14196432</v>
      </c>
      <c r="J27" s="1875">
        <v>15733264</v>
      </c>
      <c r="K27" s="1875">
        <v>15632788</v>
      </c>
      <c r="L27" s="1875">
        <v>16951994</v>
      </c>
      <c r="M27" s="1875">
        <v>16345140</v>
      </c>
      <c r="N27" s="1875">
        <v>16130474</v>
      </c>
      <c r="O27" s="1875">
        <v>16083266</v>
      </c>
      <c r="P27" s="1875">
        <v>16503430</v>
      </c>
      <c r="Q27" s="1875">
        <v>21616152</v>
      </c>
      <c r="R27" s="1875">
        <v>16499451</v>
      </c>
      <c r="S27" s="1883">
        <v>17039360</v>
      </c>
    </row>
    <row r="28" spans="1:19" ht="12.95" customHeight="1">
      <c r="A28" s="1887" t="s">
        <v>1973</v>
      </c>
      <c r="B28" s="1874"/>
      <c r="C28" s="1875">
        <v>25329664</v>
      </c>
      <c r="D28" s="1889">
        <v>18627235</v>
      </c>
      <c r="E28" s="1875">
        <v>18969586</v>
      </c>
      <c r="F28" s="1875">
        <v>18790446</v>
      </c>
      <c r="G28" s="1875">
        <v>19413664</v>
      </c>
      <c r="H28" s="1875">
        <v>19138746</v>
      </c>
      <c r="I28" s="1875">
        <v>19577008</v>
      </c>
      <c r="J28" s="1875">
        <v>22724368</v>
      </c>
      <c r="K28" s="1874">
        <v>22998580</v>
      </c>
      <c r="L28" s="1875">
        <v>25329475</v>
      </c>
      <c r="M28" s="1875">
        <v>23930812</v>
      </c>
      <c r="N28" s="1875">
        <v>23737311</v>
      </c>
      <c r="O28" s="1875">
        <v>23681285</v>
      </c>
      <c r="P28" s="1875">
        <v>24421936</v>
      </c>
      <c r="Q28" s="1875">
        <v>30072126</v>
      </c>
      <c r="R28" s="1875">
        <v>24454910</v>
      </c>
      <c r="S28" s="1883">
        <v>25329664</v>
      </c>
    </row>
    <row r="29" spans="1:19" ht="12.95" customHeight="1">
      <c r="A29" s="1887" t="s">
        <v>1974</v>
      </c>
      <c r="B29" s="1874"/>
      <c r="C29" s="1875">
        <v>25100288</v>
      </c>
      <c r="D29" s="1889">
        <v>18006969</v>
      </c>
      <c r="E29" s="1875">
        <v>18293502</v>
      </c>
      <c r="F29" s="1875">
        <v>18124488</v>
      </c>
      <c r="G29" s="1875">
        <v>18533888</v>
      </c>
      <c r="H29" s="1875">
        <v>18416086</v>
      </c>
      <c r="I29" s="1875">
        <v>18652560</v>
      </c>
      <c r="J29" s="1875">
        <v>20879376</v>
      </c>
      <c r="K29" s="1874">
        <v>21876324</v>
      </c>
      <c r="L29" s="1875">
        <v>25034604</v>
      </c>
      <c r="M29" s="1875">
        <v>23353983</v>
      </c>
      <c r="N29" s="1875">
        <v>22668352</v>
      </c>
      <c r="O29" s="1875">
        <v>22634447</v>
      </c>
      <c r="P29" s="1875">
        <v>23834302</v>
      </c>
      <c r="Q29" s="1875">
        <v>26851256</v>
      </c>
      <c r="R29" s="1875">
        <v>24017265</v>
      </c>
      <c r="S29" s="1883">
        <v>25100288</v>
      </c>
    </row>
    <row r="30" spans="1:19" ht="12.95" customHeight="1">
      <c r="A30" s="1863"/>
      <c r="B30" s="1876" t="s">
        <v>1975</v>
      </c>
      <c r="C30" s="1877">
        <f>SUM(C5:C29)</f>
        <v>577832679</v>
      </c>
      <c r="D30" s="1877">
        <f t="shared" ref="D30:I30" si="0">SUM(D5:D29)</f>
        <v>411473836</v>
      </c>
      <c r="E30" s="1877">
        <f t="shared" si="0"/>
        <v>420275540</v>
      </c>
      <c r="F30" s="1877">
        <f t="shared" si="0"/>
        <v>422219159</v>
      </c>
      <c r="G30" s="1877">
        <f t="shared" si="0"/>
        <v>426047232</v>
      </c>
      <c r="H30" s="1877">
        <f t="shared" si="0"/>
        <v>429559793</v>
      </c>
      <c r="I30" s="1877">
        <f t="shared" si="0"/>
        <v>434922656</v>
      </c>
      <c r="J30" s="1878">
        <f t="shared" ref="J30:O30" si="1">SUM(J5:J29)</f>
        <v>460386672</v>
      </c>
      <c r="K30" s="1877">
        <f t="shared" si="1"/>
        <v>470882668</v>
      </c>
      <c r="L30" s="1877">
        <f t="shared" si="1"/>
        <v>488247304</v>
      </c>
      <c r="M30" s="1877">
        <f t="shared" si="1"/>
        <v>496900432</v>
      </c>
      <c r="N30" s="1877">
        <f t="shared" si="1"/>
        <v>499799681</v>
      </c>
      <c r="O30" s="1877">
        <f t="shared" si="1"/>
        <v>499807990</v>
      </c>
      <c r="P30" s="1877">
        <f>SUM(P5:P29)</f>
        <v>509097103</v>
      </c>
      <c r="Q30" s="1877">
        <f>SUM(Q5:Q29)</f>
        <v>514004652</v>
      </c>
      <c r="R30" s="1877">
        <f>SUM(R5:R29)</f>
        <v>533077747</v>
      </c>
      <c r="S30" s="1880">
        <f>SUM(S5:S29)</f>
        <v>552268579</v>
      </c>
    </row>
    <row r="31" spans="1:19" ht="12.95" customHeight="1">
      <c r="A31" s="1863"/>
      <c r="B31" s="1876" t="s">
        <v>1976</v>
      </c>
      <c r="C31" s="1877"/>
      <c r="D31" s="1877" t="s">
        <v>2026</v>
      </c>
      <c r="E31" s="1877" t="s">
        <v>2023</v>
      </c>
      <c r="F31" s="1877" t="s">
        <v>2028</v>
      </c>
      <c r="G31" s="1877" t="s">
        <v>2021</v>
      </c>
      <c r="H31" s="1877" t="s">
        <v>2016</v>
      </c>
      <c r="I31" s="1877" t="s">
        <v>2001</v>
      </c>
      <c r="J31" s="1878" t="s">
        <v>1977</v>
      </c>
      <c r="K31" s="1877" t="s">
        <v>1997</v>
      </c>
      <c r="L31" s="1877" t="s">
        <v>2001</v>
      </c>
      <c r="M31" s="1877" t="s">
        <v>1978</v>
      </c>
      <c r="N31" s="1877" t="s">
        <v>1979</v>
      </c>
      <c r="O31" s="1877" t="s">
        <v>1980</v>
      </c>
      <c r="P31" s="1877" t="s">
        <v>1981</v>
      </c>
      <c r="Q31" s="1877" t="s">
        <v>1995</v>
      </c>
      <c r="R31" s="1877" t="s">
        <v>1982</v>
      </c>
      <c r="S31" s="1877" t="s">
        <v>1987</v>
      </c>
    </row>
    <row r="32" spans="1:19" ht="12.95" customHeight="1">
      <c r="A32" s="1863"/>
      <c r="B32" s="1876" t="s">
        <v>1983</v>
      </c>
      <c r="C32" s="1877"/>
      <c r="D32" s="1906" t="s">
        <v>2027</v>
      </c>
      <c r="E32" s="1877" t="s">
        <v>2022</v>
      </c>
      <c r="F32" s="1906" t="s">
        <v>2029</v>
      </c>
      <c r="G32" s="1877" t="s">
        <v>2024</v>
      </c>
      <c r="H32" s="1877" t="s">
        <v>2017</v>
      </c>
      <c r="I32" s="1877" t="s">
        <v>2018</v>
      </c>
      <c r="J32" s="1878" t="s">
        <v>1985</v>
      </c>
      <c r="K32" s="1877" t="s">
        <v>1998</v>
      </c>
      <c r="L32" s="1877" t="s">
        <v>2002</v>
      </c>
      <c r="M32" s="1877" t="s">
        <v>1986</v>
      </c>
      <c r="N32" s="1877" t="s">
        <v>1987</v>
      </c>
      <c r="O32" s="1877" t="s">
        <v>1988</v>
      </c>
      <c r="P32" s="1877" t="s">
        <v>1988</v>
      </c>
      <c r="Q32" s="1877" t="s">
        <v>1984</v>
      </c>
      <c r="R32" s="1877" t="s">
        <v>1989</v>
      </c>
      <c r="S32" s="1877" t="s">
        <v>1999</v>
      </c>
    </row>
    <row r="34" spans="1:11" ht="15.75">
      <c r="B34" s="1879" t="s">
        <v>2007</v>
      </c>
      <c r="C34" s="1879"/>
      <c r="D34" s="1879"/>
      <c r="E34" s="1879"/>
      <c r="F34" s="1879"/>
      <c r="G34" s="1879"/>
      <c r="H34" s="1879"/>
    </row>
    <row r="35" spans="1:11" ht="15.75">
      <c r="B35" s="1891">
        <v>25100288</v>
      </c>
      <c r="C35" s="1881" t="s">
        <v>2019</v>
      </c>
      <c r="D35" s="1881"/>
      <c r="E35" s="1881"/>
      <c r="F35" s="1881"/>
      <c r="G35" s="1881"/>
      <c r="H35" s="1881"/>
      <c r="I35" s="1881"/>
    </row>
    <row r="36" spans="1:11" ht="15.75">
      <c r="B36" s="1881" t="s">
        <v>2008</v>
      </c>
      <c r="C36" s="1881"/>
      <c r="D36" s="1881"/>
      <c r="E36" s="1881"/>
      <c r="F36" s="1881"/>
      <c r="G36" s="1881"/>
      <c r="H36" s="1881"/>
    </row>
    <row r="37" spans="1:11" ht="15.75">
      <c r="B37" s="1881" t="s">
        <v>2009</v>
      </c>
      <c r="C37" s="1881"/>
      <c r="D37" s="1881"/>
      <c r="E37" s="1881"/>
      <c r="F37" s="1881"/>
      <c r="G37" s="1881"/>
      <c r="H37" s="1881"/>
    </row>
    <row r="40" spans="1:11" ht="15" customHeight="1">
      <c r="A40" s="1911" t="s">
        <v>1214</v>
      </c>
      <c r="B40" s="1864"/>
      <c r="C40" s="1865" t="s">
        <v>1938</v>
      </c>
      <c r="D40" s="1865" t="s">
        <v>2040</v>
      </c>
      <c r="E40" s="1865" t="s">
        <v>2039</v>
      </c>
      <c r="F40" s="1865" t="s">
        <v>2038</v>
      </c>
      <c r="G40" s="1865" t="s">
        <v>2037</v>
      </c>
      <c r="H40" s="1865" t="s">
        <v>2036</v>
      </c>
      <c r="I40" s="1865" t="s">
        <v>2031</v>
      </c>
      <c r="J40" s="1865" t="s">
        <v>2031</v>
      </c>
    </row>
    <row r="41" spans="1:11" ht="15" customHeight="1">
      <c r="A41" s="1863"/>
      <c r="B41" s="1864"/>
      <c r="C41" s="1865"/>
      <c r="D41" s="1865" t="s">
        <v>2030</v>
      </c>
      <c r="E41" s="1865" t="s">
        <v>2030</v>
      </c>
      <c r="F41" s="1865" t="s">
        <v>2030</v>
      </c>
      <c r="G41" s="1865" t="s">
        <v>2030</v>
      </c>
      <c r="H41" s="1865" t="s">
        <v>2030</v>
      </c>
      <c r="I41" s="1865" t="s">
        <v>2030</v>
      </c>
      <c r="J41" s="1865" t="s">
        <v>2032</v>
      </c>
    </row>
    <row r="42" spans="1:11" ht="15" customHeight="1">
      <c r="A42" s="1869" t="s">
        <v>1944</v>
      </c>
      <c r="B42" s="1870"/>
      <c r="C42" s="1910" t="s">
        <v>2041</v>
      </c>
      <c r="D42" s="1910"/>
      <c r="E42" s="1907"/>
      <c r="F42" s="1907"/>
      <c r="G42" s="1907"/>
      <c r="H42" s="1907"/>
      <c r="I42" s="1907" t="s">
        <v>2035</v>
      </c>
    </row>
    <row r="43" spans="1:11" ht="15" customHeight="1">
      <c r="A43" s="1887" t="s">
        <v>2004</v>
      </c>
      <c r="B43" s="1874"/>
      <c r="C43" s="1875">
        <v>26943621</v>
      </c>
      <c r="D43" s="1908">
        <v>12388</v>
      </c>
      <c r="E43" s="1908">
        <v>2077017</v>
      </c>
      <c r="F43" s="1908"/>
      <c r="G43" s="1908"/>
      <c r="H43" s="1908"/>
      <c r="I43" s="1908">
        <f t="shared" ref="I43:I67" si="2">SUM(D43:H43)</f>
        <v>2089405</v>
      </c>
      <c r="J43" s="1909">
        <f t="shared" ref="J43:J68" si="3">I43*1/C43</f>
        <v>7.7547297744427146E-2</v>
      </c>
      <c r="K43" t="s">
        <v>2034</v>
      </c>
    </row>
    <row r="44" spans="1:11" ht="15" customHeight="1">
      <c r="A44" s="1887" t="s">
        <v>1952</v>
      </c>
      <c r="B44" s="1874"/>
      <c r="C44" s="1875">
        <v>26501199</v>
      </c>
      <c r="D44" s="1908">
        <v>18874</v>
      </c>
      <c r="E44" s="1908">
        <v>3553878</v>
      </c>
      <c r="F44" s="1908"/>
      <c r="G44" s="1908"/>
      <c r="H44" s="1908"/>
      <c r="I44" s="1908">
        <f t="shared" si="2"/>
        <v>3572752</v>
      </c>
      <c r="J44" s="1909">
        <f t="shared" si="3"/>
        <v>0.13481473045804457</v>
      </c>
      <c r="K44" t="s">
        <v>2034</v>
      </c>
    </row>
    <row r="45" spans="1:11" ht="15" customHeight="1">
      <c r="A45" s="1887" t="s">
        <v>1953</v>
      </c>
      <c r="B45" s="1874"/>
      <c r="C45" s="1875">
        <v>24937810</v>
      </c>
      <c r="D45" s="1908">
        <v>16966</v>
      </c>
      <c r="E45" s="1908">
        <v>2795912</v>
      </c>
      <c r="F45" s="1908"/>
      <c r="G45" s="1908"/>
      <c r="H45" s="1908"/>
      <c r="I45" s="1908">
        <f t="shared" si="2"/>
        <v>2812878</v>
      </c>
      <c r="J45" s="1909">
        <f t="shared" si="3"/>
        <v>0.11279571060971272</v>
      </c>
      <c r="K45" t="s">
        <v>2034</v>
      </c>
    </row>
    <row r="46" spans="1:11" ht="15" customHeight="1">
      <c r="A46" s="1887" t="s">
        <v>1954</v>
      </c>
      <c r="B46" s="1874"/>
      <c r="C46" s="1875">
        <v>19901392</v>
      </c>
      <c r="D46" s="1908">
        <v>728279</v>
      </c>
      <c r="E46" s="1908">
        <v>8399</v>
      </c>
      <c r="F46" s="1908"/>
      <c r="G46" s="1908"/>
      <c r="H46" s="1908"/>
      <c r="I46" s="1908">
        <f t="shared" si="2"/>
        <v>736678</v>
      </c>
      <c r="J46" s="1909">
        <f t="shared" si="3"/>
        <v>3.7016405686597198E-2</v>
      </c>
    </row>
    <row r="47" spans="1:11" ht="15" customHeight="1">
      <c r="A47" s="1887" t="s">
        <v>1955</v>
      </c>
      <c r="B47" s="1874"/>
      <c r="C47" s="1875">
        <v>26146816</v>
      </c>
      <c r="D47" s="1908">
        <v>627967</v>
      </c>
      <c r="E47" s="1908">
        <v>9493</v>
      </c>
      <c r="F47" s="1908"/>
      <c r="G47" s="1908"/>
      <c r="H47" s="1908"/>
      <c r="I47" s="1908">
        <f t="shared" si="2"/>
        <v>637460</v>
      </c>
      <c r="J47" s="1909">
        <f t="shared" si="3"/>
        <v>2.4380023938670007E-2</v>
      </c>
      <c r="K47" t="s">
        <v>2034</v>
      </c>
    </row>
    <row r="48" spans="1:11" ht="15" customHeight="1">
      <c r="A48" s="1887" t="s">
        <v>1956</v>
      </c>
      <c r="B48" s="1874"/>
      <c r="C48" s="1875">
        <v>19768256</v>
      </c>
      <c r="D48" s="1908">
        <v>779708</v>
      </c>
      <c r="E48" s="1908">
        <v>8571</v>
      </c>
      <c r="F48" s="1908"/>
      <c r="G48" s="1908"/>
      <c r="H48" s="1908"/>
      <c r="I48" s="1908">
        <f t="shared" si="2"/>
        <v>788279</v>
      </c>
      <c r="J48" s="1909">
        <f t="shared" si="3"/>
        <v>3.9876001201117589E-2</v>
      </c>
    </row>
    <row r="49" spans="1:11" ht="15" customHeight="1">
      <c r="A49" s="1887" t="s">
        <v>1957</v>
      </c>
      <c r="B49" s="1874"/>
      <c r="C49" s="1875">
        <v>10583732</v>
      </c>
      <c r="D49" s="1908"/>
      <c r="E49" s="1908"/>
      <c r="F49" s="1908"/>
      <c r="G49" s="1908"/>
      <c r="H49" s="1908"/>
      <c r="I49" s="1908">
        <f t="shared" si="2"/>
        <v>0</v>
      </c>
      <c r="J49" s="1909">
        <f t="shared" si="3"/>
        <v>0</v>
      </c>
      <c r="K49" t="s">
        <v>2033</v>
      </c>
    </row>
    <row r="50" spans="1:11" ht="15" customHeight="1">
      <c r="A50" s="1887" t="s">
        <v>1958</v>
      </c>
      <c r="B50" s="1874"/>
      <c r="C50" s="1875">
        <v>18432256</v>
      </c>
      <c r="D50" s="1908">
        <v>7573</v>
      </c>
      <c r="E50" s="1908"/>
      <c r="F50" s="1908"/>
      <c r="G50" s="1908"/>
      <c r="H50" s="1908"/>
      <c r="I50" s="1908">
        <f t="shared" si="2"/>
        <v>7573</v>
      </c>
      <c r="J50" s="1909">
        <f t="shared" si="3"/>
        <v>4.1085583880779434E-4</v>
      </c>
    </row>
    <row r="51" spans="1:11" ht="15" customHeight="1">
      <c r="A51" s="1887" t="s">
        <v>1959</v>
      </c>
      <c r="B51" s="1874"/>
      <c r="C51" s="1875">
        <v>12513574</v>
      </c>
      <c r="D51" s="1908">
        <v>797378</v>
      </c>
      <c r="E51" s="1908">
        <v>1016655</v>
      </c>
      <c r="F51" s="1908"/>
      <c r="G51" s="1908"/>
      <c r="H51" s="1908"/>
      <c r="I51" s="1908">
        <f t="shared" si="2"/>
        <v>1814033</v>
      </c>
      <c r="J51" s="1909">
        <f t="shared" si="3"/>
        <v>0.14496521936898282</v>
      </c>
    </row>
    <row r="52" spans="1:11" ht="15" customHeight="1">
      <c r="A52" s="1887" t="s">
        <v>1960</v>
      </c>
      <c r="B52" s="1874"/>
      <c r="C52" s="1875">
        <v>20276750</v>
      </c>
      <c r="D52" s="1908">
        <v>102457</v>
      </c>
      <c r="E52" s="1908">
        <v>938643</v>
      </c>
      <c r="F52" s="1908">
        <v>1290134</v>
      </c>
      <c r="G52" s="1908"/>
      <c r="H52" s="1908"/>
      <c r="I52" s="1908">
        <f t="shared" si="2"/>
        <v>2331234</v>
      </c>
      <c r="J52" s="1909">
        <f t="shared" si="3"/>
        <v>0.11497079167026274</v>
      </c>
      <c r="K52" t="s">
        <v>2034</v>
      </c>
    </row>
    <row r="53" spans="1:11" ht="15" customHeight="1">
      <c r="A53" s="1887" t="s">
        <v>1961</v>
      </c>
      <c r="B53" s="1874"/>
      <c r="C53" s="1875">
        <v>28109879</v>
      </c>
      <c r="D53" s="1908">
        <v>103522</v>
      </c>
      <c r="E53" s="1908">
        <v>932367</v>
      </c>
      <c r="F53" s="1908">
        <v>3004310</v>
      </c>
      <c r="G53" s="1908"/>
      <c r="H53" s="1908"/>
      <c r="I53" s="1908">
        <f t="shared" si="2"/>
        <v>4040199</v>
      </c>
      <c r="J53" s="1909">
        <f t="shared" si="3"/>
        <v>0.14372879370985553</v>
      </c>
      <c r="K53" t="s">
        <v>2034</v>
      </c>
    </row>
    <row r="54" spans="1:11" ht="15" customHeight="1">
      <c r="A54" s="1887" t="s">
        <v>1962</v>
      </c>
      <c r="B54" s="1874"/>
      <c r="C54" s="1875">
        <v>16182707</v>
      </c>
      <c r="D54" s="1908">
        <v>8194</v>
      </c>
      <c r="E54" s="1908">
        <v>990722</v>
      </c>
      <c r="F54" s="1908"/>
      <c r="G54" s="1908"/>
      <c r="H54" s="1908"/>
      <c r="I54" s="1908">
        <f t="shared" si="2"/>
        <v>998916</v>
      </c>
      <c r="J54" s="1909">
        <f t="shared" si="3"/>
        <v>6.1727373547577673E-2</v>
      </c>
    </row>
    <row r="55" spans="1:11" ht="15" customHeight="1">
      <c r="A55" s="1887" t="s">
        <v>1963</v>
      </c>
      <c r="B55" s="1874"/>
      <c r="C55" s="1875">
        <v>16152516</v>
      </c>
      <c r="D55" s="1908">
        <v>9032</v>
      </c>
      <c r="E55" s="1908">
        <v>877947</v>
      </c>
      <c r="F55" s="1908"/>
      <c r="G55" s="1908"/>
      <c r="H55" s="1908"/>
      <c r="I55" s="1908">
        <f t="shared" si="2"/>
        <v>886979</v>
      </c>
      <c r="J55" s="1909">
        <f t="shared" si="3"/>
        <v>5.4912745481880347E-2</v>
      </c>
    </row>
    <row r="56" spans="1:11" ht="15" customHeight="1">
      <c r="A56" s="1887" t="s">
        <v>1964</v>
      </c>
      <c r="B56" s="1874"/>
      <c r="C56" s="1875">
        <v>19320944</v>
      </c>
      <c r="D56" s="1908">
        <v>8366</v>
      </c>
      <c r="E56" s="1908">
        <v>1167939</v>
      </c>
      <c r="F56" s="1908"/>
      <c r="G56" s="1908"/>
      <c r="H56" s="1908"/>
      <c r="I56" s="1908">
        <f t="shared" si="2"/>
        <v>1176305</v>
      </c>
      <c r="J56" s="1909">
        <f t="shared" si="3"/>
        <v>6.0882377175773605E-2</v>
      </c>
      <c r="K56" t="s">
        <v>2034</v>
      </c>
    </row>
    <row r="57" spans="1:11" ht="15" customHeight="1">
      <c r="A57" s="1887" t="s">
        <v>2003</v>
      </c>
      <c r="B57" s="1874"/>
      <c r="C57" s="1875">
        <v>19826176</v>
      </c>
      <c r="D57" s="1908">
        <v>703899</v>
      </c>
      <c r="E57" s="1908">
        <v>6065</v>
      </c>
      <c r="F57" s="1908">
        <v>669595</v>
      </c>
      <c r="G57" s="1908"/>
      <c r="H57" s="1908"/>
      <c r="I57" s="1908">
        <f t="shared" si="2"/>
        <v>1379559</v>
      </c>
      <c r="J57" s="1909">
        <f t="shared" si="3"/>
        <v>6.9582707225034221E-2</v>
      </c>
      <c r="K57" t="s">
        <v>2034</v>
      </c>
    </row>
    <row r="58" spans="1:11" ht="15" customHeight="1">
      <c r="A58" s="1887" t="s">
        <v>1965</v>
      </c>
      <c r="B58" s="1874"/>
      <c r="C58" s="1875">
        <v>19788288</v>
      </c>
      <c r="D58" s="1908">
        <v>665830</v>
      </c>
      <c r="E58" s="1908">
        <v>5736</v>
      </c>
      <c r="F58" s="1908">
        <v>633574</v>
      </c>
      <c r="G58" s="1908"/>
      <c r="H58" s="1908"/>
      <c r="I58" s="1908">
        <f t="shared" si="2"/>
        <v>1305140</v>
      </c>
      <c r="J58" s="1909">
        <f t="shared" si="3"/>
        <v>6.5955175101555019E-2</v>
      </c>
    </row>
    <row r="59" spans="1:11" ht="15" customHeight="1">
      <c r="A59" s="1887" t="s">
        <v>1966</v>
      </c>
      <c r="B59" s="1874"/>
      <c r="C59" s="1875">
        <v>26228938</v>
      </c>
      <c r="D59" s="1908">
        <v>34005</v>
      </c>
      <c r="E59" s="1908">
        <v>1325770</v>
      </c>
      <c r="F59" s="1908"/>
      <c r="G59" s="1908"/>
      <c r="H59" s="1908"/>
      <c r="I59" s="1908">
        <f t="shared" si="2"/>
        <v>1359775</v>
      </c>
      <c r="J59" s="1909">
        <f t="shared" si="3"/>
        <v>5.1842548867209189E-2</v>
      </c>
    </row>
    <row r="60" spans="1:11" ht="15" customHeight="1">
      <c r="A60" s="1887" t="s">
        <v>1967</v>
      </c>
      <c r="B60" s="1874"/>
      <c r="C60" s="1875">
        <v>21659481</v>
      </c>
      <c r="D60" s="1908">
        <v>29399</v>
      </c>
      <c r="E60" s="1908">
        <v>3188843</v>
      </c>
      <c r="F60" s="1908"/>
      <c r="G60" s="1908"/>
      <c r="H60" s="1908"/>
      <c r="I60" s="1908">
        <f t="shared" si="2"/>
        <v>3218242</v>
      </c>
      <c r="J60" s="1909">
        <f t="shared" si="3"/>
        <v>0.14858352330787611</v>
      </c>
    </row>
    <row r="61" spans="1:11" ht="15" customHeight="1">
      <c r="A61" s="1887" t="s">
        <v>1968</v>
      </c>
      <c r="B61" s="1874"/>
      <c r="C61" s="1875">
        <v>39347960</v>
      </c>
      <c r="D61" s="1908">
        <v>337216</v>
      </c>
      <c r="E61" s="1908">
        <v>10144</v>
      </c>
      <c r="F61" s="1908">
        <v>7530480</v>
      </c>
      <c r="G61" s="1908"/>
      <c r="H61" s="1908"/>
      <c r="I61" s="1908">
        <f t="shared" si="2"/>
        <v>7877840</v>
      </c>
      <c r="J61" s="1909">
        <f t="shared" si="3"/>
        <v>0.20020961696616546</v>
      </c>
      <c r="K61" t="s">
        <v>2034</v>
      </c>
    </row>
    <row r="62" spans="1:11" ht="15" customHeight="1">
      <c r="A62" s="1887" t="s">
        <v>1969</v>
      </c>
      <c r="B62" s="1874"/>
      <c r="C62" s="1884">
        <v>37642656</v>
      </c>
      <c r="D62" s="1908">
        <v>63519</v>
      </c>
      <c r="E62" s="1908">
        <v>6527</v>
      </c>
      <c r="F62" s="1908">
        <v>6098520</v>
      </c>
      <c r="G62" s="1908"/>
      <c r="H62" s="1908"/>
      <c r="I62" s="1908">
        <f t="shared" si="2"/>
        <v>6168566</v>
      </c>
      <c r="J62" s="1909">
        <f t="shared" si="3"/>
        <v>0.16387169917021796</v>
      </c>
      <c r="K62" t="s">
        <v>2034</v>
      </c>
    </row>
    <row r="63" spans="1:11" ht="15" customHeight="1">
      <c r="A63" s="1887" t="s">
        <v>1970</v>
      </c>
      <c r="B63" s="1874"/>
      <c r="C63" s="1875">
        <v>14337044</v>
      </c>
      <c r="D63" s="1908">
        <v>1415818</v>
      </c>
      <c r="E63" s="1908">
        <v>15921</v>
      </c>
      <c r="F63" s="1908">
        <v>44252</v>
      </c>
      <c r="G63" s="1908">
        <v>16936</v>
      </c>
      <c r="H63" s="1908"/>
      <c r="I63" s="1908">
        <f t="shared" si="2"/>
        <v>1492927</v>
      </c>
      <c r="J63" s="1909">
        <f t="shared" si="3"/>
        <v>0.10413073992100463</v>
      </c>
    </row>
    <row r="64" spans="1:11" ht="15" customHeight="1">
      <c r="A64" s="1887" t="s">
        <v>1971</v>
      </c>
      <c r="B64" s="1874"/>
      <c r="C64" s="1875">
        <v>45761372</v>
      </c>
      <c r="D64" s="1908">
        <v>9201425</v>
      </c>
      <c r="E64" s="1908">
        <v>14880</v>
      </c>
      <c r="F64" s="1908">
        <v>41119</v>
      </c>
      <c r="G64" s="1908">
        <v>9141877</v>
      </c>
      <c r="H64" s="1908">
        <v>13762</v>
      </c>
      <c r="I64" s="1908">
        <f t="shared" si="2"/>
        <v>18413063</v>
      </c>
      <c r="J64" s="1909">
        <f t="shared" si="3"/>
        <v>0.40237130565053864</v>
      </c>
    </row>
    <row r="65" spans="1:10" ht="15" customHeight="1">
      <c r="A65" s="1887" t="s">
        <v>1972</v>
      </c>
      <c r="B65" s="1874"/>
      <c r="C65" s="1875">
        <v>17039360</v>
      </c>
      <c r="D65" s="1908">
        <v>3893</v>
      </c>
      <c r="E65" s="1908">
        <v>684406</v>
      </c>
      <c r="F65" s="1908"/>
      <c r="G65" s="1908"/>
      <c r="H65" s="1908"/>
      <c r="I65" s="1908">
        <f t="shared" si="2"/>
        <v>688299</v>
      </c>
      <c r="J65" s="1909">
        <f t="shared" si="3"/>
        <v>4.0394650972806492E-2</v>
      </c>
    </row>
    <row r="66" spans="1:10" ht="15" customHeight="1">
      <c r="A66" s="1887" t="s">
        <v>1973</v>
      </c>
      <c r="B66" s="1874"/>
      <c r="C66" s="1875">
        <v>25329664</v>
      </c>
      <c r="D66" s="1908">
        <v>9265</v>
      </c>
      <c r="E66" s="1908">
        <v>822042</v>
      </c>
      <c r="F66" s="1908"/>
      <c r="G66" s="1908"/>
      <c r="H66" s="1908"/>
      <c r="I66" s="1908">
        <f t="shared" si="2"/>
        <v>831307</v>
      </c>
      <c r="J66" s="1909">
        <f t="shared" si="3"/>
        <v>3.281950364600178E-2</v>
      </c>
    </row>
    <row r="67" spans="1:10" ht="15" customHeight="1">
      <c r="A67" s="1887" t="s">
        <v>1974</v>
      </c>
      <c r="B67" s="1874"/>
      <c r="C67" s="1875">
        <v>25100288</v>
      </c>
      <c r="D67" s="1908">
        <v>7752</v>
      </c>
      <c r="E67" s="1908">
        <v>593664</v>
      </c>
      <c r="F67" s="1908"/>
      <c r="G67" s="1908"/>
      <c r="H67" s="1908"/>
      <c r="I67" s="1908">
        <f t="shared" si="2"/>
        <v>601416</v>
      </c>
      <c r="J67" s="1909">
        <f t="shared" si="3"/>
        <v>2.3960521887238902E-2</v>
      </c>
    </row>
    <row r="68" spans="1:10" ht="15" customHeight="1">
      <c r="A68" s="1863"/>
      <c r="B68" s="1876" t="s">
        <v>1975</v>
      </c>
      <c r="C68" s="1877">
        <f>SUM(C43:C67)</f>
        <v>577832679</v>
      </c>
      <c r="D68" s="1877"/>
      <c r="E68" s="1877"/>
      <c r="F68" s="1877"/>
      <c r="G68" s="1877"/>
      <c r="H68" s="1877"/>
      <c r="I68" s="1877">
        <f>SUM(I43:I67)</f>
        <v>65228825</v>
      </c>
      <c r="J68" s="1909">
        <f t="shared" si="3"/>
        <v>0.11288531675447176</v>
      </c>
    </row>
  </sheetData>
  <sortState columnSort="1" ref="D2:I32">
    <sortCondition ref="D30:I30"/>
  </sortState>
  <conditionalFormatting sqref="B5">
    <cfRule type="colorScale" priority="329">
      <colorScale>
        <cfvo type="min"/>
        <cfvo type="max"/>
        <color rgb="FF63BE7B"/>
        <color rgb="FFFFEF9C"/>
      </colorScale>
    </cfRule>
  </conditionalFormatting>
  <conditionalFormatting sqref="B6">
    <cfRule type="colorScale" priority="328">
      <colorScale>
        <cfvo type="min"/>
        <cfvo type="max"/>
        <color rgb="FF63BE7B"/>
        <color rgb="FFFFEF9C"/>
      </colorScale>
    </cfRule>
  </conditionalFormatting>
  <conditionalFormatting sqref="B7">
    <cfRule type="colorScale" priority="327">
      <colorScale>
        <cfvo type="min"/>
        <cfvo type="max"/>
        <color rgb="FF63BE7B"/>
        <color rgb="FFFFEF9C"/>
      </colorScale>
    </cfRule>
  </conditionalFormatting>
  <conditionalFormatting sqref="B8">
    <cfRule type="colorScale" priority="326">
      <colorScale>
        <cfvo type="min"/>
        <cfvo type="max"/>
        <color rgb="FF63BE7B"/>
        <color rgb="FFFFEF9C"/>
      </colorScale>
    </cfRule>
  </conditionalFormatting>
  <conditionalFormatting sqref="B9">
    <cfRule type="colorScale" priority="325">
      <colorScale>
        <cfvo type="min"/>
        <cfvo type="max"/>
        <color rgb="FF63BE7B"/>
        <color rgb="FFFFEF9C"/>
      </colorScale>
    </cfRule>
  </conditionalFormatting>
  <conditionalFormatting sqref="B10">
    <cfRule type="colorScale" priority="324">
      <colorScale>
        <cfvo type="min"/>
        <cfvo type="max"/>
        <color rgb="FF63BE7B"/>
        <color rgb="FFFFEF9C"/>
      </colorScale>
    </cfRule>
  </conditionalFormatting>
  <conditionalFormatting sqref="B11">
    <cfRule type="colorScale" priority="323">
      <colorScale>
        <cfvo type="min"/>
        <cfvo type="max"/>
        <color rgb="FF63BE7B"/>
        <color rgb="FFFFEF9C"/>
      </colorScale>
    </cfRule>
  </conditionalFormatting>
  <conditionalFormatting sqref="B12">
    <cfRule type="colorScale" priority="322">
      <colorScale>
        <cfvo type="min"/>
        <cfvo type="max"/>
        <color rgb="FF63BE7B"/>
        <color rgb="FFFFEF9C"/>
      </colorScale>
    </cfRule>
  </conditionalFormatting>
  <conditionalFormatting sqref="B13">
    <cfRule type="colorScale" priority="321">
      <colorScale>
        <cfvo type="min"/>
        <cfvo type="max"/>
        <color rgb="FF63BE7B"/>
        <color rgb="FFFFEF9C"/>
      </colorScale>
    </cfRule>
  </conditionalFormatting>
  <conditionalFormatting sqref="B14">
    <cfRule type="colorScale" priority="320">
      <colorScale>
        <cfvo type="min"/>
        <cfvo type="max"/>
        <color rgb="FF63BE7B"/>
        <color rgb="FFFFEF9C"/>
      </colorScale>
    </cfRule>
  </conditionalFormatting>
  <conditionalFormatting sqref="B15">
    <cfRule type="colorScale" priority="319">
      <colorScale>
        <cfvo type="min"/>
        <cfvo type="max"/>
        <color rgb="FF63BE7B"/>
        <color rgb="FFFFEF9C"/>
      </colorScale>
    </cfRule>
  </conditionalFormatting>
  <conditionalFormatting sqref="B16">
    <cfRule type="colorScale" priority="318">
      <colorScale>
        <cfvo type="min"/>
        <cfvo type="max"/>
        <color rgb="FF63BE7B"/>
        <color rgb="FFFFEF9C"/>
      </colorScale>
    </cfRule>
  </conditionalFormatting>
  <conditionalFormatting sqref="B17">
    <cfRule type="colorScale" priority="317">
      <colorScale>
        <cfvo type="min"/>
        <cfvo type="max"/>
        <color rgb="FF63BE7B"/>
        <color rgb="FFFFEF9C"/>
      </colorScale>
    </cfRule>
  </conditionalFormatting>
  <conditionalFormatting sqref="B18">
    <cfRule type="colorScale" priority="316">
      <colorScale>
        <cfvo type="min"/>
        <cfvo type="max"/>
        <color rgb="FF63BE7B"/>
        <color rgb="FFFFEF9C"/>
      </colorScale>
    </cfRule>
  </conditionalFormatting>
  <conditionalFormatting sqref="B19">
    <cfRule type="colorScale" priority="315">
      <colorScale>
        <cfvo type="min"/>
        <cfvo type="max"/>
        <color rgb="FF63BE7B"/>
        <color rgb="FFFFEF9C"/>
      </colorScale>
    </cfRule>
  </conditionalFormatting>
  <conditionalFormatting sqref="B20">
    <cfRule type="colorScale" priority="314">
      <colorScale>
        <cfvo type="min"/>
        <cfvo type="max"/>
        <color rgb="FF63BE7B"/>
        <color rgb="FFFFEF9C"/>
      </colorScale>
    </cfRule>
  </conditionalFormatting>
  <conditionalFormatting sqref="B21">
    <cfRule type="colorScale" priority="313">
      <colorScale>
        <cfvo type="min"/>
        <cfvo type="max"/>
        <color rgb="FF63BE7B"/>
        <color rgb="FFFFEF9C"/>
      </colorScale>
    </cfRule>
  </conditionalFormatting>
  <conditionalFormatting sqref="B22">
    <cfRule type="colorScale" priority="312">
      <colorScale>
        <cfvo type="min"/>
        <cfvo type="max"/>
        <color rgb="FF63BE7B"/>
        <color rgb="FFFFEF9C"/>
      </colorScale>
    </cfRule>
  </conditionalFormatting>
  <conditionalFormatting sqref="B23">
    <cfRule type="colorScale" priority="311">
      <colorScale>
        <cfvo type="min"/>
        <cfvo type="max"/>
        <color rgb="FF63BE7B"/>
        <color rgb="FFFFEF9C"/>
      </colorScale>
    </cfRule>
  </conditionalFormatting>
  <conditionalFormatting sqref="B24">
    <cfRule type="colorScale" priority="310">
      <colorScale>
        <cfvo type="min"/>
        <cfvo type="max"/>
        <color rgb="FF63BE7B"/>
        <color rgb="FFFFEF9C"/>
      </colorScale>
    </cfRule>
  </conditionalFormatting>
  <conditionalFormatting sqref="B25">
    <cfRule type="colorScale" priority="309">
      <colorScale>
        <cfvo type="min"/>
        <cfvo type="max"/>
        <color rgb="FF63BE7B"/>
        <color rgb="FFFFEF9C"/>
      </colorScale>
    </cfRule>
  </conditionalFormatting>
  <conditionalFormatting sqref="B26">
    <cfRule type="colorScale" priority="308">
      <colorScale>
        <cfvo type="min"/>
        <cfvo type="max"/>
        <color rgb="FF63BE7B"/>
        <color rgb="FFFFEF9C"/>
      </colorScale>
    </cfRule>
  </conditionalFormatting>
  <conditionalFormatting sqref="B27">
    <cfRule type="colorScale" priority="307">
      <colorScale>
        <cfvo type="min"/>
        <cfvo type="max"/>
        <color rgb="FF63BE7B"/>
        <color rgb="FFFFEF9C"/>
      </colorScale>
    </cfRule>
  </conditionalFormatting>
  <conditionalFormatting sqref="B28">
    <cfRule type="colorScale" priority="306">
      <colorScale>
        <cfvo type="min"/>
        <cfvo type="max"/>
        <color rgb="FF63BE7B"/>
        <color rgb="FFFFEF9C"/>
      </colorScale>
    </cfRule>
  </conditionalFormatting>
  <conditionalFormatting sqref="B29">
    <cfRule type="colorScale" priority="305">
      <colorScale>
        <cfvo type="min"/>
        <cfvo type="max"/>
        <color rgb="FF63BE7B"/>
        <color rgb="FFFFEF9C"/>
      </colorScale>
    </cfRule>
  </conditionalFormatting>
  <conditionalFormatting sqref="B35">
    <cfRule type="colorScale" priority="103">
      <colorScale>
        <cfvo type="min"/>
        <cfvo type="max"/>
        <color rgb="FF63BE7B"/>
        <color rgb="FFFFEF9C"/>
      </colorScale>
    </cfRule>
  </conditionalFormatting>
  <conditionalFormatting sqref="C5:S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S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S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S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S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S1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S1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S1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S1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S1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S1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S1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S1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S1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S1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S2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S2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S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S2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S2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S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S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S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S2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S2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olorScale" priority="50">
      <colorScale>
        <cfvo type="min"/>
        <cfvo type="max"/>
        <color rgb="FF63BE7B"/>
        <color rgb="FFFFEF9C"/>
      </colorScale>
    </cfRule>
  </conditionalFormatting>
  <conditionalFormatting sqref="B44">
    <cfRule type="colorScale" priority="49">
      <colorScale>
        <cfvo type="min"/>
        <cfvo type="max"/>
        <color rgb="FF63BE7B"/>
        <color rgb="FFFFEF9C"/>
      </colorScale>
    </cfRule>
  </conditionalFormatting>
  <conditionalFormatting sqref="B45">
    <cfRule type="colorScale" priority="48">
      <colorScale>
        <cfvo type="min"/>
        <cfvo type="max"/>
        <color rgb="FF63BE7B"/>
        <color rgb="FFFFEF9C"/>
      </colorScale>
    </cfRule>
  </conditionalFormatting>
  <conditionalFormatting sqref="B46">
    <cfRule type="colorScale" priority="47">
      <colorScale>
        <cfvo type="min"/>
        <cfvo type="max"/>
        <color rgb="FF63BE7B"/>
        <color rgb="FFFFEF9C"/>
      </colorScale>
    </cfRule>
  </conditionalFormatting>
  <conditionalFormatting sqref="B47">
    <cfRule type="colorScale" priority="46">
      <colorScale>
        <cfvo type="min"/>
        <cfvo type="max"/>
        <color rgb="FF63BE7B"/>
        <color rgb="FFFFEF9C"/>
      </colorScale>
    </cfRule>
  </conditionalFormatting>
  <conditionalFormatting sqref="B48">
    <cfRule type="colorScale" priority="45">
      <colorScale>
        <cfvo type="min"/>
        <cfvo type="max"/>
        <color rgb="FF63BE7B"/>
        <color rgb="FFFFEF9C"/>
      </colorScale>
    </cfRule>
  </conditionalFormatting>
  <conditionalFormatting sqref="B49">
    <cfRule type="colorScale" priority="44">
      <colorScale>
        <cfvo type="min"/>
        <cfvo type="max"/>
        <color rgb="FF63BE7B"/>
        <color rgb="FFFFEF9C"/>
      </colorScale>
    </cfRule>
  </conditionalFormatting>
  <conditionalFormatting sqref="B50">
    <cfRule type="colorScale" priority="43">
      <colorScale>
        <cfvo type="min"/>
        <cfvo type="max"/>
        <color rgb="FF63BE7B"/>
        <color rgb="FFFFEF9C"/>
      </colorScale>
    </cfRule>
  </conditionalFormatting>
  <conditionalFormatting sqref="B51">
    <cfRule type="colorScale" priority="42">
      <colorScale>
        <cfvo type="min"/>
        <cfvo type="max"/>
        <color rgb="FF63BE7B"/>
        <color rgb="FFFFEF9C"/>
      </colorScale>
    </cfRule>
  </conditionalFormatting>
  <conditionalFormatting sqref="B52">
    <cfRule type="colorScale" priority="41">
      <colorScale>
        <cfvo type="min"/>
        <cfvo type="max"/>
        <color rgb="FF63BE7B"/>
        <color rgb="FFFFEF9C"/>
      </colorScale>
    </cfRule>
  </conditionalFormatting>
  <conditionalFormatting sqref="B53">
    <cfRule type="colorScale" priority="40">
      <colorScale>
        <cfvo type="min"/>
        <cfvo type="max"/>
        <color rgb="FF63BE7B"/>
        <color rgb="FFFFEF9C"/>
      </colorScale>
    </cfRule>
  </conditionalFormatting>
  <conditionalFormatting sqref="B54">
    <cfRule type="colorScale" priority="39">
      <colorScale>
        <cfvo type="min"/>
        <cfvo type="max"/>
        <color rgb="FF63BE7B"/>
        <color rgb="FFFFEF9C"/>
      </colorScale>
    </cfRule>
  </conditionalFormatting>
  <conditionalFormatting sqref="B55">
    <cfRule type="colorScale" priority="38">
      <colorScale>
        <cfvo type="min"/>
        <cfvo type="max"/>
        <color rgb="FF63BE7B"/>
        <color rgb="FFFFEF9C"/>
      </colorScale>
    </cfRule>
  </conditionalFormatting>
  <conditionalFormatting sqref="B56">
    <cfRule type="colorScale" priority="37">
      <colorScale>
        <cfvo type="min"/>
        <cfvo type="max"/>
        <color rgb="FF63BE7B"/>
        <color rgb="FFFFEF9C"/>
      </colorScale>
    </cfRule>
  </conditionalFormatting>
  <conditionalFormatting sqref="B57">
    <cfRule type="colorScale" priority="36">
      <colorScale>
        <cfvo type="min"/>
        <cfvo type="max"/>
        <color rgb="FF63BE7B"/>
        <color rgb="FFFFEF9C"/>
      </colorScale>
    </cfRule>
  </conditionalFormatting>
  <conditionalFormatting sqref="B58">
    <cfRule type="colorScale" priority="35">
      <colorScale>
        <cfvo type="min"/>
        <cfvo type="max"/>
        <color rgb="FF63BE7B"/>
        <color rgb="FFFFEF9C"/>
      </colorScale>
    </cfRule>
  </conditionalFormatting>
  <conditionalFormatting sqref="B59">
    <cfRule type="colorScale" priority="34">
      <colorScale>
        <cfvo type="min"/>
        <cfvo type="max"/>
        <color rgb="FF63BE7B"/>
        <color rgb="FFFFEF9C"/>
      </colorScale>
    </cfRule>
  </conditionalFormatting>
  <conditionalFormatting sqref="B60">
    <cfRule type="colorScale" priority="33">
      <colorScale>
        <cfvo type="min"/>
        <cfvo type="max"/>
        <color rgb="FF63BE7B"/>
        <color rgb="FFFFEF9C"/>
      </colorScale>
    </cfRule>
  </conditionalFormatting>
  <conditionalFormatting sqref="B61">
    <cfRule type="colorScale" priority="32">
      <colorScale>
        <cfvo type="min"/>
        <cfvo type="max"/>
        <color rgb="FF63BE7B"/>
        <color rgb="FFFFEF9C"/>
      </colorScale>
    </cfRule>
  </conditionalFormatting>
  <conditionalFormatting sqref="B62">
    <cfRule type="colorScale" priority="31">
      <colorScale>
        <cfvo type="min"/>
        <cfvo type="max"/>
        <color rgb="FF63BE7B"/>
        <color rgb="FFFFEF9C"/>
      </colorScale>
    </cfRule>
  </conditionalFormatting>
  <conditionalFormatting sqref="B63">
    <cfRule type="colorScale" priority="30">
      <colorScale>
        <cfvo type="min"/>
        <cfvo type="max"/>
        <color rgb="FF63BE7B"/>
        <color rgb="FFFFEF9C"/>
      </colorScale>
    </cfRule>
  </conditionalFormatting>
  <conditionalFormatting sqref="B64">
    <cfRule type="colorScale" priority="29">
      <colorScale>
        <cfvo type="min"/>
        <cfvo type="max"/>
        <color rgb="FF63BE7B"/>
        <color rgb="FFFFEF9C"/>
      </colorScale>
    </cfRule>
  </conditionalFormatting>
  <conditionalFormatting sqref="B65">
    <cfRule type="colorScale" priority="28">
      <colorScale>
        <cfvo type="min"/>
        <cfvo type="max"/>
        <color rgb="FF63BE7B"/>
        <color rgb="FFFFEF9C"/>
      </colorScale>
    </cfRule>
  </conditionalFormatting>
  <conditionalFormatting sqref="B66">
    <cfRule type="colorScale" priority="27">
      <colorScale>
        <cfvo type="min"/>
        <cfvo type="max"/>
        <color rgb="FF63BE7B"/>
        <color rgb="FFFFEF9C"/>
      </colorScale>
    </cfRule>
  </conditionalFormatting>
  <conditionalFormatting sqref="B67">
    <cfRule type="colorScale" priority="26">
      <colorScale>
        <cfvo type="min"/>
        <cfvo type="max"/>
        <color rgb="FF63BE7B"/>
        <color rgb="FFFFEF9C"/>
      </colorScale>
    </cfRule>
  </conditionalFormatting>
  <hyperlinks>
    <hyperlink ref="N2" r:id="rId1"/>
    <hyperlink ref="P2" r:id="rId2"/>
    <hyperlink ref="R2" r:id="rId3"/>
    <hyperlink ref="M2" r:id="rId4"/>
    <hyperlink ref="J2" r:id="rId5"/>
    <hyperlink ref="A4" r:id="rId6" display="get the test files here"/>
    <hyperlink ref="S2" r:id="rId7" display="ZIP / GZ"/>
    <hyperlink ref="L2" r:id="rId8"/>
    <hyperlink ref="K2" r:id="rId9"/>
    <hyperlink ref="O2" r:id="rId10"/>
    <hyperlink ref="D2" r:id="rId11" display="RawSpeedCmp2"/>
    <hyperlink ref="I2" r:id="rId12" display="RawSpeedCmp2"/>
    <hyperlink ref="H2" r:id="rId13" display="RawSpeedCmp2"/>
    <hyperlink ref="G2" r:id="rId14" display="RawSpeedCmp2"/>
    <hyperlink ref="E2" r:id="rId15" display="RawSpeedCmp2"/>
    <hyperlink ref="F2" r:id="rId16" display="RawSpeedCmp2"/>
    <hyperlink ref="A42" r:id="rId17" display="get the test files here"/>
    <hyperlink ref="C42" r:id="rId18" display="JpegSnoop"/>
  </hyperlinks>
  <pageMargins left="0.7" right="0.7" top="0.78740157499999996" bottom="0.78740157499999996" header="0.3" footer="0.3"/>
  <pageSetup paperSize="9" orientation="portrait" verticalDpi="0" r:id="rId19"/>
  <ignoredErrors>
    <ignoredError sqref="I43:I67" formulaRange="1"/>
  </ignoredErrors>
  <picture r:id="rId2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54"/>
  <sheetViews>
    <sheetView showGridLines="0" topLeftCell="A131" workbookViewId="0">
      <selection activeCell="B134" sqref="B134"/>
    </sheetView>
  </sheetViews>
  <sheetFormatPr baseColWidth="10" defaultColWidth="9.140625" defaultRowHeight="12.75"/>
  <cols>
    <col min="1" max="1" width="1.7109375" style="1" customWidth="1"/>
    <col min="2" max="2" width="57.7109375" style="1" customWidth="1"/>
    <col min="3" max="3" width="4.5703125" style="1" customWidth="1"/>
    <col min="4" max="4" width="12" style="1" customWidth="1"/>
    <col min="5" max="5" width="9.140625" style="1" customWidth="1"/>
    <col min="6" max="8" width="15.42578125" style="1" customWidth="1"/>
    <col min="9" max="10" width="15.7109375" style="1" customWidth="1"/>
    <col min="11" max="12" width="15.42578125" style="1" customWidth="1"/>
    <col min="13" max="13" width="5.7109375" style="1" customWidth="1"/>
    <col min="14" max="14" width="50.7109375" style="1" customWidth="1"/>
    <col min="15" max="15" width="2.7109375" style="1" customWidth="1"/>
    <col min="16" max="16" width="6.7109375" style="1" customWidth="1"/>
    <col min="17" max="17" width="13.7109375" style="1" customWidth="1"/>
    <col min="18" max="18" width="8.140625" style="1" customWidth="1"/>
    <col min="19" max="16384" width="9.140625" style="1"/>
  </cols>
  <sheetData>
    <row r="1" spans="1:18" ht="18" customHeight="1">
      <c r="A1" s="255"/>
      <c r="B1" s="293">
        <f ca="1">NOW()</f>
        <v>41756.581124537035</v>
      </c>
      <c r="C1" s="3159" t="s">
        <v>1273</v>
      </c>
      <c r="D1" s="3160"/>
      <c r="E1" s="3160"/>
      <c r="F1" s="3160"/>
      <c r="G1" s="3160"/>
      <c r="H1" s="3160"/>
      <c r="I1" s="3160"/>
      <c r="J1" s="3160"/>
      <c r="K1" s="3160"/>
      <c r="L1" s="3160"/>
      <c r="M1" s="256"/>
      <c r="N1" s="256"/>
      <c r="O1" s="256"/>
      <c r="P1" s="256"/>
      <c r="Q1" s="256"/>
      <c r="R1" s="256"/>
    </row>
    <row r="2" spans="1:18" ht="15" customHeight="1">
      <c r="A2" s="255"/>
      <c r="B2" s="1049" t="s">
        <v>1514</v>
      </c>
      <c r="C2" s="3160"/>
      <c r="D2" s="3160"/>
      <c r="E2" s="3160"/>
      <c r="F2" s="3160"/>
      <c r="G2" s="3160"/>
      <c r="H2" s="3160"/>
      <c r="I2" s="3160"/>
      <c r="J2" s="3160"/>
      <c r="K2" s="3160"/>
      <c r="L2" s="3160"/>
      <c r="M2" s="256"/>
      <c r="N2" s="256"/>
      <c r="O2" s="256"/>
      <c r="P2" s="256"/>
      <c r="Q2" s="256"/>
      <c r="R2" s="256"/>
    </row>
    <row r="3" spans="1:18" ht="26.25" customHeight="1">
      <c r="A3" s="255"/>
      <c r="B3" s="1048" t="s">
        <v>1515</v>
      </c>
      <c r="C3" s="3161"/>
      <c r="D3" s="3161"/>
      <c r="E3" s="3161"/>
      <c r="F3" s="3161"/>
      <c r="G3" s="3161"/>
      <c r="H3" s="3161"/>
      <c r="I3" s="3161"/>
      <c r="J3" s="3161"/>
      <c r="K3" s="3161"/>
      <c r="L3" s="3161"/>
      <c r="M3" s="256"/>
      <c r="N3" s="256"/>
      <c r="O3" s="256"/>
      <c r="P3" s="256"/>
      <c r="Q3" s="256"/>
      <c r="R3" s="256"/>
    </row>
    <row r="4" spans="1:18" ht="15" customHeight="1">
      <c r="A4" s="49"/>
      <c r="B4" s="1579" t="s">
        <v>1213</v>
      </c>
      <c r="C4" s="1676"/>
      <c r="D4" s="3162" t="s">
        <v>1781</v>
      </c>
      <c r="E4" s="3150" t="s">
        <v>47</v>
      </c>
      <c r="F4" s="1678" t="s">
        <v>1275</v>
      </c>
      <c r="G4" s="1678" t="s">
        <v>1276</v>
      </c>
      <c r="H4" s="1678" t="s">
        <v>1281</v>
      </c>
      <c r="I4" s="1678" t="s">
        <v>1277</v>
      </c>
      <c r="J4" s="1678" t="s">
        <v>1278</v>
      </c>
      <c r="K4" s="1678" t="s">
        <v>1279</v>
      </c>
      <c r="L4" s="1678" t="s">
        <v>1280</v>
      </c>
      <c r="M4" s="5"/>
      <c r="N4" s="281"/>
      <c r="O4" s="257"/>
      <c r="P4" s="257"/>
      <c r="Q4" s="258"/>
      <c r="R4" s="258"/>
    </row>
    <row r="5" spans="1:18" ht="25.5" customHeight="1">
      <c r="A5" s="49"/>
      <c r="B5" s="3148" t="s">
        <v>1439</v>
      </c>
      <c r="C5" s="1581"/>
      <c r="D5" s="3163"/>
      <c r="E5" s="3151"/>
      <c r="F5" s="1575" t="s">
        <v>1284</v>
      </c>
      <c r="G5" s="1575" t="s">
        <v>1287</v>
      </c>
      <c r="H5" s="1575" t="s">
        <v>1294</v>
      </c>
      <c r="I5" s="1575" t="s">
        <v>1288</v>
      </c>
      <c r="J5" s="1575" t="s">
        <v>1290</v>
      </c>
      <c r="K5" s="1575" t="s">
        <v>1295</v>
      </c>
      <c r="L5" s="1575" t="s">
        <v>1284</v>
      </c>
      <c r="M5" s="5"/>
      <c r="N5" s="281"/>
      <c r="O5" s="257"/>
      <c r="P5" s="257"/>
      <c r="Q5" s="258"/>
      <c r="R5" s="258"/>
    </row>
    <row r="6" spans="1:18" ht="15" customHeight="1">
      <c r="A6" s="49"/>
      <c r="B6" s="3149"/>
      <c r="C6" s="1581"/>
      <c r="D6" s="3163"/>
      <c r="E6" s="3151"/>
      <c r="F6" s="1582" t="s">
        <v>1196</v>
      </c>
      <c r="G6" s="1582" t="s">
        <v>1196</v>
      </c>
      <c r="H6" s="1582" t="s">
        <v>1196</v>
      </c>
      <c r="I6" s="1582" t="s">
        <v>1196</v>
      </c>
      <c r="J6" s="1583" t="s">
        <v>1196</v>
      </c>
      <c r="K6" s="1583" t="s">
        <v>1196</v>
      </c>
      <c r="L6" s="1583" t="s">
        <v>1196</v>
      </c>
      <c r="M6" s="5"/>
      <c r="N6" s="281"/>
      <c r="O6" s="257"/>
      <c r="P6" s="257"/>
      <c r="Q6" s="258"/>
      <c r="R6" s="258"/>
    </row>
    <row r="7" spans="1:18" ht="15" customHeight="1">
      <c r="A7" s="49"/>
      <c r="B7" s="1680"/>
      <c r="C7" s="1581"/>
      <c r="D7" s="3163"/>
      <c r="E7" s="3151"/>
      <c r="F7" s="1582" t="s">
        <v>1286</v>
      </c>
      <c r="G7" s="1582" t="s">
        <v>1286</v>
      </c>
      <c r="H7" s="1681" t="s">
        <v>1297</v>
      </c>
      <c r="I7" s="1582" t="s">
        <v>1286</v>
      </c>
      <c r="J7" s="1682" t="s">
        <v>1289</v>
      </c>
      <c r="K7" s="1583" t="s">
        <v>1285</v>
      </c>
      <c r="L7" s="1583" t="s">
        <v>1285</v>
      </c>
      <c r="M7" s="5"/>
      <c r="N7" s="281"/>
      <c r="O7" s="257"/>
      <c r="P7" s="257"/>
      <c r="Q7" s="258"/>
      <c r="R7" s="258"/>
    </row>
    <row r="8" spans="1:18" ht="15" customHeight="1">
      <c r="A8" s="49"/>
      <c r="B8" s="1832" t="s">
        <v>1811</v>
      </c>
      <c r="C8" s="1831"/>
      <c r="D8" s="3163"/>
      <c r="E8" s="3151"/>
      <c r="F8" s="1833" t="s">
        <v>1292</v>
      </c>
      <c r="G8" s="1833" t="s">
        <v>1292</v>
      </c>
      <c r="H8" s="1833" t="s">
        <v>1292</v>
      </c>
      <c r="I8" s="1833" t="s">
        <v>1292</v>
      </c>
      <c r="J8" s="1833" t="s">
        <v>1293</v>
      </c>
      <c r="K8" s="1833" t="s">
        <v>1292</v>
      </c>
      <c r="L8" s="1833" t="s">
        <v>1291</v>
      </c>
      <c r="M8" s="5"/>
      <c r="N8" s="281"/>
      <c r="O8" s="257"/>
      <c r="P8" s="257"/>
      <c r="Q8" s="258"/>
      <c r="R8" s="258"/>
    </row>
    <row r="9" spans="1:18" ht="15" customHeight="1">
      <c r="A9" s="49"/>
      <c r="B9" s="1830" t="s">
        <v>1812</v>
      </c>
      <c r="C9" s="1581"/>
      <c r="D9" s="3164"/>
      <c r="E9" s="3165"/>
      <c r="F9" s="1835" t="s">
        <v>1813</v>
      </c>
      <c r="G9" s="1835" t="s">
        <v>1814</v>
      </c>
      <c r="H9" s="1835" t="s">
        <v>1815</v>
      </c>
      <c r="I9" s="1835" t="s">
        <v>1816</v>
      </c>
      <c r="J9" s="1834" t="s">
        <v>1817</v>
      </c>
      <c r="K9" s="1834" t="s">
        <v>1818</v>
      </c>
      <c r="L9" s="1835" t="s">
        <v>1819</v>
      </c>
      <c r="M9" s="5"/>
      <c r="N9" s="281"/>
      <c r="O9" s="257"/>
      <c r="P9" s="257"/>
      <c r="Q9" s="258"/>
      <c r="R9" s="258"/>
    </row>
    <row r="10" spans="1:18" ht="1.5" hidden="1" customHeight="1">
      <c r="A10" s="49"/>
      <c r="B10" s="1577"/>
      <c r="C10" s="1581"/>
      <c r="D10" s="1327">
        <v>100</v>
      </c>
      <c r="E10" s="1327"/>
      <c r="F10" s="1584">
        <f t="shared" ref="F10:L10" si="0">MIN(F11:F129)</f>
        <v>18825911</v>
      </c>
      <c r="G10" s="1584">
        <f t="shared" si="0"/>
        <v>14073591</v>
      </c>
      <c r="H10" s="1584">
        <f t="shared" si="0"/>
        <v>20990360</v>
      </c>
      <c r="I10" s="1584">
        <f t="shared" si="0"/>
        <v>11412381</v>
      </c>
      <c r="J10" s="1584">
        <f t="shared" si="0"/>
        <v>2727593</v>
      </c>
      <c r="K10" s="1584">
        <f t="shared" si="0"/>
        <v>3468304</v>
      </c>
      <c r="L10" s="1584">
        <f t="shared" si="0"/>
        <v>17039360</v>
      </c>
      <c r="M10" s="5"/>
      <c r="N10" s="281"/>
      <c r="O10" s="257"/>
      <c r="P10" s="257"/>
      <c r="Q10" s="258"/>
      <c r="R10" s="258"/>
    </row>
    <row r="11" spans="1:18" ht="18">
      <c r="A11" s="49"/>
      <c r="B11" s="1578" t="s">
        <v>1242</v>
      </c>
      <c r="C11" s="1585"/>
      <c r="D11" s="1804">
        <f t="shared" ref="D11:D16" si="1">SUM(F11/F$10,G11/G$10,H11/H$10,I11/I$10,J11/J$10,K11/K$10,L11/L$10)/7*100</f>
        <v>340.39192578178444</v>
      </c>
      <c r="E11" s="1814" t="s">
        <v>1782</v>
      </c>
      <c r="F11" s="1795">
        <v>53780338</v>
      </c>
      <c r="G11" s="1587">
        <v>36671858</v>
      </c>
      <c r="H11" s="1586">
        <v>35979426</v>
      </c>
      <c r="I11" s="1683">
        <v>36615988</v>
      </c>
      <c r="J11" s="1587">
        <v>17977420</v>
      </c>
      <c r="K11" s="1587">
        <v>13970836</v>
      </c>
      <c r="L11" s="1587">
        <v>48108320</v>
      </c>
      <c r="M11" s="5"/>
      <c r="N11" s="1829"/>
      <c r="O11" s="260"/>
      <c r="P11" s="261"/>
      <c r="Q11" s="1828"/>
      <c r="R11" s="52"/>
    </row>
    <row r="12" spans="1:18" ht="18">
      <c r="A12" s="263"/>
      <c r="B12" s="1547" t="s">
        <v>1804</v>
      </c>
      <c r="C12" s="1684" t="s">
        <v>41</v>
      </c>
      <c r="D12" s="1804">
        <f t="shared" si="1"/>
        <v>102.00712827948138</v>
      </c>
      <c r="E12" s="1815">
        <f>233.69+163.78+166.95+156.1+70.92+59.73+206.47</f>
        <v>1057.6400000000001</v>
      </c>
      <c r="F12" s="1589">
        <v>19096338</v>
      </c>
      <c r="G12" s="1590">
        <v>14073591</v>
      </c>
      <c r="H12" s="1590">
        <v>21588999</v>
      </c>
      <c r="I12" s="1590">
        <v>11575612</v>
      </c>
      <c r="J12" s="1596">
        <v>2777230</v>
      </c>
      <c r="K12" s="1596">
        <v>3669959</v>
      </c>
      <c r="L12" s="1596">
        <v>17158147</v>
      </c>
      <c r="M12" s="5"/>
      <c r="N12" s="264"/>
      <c r="O12" s="265"/>
      <c r="P12" s="266"/>
      <c r="Q12" s="267"/>
      <c r="R12" s="52"/>
    </row>
    <row r="13" spans="1:18" ht="18">
      <c r="A13" s="263"/>
      <c r="B13" s="881" t="s">
        <v>1207</v>
      </c>
      <c r="C13" s="1684" t="s">
        <v>41</v>
      </c>
      <c r="D13" s="1804">
        <f t="shared" si="1"/>
        <v>102.7565253047818</v>
      </c>
      <c r="E13" s="1815">
        <f>730.99+516.7+539.25+506.96+195.38+185.47+632.38</f>
        <v>3307.13</v>
      </c>
      <c r="F13" s="1602">
        <v>18825911</v>
      </c>
      <c r="G13" s="1685">
        <v>14395230</v>
      </c>
      <c r="H13" s="1685">
        <v>21835497</v>
      </c>
      <c r="I13" s="1685">
        <v>11692010</v>
      </c>
      <c r="J13" s="1686">
        <v>2727593</v>
      </c>
      <c r="K13" s="1687">
        <v>3765389</v>
      </c>
      <c r="L13" s="1687">
        <v>17374698</v>
      </c>
      <c r="M13" s="5"/>
      <c r="N13" s="264"/>
      <c r="O13" s="265"/>
      <c r="P13" s="266"/>
      <c r="Q13" s="267"/>
      <c r="R13" s="52"/>
    </row>
    <row r="14" spans="1:18" ht="18">
      <c r="A14" s="263"/>
      <c r="B14" s="890" t="s">
        <v>927</v>
      </c>
      <c r="C14" s="1684" t="s">
        <v>41</v>
      </c>
      <c r="D14" s="1804">
        <f t="shared" si="1"/>
        <v>103.95134523207665</v>
      </c>
      <c r="E14" s="1815">
        <f>442.6+322.31+337.81+303.96+120.15+119.82+408.9</f>
        <v>2055.5500000000002</v>
      </c>
      <c r="F14" s="1796">
        <v>19072693</v>
      </c>
      <c r="G14" s="1688">
        <v>14521419</v>
      </c>
      <c r="H14" s="1688">
        <v>22039665</v>
      </c>
      <c r="I14" s="1688">
        <v>11818184</v>
      </c>
      <c r="J14" s="1689">
        <v>2779325</v>
      </c>
      <c r="K14" s="1596">
        <v>3806155</v>
      </c>
      <c r="L14" s="1596">
        <v>17546109</v>
      </c>
      <c r="M14" s="5"/>
      <c r="N14" s="264"/>
      <c r="O14" s="265"/>
      <c r="P14" s="266"/>
      <c r="Q14" s="267"/>
      <c r="R14" s="52"/>
    </row>
    <row r="15" spans="1:18" ht="18">
      <c r="A15" s="263"/>
      <c r="B15" s="890" t="s">
        <v>1786</v>
      </c>
      <c r="C15" s="1690"/>
      <c r="D15" s="1804">
        <f t="shared" si="1"/>
        <v>106.06889563648021</v>
      </c>
      <c r="E15" s="1815">
        <f>38.93+28.52+28.11+27.31+12.58+10.27+35.62</f>
        <v>181.34000000000003</v>
      </c>
      <c r="F15" s="1598">
        <v>20254732</v>
      </c>
      <c r="G15" s="1599">
        <v>14381795</v>
      </c>
      <c r="H15" s="1599">
        <v>21991860</v>
      </c>
      <c r="I15" s="1599">
        <v>12143448</v>
      </c>
      <c r="J15" s="1600">
        <v>2886783</v>
      </c>
      <c r="K15" s="1596">
        <v>3896534</v>
      </c>
      <c r="L15" s="1596">
        <v>17608864</v>
      </c>
      <c r="M15" s="5"/>
      <c r="N15" s="264"/>
      <c r="O15" s="265"/>
      <c r="P15" s="266"/>
      <c r="Q15" s="267"/>
      <c r="R15" s="52"/>
    </row>
    <row r="16" spans="1:18" ht="18">
      <c r="A16" s="263"/>
      <c r="B16" s="895" t="s">
        <v>1785</v>
      </c>
      <c r="C16" s="1691"/>
      <c r="D16" s="1804">
        <f t="shared" si="1"/>
        <v>106.63012727206144</v>
      </c>
      <c r="E16" s="1815">
        <f>36.69+26.61+37.63+23.54+8.67+8.38+31.92</f>
        <v>173.44</v>
      </c>
      <c r="F16" s="1797">
        <v>19698463</v>
      </c>
      <c r="G16" s="1692">
        <v>14512467</v>
      </c>
      <c r="H16" s="1692">
        <v>21442086</v>
      </c>
      <c r="I16" s="1693">
        <v>12234859</v>
      </c>
      <c r="J16" s="1596">
        <v>3438262</v>
      </c>
      <c r="K16" s="1596">
        <v>3553485</v>
      </c>
      <c r="L16" s="1596">
        <v>17173607</v>
      </c>
      <c r="M16" s="5"/>
      <c r="N16" s="264"/>
      <c r="O16" s="265"/>
      <c r="P16" s="266"/>
      <c r="Q16" s="267"/>
      <c r="R16" s="52"/>
    </row>
    <row r="17" spans="1:18" ht="18">
      <c r="A17" s="263"/>
      <c r="B17" s="1325" t="s">
        <v>1330</v>
      </c>
      <c r="C17" s="1694"/>
      <c r="D17" s="1804">
        <f t="shared" ref="D17:D29" si="2">SUM(F17/F$10,G17/G$10,H17/H$10,I17/I$10,J17/J$10,K17/K$10,L17/L$10)/7*100</f>
        <v>106.99151027809961</v>
      </c>
      <c r="E17" s="1815">
        <f>64.29+58.78+60.39+49.44+10.64+20.51+63.72</f>
        <v>327.77</v>
      </c>
      <c r="F17" s="1797">
        <v>19347648</v>
      </c>
      <c r="G17" s="1692">
        <v>14466136</v>
      </c>
      <c r="H17" s="1692">
        <v>20990360</v>
      </c>
      <c r="I17" s="1695">
        <v>12119924</v>
      </c>
      <c r="J17" s="1696">
        <v>3727216</v>
      </c>
      <c r="K17" s="1696">
        <v>3468304</v>
      </c>
      <c r="L17" s="1696">
        <v>17129948</v>
      </c>
      <c r="M17" s="5"/>
      <c r="N17" s="264"/>
      <c r="O17" s="265"/>
      <c r="P17" s="266"/>
      <c r="Q17" s="267"/>
      <c r="R17" s="52"/>
    </row>
    <row r="18" spans="1:18" ht="18">
      <c r="A18" s="263"/>
      <c r="B18" s="2986" t="s">
        <v>2135</v>
      </c>
      <c r="C18" s="1790"/>
      <c r="D18" s="1804">
        <f t="shared" si="2"/>
        <v>110.71603327014053</v>
      </c>
      <c r="E18" s="1815">
        <f>335.2+245.6+243+242+80+69.6+316.2</f>
        <v>1531.6</v>
      </c>
      <c r="F18" s="1797">
        <v>19829154</v>
      </c>
      <c r="G18" s="1697">
        <v>15176279</v>
      </c>
      <c r="H18" s="1697">
        <v>21940549</v>
      </c>
      <c r="I18" s="1698">
        <v>12797399</v>
      </c>
      <c r="J18" s="1699">
        <v>3519625</v>
      </c>
      <c r="K18" s="1699">
        <v>3856083</v>
      </c>
      <c r="L18" s="1699">
        <v>17885657</v>
      </c>
      <c r="M18" s="5"/>
      <c r="N18" s="264"/>
      <c r="O18" s="265"/>
      <c r="P18" s="266"/>
      <c r="Q18" s="267"/>
      <c r="R18" s="52"/>
    </row>
    <row r="19" spans="1:18" ht="18">
      <c r="A19" s="263"/>
      <c r="B19" s="1325" t="s">
        <v>1569</v>
      </c>
      <c r="C19" s="1690"/>
      <c r="D19" s="1804">
        <f t="shared" si="2"/>
        <v>113.91220655667227</v>
      </c>
      <c r="E19" s="1815">
        <f>4.21+2.99+3.06+3.09+1.23+4.06</f>
        <v>18.64</v>
      </c>
      <c r="F19" s="1797">
        <v>20674417</v>
      </c>
      <c r="G19" s="1692">
        <v>15375974</v>
      </c>
      <c r="H19" s="1692">
        <v>22234254</v>
      </c>
      <c r="I19" s="1695">
        <v>13180970</v>
      </c>
      <c r="J19" s="1687">
        <v>3778363</v>
      </c>
      <c r="K19" s="1687">
        <v>3841788</v>
      </c>
      <c r="L19" s="1687">
        <v>18333853</v>
      </c>
      <c r="M19" s="5"/>
      <c r="N19" s="264"/>
      <c r="O19" s="265"/>
      <c r="P19" s="266"/>
      <c r="Q19" s="267"/>
      <c r="R19" s="52"/>
    </row>
    <row r="20" spans="1:18" ht="18">
      <c r="A20" s="263"/>
      <c r="B20" s="3011" t="s">
        <v>1298</v>
      </c>
      <c r="C20" s="1700"/>
      <c r="D20" s="1804">
        <f t="shared" si="2"/>
        <v>116.72751452513661</v>
      </c>
      <c r="E20" s="1815">
        <f>63.06+42.52+43.56+41.83+18.08+15.11+56.91</f>
        <v>281.07000000000005</v>
      </c>
      <c r="F20" s="1797">
        <v>20453669</v>
      </c>
      <c r="G20" s="1692">
        <v>15376736</v>
      </c>
      <c r="H20" s="1692">
        <v>22238844</v>
      </c>
      <c r="I20" s="1695">
        <v>13059632</v>
      </c>
      <c r="J20" s="1687">
        <v>4296095</v>
      </c>
      <c r="K20" s="1687">
        <v>3926848</v>
      </c>
      <c r="L20" s="1687">
        <v>18415964</v>
      </c>
      <c r="M20" s="5"/>
      <c r="N20" s="264"/>
      <c r="O20" s="265"/>
      <c r="P20" s="266"/>
      <c r="Q20" s="267"/>
      <c r="R20" s="52"/>
    </row>
    <row r="21" spans="1:18" ht="18">
      <c r="A21" s="263"/>
      <c r="B21" s="888" t="s">
        <v>1299</v>
      </c>
      <c r="C21" s="1700"/>
      <c r="D21" s="1804">
        <f t="shared" si="2"/>
        <v>118.09131179768507</v>
      </c>
      <c r="E21" s="1815"/>
      <c r="F21" s="1797">
        <v>21868686</v>
      </c>
      <c r="G21" s="1692">
        <v>15727172</v>
      </c>
      <c r="H21" s="1692">
        <v>23286453</v>
      </c>
      <c r="I21" s="1695">
        <v>13622178</v>
      </c>
      <c r="J21" s="1687">
        <v>3779762</v>
      </c>
      <c r="K21" s="1687">
        <v>4159001</v>
      </c>
      <c r="L21" s="1687">
        <v>18732298</v>
      </c>
      <c r="M21" s="5"/>
      <c r="N21" s="264"/>
      <c r="O21" s="265"/>
      <c r="P21" s="266"/>
      <c r="Q21" s="267"/>
      <c r="R21" s="52"/>
    </row>
    <row r="22" spans="1:18" ht="18">
      <c r="A22" s="263"/>
      <c r="B22" s="1014" t="s">
        <v>1342</v>
      </c>
      <c r="C22" s="1700"/>
      <c r="D22" s="1804">
        <f t="shared" si="2"/>
        <v>119.56100864610235</v>
      </c>
      <c r="E22" s="1815">
        <f>6.28+4.43+4.73+4.48+2.14+1.71+5.88</f>
        <v>29.650000000000002</v>
      </c>
      <c r="F22" s="1797">
        <v>21364656</v>
      </c>
      <c r="G22" s="1692">
        <v>15869204</v>
      </c>
      <c r="H22" s="1692">
        <v>22871180</v>
      </c>
      <c r="I22" s="1695">
        <v>13596580</v>
      </c>
      <c r="J22" s="1687">
        <v>4198872</v>
      </c>
      <c r="K22" s="1687">
        <v>4137888</v>
      </c>
      <c r="L22" s="1687">
        <v>18630380</v>
      </c>
      <c r="M22" s="5"/>
      <c r="N22" s="264"/>
      <c r="O22" s="265"/>
      <c r="P22" s="266"/>
      <c r="Q22" s="267"/>
      <c r="R22" s="52"/>
    </row>
    <row r="23" spans="1:18" ht="18">
      <c r="A23" s="263"/>
      <c r="B23" s="888" t="s">
        <v>1303</v>
      </c>
      <c r="C23" s="1700"/>
      <c r="D23" s="1804">
        <f t="shared" si="2"/>
        <v>120.40962820394765</v>
      </c>
      <c r="E23" s="1815"/>
      <c r="F23" s="1797">
        <v>22060363</v>
      </c>
      <c r="G23" s="1692">
        <v>16150521</v>
      </c>
      <c r="H23" s="1692">
        <v>23384791</v>
      </c>
      <c r="I23" s="1695">
        <v>13893099</v>
      </c>
      <c r="J23" s="1687">
        <v>3830395</v>
      </c>
      <c r="K23" s="1687">
        <v>4271589</v>
      </c>
      <c r="L23" s="1687">
        <v>19457666</v>
      </c>
      <c r="M23" s="5"/>
      <c r="N23" s="264"/>
      <c r="O23" s="265"/>
      <c r="P23" s="266"/>
      <c r="Q23" s="267"/>
      <c r="R23" s="52"/>
    </row>
    <row r="24" spans="1:18" ht="18">
      <c r="A24" s="263"/>
      <c r="B24" s="1824" t="s">
        <v>1336</v>
      </c>
      <c r="C24" s="1700"/>
      <c r="D24" s="1804">
        <f t="shared" si="2"/>
        <v>121.87543820514144</v>
      </c>
      <c r="E24" s="1815">
        <f>38+27+27+26+13+10+35</f>
        <v>176</v>
      </c>
      <c r="F24" s="1797">
        <v>22159805</v>
      </c>
      <c r="G24" s="1692">
        <v>16136255</v>
      </c>
      <c r="H24" s="1692">
        <v>22912266</v>
      </c>
      <c r="I24" s="1695">
        <v>13696442</v>
      </c>
      <c r="J24" s="1687">
        <v>4265713</v>
      </c>
      <c r="K24" s="1687">
        <v>4260491</v>
      </c>
      <c r="L24" s="1687">
        <v>19145566</v>
      </c>
      <c r="M24" s="5"/>
      <c r="N24" s="264"/>
      <c r="O24" s="265"/>
      <c r="P24" s="266"/>
      <c r="Q24" s="267"/>
      <c r="R24" s="52"/>
    </row>
    <row r="25" spans="1:18" ht="18">
      <c r="A25" s="263"/>
      <c r="B25" s="1545" t="s">
        <v>2042</v>
      </c>
      <c r="C25" s="1700"/>
      <c r="D25" s="1804">
        <f t="shared" si="2"/>
        <v>122.26930992855264</v>
      </c>
      <c r="E25" s="1815">
        <f>6.219+4.721+5.89+4.282+2.089+1.817+6.054</f>
        <v>31.072000000000003</v>
      </c>
      <c r="F25" s="1797">
        <v>21655788</v>
      </c>
      <c r="G25" s="1692">
        <v>16341970</v>
      </c>
      <c r="H25" s="1692">
        <v>22741774</v>
      </c>
      <c r="I25" s="1695">
        <v>13782990</v>
      </c>
      <c r="J25" s="1687">
        <v>4333733</v>
      </c>
      <c r="K25" s="1687">
        <v>4249768</v>
      </c>
      <c r="L25" s="1687">
        <v>19459416</v>
      </c>
      <c r="M25" s="5"/>
      <c r="N25" s="264"/>
      <c r="O25" s="265"/>
      <c r="P25" s="266"/>
      <c r="Q25" s="267"/>
      <c r="R25" s="52"/>
    </row>
    <row r="26" spans="1:18" ht="18">
      <c r="A26" s="263"/>
      <c r="B26" s="1014" t="s">
        <v>641</v>
      </c>
      <c r="C26" s="1700"/>
      <c r="D26" s="1804">
        <f t="shared" si="2"/>
        <v>122.62559674740629</v>
      </c>
      <c r="E26" s="1815">
        <f>55+42+39+39+20+15+51</f>
        <v>261</v>
      </c>
      <c r="F26" s="1797">
        <v>22272365</v>
      </c>
      <c r="G26" s="1692">
        <v>16462697</v>
      </c>
      <c r="H26" s="1692">
        <v>23126568</v>
      </c>
      <c r="I26" s="1695">
        <v>13982858</v>
      </c>
      <c r="J26" s="1687">
        <v>4110146</v>
      </c>
      <c r="K26" s="1687">
        <v>4334147</v>
      </c>
      <c r="L26" s="1687">
        <v>19551578</v>
      </c>
      <c r="M26" s="5"/>
      <c r="N26" s="264"/>
      <c r="O26" s="265"/>
      <c r="P26" s="266"/>
      <c r="Q26" s="267"/>
      <c r="R26" s="52"/>
    </row>
    <row r="27" spans="1:18" ht="18">
      <c r="A27" s="263"/>
      <c r="B27" s="877" t="s">
        <v>1300</v>
      </c>
      <c r="C27" s="1700"/>
      <c r="D27" s="1804">
        <f t="shared" si="2"/>
        <v>122.72879714792266</v>
      </c>
      <c r="E27" s="1815">
        <f>24.17+16.34+17.21+15.84+7+5.65+21.39</f>
        <v>107.60000000000001</v>
      </c>
      <c r="F27" s="1797">
        <v>21484202</v>
      </c>
      <c r="G27" s="1692">
        <v>15945381</v>
      </c>
      <c r="H27" s="1692">
        <v>23189222</v>
      </c>
      <c r="I27" s="1695">
        <v>13724098</v>
      </c>
      <c r="J27" s="1687">
        <v>4493652</v>
      </c>
      <c r="K27" s="1687">
        <v>4285410</v>
      </c>
      <c r="L27" s="1687">
        <v>19193518</v>
      </c>
      <c r="M27" s="5"/>
      <c r="N27" s="264"/>
      <c r="O27" s="265"/>
      <c r="P27" s="266"/>
      <c r="Q27" s="267"/>
      <c r="R27" s="52"/>
    </row>
    <row r="28" spans="1:18" ht="18">
      <c r="A28" s="263"/>
      <c r="B28" s="1546" t="s">
        <v>1820</v>
      </c>
      <c r="C28" s="1790"/>
      <c r="D28" s="1804">
        <f t="shared" si="2"/>
        <v>123.16322796919937</v>
      </c>
      <c r="E28" s="1815">
        <f>8.92+6.38+6.76+6.23+3.29+2.83+7.83</f>
        <v>42.24</v>
      </c>
      <c r="F28" s="1797">
        <v>22912232</v>
      </c>
      <c r="G28" s="1697">
        <v>16739226</v>
      </c>
      <c r="H28" s="1697">
        <v>23359139</v>
      </c>
      <c r="I28" s="1698">
        <v>13923766</v>
      </c>
      <c r="J28" s="1699">
        <v>3875110</v>
      </c>
      <c r="K28" s="1699">
        <v>4625675</v>
      </c>
      <c r="L28" s="1699">
        <v>19214362</v>
      </c>
      <c r="M28" s="5"/>
      <c r="N28" s="264"/>
      <c r="O28" s="265"/>
      <c r="P28" s="266"/>
      <c r="Q28" s="267"/>
      <c r="R28" s="52"/>
    </row>
    <row r="29" spans="1:18" ht="18">
      <c r="A29" s="263"/>
      <c r="B29" s="1820" t="s">
        <v>2137</v>
      </c>
      <c r="C29" s="1816" t="s">
        <v>41</v>
      </c>
      <c r="D29" s="1804">
        <f t="shared" si="2"/>
        <v>123.47357143526456</v>
      </c>
      <c r="E29" s="1913"/>
      <c r="F29" s="1797">
        <v>21368081</v>
      </c>
      <c r="G29" s="1697">
        <v>15975143</v>
      </c>
      <c r="H29" s="1697">
        <v>23637705</v>
      </c>
      <c r="I29" s="1698">
        <v>13745407</v>
      </c>
      <c r="J29" s="2985">
        <v>4619731</v>
      </c>
      <c r="K29" s="2985">
        <v>4261898</v>
      </c>
      <c r="L29" s="2985">
        <v>19082930</v>
      </c>
      <c r="M29" s="5"/>
      <c r="N29" s="264"/>
      <c r="O29" s="265"/>
      <c r="P29" s="266"/>
      <c r="Q29" s="267"/>
      <c r="R29" s="52"/>
    </row>
    <row r="30" spans="1:18" ht="18">
      <c r="A30" s="263"/>
      <c r="B30" s="1820" t="s">
        <v>2136</v>
      </c>
      <c r="C30" s="1730" t="s">
        <v>41</v>
      </c>
      <c r="D30" s="1804">
        <f t="shared" ref="D30:D31" si="3">SUM(F30/F$10,G30/G$10,H30/H$10,I30/I$10,J30/J$10,K30/K$10,L30/L$10)/7*100</f>
        <v>123.55316640945342</v>
      </c>
      <c r="E30" s="1815"/>
      <c r="F30" s="1797">
        <v>21330104</v>
      </c>
      <c r="G30" s="1697">
        <v>15948623</v>
      </c>
      <c r="H30" s="1697">
        <v>23613625</v>
      </c>
      <c r="I30" s="1698">
        <v>13721964</v>
      </c>
      <c r="J30" s="1703">
        <v>4655754</v>
      </c>
      <c r="K30" s="1703">
        <v>4270353</v>
      </c>
      <c r="L30" s="1703">
        <v>19032323</v>
      </c>
      <c r="M30" s="5"/>
      <c r="N30" s="264"/>
      <c r="O30" s="265"/>
      <c r="P30" s="266"/>
      <c r="Q30" s="267"/>
      <c r="R30" s="52"/>
    </row>
    <row r="31" spans="1:18" ht="18">
      <c r="A31" s="263"/>
      <c r="B31" s="1546" t="s">
        <v>1787</v>
      </c>
      <c r="C31" s="1912"/>
      <c r="D31" s="1804">
        <f t="shared" si="3"/>
        <v>123.70912437602261</v>
      </c>
      <c r="E31" s="1913">
        <f>4.181+2.702+3.238+2.745+1.094+1.043+3.892</f>
        <v>18.895</v>
      </c>
      <c r="F31" s="1797">
        <v>21844979</v>
      </c>
      <c r="G31" s="1697">
        <v>16407176</v>
      </c>
      <c r="H31" s="1697">
        <v>22827690</v>
      </c>
      <c r="I31" s="1698">
        <v>13992743</v>
      </c>
      <c r="J31" s="1703">
        <v>4436341</v>
      </c>
      <c r="K31" s="1703">
        <v>4293100</v>
      </c>
      <c r="L31" s="1703">
        <v>19689780</v>
      </c>
      <c r="M31" s="5"/>
      <c r="N31" s="264"/>
      <c r="O31" s="265"/>
      <c r="P31" s="266"/>
      <c r="Q31" s="267"/>
      <c r="R31" s="52"/>
    </row>
    <row r="32" spans="1:18" ht="18">
      <c r="A32" s="263"/>
      <c r="B32" s="1545" t="s">
        <v>1788</v>
      </c>
      <c r="C32" s="1700"/>
      <c r="D32" s="1804">
        <f t="shared" ref="D32:D45" si="4">SUM(F32/F$10,G32/G$10,H32/H$10,I32/I$10,J32/J$10,K32/K$10,L32/L$10)/7*100</f>
        <v>123.74704784643289</v>
      </c>
      <c r="E32" s="1815">
        <f>4.155+3.158+3.322+2.668+1.065+0.962+3.482</f>
        <v>18.812000000000001</v>
      </c>
      <c r="F32" s="1797">
        <v>22567517</v>
      </c>
      <c r="G32" s="1692">
        <v>16456719</v>
      </c>
      <c r="H32" s="1692">
        <v>22891996</v>
      </c>
      <c r="I32" s="1695">
        <v>14142582</v>
      </c>
      <c r="J32" s="1639">
        <v>4193161</v>
      </c>
      <c r="K32" s="1639">
        <v>4484481</v>
      </c>
      <c r="L32" s="1639">
        <v>19324061</v>
      </c>
      <c r="M32" s="5"/>
      <c r="N32" s="264"/>
      <c r="O32" s="265"/>
      <c r="P32" s="266"/>
      <c r="Q32" s="267"/>
      <c r="R32" s="52"/>
    </row>
    <row r="33" spans="1:18" ht="18">
      <c r="A33" s="263"/>
      <c r="B33" s="1547" t="s">
        <v>678</v>
      </c>
      <c r="C33" s="1624" t="s">
        <v>41</v>
      </c>
      <c r="D33" s="1804">
        <f t="shared" si="4"/>
        <v>124.31424492323242</v>
      </c>
      <c r="E33" s="1815">
        <f>13.379+9.023+9.193+8.815+4.306+3.543+11.643</f>
        <v>59.901999999999994</v>
      </c>
      <c r="F33" s="1797">
        <v>22589106</v>
      </c>
      <c r="G33" s="1692">
        <v>16093086</v>
      </c>
      <c r="H33" s="1705">
        <v>24040325</v>
      </c>
      <c r="I33" s="1706">
        <v>14187200</v>
      </c>
      <c r="J33" s="1611">
        <v>4323726</v>
      </c>
      <c r="K33" s="1611">
        <v>4337379</v>
      </c>
      <c r="L33" s="1611">
        <v>19329564</v>
      </c>
      <c r="M33" s="5"/>
      <c r="N33" s="264"/>
      <c r="O33" s="265"/>
      <c r="P33" s="266"/>
      <c r="Q33" s="267"/>
      <c r="R33" s="52"/>
    </row>
    <row r="34" spans="1:18" ht="18">
      <c r="A34" s="263"/>
      <c r="B34" s="2944" t="s">
        <v>1789</v>
      </c>
      <c r="C34" s="1690"/>
      <c r="D34" s="1804">
        <f t="shared" si="4"/>
        <v>125.04343211928739</v>
      </c>
      <c r="E34" s="1815">
        <f>6.829+4.516+5.186+4.546+1.881+1.515+6.045</f>
        <v>30.518000000000001</v>
      </c>
      <c r="F34" s="1598">
        <v>21992588</v>
      </c>
      <c r="G34" s="1708">
        <v>16074556</v>
      </c>
      <c r="H34" s="1709">
        <v>24090983</v>
      </c>
      <c r="I34" s="1710">
        <v>13855805</v>
      </c>
      <c r="J34" s="1711">
        <v>4690536</v>
      </c>
      <c r="K34" s="1711">
        <v>4304597</v>
      </c>
      <c r="L34" s="1711">
        <v>19084900</v>
      </c>
      <c r="M34" s="5"/>
      <c r="N34" s="264"/>
      <c r="O34" s="265"/>
      <c r="P34" s="266"/>
      <c r="Q34" s="267"/>
      <c r="R34" s="52"/>
    </row>
    <row r="35" spans="1:18" ht="18">
      <c r="A35" s="263"/>
      <c r="B35" s="881" t="s">
        <v>1176</v>
      </c>
      <c r="C35" s="1707" t="s">
        <v>41</v>
      </c>
      <c r="D35" s="1804">
        <f t="shared" si="4"/>
        <v>125.62432177916654</v>
      </c>
      <c r="E35" s="1815">
        <f>0.93+0.7+0.68+1.32+0.25+0.25+1.47</f>
        <v>5.6</v>
      </c>
      <c r="F35" s="1598">
        <v>22440627</v>
      </c>
      <c r="G35" s="1708">
        <v>16546052</v>
      </c>
      <c r="H35" s="1709">
        <v>23607372</v>
      </c>
      <c r="I35" s="1712">
        <v>14187150</v>
      </c>
      <c r="J35" s="1711">
        <v>4507252</v>
      </c>
      <c r="K35" s="1711">
        <v>4381385</v>
      </c>
      <c r="L35" s="1711">
        <v>19466977</v>
      </c>
      <c r="M35" s="5"/>
      <c r="N35" s="264"/>
      <c r="O35" s="265"/>
      <c r="P35" s="266"/>
      <c r="Q35" s="267"/>
      <c r="R35" s="52"/>
    </row>
    <row r="36" spans="1:18" ht="18">
      <c r="A36" s="263"/>
      <c r="B36" s="881" t="s">
        <v>1175</v>
      </c>
      <c r="C36" s="1624" t="s">
        <v>41</v>
      </c>
      <c r="D36" s="1804">
        <f t="shared" si="4"/>
        <v>125.82029609998648</v>
      </c>
      <c r="E36" s="1815"/>
      <c r="F36" s="1598">
        <v>22410291</v>
      </c>
      <c r="G36" s="1708">
        <v>16248352</v>
      </c>
      <c r="H36" s="1709">
        <v>23886837</v>
      </c>
      <c r="I36" s="1713">
        <v>14204602</v>
      </c>
      <c r="J36" s="1711">
        <v>4579636</v>
      </c>
      <c r="K36" s="1711">
        <v>4380579</v>
      </c>
      <c r="L36" s="1711">
        <v>19387475</v>
      </c>
      <c r="M36" s="5"/>
      <c r="N36" s="264"/>
      <c r="O36" s="265"/>
      <c r="P36" s="266"/>
      <c r="Q36" s="267"/>
      <c r="R36" s="52"/>
    </row>
    <row r="37" spans="1:18" ht="18">
      <c r="A37" s="263"/>
      <c r="B37" s="296" t="s">
        <v>1340</v>
      </c>
      <c r="C37" s="1704"/>
      <c r="D37" s="1804">
        <f t="shared" si="4"/>
        <v>125.98535015241666</v>
      </c>
      <c r="E37" s="1815">
        <f>11.9+7.3+8.7+6.5+2.7+2.2+8.6</f>
        <v>47.900000000000006</v>
      </c>
      <c r="F37" s="1797">
        <v>22451698</v>
      </c>
      <c r="G37" s="1692">
        <v>16461847</v>
      </c>
      <c r="H37" s="1705">
        <v>23951961</v>
      </c>
      <c r="I37" s="1705">
        <v>14164124</v>
      </c>
      <c r="J37" s="1711">
        <v>4539422</v>
      </c>
      <c r="K37" s="1711">
        <v>4421585</v>
      </c>
      <c r="L37" s="1711">
        <v>19345712</v>
      </c>
      <c r="M37" s="5"/>
      <c r="N37" s="264"/>
      <c r="O37" s="265"/>
      <c r="P37" s="266"/>
      <c r="Q37" s="267"/>
      <c r="R37" s="52"/>
    </row>
    <row r="38" spans="1:18" ht="18">
      <c r="A38" s="263"/>
      <c r="B38" s="885" t="s">
        <v>1202</v>
      </c>
      <c r="C38" s="1704"/>
      <c r="D38" s="1804">
        <f t="shared" si="4"/>
        <v>127.54615074335331</v>
      </c>
      <c r="E38" s="1815">
        <f>31.8+21.5+20.4+19.89+8.2+7.2+27.3</f>
        <v>136.29</v>
      </c>
      <c r="F38" s="1602">
        <v>23538119</v>
      </c>
      <c r="G38" s="1685">
        <v>17640667</v>
      </c>
      <c r="H38" s="1714">
        <v>26645409</v>
      </c>
      <c r="I38" s="1714">
        <v>14880706</v>
      </c>
      <c r="J38" s="1611">
        <v>3383054</v>
      </c>
      <c r="K38" s="1611">
        <v>4766228</v>
      </c>
      <c r="L38" s="1611">
        <v>21071124</v>
      </c>
      <c r="M38" s="5"/>
      <c r="N38" s="264"/>
      <c r="O38" s="265"/>
      <c r="P38" s="266"/>
      <c r="Q38" s="267"/>
      <c r="R38" s="52"/>
    </row>
    <row r="39" spans="1:18" ht="18">
      <c r="A39" s="268"/>
      <c r="B39" s="890" t="s">
        <v>1790</v>
      </c>
      <c r="C39" s="1715"/>
      <c r="D39" s="1804">
        <f t="shared" si="4"/>
        <v>127.98093151252246</v>
      </c>
      <c r="E39" s="1815">
        <f>3.57+2.25+2.44+2.07+1.02+0.71+2.86</f>
        <v>14.919999999999998</v>
      </c>
      <c r="F39" s="1798">
        <v>22184927</v>
      </c>
      <c r="G39" s="1609">
        <v>16351051</v>
      </c>
      <c r="H39" s="1609">
        <v>23972366</v>
      </c>
      <c r="I39" s="1609">
        <v>14102175</v>
      </c>
      <c r="J39" s="1609">
        <v>4969366</v>
      </c>
      <c r="K39" s="1609">
        <v>4441824</v>
      </c>
      <c r="L39" s="1609">
        <v>19392175</v>
      </c>
      <c r="M39" s="295"/>
      <c r="N39" s="269"/>
      <c r="O39" s="270"/>
      <c r="P39" s="266"/>
      <c r="Q39" s="267"/>
      <c r="R39" s="52"/>
    </row>
    <row r="40" spans="1:18" ht="18">
      <c r="A40" s="268"/>
      <c r="B40" s="1543" t="s">
        <v>1791</v>
      </c>
      <c r="C40" s="1704"/>
      <c r="D40" s="1804">
        <f t="shared" si="4"/>
        <v>128.84489326940766</v>
      </c>
      <c r="E40" s="1815">
        <f>1.56+1.58+1.48+0.93+0.34+0.33+1.58</f>
        <v>7.8</v>
      </c>
      <c r="F40" s="1798">
        <v>21837526</v>
      </c>
      <c r="G40" s="1609">
        <v>16693944</v>
      </c>
      <c r="H40" s="1609">
        <v>24629985</v>
      </c>
      <c r="I40" s="1609">
        <v>14205223</v>
      </c>
      <c r="J40" s="1640">
        <v>4847998</v>
      </c>
      <c r="K40" s="1662">
        <v>4586861</v>
      </c>
      <c r="L40" s="1611">
        <v>19679899</v>
      </c>
      <c r="M40" s="7"/>
      <c r="N40" s="269"/>
      <c r="O40" s="270"/>
      <c r="P40" s="266"/>
      <c r="Q40" s="267"/>
      <c r="R40" s="52"/>
    </row>
    <row r="41" spans="1:18" ht="18">
      <c r="A41" s="268"/>
      <c r="B41" s="1836" t="s">
        <v>1792</v>
      </c>
      <c r="C41" s="1733" t="s">
        <v>41</v>
      </c>
      <c r="D41" s="1804">
        <f t="shared" si="4"/>
        <v>128.84927108303361</v>
      </c>
      <c r="E41" s="1815">
        <f>14.04+11.42+14.88+9.42+3.29+3.22+13.29</f>
        <v>69.56</v>
      </c>
      <c r="F41" s="1798">
        <v>21838172</v>
      </c>
      <c r="G41" s="1609">
        <v>16694445</v>
      </c>
      <c r="H41" s="1609">
        <v>24631152</v>
      </c>
      <c r="I41" s="1609">
        <v>14205687</v>
      </c>
      <c r="J41" s="1610">
        <v>4848181</v>
      </c>
      <c r="K41" s="1610">
        <v>4586998</v>
      </c>
      <c r="L41" s="1610">
        <v>19680473</v>
      </c>
      <c r="M41" s="5"/>
      <c r="N41" s="269"/>
      <c r="O41" s="271"/>
      <c r="P41" s="266"/>
      <c r="Q41" s="267"/>
      <c r="R41" s="52"/>
    </row>
    <row r="42" spans="1:18" ht="18">
      <c r="A42" s="268"/>
      <c r="B42" s="881" t="s">
        <v>1224</v>
      </c>
      <c r="C42" s="1704"/>
      <c r="D42" s="1804">
        <f t="shared" si="4"/>
        <v>129.00244412797448</v>
      </c>
      <c r="E42" s="1815">
        <f>77.3+55.2+57.6+50.8+14.6+20.1+72.2</f>
        <v>347.79999999999995</v>
      </c>
      <c r="F42" s="1798">
        <v>24825846</v>
      </c>
      <c r="G42" s="1609">
        <v>17878608</v>
      </c>
      <c r="H42" s="1609">
        <v>24982132</v>
      </c>
      <c r="I42" s="1609">
        <v>15506943</v>
      </c>
      <c r="J42" s="1716">
        <v>3253794</v>
      </c>
      <c r="K42" s="1628">
        <v>5008216</v>
      </c>
      <c r="L42" s="1628">
        <v>21388343</v>
      </c>
      <c r="M42" s="5"/>
      <c r="N42" s="269"/>
      <c r="O42" s="271"/>
      <c r="P42" s="266"/>
      <c r="Q42" s="267"/>
      <c r="R42" s="52"/>
    </row>
    <row r="43" spans="1:18" ht="18" customHeight="1">
      <c r="A43" s="268"/>
      <c r="B43" s="1819" t="s">
        <v>1343</v>
      </c>
      <c r="C43" s="1715"/>
      <c r="D43" s="1804">
        <f t="shared" si="4"/>
        <v>129.02308396812566</v>
      </c>
      <c r="E43" s="1815"/>
      <c r="F43" s="1798">
        <v>23606803</v>
      </c>
      <c r="G43" s="1609">
        <f>40613990-23606803</f>
        <v>17007187</v>
      </c>
      <c r="H43" s="1609">
        <v>24634808</v>
      </c>
      <c r="I43" s="1609">
        <v>14861391</v>
      </c>
      <c r="J43" s="1716">
        <v>4358494</v>
      </c>
      <c r="K43" s="1628">
        <v>4495766</v>
      </c>
      <c r="L43" s="1628">
        <v>20433681</v>
      </c>
      <c r="M43" s="5"/>
      <c r="N43" s="269"/>
      <c r="O43" s="271"/>
      <c r="P43" s="266"/>
      <c r="Q43" s="267"/>
      <c r="R43" s="52"/>
    </row>
    <row r="44" spans="1:18" ht="18" customHeight="1">
      <c r="A44" s="268"/>
      <c r="B44" s="1567" t="s">
        <v>2129</v>
      </c>
      <c r="C44" s="1717" t="s">
        <v>41</v>
      </c>
      <c r="D44" s="1804">
        <f t="shared" si="4"/>
        <v>129.43037232913593</v>
      </c>
      <c r="E44" s="1815">
        <f>118.8+85.5+105.3+76.4+34.6+28+113.6</f>
        <v>562.20000000000005</v>
      </c>
      <c r="F44" s="1798">
        <v>23362374</v>
      </c>
      <c r="G44" s="1780">
        <v>16684038</v>
      </c>
      <c r="H44" s="1780">
        <v>24535366</v>
      </c>
      <c r="I44" s="1780">
        <v>14245942</v>
      </c>
      <c r="J44" s="2943">
        <v>4798530</v>
      </c>
      <c r="K44" s="1801">
        <v>4553370</v>
      </c>
      <c r="L44" s="1801">
        <v>19499662</v>
      </c>
      <c r="M44" s="5"/>
      <c r="N44" s="269"/>
      <c r="O44" s="271"/>
      <c r="P44" s="266"/>
      <c r="Q44" s="267"/>
      <c r="R44" s="52"/>
    </row>
    <row r="45" spans="1:18" ht="18" customHeight="1">
      <c r="A45" s="268" t="s">
        <v>1179</v>
      </c>
      <c r="B45" s="1543" t="s">
        <v>1810</v>
      </c>
      <c r="C45" s="1717" t="s">
        <v>41</v>
      </c>
      <c r="D45" s="1804">
        <f t="shared" si="4"/>
        <v>129.43974824300523</v>
      </c>
      <c r="E45" s="1815">
        <f>94.15+72.34+87.94+64.15+29.53+23.54+97.43</f>
        <v>469.08000000000004</v>
      </c>
      <c r="F45" s="1799">
        <v>23362248</v>
      </c>
      <c r="G45" s="1640">
        <v>16683492</v>
      </c>
      <c r="H45" s="1640">
        <v>24533604</v>
      </c>
      <c r="I45" s="1640">
        <v>14248034</v>
      </c>
      <c r="J45" s="1610">
        <v>4799486</v>
      </c>
      <c r="K45" s="1610">
        <v>4554874</v>
      </c>
      <c r="L45" s="1610">
        <v>19496566</v>
      </c>
      <c r="M45" s="5"/>
      <c r="N45" s="269"/>
      <c r="O45" s="270"/>
      <c r="P45" s="266"/>
      <c r="Q45" s="267"/>
      <c r="R45" s="52"/>
    </row>
    <row r="46" spans="1:18" ht="18" customHeight="1">
      <c r="A46" s="268"/>
      <c r="B46" s="1543" t="s">
        <v>1793</v>
      </c>
      <c r="C46" s="1717" t="s">
        <v>41</v>
      </c>
      <c r="D46" s="1804">
        <f t="shared" ref="D46:D53" si="5">SUM(F46/F$10,G46/G$10,H46/H$10,I46/I$10,J46/J$10,K46/K$10,L46/L$10)/7*100</f>
        <v>130.0411150120336</v>
      </c>
      <c r="E46" s="1845">
        <f>108.03+80.62+84.79+78.01+49.78+42.95+114.25</f>
        <v>558.43000000000006</v>
      </c>
      <c r="F46" s="1798">
        <v>23569296</v>
      </c>
      <c r="G46" s="1780">
        <v>16779910</v>
      </c>
      <c r="H46" s="1780">
        <v>24640344</v>
      </c>
      <c r="I46" s="1780">
        <v>14322328</v>
      </c>
      <c r="J46" s="1639">
        <v>4802984</v>
      </c>
      <c r="K46" s="1639">
        <v>4558506</v>
      </c>
      <c r="L46" s="1639">
        <v>19672444</v>
      </c>
      <c r="M46" s="5"/>
      <c r="N46" s="269"/>
      <c r="O46" s="270"/>
      <c r="P46" s="266"/>
      <c r="Q46" s="267"/>
      <c r="R46" s="52"/>
    </row>
    <row r="47" spans="1:18" ht="18" customHeight="1">
      <c r="A47" s="268"/>
      <c r="B47" s="309" t="s">
        <v>1225</v>
      </c>
      <c r="C47" s="1715"/>
      <c r="D47" s="1804">
        <f t="shared" si="5"/>
        <v>131.07759791932091</v>
      </c>
      <c r="E47" s="1845"/>
      <c r="F47" s="1798">
        <v>23474767</v>
      </c>
      <c r="G47" s="1780">
        <v>16530729</v>
      </c>
      <c r="H47" s="1780">
        <v>24384871</v>
      </c>
      <c r="I47" s="1780">
        <v>14487093</v>
      </c>
      <c r="J47" s="1639">
        <v>5082666</v>
      </c>
      <c r="K47" s="1639">
        <v>4543439</v>
      </c>
      <c r="L47" s="1639">
        <v>19584186</v>
      </c>
      <c r="M47" s="5"/>
      <c r="N47" s="269"/>
      <c r="O47" s="270"/>
      <c r="P47" s="266"/>
      <c r="Q47" s="267"/>
      <c r="R47" s="52"/>
    </row>
    <row r="48" spans="1:18" ht="18">
      <c r="A48" s="268"/>
      <c r="B48" s="1543" t="s">
        <v>1929</v>
      </c>
      <c r="C48" s="1717" t="s">
        <v>41</v>
      </c>
      <c r="D48" s="1804">
        <f t="shared" si="5"/>
        <v>131.21875637200915</v>
      </c>
      <c r="E48" s="1815">
        <f>39+24.9+20.4+29.2+16.9+15.3+43.9</f>
        <v>189.60000000000002</v>
      </c>
      <c r="F48" s="1800">
        <v>23460000</v>
      </c>
      <c r="G48" s="1718">
        <v>16956112</v>
      </c>
      <c r="H48" s="1718">
        <v>24735968</v>
      </c>
      <c r="I48" s="1718">
        <v>14535148</v>
      </c>
      <c r="J48" s="1610">
        <v>4856122</v>
      </c>
      <c r="K48" s="1610">
        <v>4658484</v>
      </c>
      <c r="L48" s="1610">
        <v>19744160</v>
      </c>
      <c r="M48" s="5"/>
      <c r="N48" s="264"/>
      <c r="O48" s="265"/>
      <c r="P48" s="266"/>
      <c r="Q48" s="267"/>
      <c r="R48" s="52"/>
    </row>
    <row r="49" spans="1:18" ht="18">
      <c r="A49" s="268"/>
      <c r="B49" s="1543" t="s">
        <v>1930</v>
      </c>
      <c r="C49" s="1720" t="s">
        <v>41</v>
      </c>
      <c r="D49" s="1804">
        <f t="shared" si="5"/>
        <v>131.66271987600422</v>
      </c>
      <c r="E49" s="1815">
        <f>38.7+25.1+20.6+28.5+16.5+15+43.8</f>
        <v>188.2</v>
      </c>
      <c r="F49" s="1798">
        <v>23460000</v>
      </c>
      <c r="G49" s="1609">
        <v>16956112</v>
      </c>
      <c r="H49" s="1609">
        <v>24735968</v>
      </c>
      <c r="I49" s="1609">
        <v>14535148</v>
      </c>
      <c r="J49" s="1610">
        <v>4918362</v>
      </c>
      <c r="K49" s="1610">
        <v>4687128</v>
      </c>
      <c r="L49" s="1610">
        <v>19744160</v>
      </c>
      <c r="M49" s="5"/>
      <c r="N49" s="264"/>
      <c r="O49" s="265"/>
      <c r="P49" s="266"/>
      <c r="Q49" s="267"/>
      <c r="R49" s="52"/>
    </row>
    <row r="50" spans="1:18" ht="18">
      <c r="A50" s="268"/>
      <c r="B50" s="1547" t="s">
        <v>1570</v>
      </c>
      <c r="C50" s="1720"/>
      <c r="D50" s="1804">
        <f t="shared" si="5"/>
        <v>132.09965477911368</v>
      </c>
      <c r="E50" s="1815">
        <f>0.562+0.39+0.36+0.39+0.17+0.16+0.5</f>
        <v>2.532</v>
      </c>
      <c r="F50" s="1798">
        <v>22589245</v>
      </c>
      <c r="G50" s="1609">
        <v>16928976</v>
      </c>
      <c r="H50" s="1609">
        <v>24169039</v>
      </c>
      <c r="I50" s="1609">
        <v>15487582</v>
      </c>
      <c r="J50" s="1610">
        <v>4878868</v>
      </c>
      <c r="K50" s="1610">
        <v>4577420</v>
      </c>
      <c r="L50" s="1610">
        <v>20910171</v>
      </c>
      <c r="M50" s="5"/>
      <c r="N50" s="264"/>
      <c r="O50" s="265"/>
      <c r="P50" s="266"/>
      <c r="Q50" s="267"/>
      <c r="R50" s="52"/>
    </row>
    <row r="51" spans="1:18" ht="18">
      <c r="A51" s="268"/>
      <c r="B51" s="1547" t="s">
        <v>1794</v>
      </c>
      <c r="C51" s="1715"/>
      <c r="D51" s="1804">
        <f t="shared" si="5"/>
        <v>132.3141196392281</v>
      </c>
      <c r="E51" s="1815">
        <f>22.96+15.69+21.38+14.13+5.76+5.25+19.39</f>
        <v>104.56</v>
      </c>
      <c r="F51" s="1798">
        <v>24084128</v>
      </c>
      <c r="G51" s="1609">
        <v>16893238</v>
      </c>
      <c r="H51" s="1609">
        <v>26224652</v>
      </c>
      <c r="I51" s="1609">
        <v>14464508</v>
      </c>
      <c r="J51" s="1610">
        <v>4776546</v>
      </c>
      <c r="K51" s="1610">
        <v>4629707</v>
      </c>
      <c r="L51" s="1610">
        <v>20097376</v>
      </c>
      <c r="M51" s="5"/>
      <c r="N51" s="264"/>
      <c r="O51" s="265"/>
      <c r="P51" s="266"/>
      <c r="Q51" s="267"/>
      <c r="R51" s="52"/>
    </row>
    <row r="52" spans="1:18" ht="18">
      <c r="A52" s="268"/>
      <c r="B52" s="891" t="s">
        <v>1795</v>
      </c>
      <c r="C52" s="1721" t="s">
        <v>41</v>
      </c>
      <c r="D52" s="1804">
        <f t="shared" si="5"/>
        <v>132.45214681007334</v>
      </c>
      <c r="E52" s="1815">
        <f>4.964+3.049+3.989+2.735+1.048+0.96+3.575</f>
        <v>20.319999999999997</v>
      </c>
      <c r="F52" s="1798">
        <v>22730114</v>
      </c>
      <c r="G52" s="1609">
        <v>17307860</v>
      </c>
      <c r="H52" s="1609">
        <v>24770362</v>
      </c>
      <c r="I52" s="1609">
        <v>14744122</v>
      </c>
      <c r="J52" s="1610">
        <v>5005496</v>
      </c>
      <c r="K52" s="1610">
        <v>4636742</v>
      </c>
      <c r="L52" s="1610">
        <v>20283782</v>
      </c>
      <c r="M52" s="5"/>
      <c r="N52" s="264"/>
      <c r="O52" s="265"/>
      <c r="P52" s="266"/>
      <c r="Q52" s="267"/>
      <c r="R52" s="52"/>
    </row>
    <row r="53" spans="1:18" ht="18">
      <c r="A53" s="268"/>
      <c r="B53" s="898" t="s">
        <v>648</v>
      </c>
      <c r="C53" s="1722"/>
      <c r="D53" s="1804">
        <f t="shared" si="5"/>
        <v>134.16041588118142</v>
      </c>
      <c r="E53" s="1815"/>
      <c r="F53" s="1798">
        <v>23861260</v>
      </c>
      <c r="G53" s="1609">
        <v>16807268</v>
      </c>
      <c r="H53" s="1609">
        <v>25463092</v>
      </c>
      <c r="I53" s="1609">
        <v>14801588</v>
      </c>
      <c r="J53" s="1610">
        <v>5272700</v>
      </c>
      <c r="K53" s="1610">
        <v>4533320</v>
      </c>
      <c r="L53" s="1610">
        <v>20094340</v>
      </c>
      <c r="M53" s="5"/>
      <c r="N53" s="264"/>
      <c r="O53" s="265"/>
      <c r="P53" s="266"/>
      <c r="Q53" s="267"/>
      <c r="R53" s="52"/>
    </row>
    <row r="54" spans="1:18" ht="18">
      <c r="A54" s="268"/>
      <c r="B54" s="891" t="s">
        <v>638</v>
      </c>
      <c r="C54" s="1723"/>
      <c r="D54" s="1804">
        <f t="shared" ref="D54:D62" si="6">SUM(F54/F$10,G54/G$10,H54/H$10,I54/I$10,J54/J$10,K54/K$10,L54/L$10)/7*100</f>
        <v>134.98261343090044</v>
      </c>
      <c r="E54" s="1815"/>
      <c r="F54" s="1798">
        <v>22748170</v>
      </c>
      <c r="G54" s="1609">
        <v>23421222</v>
      </c>
      <c r="H54" s="1609">
        <v>25860797</v>
      </c>
      <c r="I54" s="1609">
        <v>15257023</v>
      </c>
      <c r="J54" s="1610">
        <v>4057990</v>
      </c>
      <c r="K54" s="1610">
        <v>4426443</v>
      </c>
      <c r="L54" s="1610">
        <v>21185317</v>
      </c>
      <c r="M54" s="5"/>
      <c r="N54" s="264"/>
      <c r="O54" s="265"/>
      <c r="P54" s="266"/>
      <c r="Q54" s="267"/>
      <c r="R54" s="52"/>
    </row>
    <row r="55" spans="1:18" ht="18">
      <c r="A55" s="268"/>
      <c r="B55" s="890" t="s">
        <v>1344</v>
      </c>
      <c r="C55" s="1724" t="s">
        <v>41</v>
      </c>
      <c r="D55" s="1804">
        <f t="shared" si="6"/>
        <v>137.2055738613667</v>
      </c>
      <c r="E55" s="1815"/>
      <c r="F55" s="1798">
        <v>24774628</v>
      </c>
      <c r="G55" s="1609">
        <v>17851305</v>
      </c>
      <c r="H55" s="1609">
        <v>25058889</v>
      </c>
      <c r="I55" s="1609">
        <v>16215330</v>
      </c>
      <c r="J55" s="1610">
        <v>4635957</v>
      </c>
      <c r="K55" s="1610">
        <v>4973128</v>
      </c>
      <c r="L55" s="1610">
        <v>21670077</v>
      </c>
      <c r="M55" s="5"/>
      <c r="N55" s="264"/>
      <c r="O55" s="265"/>
      <c r="P55" s="266"/>
      <c r="Q55" s="267"/>
      <c r="R55" s="52"/>
    </row>
    <row r="56" spans="1:18" ht="18">
      <c r="A56" s="268"/>
      <c r="B56" s="891" t="s">
        <v>1310</v>
      </c>
      <c r="C56" s="1725"/>
      <c r="D56" s="1804">
        <f t="shared" si="6"/>
        <v>137.88278283998204</v>
      </c>
      <c r="E56" s="1815">
        <f>20.67+15.2+23.23+13.3+5.88+4.56+27.31</f>
        <v>110.15</v>
      </c>
      <c r="F56" s="1798">
        <v>25521888</v>
      </c>
      <c r="G56" s="1609">
        <v>18793695</v>
      </c>
      <c r="H56" s="1609">
        <v>25261657</v>
      </c>
      <c r="I56" s="1609">
        <v>16486125</v>
      </c>
      <c r="J56" s="1610">
        <v>4292459</v>
      </c>
      <c r="K56" s="1610">
        <v>4948695</v>
      </c>
      <c r="L56" s="1610">
        <v>22357458</v>
      </c>
      <c r="M56" s="5"/>
      <c r="N56" s="264"/>
      <c r="O56" s="265"/>
      <c r="P56" s="266"/>
      <c r="Q56" s="267"/>
      <c r="R56" s="52"/>
    </row>
    <row r="57" spans="1:18" ht="18">
      <c r="A57" s="268"/>
      <c r="B57" s="1015" t="s">
        <v>1302</v>
      </c>
      <c r="C57" s="1612" t="s">
        <v>41</v>
      </c>
      <c r="D57" s="1804">
        <f t="shared" si="6"/>
        <v>138.73169847245549</v>
      </c>
      <c r="E57" s="1815"/>
      <c r="F57" s="1798">
        <v>27330710</v>
      </c>
      <c r="G57" s="1609">
        <v>18866341</v>
      </c>
      <c r="H57" s="1609">
        <v>25493824</v>
      </c>
      <c r="I57" s="1609">
        <v>19316593</v>
      </c>
      <c r="J57" s="1610">
        <v>3341860</v>
      </c>
      <c r="K57" s="1610">
        <v>5114974</v>
      </c>
      <c r="L57" s="1610">
        <v>22351875</v>
      </c>
      <c r="M57" s="5"/>
      <c r="N57" s="264"/>
      <c r="O57" s="265"/>
      <c r="P57" s="266"/>
      <c r="Q57" s="267"/>
      <c r="R57" s="52"/>
    </row>
    <row r="58" spans="1:18" ht="18">
      <c r="A58" s="268"/>
      <c r="B58" s="890" t="s">
        <v>1206</v>
      </c>
      <c r="C58" s="1723"/>
      <c r="D58" s="1804">
        <f t="shared" si="6"/>
        <v>139.1364476285776</v>
      </c>
      <c r="E58" s="1815"/>
      <c r="F58" s="1799">
        <v>27907702</v>
      </c>
      <c r="G58" s="1640">
        <v>17550489</v>
      </c>
      <c r="H58" s="1640">
        <v>24769492</v>
      </c>
      <c r="I58" s="1640">
        <v>18559690</v>
      </c>
      <c r="J58" s="1610">
        <v>4260256</v>
      </c>
      <c r="K58" s="1610">
        <v>4850441</v>
      </c>
      <c r="L58" s="1610">
        <v>21186013</v>
      </c>
      <c r="M58" s="5"/>
      <c r="N58" s="264"/>
      <c r="O58" s="265"/>
      <c r="P58" s="266"/>
      <c r="Q58" s="267"/>
      <c r="R58" s="52"/>
    </row>
    <row r="59" spans="1:18" ht="18">
      <c r="A59" s="268"/>
      <c r="B59" s="890" t="s">
        <v>1796</v>
      </c>
      <c r="C59" s="1720" t="s">
        <v>41</v>
      </c>
      <c r="D59" s="1804">
        <f t="shared" si="6"/>
        <v>139.5858823780103</v>
      </c>
      <c r="E59" s="1815">
        <f>19.34+23.06+33.22+18.79+3.2+6.47+33.09</f>
        <v>137.17000000000002</v>
      </c>
      <c r="F59" s="1798">
        <v>25389843</v>
      </c>
      <c r="G59" s="1609">
        <v>18437884</v>
      </c>
      <c r="H59" s="1609">
        <v>25344036</v>
      </c>
      <c r="I59" s="1609">
        <v>16421863</v>
      </c>
      <c r="J59" s="1610">
        <v>4677269</v>
      </c>
      <c r="K59" s="1610">
        <v>5052920</v>
      </c>
      <c r="L59" s="1610">
        <v>22052254</v>
      </c>
      <c r="M59" s="5"/>
      <c r="N59" s="264"/>
      <c r="O59" s="272"/>
      <c r="P59" s="266"/>
      <c r="Q59" s="267"/>
      <c r="R59" s="52"/>
    </row>
    <row r="60" spans="1:18" ht="18">
      <c r="A60" s="268"/>
      <c r="B60" s="890" t="s">
        <v>1171</v>
      </c>
      <c r="C60" s="1725"/>
      <c r="D60" s="1804">
        <f t="shared" si="6"/>
        <v>140.24217331241186</v>
      </c>
      <c r="E60" s="1815">
        <f>186.7+134.31+70.67+153.34+93.18+74.81+286.34</f>
        <v>999.34999999999991</v>
      </c>
      <c r="F60" s="1799">
        <v>25377490</v>
      </c>
      <c r="G60" s="1640">
        <v>17860931</v>
      </c>
      <c r="H60" s="1640">
        <v>24708460</v>
      </c>
      <c r="I60" s="1640">
        <v>15808122</v>
      </c>
      <c r="J60" s="1610">
        <v>5236077</v>
      </c>
      <c r="K60" s="1610">
        <v>5074827</v>
      </c>
      <c r="L60" s="1610">
        <v>21378541</v>
      </c>
      <c r="M60" s="5"/>
      <c r="N60" s="264"/>
      <c r="O60" s="265"/>
      <c r="P60" s="266"/>
      <c r="Q60" s="267"/>
      <c r="R60" s="52"/>
    </row>
    <row r="61" spans="1:18" ht="18">
      <c r="A61" s="268"/>
      <c r="B61" s="297" t="s">
        <v>646</v>
      </c>
      <c r="C61" s="1717" t="s">
        <v>41</v>
      </c>
      <c r="D61" s="1804">
        <f t="shared" si="6"/>
        <v>140.26486819598361</v>
      </c>
      <c r="E61" s="1815"/>
      <c r="F61" s="1798">
        <v>24370189</v>
      </c>
      <c r="G61" s="1609">
        <v>17902544</v>
      </c>
      <c r="H61" s="1609">
        <v>25674966</v>
      </c>
      <c r="I61" s="1609">
        <v>15216535</v>
      </c>
      <c r="J61" s="1610">
        <v>5521768</v>
      </c>
      <c r="K61" s="1610">
        <v>4935879</v>
      </c>
      <c r="L61" s="1610">
        <v>21263545</v>
      </c>
      <c r="M61" s="5"/>
      <c r="N61" s="264"/>
      <c r="O61" s="265"/>
      <c r="P61" s="266"/>
      <c r="Q61" s="267"/>
      <c r="R61" s="52"/>
    </row>
    <row r="62" spans="1:18" ht="18">
      <c r="A62" s="268" t="s">
        <v>1181</v>
      </c>
      <c r="B62" s="309" t="s">
        <v>1177</v>
      </c>
      <c r="C62" s="1715"/>
      <c r="D62" s="1804">
        <f t="shared" si="6"/>
        <v>140.62825310201305</v>
      </c>
      <c r="E62" s="1815"/>
      <c r="F62" s="1798">
        <v>24208250</v>
      </c>
      <c r="G62" s="1609">
        <v>18122050</v>
      </c>
      <c r="H62" s="1609">
        <v>25734575</v>
      </c>
      <c r="I62" s="1609">
        <v>15455345</v>
      </c>
      <c r="J62" s="1610">
        <v>5322946</v>
      </c>
      <c r="K62" s="1610">
        <v>5099476</v>
      </c>
      <c r="L62" s="1610">
        <v>21611151</v>
      </c>
      <c r="M62" s="5"/>
      <c r="N62" s="264"/>
      <c r="O62" s="270"/>
      <c r="P62" s="266"/>
      <c r="Q62" s="267"/>
      <c r="R62" s="52"/>
    </row>
    <row r="63" spans="1:18" ht="18">
      <c r="A63" s="268"/>
      <c r="B63" s="1544" t="s">
        <v>1798</v>
      </c>
      <c r="C63" s="1717"/>
      <c r="D63" s="1804">
        <f>SUM(F63/F$10,G63/G$10,H63/H$10,I63/I$10,J63/J$10,K63/K$10,L63/L$10)/7*100</f>
        <v>142.70140138447283</v>
      </c>
      <c r="E63" s="1815">
        <f>38.12+24.95+25+25.09+6.86+9.56+35.22</f>
        <v>164.79999999999998</v>
      </c>
      <c r="F63" s="1799">
        <v>25384510</v>
      </c>
      <c r="G63" s="1640">
        <v>19527363</v>
      </c>
      <c r="H63" s="1640">
        <v>25609336</v>
      </c>
      <c r="I63" s="1640">
        <v>17910621</v>
      </c>
      <c r="J63" s="1610">
        <v>3275121</v>
      </c>
      <c r="K63" s="1610">
        <v>6496729</v>
      </c>
      <c r="L63" s="1610">
        <v>23681901</v>
      </c>
      <c r="M63" s="5"/>
      <c r="N63" s="269"/>
      <c r="O63" s="265"/>
      <c r="P63" s="266"/>
      <c r="Q63" s="267"/>
      <c r="R63" s="52"/>
    </row>
    <row r="64" spans="1:18" ht="18">
      <c r="A64" s="268" t="s">
        <v>1182</v>
      </c>
      <c r="B64" s="890" t="s">
        <v>1932</v>
      </c>
      <c r="C64" s="1717" t="s">
        <v>41</v>
      </c>
      <c r="D64" s="1804">
        <f t="shared" ref="D64:D96" si="7">SUM(F64/F$10,G64/G$10,H64/H$10,I64/I$10,J64/J$10,K64/K$10,L64/L$10)/7*100</f>
        <v>143.40700342639008</v>
      </c>
      <c r="E64" s="1815">
        <f>45.1+30.6+19.2+32.4+33.3+18.8+40.8</f>
        <v>220.20000000000005</v>
      </c>
      <c r="F64" s="1799">
        <v>24183146</v>
      </c>
      <c r="G64" s="1640">
        <v>18203636</v>
      </c>
      <c r="H64" s="1640">
        <v>25258236</v>
      </c>
      <c r="I64" s="1640">
        <v>16154899</v>
      </c>
      <c r="J64" s="1610">
        <v>5519482</v>
      </c>
      <c r="K64" s="1610">
        <v>5232767</v>
      </c>
      <c r="L64" s="1610">
        <v>22309056</v>
      </c>
      <c r="M64" s="5"/>
      <c r="N64" s="264"/>
      <c r="O64" s="270"/>
      <c r="P64" s="266"/>
      <c r="Q64" s="267"/>
      <c r="R64" s="52"/>
    </row>
    <row r="65" spans="1:18" ht="18">
      <c r="A65" s="268"/>
      <c r="B65" s="1855" t="s">
        <v>1809</v>
      </c>
      <c r="C65" s="1725" t="s">
        <v>41</v>
      </c>
      <c r="D65" s="1804">
        <f t="shared" si="7"/>
        <v>143.58475319608553</v>
      </c>
      <c r="E65" s="1815">
        <f>2.265+1.531+1.593+1.515+0.687+0.562+2.031</f>
        <v>10.184000000000001</v>
      </c>
      <c r="F65" s="1800">
        <v>24024795</v>
      </c>
      <c r="G65" s="1718">
        <v>17994247</v>
      </c>
      <c r="H65" s="1718">
        <v>24622468</v>
      </c>
      <c r="I65" s="1718">
        <v>15398348</v>
      </c>
      <c r="J65" s="1610">
        <v>5980150</v>
      </c>
      <c r="K65" s="1610">
        <v>5283886</v>
      </c>
      <c r="L65" s="1610">
        <v>21434630</v>
      </c>
      <c r="M65" s="5"/>
      <c r="N65" s="264"/>
      <c r="O65" s="265"/>
      <c r="P65" s="266"/>
      <c r="Q65" s="267"/>
      <c r="R65" s="52"/>
    </row>
    <row r="66" spans="1:18" ht="18">
      <c r="A66" s="268"/>
      <c r="B66" s="2978" t="s">
        <v>2134</v>
      </c>
      <c r="C66" s="1827" t="s">
        <v>41</v>
      </c>
      <c r="D66" s="1804">
        <f t="shared" si="7"/>
        <v>143.89508199471072</v>
      </c>
      <c r="E66" s="1815">
        <f>14.9+10.4+12.3+10.1+4.3+3.7+13.3</f>
        <v>69</v>
      </c>
      <c r="F66" s="1800">
        <v>26018806</v>
      </c>
      <c r="G66" s="1818">
        <v>18725605</v>
      </c>
      <c r="H66" s="1818">
        <v>26364408</v>
      </c>
      <c r="I66" s="1818">
        <v>16312167</v>
      </c>
      <c r="J66" s="1639">
        <v>5038034</v>
      </c>
      <c r="K66" s="1639">
        <v>5298285</v>
      </c>
      <c r="L66" s="1639">
        <v>22150761</v>
      </c>
      <c r="M66" s="5"/>
      <c r="N66" s="264"/>
      <c r="O66" s="265"/>
      <c r="P66" s="266"/>
      <c r="Q66" s="267"/>
      <c r="R66" s="52"/>
    </row>
    <row r="67" spans="1:18" ht="18">
      <c r="A67" s="268"/>
      <c r="B67" s="1854" t="s">
        <v>1797</v>
      </c>
      <c r="C67" s="1827" t="s">
        <v>41</v>
      </c>
      <c r="D67" s="1804">
        <f>SUM(F67/F$10,G67/G$10,H67/H$10,I67/I$10,J67/J$10,K67/K$10,L67/L$10)/7*100</f>
        <v>143.89508199471072</v>
      </c>
      <c r="E67" s="1815">
        <f>14.1+9.9+11.37+9.45+4.03+3.55+12.56</f>
        <v>64.959999999999994</v>
      </c>
      <c r="F67" s="1800">
        <v>26018806</v>
      </c>
      <c r="G67" s="1718">
        <v>18725605</v>
      </c>
      <c r="H67" s="1718">
        <v>26364408</v>
      </c>
      <c r="I67" s="1718">
        <v>16312167</v>
      </c>
      <c r="J67" s="1610">
        <v>5038034</v>
      </c>
      <c r="K67" s="1610">
        <v>5298285</v>
      </c>
      <c r="L67" s="1610">
        <v>22150761</v>
      </c>
      <c r="M67" s="5"/>
      <c r="N67" s="54"/>
      <c r="O67" s="270"/>
      <c r="P67" s="266"/>
      <c r="Q67" s="267"/>
      <c r="R67" s="52"/>
    </row>
    <row r="68" spans="1:18" ht="18">
      <c r="A68" s="268" t="s">
        <v>1183</v>
      </c>
      <c r="B68" s="309" t="s">
        <v>1621</v>
      </c>
      <c r="C68" s="1717" t="s">
        <v>41</v>
      </c>
      <c r="D68" s="1804">
        <f t="shared" si="7"/>
        <v>144.06202764558017</v>
      </c>
      <c r="E68" s="1815"/>
      <c r="F68" s="1799">
        <v>26258395</v>
      </c>
      <c r="G68" s="1640">
        <v>18891051</v>
      </c>
      <c r="H68" s="1609">
        <v>25729701</v>
      </c>
      <c r="I68" s="1609">
        <v>17180713</v>
      </c>
      <c r="J68" s="1610">
        <v>4835913</v>
      </c>
      <c r="K68" s="1610">
        <v>5222042</v>
      </c>
      <c r="L68" s="1610">
        <v>22788398</v>
      </c>
      <c r="M68" s="5"/>
      <c r="N68" s="54"/>
      <c r="O68" s="265"/>
      <c r="P68" s="266"/>
      <c r="Q68" s="267"/>
      <c r="R68" s="52"/>
    </row>
    <row r="69" spans="1:18" ht="18">
      <c r="A69" s="268"/>
      <c r="B69" s="1853" t="s">
        <v>550</v>
      </c>
      <c r="C69" s="1725" t="s">
        <v>41</v>
      </c>
      <c r="D69" s="1804">
        <f t="shared" si="7"/>
        <v>144.34086270001666</v>
      </c>
      <c r="E69" s="1815"/>
      <c r="F69" s="1798">
        <v>25382084</v>
      </c>
      <c r="G69" s="1780">
        <v>18270013</v>
      </c>
      <c r="H69" s="1780">
        <v>26198652</v>
      </c>
      <c r="I69" s="1780">
        <v>15730861</v>
      </c>
      <c r="J69" s="1639">
        <v>5352100</v>
      </c>
      <c r="K69" s="1639">
        <v>5518631</v>
      </c>
      <c r="L69" s="1639">
        <v>21768333</v>
      </c>
      <c r="M69" s="5"/>
      <c r="N69" s="54"/>
      <c r="O69" s="265"/>
      <c r="P69" s="266"/>
      <c r="Q69" s="267"/>
      <c r="R69" s="52"/>
    </row>
    <row r="70" spans="1:18" ht="18">
      <c r="A70" s="268" t="s">
        <v>1184</v>
      </c>
      <c r="B70" s="891" t="s">
        <v>1305</v>
      </c>
      <c r="C70" s="1723"/>
      <c r="D70" s="1804">
        <f t="shared" si="7"/>
        <v>144.55101024840593</v>
      </c>
      <c r="E70" s="1815"/>
      <c r="F70" s="1800">
        <v>25189990</v>
      </c>
      <c r="G70" s="1718">
        <v>18002622</v>
      </c>
      <c r="H70" s="1718">
        <v>24622394</v>
      </c>
      <c r="I70" s="1718">
        <v>15590187</v>
      </c>
      <c r="J70" s="1610">
        <v>5980079</v>
      </c>
      <c r="K70" s="1610">
        <v>5238694</v>
      </c>
      <c r="L70" s="1610">
        <v>21458478</v>
      </c>
      <c r="M70" s="5"/>
      <c r="N70" s="54"/>
      <c r="O70" s="270"/>
      <c r="P70" s="266"/>
      <c r="Q70" s="267"/>
      <c r="R70" s="52"/>
    </row>
    <row r="71" spans="1:18" ht="18">
      <c r="A71" s="268" t="s">
        <v>1185</v>
      </c>
      <c r="B71" s="309" t="s">
        <v>1173</v>
      </c>
      <c r="C71" s="1727" t="s">
        <v>41</v>
      </c>
      <c r="D71" s="1804">
        <f t="shared" si="7"/>
        <v>147.78665621741209</v>
      </c>
      <c r="E71" s="1815">
        <f>11.31+7.73+8.15+7.86+2.89+2.83+10.38</f>
        <v>51.15</v>
      </c>
      <c r="F71" s="1800">
        <v>24193824</v>
      </c>
      <c r="G71" s="1718">
        <v>18778259</v>
      </c>
      <c r="H71" s="1718">
        <v>25996396</v>
      </c>
      <c r="I71" s="1718">
        <v>19033366</v>
      </c>
      <c r="J71" s="1610">
        <v>4929675</v>
      </c>
      <c r="K71" s="1610">
        <v>5393914</v>
      </c>
      <c r="L71" s="1610">
        <v>24823439</v>
      </c>
      <c r="M71" s="5"/>
      <c r="N71" s="264"/>
      <c r="O71" s="265"/>
      <c r="P71" s="266"/>
      <c r="Q71" s="267"/>
      <c r="R71" s="52"/>
    </row>
    <row r="72" spans="1:18" ht="18">
      <c r="A72" s="268"/>
      <c r="B72" s="309" t="s">
        <v>1174</v>
      </c>
      <c r="C72" s="1816" t="s">
        <v>41</v>
      </c>
      <c r="D72" s="1817">
        <f t="shared" si="7"/>
        <v>147.90373706360404</v>
      </c>
      <c r="E72" s="1815">
        <f>2.12+1.41+1.5+1.42+0.58+0.56+1.92</f>
        <v>9.51</v>
      </c>
      <c r="F72" s="1800">
        <v>24244624</v>
      </c>
      <c r="G72" s="1818">
        <v>18782614</v>
      </c>
      <c r="H72" s="1818">
        <v>26145967</v>
      </c>
      <c r="I72" s="1818">
        <v>19013752</v>
      </c>
      <c r="J72" s="1639">
        <v>4931107</v>
      </c>
      <c r="K72" s="1639">
        <v>5392644</v>
      </c>
      <c r="L72" s="1639">
        <v>24816997</v>
      </c>
      <c r="M72" s="5"/>
      <c r="N72" s="264"/>
      <c r="O72" s="265"/>
      <c r="P72" s="266"/>
      <c r="Q72" s="267"/>
      <c r="R72" s="52"/>
    </row>
    <row r="73" spans="1:18" ht="18">
      <c r="A73" s="268" t="s">
        <v>1186</v>
      </c>
      <c r="B73" s="890" t="s">
        <v>1316</v>
      </c>
      <c r="C73" s="1717"/>
      <c r="D73" s="1804">
        <f t="shared" si="7"/>
        <v>150.92148958851323</v>
      </c>
      <c r="E73" s="1815">
        <f>106.61+111.5+117.76+83.06+17.5+37.17+128.26</f>
        <v>601.86</v>
      </c>
      <c r="F73" s="1800">
        <v>26449102</v>
      </c>
      <c r="G73" s="1718">
        <v>21316602</v>
      </c>
      <c r="H73" s="1718">
        <v>26049868</v>
      </c>
      <c r="I73" s="1718">
        <v>18457101</v>
      </c>
      <c r="J73" s="1610">
        <v>3253233</v>
      </c>
      <c r="K73" s="1610">
        <v>7262432</v>
      </c>
      <c r="L73" s="1610">
        <v>25557990</v>
      </c>
      <c r="M73" s="5"/>
      <c r="N73" s="264"/>
      <c r="O73" s="265"/>
      <c r="P73" s="266"/>
      <c r="Q73" s="267"/>
      <c r="R73" s="52"/>
    </row>
    <row r="74" spans="1:18" ht="18">
      <c r="A74" s="268" t="s">
        <v>1187</v>
      </c>
      <c r="B74" s="309" t="s">
        <v>1362</v>
      </c>
      <c r="C74" s="1727" t="s">
        <v>41</v>
      </c>
      <c r="D74" s="1804">
        <f t="shared" si="7"/>
        <v>151.68127495232994</v>
      </c>
      <c r="E74" s="1815">
        <f>27+9+8+12+10+3+15</f>
        <v>84</v>
      </c>
      <c r="F74" s="1799">
        <v>27032192</v>
      </c>
      <c r="G74" s="1640">
        <v>20051579</v>
      </c>
      <c r="H74" s="1640">
        <v>26677154</v>
      </c>
      <c r="I74" s="1640">
        <v>18248704</v>
      </c>
      <c r="J74" s="1610">
        <v>4939214</v>
      </c>
      <c r="K74" s="1610">
        <v>5735876</v>
      </c>
      <c r="L74" s="1610">
        <v>24237423</v>
      </c>
      <c r="M74" s="5"/>
      <c r="N74" s="54"/>
      <c r="O74" s="265"/>
      <c r="P74" s="266"/>
      <c r="Q74" s="267"/>
      <c r="R74" s="52"/>
    </row>
    <row r="75" spans="1:18" ht="18">
      <c r="A75" s="268"/>
      <c r="B75" s="1547" t="s">
        <v>1358</v>
      </c>
      <c r="C75" s="1720" t="s">
        <v>41</v>
      </c>
      <c r="D75" s="1804">
        <f t="shared" si="7"/>
        <v>152.85021676289196</v>
      </c>
      <c r="E75" s="1822">
        <f>0.29+0.2+0.18+0.22+0.09+0.08+0.25</f>
        <v>1.3099999999999998</v>
      </c>
      <c r="F75" s="1799">
        <v>25039528</v>
      </c>
      <c r="G75" s="1640">
        <v>18719064</v>
      </c>
      <c r="H75" s="1640">
        <v>25827312</v>
      </c>
      <c r="I75" s="1640">
        <v>17790124</v>
      </c>
      <c r="J75" s="1610">
        <v>6165208</v>
      </c>
      <c r="K75" s="1610">
        <v>5494648</v>
      </c>
      <c r="L75" s="1610">
        <v>23949432</v>
      </c>
      <c r="M75" s="5"/>
      <c r="N75" s="264"/>
      <c r="O75" s="265"/>
      <c r="P75" s="266"/>
      <c r="Q75" s="267"/>
      <c r="R75" s="52"/>
    </row>
    <row r="76" spans="1:18" ht="18">
      <c r="A76" s="268"/>
      <c r="B76" s="890" t="s">
        <v>1195</v>
      </c>
      <c r="C76" s="1725"/>
      <c r="D76" s="1804">
        <f t="shared" si="7"/>
        <v>155.70294339456171</v>
      </c>
      <c r="E76" s="1815">
        <f>15.885+10.373+14.846+11.821+5.936+3.502+13.559</f>
        <v>75.921999999999997</v>
      </c>
      <c r="F76" s="1800">
        <v>26148976</v>
      </c>
      <c r="G76" s="1718">
        <v>20928320</v>
      </c>
      <c r="H76" s="1718">
        <v>25677024</v>
      </c>
      <c r="I76" s="1718">
        <v>18226240</v>
      </c>
      <c r="J76" s="1610">
        <v>5273456</v>
      </c>
      <c r="K76" s="1610">
        <v>6143888</v>
      </c>
      <c r="L76" s="1610">
        <v>25525072</v>
      </c>
      <c r="M76" s="5"/>
      <c r="N76" s="264"/>
      <c r="O76" s="270"/>
      <c r="P76" s="266"/>
      <c r="Q76" s="53"/>
      <c r="R76" s="274"/>
    </row>
    <row r="77" spans="1:18" ht="18">
      <c r="A77" s="268"/>
      <c r="B77" s="881" t="s">
        <v>679</v>
      </c>
      <c r="C77" s="1782"/>
      <c r="D77" s="1804">
        <f t="shared" si="7"/>
        <v>155.84820208126351</v>
      </c>
      <c r="E77" s="1815"/>
      <c r="F77" s="1800">
        <v>25639989</v>
      </c>
      <c r="G77" s="1718">
        <v>20015433</v>
      </c>
      <c r="H77" s="1718">
        <v>26995986</v>
      </c>
      <c r="I77" s="1718">
        <v>18890869</v>
      </c>
      <c r="J77" s="1610">
        <v>5542999</v>
      </c>
      <c r="K77" s="1610">
        <v>5831522</v>
      </c>
      <c r="L77" s="1610">
        <v>25052025</v>
      </c>
      <c r="M77" s="5"/>
      <c r="N77" s="264"/>
      <c r="O77" s="270"/>
      <c r="P77" s="266"/>
      <c r="Q77" s="53"/>
      <c r="R77" s="274"/>
    </row>
    <row r="78" spans="1:18" ht="18">
      <c r="A78" s="268" t="s">
        <v>1188</v>
      </c>
      <c r="B78" s="891" t="s">
        <v>1270</v>
      </c>
      <c r="C78" s="1729"/>
      <c r="D78" s="1804">
        <f t="shared" si="7"/>
        <v>156.25449069075654</v>
      </c>
      <c r="E78" s="1815"/>
      <c r="F78" s="1800">
        <v>24439644</v>
      </c>
      <c r="G78" s="1718">
        <v>25073685</v>
      </c>
      <c r="H78" s="1718">
        <v>25080826</v>
      </c>
      <c r="I78" s="1718">
        <v>16704968</v>
      </c>
      <c r="J78" s="1610">
        <v>4801633</v>
      </c>
      <c r="K78" s="1610">
        <v>5645688</v>
      </c>
      <c r="L78" s="1610">
        <v>30861537</v>
      </c>
      <c r="M78" s="5"/>
      <c r="N78" s="264"/>
      <c r="O78" s="265"/>
      <c r="P78" s="266"/>
      <c r="Q78" s="53"/>
      <c r="R78" s="52"/>
    </row>
    <row r="79" spans="1:18" ht="18">
      <c r="A79" s="268" t="s">
        <v>1189</v>
      </c>
      <c r="B79" s="890" t="s">
        <v>1339</v>
      </c>
      <c r="C79" s="1720" t="s">
        <v>41</v>
      </c>
      <c r="D79" s="1804">
        <f t="shared" si="7"/>
        <v>156.36685812340417</v>
      </c>
      <c r="E79" s="1815"/>
      <c r="F79" s="1801">
        <v>25639919</v>
      </c>
      <c r="G79" s="1716">
        <v>20015305</v>
      </c>
      <c r="H79" s="1609">
        <v>26922018</v>
      </c>
      <c r="I79" s="1609">
        <v>18876509</v>
      </c>
      <c r="J79" s="1610">
        <v>5543270</v>
      </c>
      <c r="K79" s="1610">
        <v>5962944</v>
      </c>
      <c r="L79" s="1610">
        <v>25105005</v>
      </c>
      <c r="M79" s="5"/>
      <c r="N79" s="264"/>
      <c r="O79" s="265"/>
      <c r="P79" s="266"/>
      <c r="Q79" s="267"/>
      <c r="R79" s="52"/>
    </row>
    <row r="80" spans="1:18" ht="18">
      <c r="A80" s="268" t="s">
        <v>1190</v>
      </c>
      <c r="B80" s="895" t="s">
        <v>1495</v>
      </c>
      <c r="C80" s="1719"/>
      <c r="D80" s="1804">
        <f t="shared" si="7"/>
        <v>156.79113986476216</v>
      </c>
      <c r="E80" s="1815"/>
      <c r="F80" s="1800">
        <v>26418172</v>
      </c>
      <c r="G80" s="1718">
        <v>19816280</v>
      </c>
      <c r="H80" s="1718">
        <v>26639756</v>
      </c>
      <c r="I80" s="1718">
        <v>17389180</v>
      </c>
      <c r="J80" s="1610">
        <v>6235644</v>
      </c>
      <c r="K80" s="1610">
        <v>5892360</v>
      </c>
      <c r="L80" s="1610">
        <v>23618928</v>
      </c>
      <c r="M80" s="5"/>
      <c r="N80" s="54"/>
      <c r="O80" s="265"/>
      <c r="P80" s="266"/>
      <c r="Q80" s="267"/>
      <c r="R80" s="52"/>
    </row>
    <row r="81" spans="1:18" ht="18">
      <c r="A81" s="268" t="s">
        <v>1192</v>
      </c>
      <c r="B81" s="891" t="s">
        <v>1228</v>
      </c>
      <c r="C81" s="1719"/>
      <c r="D81" s="1804">
        <f t="shared" si="7"/>
        <v>157.43288594656633</v>
      </c>
      <c r="E81" s="1815"/>
      <c r="F81" s="1799">
        <v>27854404</v>
      </c>
      <c r="G81" s="1640">
        <v>19969508</v>
      </c>
      <c r="H81" s="1640">
        <v>27038984</v>
      </c>
      <c r="I81" s="1640">
        <v>17818604</v>
      </c>
      <c r="J81" s="1610">
        <v>6421771</v>
      </c>
      <c r="K81" s="1610">
        <v>5264760</v>
      </c>
      <c r="L81" s="1610">
        <v>23854265</v>
      </c>
      <c r="M81" s="5"/>
      <c r="N81" s="264"/>
      <c r="O81" s="265"/>
      <c r="P81" s="266"/>
      <c r="Q81" s="267"/>
      <c r="R81" s="52"/>
    </row>
    <row r="82" spans="1:18" ht="18">
      <c r="A82" s="268" t="s">
        <v>1193</v>
      </c>
      <c r="B82" s="898" t="s">
        <v>1348</v>
      </c>
      <c r="C82" s="1728"/>
      <c r="D82" s="1804">
        <f t="shared" si="7"/>
        <v>159.11862031946362</v>
      </c>
      <c r="E82" s="1815"/>
      <c r="F82" s="1799">
        <v>26509322</v>
      </c>
      <c r="G82" s="1640">
        <v>20973821</v>
      </c>
      <c r="H82" s="1640">
        <v>26306149</v>
      </c>
      <c r="I82" s="1640">
        <v>20768117</v>
      </c>
      <c r="J82" s="1610">
        <v>4811286</v>
      </c>
      <c r="K82" s="1610">
        <v>6335602</v>
      </c>
      <c r="L82" s="1610">
        <v>26857344</v>
      </c>
      <c r="M82" s="5"/>
      <c r="N82" s="54"/>
      <c r="O82" s="270"/>
      <c r="P82" s="266"/>
      <c r="Q82" s="267"/>
      <c r="R82" s="52"/>
    </row>
    <row r="83" spans="1:18" ht="18">
      <c r="A83" s="268" t="s">
        <v>1194</v>
      </c>
      <c r="B83" s="891" t="s">
        <v>1935</v>
      </c>
      <c r="C83" s="1717"/>
      <c r="D83" s="1804">
        <f t="shared" si="7"/>
        <v>159.23521476686477</v>
      </c>
      <c r="E83" s="1815">
        <f>316.4+260.8+73.1+332.9+150+91.2</f>
        <v>1224.4000000000001</v>
      </c>
      <c r="F83" s="1799">
        <v>26956143</v>
      </c>
      <c r="G83" s="1640">
        <v>20276686</v>
      </c>
      <c r="H83" s="1640">
        <v>27430527</v>
      </c>
      <c r="I83" s="1640">
        <v>19240178</v>
      </c>
      <c r="J83" s="1610">
        <v>5596884</v>
      </c>
      <c r="K83" s="1610">
        <v>6104059</v>
      </c>
      <c r="L83" s="1610">
        <v>25034492</v>
      </c>
      <c r="M83" s="5"/>
      <c r="N83" s="264"/>
      <c r="O83" s="265"/>
      <c r="P83" s="266"/>
      <c r="Q83" s="267"/>
      <c r="R83" s="52"/>
    </row>
    <row r="84" spans="1:18" ht="18">
      <c r="A84" s="268"/>
      <c r="B84" s="891" t="s">
        <v>1933</v>
      </c>
      <c r="C84" s="1730" t="s">
        <v>41</v>
      </c>
      <c r="D84" s="1804">
        <f t="shared" si="7"/>
        <v>159.41784805380394</v>
      </c>
      <c r="E84" s="1815">
        <f>2449.6+1428.5+901.2+1417.4+2285.7+949.3+2048</f>
        <v>11479.7</v>
      </c>
      <c r="F84" s="1799">
        <v>25642480</v>
      </c>
      <c r="G84" s="1638">
        <v>20027048</v>
      </c>
      <c r="H84" s="1638">
        <v>26924875</v>
      </c>
      <c r="I84" s="1638">
        <v>19476865</v>
      </c>
      <c r="J84" s="1639">
        <v>5761798</v>
      </c>
      <c r="K84" s="1639">
        <v>6186957</v>
      </c>
      <c r="L84" s="1639">
        <v>25363167</v>
      </c>
      <c r="M84" s="5"/>
      <c r="N84" s="264"/>
      <c r="O84" s="265"/>
      <c r="P84" s="266"/>
      <c r="Q84" s="267"/>
      <c r="R84" s="52"/>
    </row>
    <row r="85" spans="1:18" ht="18">
      <c r="A85" s="268"/>
      <c r="B85" s="899" t="s">
        <v>1931</v>
      </c>
      <c r="C85" s="1816" t="s">
        <v>41</v>
      </c>
      <c r="D85" s="1804">
        <f t="shared" si="7"/>
        <v>159.88783827456305</v>
      </c>
      <c r="E85" s="1815">
        <f>119.9+95+50.1+90.8+161.5+61.5+125.8</f>
        <v>704.59999999999991</v>
      </c>
      <c r="F85" s="1799">
        <v>25643035</v>
      </c>
      <c r="G85" s="1638">
        <v>20027483</v>
      </c>
      <c r="H85" s="1638">
        <v>26937990</v>
      </c>
      <c r="I85" s="1638">
        <v>19559362</v>
      </c>
      <c r="J85" s="1639">
        <v>5821538</v>
      </c>
      <c r="K85" s="1639">
        <v>6187068</v>
      </c>
      <c r="L85" s="1639">
        <v>25415159</v>
      </c>
      <c r="M85" s="5"/>
      <c r="N85" s="264"/>
      <c r="O85" s="265"/>
      <c r="P85" s="266"/>
      <c r="Q85" s="267"/>
      <c r="R85" s="52"/>
    </row>
    <row r="86" spans="1:18" ht="18">
      <c r="A86" s="268"/>
      <c r="B86" s="891" t="s">
        <v>1799</v>
      </c>
      <c r="C86" s="1857"/>
      <c r="D86" s="1804">
        <f t="shared" si="7"/>
        <v>165.11028198630081</v>
      </c>
      <c r="E86" s="1815">
        <f>14.09+10.63+13+10.56+3.67+3.42+13.98</f>
        <v>69.350000000000009</v>
      </c>
      <c r="F86" s="1799">
        <v>26970357</v>
      </c>
      <c r="G86" s="1638">
        <v>21010094</v>
      </c>
      <c r="H86" s="1638">
        <v>28653550</v>
      </c>
      <c r="I86" s="1638">
        <v>20840230</v>
      </c>
      <c r="J86" s="1639">
        <v>5693123</v>
      </c>
      <c r="K86" s="1639">
        <v>5967501</v>
      </c>
      <c r="L86" s="1639">
        <v>27829081</v>
      </c>
      <c r="M86" s="5"/>
      <c r="N86" s="264"/>
      <c r="O86" s="265"/>
      <c r="P86" s="266"/>
      <c r="Q86" s="267"/>
      <c r="R86" s="52"/>
    </row>
    <row r="87" spans="1:18" ht="18">
      <c r="A87" s="275"/>
      <c r="B87" s="891" t="s">
        <v>1204</v>
      </c>
      <c r="C87" s="1731"/>
      <c r="D87" s="1804">
        <f t="shared" si="7"/>
        <v>168.05802989036926</v>
      </c>
      <c r="E87" s="1815"/>
      <c r="F87" s="1799">
        <v>28453631</v>
      </c>
      <c r="G87" s="1640">
        <v>24886801</v>
      </c>
      <c r="H87" s="1640">
        <v>26999683</v>
      </c>
      <c r="I87" s="1640">
        <v>20290860</v>
      </c>
      <c r="J87" s="1610">
        <v>3261622</v>
      </c>
      <c r="K87" s="1610">
        <v>8711176</v>
      </c>
      <c r="L87" s="1610">
        <v>29181974</v>
      </c>
      <c r="M87" s="5"/>
      <c r="N87" s="264"/>
      <c r="O87" s="265"/>
      <c r="P87" s="266"/>
      <c r="Q87" s="267"/>
      <c r="R87" s="52"/>
    </row>
    <row r="88" spans="1:18" ht="18">
      <c r="A88" s="275"/>
      <c r="B88" s="299" t="s">
        <v>551</v>
      </c>
      <c r="C88" s="1720" t="s">
        <v>41</v>
      </c>
      <c r="D88" s="1804">
        <f t="shared" si="7"/>
        <v>168.29573284826373</v>
      </c>
      <c r="E88" s="1815"/>
      <c r="F88" s="1799">
        <v>29035333</v>
      </c>
      <c r="G88" s="1640">
        <v>23736186</v>
      </c>
      <c r="H88" s="1640">
        <v>27974422</v>
      </c>
      <c r="I88" s="1640">
        <v>20712007</v>
      </c>
      <c r="J88" s="1610">
        <v>3739872</v>
      </c>
      <c r="K88" s="1610">
        <v>8153446</v>
      </c>
      <c r="L88" s="1610">
        <v>28664439</v>
      </c>
      <c r="M88" s="5"/>
      <c r="N88" s="264"/>
      <c r="O88" s="265"/>
      <c r="P88" s="266"/>
      <c r="Q88" s="267"/>
      <c r="R88" s="52"/>
    </row>
    <row r="89" spans="1:18" ht="18">
      <c r="A89" s="275"/>
      <c r="B89" s="1547" t="s">
        <v>1800</v>
      </c>
      <c r="C89" s="1728"/>
      <c r="D89" s="1804">
        <f t="shared" si="7"/>
        <v>172.48641994079549</v>
      </c>
      <c r="E89" s="1815">
        <f>5.28+3.28+3+3.22+1.59+1.26+4.32</f>
        <v>21.950000000000003</v>
      </c>
      <c r="F89" s="1799">
        <v>28927899</v>
      </c>
      <c r="G89" s="1640">
        <v>21558307</v>
      </c>
      <c r="H89" s="1640">
        <v>27730766</v>
      </c>
      <c r="I89" s="1640">
        <v>20238506</v>
      </c>
      <c r="J89" s="1610">
        <v>6616021</v>
      </c>
      <c r="K89" s="1610">
        <v>6685201</v>
      </c>
      <c r="L89" s="1610">
        <v>26547646</v>
      </c>
      <c r="M89" s="5"/>
      <c r="N89" s="264"/>
      <c r="O89" s="265"/>
      <c r="P89" s="266"/>
      <c r="Q89" s="267"/>
      <c r="R89" s="52"/>
    </row>
    <row r="90" spans="1:18" ht="18">
      <c r="A90" s="275"/>
      <c r="B90" s="309" t="s">
        <v>1420</v>
      </c>
      <c r="C90" s="1717" t="s">
        <v>41</v>
      </c>
      <c r="D90" s="1804">
        <f t="shared" si="7"/>
        <v>173.54631025315365</v>
      </c>
      <c r="E90" s="1815"/>
      <c r="F90" s="1799">
        <v>29976892</v>
      </c>
      <c r="G90" s="1640">
        <v>24390163</v>
      </c>
      <c r="H90" s="1640">
        <v>27577160</v>
      </c>
      <c r="I90" s="1640">
        <v>21372142</v>
      </c>
      <c r="J90" s="1610">
        <v>3940300</v>
      </c>
      <c r="K90" s="1610">
        <v>8519152</v>
      </c>
      <c r="L90" s="1610">
        <v>29571210</v>
      </c>
      <c r="M90" s="5"/>
      <c r="N90" s="264"/>
      <c r="O90" s="265"/>
      <c r="P90" s="266"/>
      <c r="Q90" s="267"/>
      <c r="R90" s="52"/>
    </row>
    <row r="91" spans="1:18" ht="18">
      <c r="A91" s="275"/>
      <c r="B91" s="299" t="s">
        <v>1802</v>
      </c>
      <c r="C91" s="1725" t="s">
        <v>41</v>
      </c>
      <c r="D91" s="1804">
        <f t="shared" si="7"/>
        <v>175.79972381079654</v>
      </c>
      <c r="E91" s="1815">
        <f>3.46+3.56+3.56+2.79+0.7+1.29+4.3</f>
        <v>19.66</v>
      </c>
      <c r="F91" s="1799">
        <v>31322769</v>
      </c>
      <c r="G91" s="1640">
        <v>23727562</v>
      </c>
      <c r="H91" s="1640">
        <v>29200624</v>
      </c>
      <c r="I91" s="1640">
        <v>20444990</v>
      </c>
      <c r="J91" s="1610">
        <v>4702135</v>
      </c>
      <c r="K91" s="1610">
        <v>8565374</v>
      </c>
      <c r="L91" s="1610">
        <v>26923180</v>
      </c>
      <c r="M91" s="5"/>
      <c r="N91" s="264"/>
      <c r="O91" s="265"/>
      <c r="P91" s="266"/>
      <c r="Q91" s="267"/>
      <c r="R91" s="52"/>
    </row>
    <row r="92" spans="1:18" ht="18">
      <c r="A92" s="275"/>
      <c r="B92" s="891" t="s">
        <v>1309</v>
      </c>
      <c r="C92" s="1624" t="s">
        <v>41</v>
      </c>
      <c r="D92" s="1804">
        <f t="shared" si="7"/>
        <v>175.8832659596259</v>
      </c>
      <c r="E92" s="1815"/>
      <c r="F92" s="1799">
        <v>28116375</v>
      </c>
      <c r="G92" s="1640">
        <v>21956806</v>
      </c>
      <c r="H92" s="1640">
        <v>28704639</v>
      </c>
      <c r="I92" s="1640">
        <v>21802604</v>
      </c>
      <c r="J92" s="1610">
        <v>6083565</v>
      </c>
      <c r="K92" s="1610">
        <v>7374379</v>
      </c>
      <c r="L92" s="1610">
        <v>27665856</v>
      </c>
      <c r="M92" s="5"/>
      <c r="N92" s="264"/>
      <c r="O92" s="265"/>
      <c r="P92" s="266"/>
      <c r="Q92" s="267"/>
      <c r="R92" s="52"/>
    </row>
    <row r="93" spans="1:18" ht="18">
      <c r="A93" s="275"/>
      <c r="B93" s="1544" t="s">
        <v>1801</v>
      </c>
      <c r="C93" s="1734"/>
      <c r="D93" s="1804">
        <f t="shared" si="7"/>
        <v>182.51296291817047</v>
      </c>
      <c r="E93" s="1815">
        <f>2.93+1.77+1.2+1.77+1.84+0.94+2.63</f>
        <v>13.079999999999998</v>
      </c>
      <c r="F93" s="1799">
        <v>31203022</v>
      </c>
      <c r="G93" s="1640">
        <v>22942170</v>
      </c>
      <c r="H93" s="1640">
        <v>28653826</v>
      </c>
      <c r="I93" s="1640">
        <v>22165878</v>
      </c>
      <c r="J93" s="1610">
        <v>6517290</v>
      </c>
      <c r="K93" s="1610">
        <v>7261728</v>
      </c>
      <c r="L93" s="1610">
        <v>28929526</v>
      </c>
      <c r="M93" s="5"/>
      <c r="N93" s="264"/>
      <c r="O93" s="265"/>
      <c r="P93" s="266"/>
      <c r="Q93" s="267"/>
      <c r="R93" s="52"/>
    </row>
    <row r="94" spans="1:18" ht="18">
      <c r="A94" s="263"/>
      <c r="B94" s="894" t="s">
        <v>640</v>
      </c>
      <c r="C94" s="1823"/>
      <c r="D94" s="1804">
        <f t="shared" si="7"/>
        <v>187.80822610284437</v>
      </c>
      <c r="E94" s="1815"/>
      <c r="F94" s="1799">
        <v>19223258</v>
      </c>
      <c r="G94" s="1640">
        <v>22694428</v>
      </c>
      <c r="H94" s="1640">
        <v>29165118</v>
      </c>
      <c r="I94" s="1640">
        <v>12547940</v>
      </c>
      <c r="J94" s="1610">
        <v>6793024</v>
      </c>
      <c r="K94" s="1610">
        <v>13252406</v>
      </c>
      <c r="L94" s="1610">
        <v>29179430</v>
      </c>
      <c r="M94" s="5"/>
      <c r="N94" s="264"/>
      <c r="O94" s="265"/>
      <c r="P94" s="266"/>
      <c r="Q94" s="267"/>
      <c r="R94" s="52"/>
    </row>
    <row r="95" spans="1:18" ht="18">
      <c r="A95" s="263"/>
      <c r="B95" s="891" t="s">
        <v>1506</v>
      </c>
      <c r="C95" s="1734"/>
      <c r="D95" s="1804">
        <f t="shared" si="7"/>
        <v>196.24773079757091</v>
      </c>
      <c r="E95" s="1815">
        <f>1.25+0.84+0.88+0.84+0.36+0.31+1.11</f>
        <v>5.59</v>
      </c>
      <c r="F95" s="1799">
        <v>33372920</v>
      </c>
      <c r="G95" s="1640">
        <v>25334696</v>
      </c>
      <c r="H95" s="1640">
        <v>35724366</v>
      </c>
      <c r="I95" s="1640">
        <v>23550726</v>
      </c>
      <c r="J95" s="1610">
        <v>6590060</v>
      </c>
      <c r="K95" s="1610">
        <v>7522058</v>
      </c>
      <c r="L95" s="1610">
        <v>30910170</v>
      </c>
      <c r="M95" s="5"/>
      <c r="N95" s="54"/>
      <c r="O95" s="265"/>
      <c r="P95" s="266"/>
      <c r="Q95" s="267"/>
      <c r="R95" s="52"/>
    </row>
    <row r="96" spans="1:18" ht="18">
      <c r="A96" s="263"/>
      <c r="B96" s="890" t="s">
        <v>1803</v>
      </c>
      <c r="C96" s="1717" t="s">
        <v>41</v>
      </c>
      <c r="D96" s="1804">
        <f t="shared" si="7"/>
        <v>198.80673377207572</v>
      </c>
      <c r="E96" s="1815"/>
      <c r="F96" s="1799">
        <v>31907064</v>
      </c>
      <c r="G96" s="1640">
        <v>23548111</v>
      </c>
      <c r="H96" s="1640">
        <v>30410293</v>
      </c>
      <c r="I96" s="1640">
        <v>23664071</v>
      </c>
      <c r="J96" s="1610">
        <v>8248943</v>
      </c>
      <c r="K96" s="1610">
        <v>7450120</v>
      </c>
      <c r="L96" s="1610">
        <v>31587166</v>
      </c>
      <c r="M96" s="5"/>
      <c r="N96" s="264"/>
      <c r="O96" s="265"/>
      <c r="P96" s="266"/>
      <c r="Q96" s="267"/>
      <c r="R96" s="52"/>
    </row>
    <row r="97" spans="1:18" ht="18">
      <c r="A97" s="263"/>
      <c r="B97" s="891" t="s">
        <v>1490</v>
      </c>
      <c r="C97" s="1704"/>
      <c r="D97" s="1804">
        <f t="shared" ref="D97:D114" si="8">SUM(F97/F$10,G97/G$10,H97/H$10,I97/I$10,J97/J$10,K97/K$10,L97/L$10)/7*100</f>
        <v>238.14833903878005</v>
      </c>
      <c r="E97" s="1815"/>
      <c r="F97" s="1799">
        <v>38253938</v>
      </c>
      <c r="G97" s="1640">
        <v>30100873</v>
      </c>
      <c r="H97" s="1640">
        <v>31111503</v>
      </c>
      <c r="I97" s="1640">
        <v>30685041</v>
      </c>
      <c r="J97" s="1610">
        <v>8339522</v>
      </c>
      <c r="K97" s="1610">
        <v>9867014</v>
      </c>
      <c r="L97" s="1610">
        <v>41342156</v>
      </c>
      <c r="M97" s="5"/>
      <c r="N97" s="264"/>
      <c r="O97" s="265"/>
      <c r="P97" s="266"/>
      <c r="Q97" s="267"/>
      <c r="R97" s="52"/>
    </row>
    <row r="98" spans="1:18" ht="18">
      <c r="A98" s="263"/>
      <c r="B98" s="891" t="s">
        <v>1210</v>
      </c>
      <c r="C98" s="1624" t="s">
        <v>41</v>
      </c>
      <c r="D98" s="1804">
        <f t="shared" si="8"/>
        <v>239.56743037848133</v>
      </c>
      <c r="E98" s="1815"/>
      <c r="F98" s="1799">
        <v>41668937</v>
      </c>
      <c r="G98" s="1640">
        <v>31229031</v>
      </c>
      <c r="H98" s="1640">
        <v>32379850</v>
      </c>
      <c r="I98" s="1640">
        <v>29377761</v>
      </c>
      <c r="J98" s="1610">
        <v>7152497</v>
      </c>
      <c r="K98" s="1610">
        <v>11159018</v>
      </c>
      <c r="L98" s="1610">
        <v>40568128</v>
      </c>
      <c r="M98" s="5"/>
      <c r="N98" s="264"/>
      <c r="O98" s="265"/>
      <c r="P98" s="266"/>
      <c r="Q98" s="267"/>
      <c r="R98" s="52"/>
    </row>
    <row r="99" spans="1:18" ht="18">
      <c r="A99" s="263"/>
      <c r="B99" s="895" t="s">
        <v>1491</v>
      </c>
      <c r="C99" s="1719"/>
      <c r="D99" s="1804">
        <f t="shared" si="8"/>
        <v>240.16974689390031</v>
      </c>
      <c r="E99" s="1815"/>
      <c r="F99" s="1799">
        <v>41742070</v>
      </c>
      <c r="G99" s="1640">
        <v>31314197</v>
      </c>
      <c r="H99" s="1640">
        <v>32505367</v>
      </c>
      <c r="I99" s="1640">
        <v>29453229</v>
      </c>
      <c r="J99" s="1610">
        <v>7163920</v>
      </c>
      <c r="K99" s="1610">
        <v>11189619</v>
      </c>
      <c r="L99" s="1610">
        <v>40680970</v>
      </c>
      <c r="M99" s="5"/>
      <c r="N99" s="264"/>
      <c r="O99" s="265"/>
      <c r="P99" s="266"/>
      <c r="Q99" s="267"/>
      <c r="R99" s="52"/>
    </row>
    <row r="100" spans="1:18" ht="18">
      <c r="A100" s="263"/>
      <c r="B100" s="1856" t="s">
        <v>1934</v>
      </c>
      <c r="C100" s="1624"/>
      <c r="D100" s="1804">
        <f t="shared" si="8"/>
        <v>241.43628928098707</v>
      </c>
      <c r="E100" s="1815"/>
      <c r="F100" s="1799">
        <v>41766318</v>
      </c>
      <c r="G100" s="1640">
        <v>31356525</v>
      </c>
      <c r="H100" s="1640">
        <v>32543751</v>
      </c>
      <c r="I100" s="1640">
        <v>29490554</v>
      </c>
      <c r="J100" s="1610">
        <v>7349010</v>
      </c>
      <c r="K100" s="1610">
        <v>11222933</v>
      </c>
      <c r="L100" s="1610">
        <v>40711632</v>
      </c>
      <c r="M100" s="5"/>
      <c r="N100" s="264"/>
      <c r="O100" s="265"/>
      <c r="P100" s="266"/>
      <c r="Q100" s="267"/>
      <c r="R100" s="52"/>
    </row>
    <row r="101" spans="1:18" ht="18">
      <c r="A101" s="263"/>
      <c r="B101" s="890" t="s">
        <v>1350</v>
      </c>
      <c r="C101" s="1723"/>
      <c r="D101" s="1804">
        <f t="shared" si="8"/>
        <v>243.3880939504316</v>
      </c>
      <c r="E101" s="1815"/>
      <c r="F101" s="1799">
        <v>42126382</v>
      </c>
      <c r="G101" s="1640">
        <v>31495797</v>
      </c>
      <c r="H101" s="1640">
        <v>32518422</v>
      </c>
      <c r="I101" s="1640">
        <v>29712828</v>
      </c>
      <c r="J101" s="1610">
        <v>7466901</v>
      </c>
      <c r="K101" s="1610">
        <v>11297889</v>
      </c>
      <c r="L101" s="1610">
        <v>41129116</v>
      </c>
      <c r="M101" s="5"/>
      <c r="N101" s="54"/>
      <c r="O101" s="265"/>
      <c r="P101" s="266"/>
      <c r="Q101" s="267"/>
      <c r="R101" s="52"/>
    </row>
    <row r="102" spans="1:18" ht="18">
      <c r="A102" s="263"/>
      <c r="B102" s="296" t="s">
        <v>1301</v>
      </c>
      <c r="C102" s="1704"/>
      <c r="D102" s="1804">
        <f t="shared" si="8"/>
        <v>245.16110508028098</v>
      </c>
      <c r="E102" s="1815"/>
      <c r="F102" s="1799">
        <v>23460139</v>
      </c>
      <c r="G102" s="1640">
        <v>19883424</v>
      </c>
      <c r="H102" s="1640">
        <v>35630736</v>
      </c>
      <c r="I102" s="1640">
        <v>12378455</v>
      </c>
      <c r="J102" s="1610">
        <v>17965104</v>
      </c>
      <c r="K102" s="1610">
        <v>14337044</v>
      </c>
      <c r="L102" s="1610">
        <v>17039360</v>
      </c>
      <c r="M102" s="5"/>
      <c r="N102" s="54"/>
      <c r="O102" s="265"/>
      <c r="P102" s="266"/>
      <c r="Q102" s="267"/>
      <c r="R102" s="52"/>
    </row>
    <row r="103" spans="1:18" ht="18">
      <c r="A103" s="263"/>
      <c r="B103" s="890" t="s">
        <v>1488</v>
      </c>
      <c r="C103" s="1719"/>
      <c r="D103" s="1804">
        <f t="shared" si="8"/>
        <v>261.09505719967365</v>
      </c>
      <c r="E103" s="1815"/>
      <c r="F103" s="1799">
        <v>45410676</v>
      </c>
      <c r="G103" s="1640">
        <v>34198374</v>
      </c>
      <c r="H103" s="1640">
        <v>37463719</v>
      </c>
      <c r="I103" s="1640">
        <v>31317794</v>
      </c>
      <c r="J103" s="1610">
        <v>7658500</v>
      </c>
      <c r="K103" s="1610">
        <v>12345215</v>
      </c>
      <c r="L103" s="1610">
        <v>43251402</v>
      </c>
      <c r="M103" s="5"/>
      <c r="N103" s="264"/>
      <c r="O103" s="265"/>
      <c r="P103" s="266"/>
      <c r="Q103" s="267"/>
      <c r="R103" s="52"/>
    </row>
    <row r="104" spans="1:18" ht="18">
      <c r="A104" s="263"/>
      <c r="B104" s="890" t="s">
        <v>1497</v>
      </c>
      <c r="C104" s="1719"/>
      <c r="D104" s="1804">
        <f t="shared" si="8"/>
        <v>314.41075994015966</v>
      </c>
      <c r="E104" s="1815"/>
      <c r="F104" s="1799">
        <v>53330756</v>
      </c>
      <c r="G104" s="1640">
        <v>35443024</v>
      </c>
      <c r="H104" s="1609">
        <v>35988356</v>
      </c>
      <c r="I104" s="1609">
        <v>35737920</v>
      </c>
      <c r="J104" s="1610">
        <v>13788488</v>
      </c>
      <c r="K104" s="1610">
        <v>13676876</v>
      </c>
      <c r="L104" s="1610">
        <v>47930196</v>
      </c>
      <c r="M104" s="5"/>
      <c r="N104" s="264"/>
      <c r="O104" s="265"/>
      <c r="P104" s="266"/>
      <c r="Q104" s="267"/>
      <c r="R104" s="52"/>
    </row>
    <row r="105" spans="1:18" ht="18">
      <c r="A105" s="263"/>
      <c r="B105" s="890" t="s">
        <v>1499</v>
      </c>
      <c r="C105" s="1715"/>
      <c r="D105" s="1804">
        <f t="shared" si="8"/>
        <v>316.19986109395586</v>
      </c>
      <c r="E105" s="1815"/>
      <c r="F105" s="1799">
        <v>53460596</v>
      </c>
      <c r="G105" s="1640">
        <v>35632973</v>
      </c>
      <c r="H105" s="1609">
        <v>36241142</v>
      </c>
      <c r="I105" s="1609">
        <v>35966620</v>
      </c>
      <c r="J105" s="1610">
        <v>13879683</v>
      </c>
      <c r="K105" s="1610">
        <v>13770897</v>
      </c>
      <c r="L105" s="1610">
        <v>48138381</v>
      </c>
      <c r="M105" s="5"/>
      <c r="N105" s="264"/>
      <c r="O105" s="265"/>
      <c r="P105" s="266"/>
      <c r="Q105" s="267"/>
      <c r="R105" s="52"/>
    </row>
    <row r="106" spans="1:18" ht="18">
      <c r="A106" s="263"/>
      <c r="B106" s="890" t="s">
        <v>1498</v>
      </c>
      <c r="C106" s="1719"/>
      <c r="D106" s="1804">
        <f t="shared" si="8"/>
        <v>322.17894535433936</v>
      </c>
      <c r="E106" s="1815"/>
      <c r="F106" s="1799">
        <v>53514713</v>
      </c>
      <c r="G106" s="1640">
        <v>35666329</v>
      </c>
      <c r="H106" s="1640">
        <v>35914082</v>
      </c>
      <c r="I106" s="1640">
        <v>35435591</v>
      </c>
      <c r="J106" s="1610">
        <v>15314025</v>
      </c>
      <c r="K106" s="1610">
        <v>13666137</v>
      </c>
      <c r="L106" s="1610">
        <v>47793247</v>
      </c>
      <c r="M106" s="5"/>
      <c r="N106" s="264"/>
      <c r="O106" s="265"/>
      <c r="P106" s="266"/>
      <c r="Q106" s="267"/>
      <c r="R106" s="52"/>
    </row>
    <row r="107" spans="1:18" ht="18">
      <c r="A107" s="263"/>
      <c r="B107" s="891" t="s">
        <v>1489</v>
      </c>
      <c r="C107" s="1724" t="s">
        <v>41</v>
      </c>
      <c r="D107" s="1804">
        <f t="shared" si="8"/>
        <v>323.9552521919353</v>
      </c>
      <c r="E107" s="1815"/>
      <c r="F107" s="1799">
        <v>54448706</v>
      </c>
      <c r="G107" s="1640">
        <v>36080363</v>
      </c>
      <c r="H107" s="1609">
        <v>36122283</v>
      </c>
      <c r="I107" s="1609">
        <v>36222841</v>
      </c>
      <c r="J107" s="1610">
        <v>14747512</v>
      </c>
      <c r="K107" s="1610">
        <v>14104547</v>
      </c>
      <c r="L107" s="1610">
        <v>48606050</v>
      </c>
      <c r="M107" s="5"/>
      <c r="N107" s="264"/>
      <c r="O107" s="265"/>
      <c r="P107" s="266"/>
      <c r="Q107" s="267"/>
      <c r="R107" s="52"/>
    </row>
    <row r="108" spans="1:18" ht="18">
      <c r="A108" s="263"/>
      <c r="B108" s="891" t="s">
        <v>1492</v>
      </c>
      <c r="C108" s="1729"/>
      <c r="D108" s="1804">
        <f t="shared" si="8"/>
        <v>332.16732534773843</v>
      </c>
      <c r="E108" s="1815"/>
      <c r="F108" s="1799">
        <v>53747730</v>
      </c>
      <c r="G108" s="1640">
        <v>35667084</v>
      </c>
      <c r="H108" s="1609">
        <v>35981073</v>
      </c>
      <c r="I108" s="1609">
        <v>36578322</v>
      </c>
      <c r="J108" s="1610">
        <v>16653942</v>
      </c>
      <c r="K108" s="1610">
        <v>13985744</v>
      </c>
      <c r="L108" s="1610">
        <v>47793880</v>
      </c>
      <c r="M108" s="5"/>
      <c r="N108" s="264"/>
      <c r="O108" s="265"/>
      <c r="P108" s="266"/>
      <c r="Q108" s="267"/>
      <c r="R108" s="52"/>
    </row>
    <row r="109" spans="1:18" ht="18">
      <c r="A109" s="263"/>
      <c r="B109" s="881" t="s">
        <v>1496</v>
      </c>
      <c r="C109" s="1735"/>
      <c r="D109" s="1804">
        <f t="shared" si="8"/>
        <v>340.01670290231607</v>
      </c>
      <c r="E109" s="1815"/>
      <c r="F109" s="1799">
        <v>53747732</v>
      </c>
      <c r="G109" s="1638">
        <v>36636692</v>
      </c>
      <c r="H109" s="1736">
        <v>35979392</v>
      </c>
      <c r="I109" s="1736">
        <v>36578324</v>
      </c>
      <c r="J109" s="1639">
        <v>17952788</v>
      </c>
      <c r="K109" s="1639">
        <v>13939220</v>
      </c>
      <c r="L109" s="1639">
        <v>48098324</v>
      </c>
      <c r="M109" s="5"/>
      <c r="N109" s="264"/>
      <c r="O109" s="265"/>
      <c r="P109" s="266"/>
      <c r="Q109" s="267"/>
      <c r="R109" s="52"/>
    </row>
    <row r="110" spans="1:18" ht="18">
      <c r="A110" s="263"/>
      <c r="B110" s="309" t="s">
        <v>1503</v>
      </c>
      <c r="C110" s="1737"/>
      <c r="D110" s="1804">
        <f t="shared" si="8"/>
        <v>340.03862825758716</v>
      </c>
      <c r="E110" s="1815"/>
      <c r="F110" s="1799">
        <v>53747766</v>
      </c>
      <c r="G110" s="1640">
        <v>36636726</v>
      </c>
      <c r="H110" s="1640">
        <v>35979426</v>
      </c>
      <c r="I110" s="1640">
        <v>36578358</v>
      </c>
      <c r="J110" s="1610">
        <v>17956918</v>
      </c>
      <c r="K110" s="1610">
        <v>13939254</v>
      </c>
      <c r="L110" s="1610">
        <v>48098358</v>
      </c>
      <c r="M110" s="5"/>
      <c r="N110" s="273"/>
      <c r="O110" s="276"/>
      <c r="P110" s="266"/>
      <c r="Q110" s="267"/>
      <c r="R110" s="52"/>
    </row>
    <row r="111" spans="1:18" ht="18">
      <c r="A111" s="263"/>
      <c r="B111" s="309" t="s">
        <v>1504</v>
      </c>
      <c r="C111" s="1729"/>
      <c r="D111" s="1804">
        <f t="shared" si="8"/>
        <v>340.39192578178444</v>
      </c>
      <c r="E111" s="1815"/>
      <c r="F111" s="1799">
        <v>53780338</v>
      </c>
      <c r="G111" s="1640">
        <v>36671858</v>
      </c>
      <c r="H111" s="1640">
        <v>35979426</v>
      </c>
      <c r="I111" s="1640">
        <v>36615988</v>
      </c>
      <c r="J111" s="1610">
        <v>17977420</v>
      </c>
      <c r="K111" s="1610">
        <v>13970836</v>
      </c>
      <c r="L111" s="1610">
        <v>48108320</v>
      </c>
      <c r="M111" s="5"/>
      <c r="N111" s="264"/>
      <c r="O111" s="265"/>
      <c r="P111" s="266"/>
      <c r="Q111" s="267"/>
      <c r="R111" s="52"/>
    </row>
    <row r="112" spans="1:18" ht="18">
      <c r="A112" s="263"/>
      <c r="B112" s="899" t="s">
        <v>1500</v>
      </c>
      <c r="C112" s="1738"/>
      <c r="D112" s="1804">
        <f t="shared" si="8"/>
        <v>340.91412320142183</v>
      </c>
      <c r="E112" s="1815"/>
      <c r="F112" s="1799">
        <v>54004951</v>
      </c>
      <c r="G112" s="1739">
        <v>36193544</v>
      </c>
      <c r="H112" s="1739">
        <v>36049128</v>
      </c>
      <c r="I112" s="1739">
        <v>36101536</v>
      </c>
      <c r="J112" s="1740">
        <v>18120656</v>
      </c>
      <c r="K112" s="1740">
        <v>14069366</v>
      </c>
      <c r="L112" s="1740">
        <v>48439646</v>
      </c>
      <c r="M112" s="5"/>
      <c r="N112" s="264"/>
      <c r="O112" s="265"/>
      <c r="P112" s="266"/>
      <c r="Q112" s="267"/>
      <c r="R112" s="52"/>
    </row>
    <row r="113" spans="1:18" ht="18">
      <c r="A113" s="263"/>
      <c r="B113" s="1326" t="s">
        <v>1508</v>
      </c>
      <c r="C113" s="1719"/>
      <c r="D113" s="1804">
        <f t="shared" si="8"/>
        <v>343.21921110986204</v>
      </c>
      <c r="E113" s="1815"/>
      <c r="F113" s="1799">
        <v>54214656</v>
      </c>
      <c r="G113" s="1640">
        <v>36970496</v>
      </c>
      <c r="H113" s="1640">
        <v>36302848</v>
      </c>
      <c r="I113" s="1640">
        <v>36914176</v>
      </c>
      <c r="J113" s="1610">
        <v>18127872</v>
      </c>
      <c r="K113" s="1610">
        <v>14088704</v>
      </c>
      <c r="L113" s="1610">
        <v>48499200</v>
      </c>
      <c r="M113" s="5"/>
      <c r="N113" s="264"/>
      <c r="O113" s="265"/>
      <c r="P113" s="266"/>
      <c r="Q113" s="267"/>
      <c r="R113" s="52"/>
    </row>
    <row r="114" spans="1:18" ht="18">
      <c r="A114" s="263"/>
      <c r="B114" s="890" t="s">
        <v>1501</v>
      </c>
      <c r="C114" s="1719"/>
      <c r="D114" s="1804">
        <f t="shared" si="8"/>
        <v>347.18252179889635</v>
      </c>
      <c r="E114" s="1815"/>
      <c r="F114" s="1799">
        <v>68554147</v>
      </c>
      <c r="G114" s="1640">
        <v>39152900</v>
      </c>
      <c r="H114" s="1640">
        <v>37206027</v>
      </c>
      <c r="I114" s="1640">
        <v>38787210</v>
      </c>
      <c r="J114" s="1610">
        <v>15212821</v>
      </c>
      <c r="K114" s="1610">
        <v>14257566</v>
      </c>
      <c r="L114" s="1610">
        <v>51456549</v>
      </c>
      <c r="M114" s="5"/>
      <c r="N114" s="264"/>
      <c r="O114" s="265"/>
      <c r="P114" s="266"/>
      <c r="Q114" s="267"/>
      <c r="R114" s="52"/>
    </row>
    <row r="115" spans="1:18" ht="18">
      <c r="A115" s="263"/>
      <c r="B115" s="1020" t="s">
        <v>1314</v>
      </c>
      <c r="C115" s="1720"/>
      <c r="D115" s="1804"/>
      <c r="E115" s="1572"/>
      <c r="F115" s="1802" t="s">
        <v>549</v>
      </c>
      <c r="G115" s="1742" t="s">
        <v>549</v>
      </c>
      <c r="H115" s="1742" t="s">
        <v>549</v>
      </c>
      <c r="I115" s="1742" t="s">
        <v>549</v>
      </c>
      <c r="J115" s="1743" t="s">
        <v>549</v>
      </c>
      <c r="K115" s="1743" t="s">
        <v>549</v>
      </c>
      <c r="L115" s="1743" t="s">
        <v>549</v>
      </c>
      <c r="M115" s="5"/>
      <c r="N115" s="54"/>
      <c r="O115" s="270"/>
      <c r="P115" s="266"/>
      <c r="Q115" s="267"/>
      <c r="R115" s="52"/>
    </row>
    <row r="116" spans="1:18" ht="18">
      <c r="A116" s="263"/>
      <c r="B116" s="879" t="s">
        <v>554</v>
      </c>
      <c r="C116" s="1717" t="s">
        <v>41</v>
      </c>
      <c r="D116" s="1805"/>
      <c r="E116" s="1572"/>
      <c r="F116" s="1802" t="s">
        <v>549</v>
      </c>
      <c r="G116" s="1742" t="s">
        <v>549</v>
      </c>
      <c r="H116" s="1742" t="s">
        <v>549</v>
      </c>
      <c r="I116" s="1742" t="s">
        <v>549</v>
      </c>
      <c r="J116" s="1743" t="s">
        <v>549</v>
      </c>
      <c r="K116" s="1743" t="s">
        <v>549</v>
      </c>
      <c r="L116" s="1743" t="s">
        <v>549</v>
      </c>
      <c r="M116" s="5"/>
      <c r="N116" s="54"/>
      <c r="O116" s="270"/>
      <c r="P116" s="266"/>
      <c r="Q116" s="267"/>
      <c r="R116" s="52"/>
    </row>
    <row r="117" spans="1:18" ht="18">
      <c r="A117" s="263"/>
      <c r="B117" s="297" t="s">
        <v>555</v>
      </c>
      <c r="C117" s="1717"/>
      <c r="D117" s="1805"/>
      <c r="E117" s="1572"/>
      <c r="F117" s="1802" t="s">
        <v>549</v>
      </c>
      <c r="G117" s="1742" t="s">
        <v>549</v>
      </c>
      <c r="H117" s="1742" t="s">
        <v>549</v>
      </c>
      <c r="I117" s="1742" t="s">
        <v>549</v>
      </c>
      <c r="J117" s="1743" t="s">
        <v>549</v>
      </c>
      <c r="K117" s="1743" t="s">
        <v>549</v>
      </c>
      <c r="L117" s="1743" t="s">
        <v>549</v>
      </c>
      <c r="M117" s="5"/>
      <c r="N117" s="54"/>
      <c r="O117" s="270"/>
      <c r="P117" s="266"/>
      <c r="Q117" s="267"/>
      <c r="R117" s="52"/>
    </row>
    <row r="118" spans="1:18" ht="18">
      <c r="A118" s="263"/>
      <c r="B118" s="297" t="s">
        <v>647</v>
      </c>
      <c r="C118" s="1728"/>
      <c r="D118" s="1804"/>
      <c r="E118" s="1572"/>
      <c r="F118" s="1799">
        <v>22439787</v>
      </c>
      <c r="G118" s="1640">
        <v>16742412</v>
      </c>
      <c r="H118" s="1742" t="s">
        <v>495</v>
      </c>
      <c r="I118" s="1640">
        <v>14433835</v>
      </c>
      <c r="J118" s="1610">
        <v>4906344</v>
      </c>
      <c r="K118" s="1610">
        <v>4563866</v>
      </c>
      <c r="L118" s="1610">
        <v>20159180</v>
      </c>
      <c r="M118" s="5"/>
      <c r="N118" s="54"/>
      <c r="O118" s="270"/>
      <c r="P118" s="266"/>
      <c r="Q118" s="267"/>
      <c r="R118" s="52"/>
    </row>
    <row r="119" spans="1:18" ht="18">
      <c r="A119" s="263"/>
      <c r="B119" s="896" t="s">
        <v>1509</v>
      </c>
      <c r="C119" s="1701"/>
      <c r="D119" s="1806"/>
      <c r="E119" s="1572"/>
      <c r="F119" s="1802" t="s">
        <v>549</v>
      </c>
      <c r="G119" s="1741" t="s">
        <v>549</v>
      </c>
      <c r="H119" s="1741" t="s">
        <v>549</v>
      </c>
      <c r="I119" s="1741" t="s">
        <v>549</v>
      </c>
      <c r="J119" s="1741" t="s">
        <v>549</v>
      </c>
      <c r="K119" s="1741" t="s">
        <v>549</v>
      </c>
      <c r="L119" s="1668" t="s">
        <v>549</v>
      </c>
      <c r="M119" s="5"/>
      <c r="N119" s="54"/>
      <c r="O119" s="270"/>
      <c r="P119" s="266"/>
      <c r="Q119" s="267"/>
      <c r="R119" s="52"/>
    </row>
    <row r="120" spans="1:18" ht="18">
      <c r="A120" s="263"/>
      <c r="B120" s="880" t="s">
        <v>643</v>
      </c>
      <c r="C120" s="1616" t="s">
        <v>41</v>
      </c>
      <c r="D120" s="1805"/>
      <c r="E120" s="1572"/>
      <c r="F120" s="1802" t="s">
        <v>549</v>
      </c>
      <c r="G120" s="1742" t="s">
        <v>549</v>
      </c>
      <c r="H120" s="1742" t="s">
        <v>549</v>
      </c>
      <c r="I120" s="1742" t="s">
        <v>549</v>
      </c>
      <c r="J120" s="1743" t="s">
        <v>549</v>
      </c>
      <c r="K120" s="1743" t="s">
        <v>549</v>
      </c>
      <c r="L120" s="1743" t="s">
        <v>549</v>
      </c>
      <c r="M120" s="5"/>
      <c r="N120" s="54"/>
      <c r="O120" s="270"/>
      <c r="P120" s="266"/>
      <c r="Q120" s="267"/>
      <c r="R120" s="52"/>
    </row>
    <row r="121" spans="1:18" ht="18">
      <c r="A121" s="263"/>
      <c r="B121" s="881" t="s">
        <v>1313</v>
      </c>
      <c r="C121" s="1624"/>
      <c r="D121" s="1807"/>
      <c r="E121" s="1572"/>
      <c r="F121" s="1802" t="s">
        <v>549</v>
      </c>
      <c r="G121" s="1742" t="s">
        <v>549</v>
      </c>
      <c r="H121" s="1742" t="s">
        <v>549</v>
      </c>
      <c r="I121" s="1742" t="s">
        <v>549</v>
      </c>
      <c r="J121" s="1743" t="s">
        <v>549</v>
      </c>
      <c r="K121" s="1743" t="s">
        <v>549</v>
      </c>
      <c r="L121" s="1743" t="s">
        <v>549</v>
      </c>
      <c r="M121" s="5"/>
      <c r="N121" s="54"/>
      <c r="O121" s="270"/>
      <c r="P121" s="266"/>
      <c r="Q121" s="267"/>
      <c r="R121" s="52"/>
    </row>
    <row r="122" spans="1:18" ht="18">
      <c r="A122" s="263"/>
      <c r="B122" s="309" t="s">
        <v>1502</v>
      </c>
      <c r="C122" s="1728"/>
      <c r="D122" s="1805"/>
      <c r="E122" s="1572"/>
      <c r="F122" s="1799">
        <v>20346748</v>
      </c>
      <c r="G122" s="1742" t="s">
        <v>549</v>
      </c>
      <c r="H122" s="1742" t="s">
        <v>549</v>
      </c>
      <c r="I122" s="1640">
        <v>11412381</v>
      </c>
      <c r="J122" s="1743" t="s">
        <v>549</v>
      </c>
      <c r="K122" s="1743" t="s">
        <v>549</v>
      </c>
      <c r="L122" s="1743" t="s">
        <v>549</v>
      </c>
      <c r="M122" s="5"/>
      <c r="N122" s="54"/>
      <c r="O122" s="270"/>
      <c r="P122" s="266"/>
      <c r="Q122" s="267"/>
      <c r="R122" s="52"/>
    </row>
    <row r="123" spans="1:18" ht="18">
      <c r="A123" s="263"/>
      <c r="B123" s="882" t="s">
        <v>642</v>
      </c>
      <c r="C123" s="1717" t="s">
        <v>41</v>
      </c>
      <c r="D123" s="1805"/>
      <c r="E123" s="1572"/>
      <c r="F123" s="1802" t="s">
        <v>549</v>
      </c>
      <c r="G123" s="1742" t="s">
        <v>549</v>
      </c>
      <c r="H123" s="1742" t="s">
        <v>549</v>
      </c>
      <c r="I123" s="1742" t="s">
        <v>549</v>
      </c>
      <c r="J123" s="1743" t="s">
        <v>549</v>
      </c>
      <c r="K123" s="1743" t="s">
        <v>549</v>
      </c>
      <c r="L123" s="1743" t="s">
        <v>549</v>
      </c>
      <c r="M123" s="5"/>
      <c r="N123" s="54"/>
      <c r="O123" s="270"/>
      <c r="P123" s="266"/>
      <c r="Q123" s="267"/>
      <c r="R123" s="52"/>
    </row>
    <row r="124" spans="1:18" ht="18">
      <c r="A124" s="263"/>
      <c r="B124" s="297" t="s">
        <v>552</v>
      </c>
      <c r="C124" s="1727" t="s">
        <v>41</v>
      </c>
      <c r="D124" s="1805"/>
      <c r="E124" s="1572"/>
      <c r="F124" s="1802" t="s">
        <v>549</v>
      </c>
      <c r="G124" s="1742" t="s">
        <v>549</v>
      </c>
      <c r="H124" s="1742" t="s">
        <v>549</v>
      </c>
      <c r="I124" s="1742" t="s">
        <v>549</v>
      </c>
      <c r="J124" s="1743" t="s">
        <v>549</v>
      </c>
      <c r="K124" s="1743" t="s">
        <v>549</v>
      </c>
      <c r="L124" s="1743" t="s">
        <v>549</v>
      </c>
      <c r="M124" s="5"/>
      <c r="N124" s="54"/>
      <c r="O124" s="270"/>
      <c r="P124" s="266"/>
      <c r="Q124" s="267"/>
      <c r="R124" s="52"/>
    </row>
    <row r="125" spans="1:18" ht="18">
      <c r="A125" s="263"/>
      <c r="B125" s="880" t="s">
        <v>1312</v>
      </c>
      <c r="C125" s="1624" t="s">
        <v>41</v>
      </c>
      <c r="D125" s="1805"/>
      <c r="E125" s="1572"/>
      <c r="F125" s="1802" t="s">
        <v>549</v>
      </c>
      <c r="G125" s="1742" t="s">
        <v>549</v>
      </c>
      <c r="H125" s="1742" t="s">
        <v>549</v>
      </c>
      <c r="I125" s="1742" t="s">
        <v>549</v>
      </c>
      <c r="J125" s="1743" t="s">
        <v>549</v>
      </c>
      <c r="K125" s="1743" t="s">
        <v>549</v>
      </c>
      <c r="L125" s="1743" t="s">
        <v>549</v>
      </c>
      <c r="M125" s="5"/>
      <c r="N125" s="54"/>
      <c r="O125" s="270"/>
      <c r="P125" s="266"/>
      <c r="Q125" s="267"/>
      <c r="R125" s="52"/>
    </row>
    <row r="126" spans="1:18" ht="18">
      <c r="A126" s="263"/>
      <c r="B126" s="883" t="s">
        <v>1571</v>
      </c>
      <c r="C126" s="1624"/>
      <c r="D126" s="1806"/>
      <c r="E126" s="1572"/>
      <c r="F126" s="1802" t="s">
        <v>495</v>
      </c>
      <c r="G126" s="1742" t="s">
        <v>495</v>
      </c>
      <c r="H126" s="1742" t="s">
        <v>495</v>
      </c>
      <c r="I126" s="1742" t="s">
        <v>495</v>
      </c>
      <c r="J126" s="1743" t="s">
        <v>495</v>
      </c>
      <c r="K126" s="1743" t="s">
        <v>495</v>
      </c>
      <c r="L126" s="1743" t="s">
        <v>495</v>
      </c>
      <c r="M126" s="5"/>
      <c r="N126" s="54"/>
      <c r="O126" s="270"/>
      <c r="P126" s="266"/>
      <c r="Q126" s="267"/>
      <c r="R126" s="52"/>
    </row>
    <row r="127" spans="1:18" ht="18">
      <c r="A127" s="263"/>
      <c r="B127" s="880" t="s">
        <v>553</v>
      </c>
      <c r="C127" s="1624" t="s">
        <v>41</v>
      </c>
      <c r="D127" s="1808"/>
      <c r="E127" s="1572"/>
      <c r="F127" s="1802" t="s">
        <v>549</v>
      </c>
      <c r="G127" s="1742" t="s">
        <v>549</v>
      </c>
      <c r="H127" s="1742" t="s">
        <v>549</v>
      </c>
      <c r="I127" s="1742" t="s">
        <v>549</v>
      </c>
      <c r="J127" s="1743" t="s">
        <v>549</v>
      </c>
      <c r="K127" s="1743" t="s">
        <v>549</v>
      </c>
      <c r="L127" s="1743" t="s">
        <v>549</v>
      </c>
      <c r="M127" s="5"/>
      <c r="N127" s="54"/>
      <c r="O127" s="270"/>
      <c r="P127" s="266"/>
      <c r="Q127" s="267"/>
      <c r="R127" s="52"/>
    </row>
    <row r="128" spans="1:18" ht="18">
      <c r="A128" s="263"/>
      <c r="B128" s="312" t="s">
        <v>1349</v>
      </c>
      <c r="C128" s="1624"/>
      <c r="D128" s="1809"/>
      <c r="E128" s="1572"/>
      <c r="F128" s="1802" t="s">
        <v>1346</v>
      </c>
      <c r="G128" s="1742" t="s">
        <v>1346</v>
      </c>
      <c r="H128" s="1742" t="s">
        <v>1346</v>
      </c>
      <c r="I128" s="1742" t="s">
        <v>1346</v>
      </c>
      <c r="J128" s="1743" t="s">
        <v>1346</v>
      </c>
      <c r="K128" s="1743" t="s">
        <v>1346</v>
      </c>
      <c r="L128" s="1743" t="s">
        <v>1346</v>
      </c>
      <c r="M128" s="5"/>
      <c r="N128" s="54"/>
      <c r="O128" s="270"/>
      <c r="P128" s="266"/>
      <c r="Q128" s="267"/>
      <c r="R128" s="52"/>
    </row>
    <row r="129" spans="1:18" ht="18">
      <c r="A129" s="263"/>
      <c r="B129" s="310" t="s">
        <v>1345</v>
      </c>
      <c r="C129" s="1720"/>
      <c r="D129" s="1810"/>
      <c r="E129" s="1803"/>
      <c r="F129" s="1802" t="s">
        <v>1346</v>
      </c>
      <c r="G129" s="1742" t="s">
        <v>1346</v>
      </c>
      <c r="H129" s="1742" t="s">
        <v>1346</v>
      </c>
      <c r="I129" s="1742" t="s">
        <v>1346</v>
      </c>
      <c r="J129" s="1743" t="s">
        <v>1346</v>
      </c>
      <c r="K129" s="1743" t="s">
        <v>1346</v>
      </c>
      <c r="L129" s="1743" t="s">
        <v>1346</v>
      </c>
      <c r="M129" s="5"/>
      <c r="N129" s="264"/>
      <c r="O129" s="265"/>
      <c r="P129" s="266"/>
      <c r="Q129" s="267"/>
      <c r="R129" s="52"/>
    </row>
    <row r="130" spans="1:18" ht="18">
      <c r="A130" s="263"/>
      <c r="B130" s="1206" t="s">
        <v>1619</v>
      </c>
      <c r="C130" s="1653"/>
      <c r="D130" s="1653"/>
      <c r="E130" s="1653"/>
      <c r="F130" s="1654"/>
      <c r="G130" s="1654"/>
      <c r="H130" s="1654"/>
      <c r="I130" s="1655"/>
      <c r="J130" s="1655"/>
      <c r="K130" s="1655"/>
      <c r="L130" s="1655"/>
      <c r="M130" s="49"/>
      <c r="N130" s="264"/>
      <c r="O130" s="265"/>
      <c r="P130" s="266"/>
      <c r="Q130" s="279"/>
      <c r="R130" s="280"/>
    </row>
    <row r="131" spans="1:18" ht="18">
      <c r="A131" s="263"/>
      <c r="B131" s="1330" t="s">
        <v>1357</v>
      </c>
      <c r="C131" s="1653"/>
      <c r="D131" s="1653"/>
      <c r="E131" s="1653"/>
      <c r="F131" s="1654"/>
      <c r="G131" s="1654"/>
      <c r="H131" s="1654"/>
      <c r="I131" s="1655"/>
      <c r="J131" s="1655"/>
      <c r="K131" s="1655"/>
      <c r="L131" s="1655"/>
      <c r="M131" s="49"/>
      <c r="N131" s="264"/>
      <c r="O131" s="265"/>
      <c r="P131" s="266"/>
      <c r="Q131" s="279"/>
      <c r="R131" s="280"/>
    </row>
    <row r="132" spans="1:18" ht="18">
      <c r="A132" s="263"/>
      <c r="B132" s="1330" t="s">
        <v>1356</v>
      </c>
      <c r="C132" s="1653"/>
      <c r="D132" s="1653"/>
      <c r="E132" s="1653"/>
      <c r="F132" s="1654"/>
      <c r="G132" s="1654"/>
      <c r="H132" s="1654"/>
      <c r="I132" s="1655"/>
      <c r="J132" s="1655"/>
      <c r="K132" s="1655"/>
      <c r="L132" s="1655"/>
      <c r="M132" s="49"/>
      <c r="N132" s="264"/>
      <c r="O132" s="265"/>
      <c r="P132" s="266"/>
      <c r="Q132" s="279"/>
      <c r="R132" s="280"/>
    </row>
    <row r="133" spans="1:18" ht="18">
      <c r="A133" s="263"/>
      <c r="B133" s="1206" t="s">
        <v>1620</v>
      </c>
      <c r="C133" s="1653"/>
      <c r="D133" s="1653"/>
      <c r="E133" s="1653"/>
      <c r="F133" s="1654"/>
      <c r="G133" s="1654"/>
      <c r="H133" s="1654"/>
      <c r="I133" s="1655"/>
      <c r="J133" s="1655"/>
      <c r="K133" s="1655"/>
      <c r="L133" s="1655"/>
      <c r="M133" s="49"/>
      <c r="N133" s="264"/>
      <c r="O133" s="265"/>
      <c r="P133" s="266"/>
      <c r="Q133" s="279"/>
      <c r="R133" s="280"/>
    </row>
    <row r="134" spans="1:18">
      <c r="B134" s="1327"/>
      <c r="C134" s="1327"/>
      <c r="D134" s="1327"/>
      <c r="E134" s="1327"/>
      <c r="F134" s="1327"/>
      <c r="G134" s="1327"/>
      <c r="H134" s="1327"/>
      <c r="I134" s="1327"/>
      <c r="J134" s="1327"/>
      <c r="K134" s="1327"/>
      <c r="L134" s="1327"/>
    </row>
    <row r="135" spans="1:18">
      <c r="B135" s="1327"/>
      <c r="C135" s="1327"/>
      <c r="D135" s="1327"/>
      <c r="E135" s="1327"/>
      <c r="F135" s="1327"/>
      <c r="G135" s="1327"/>
      <c r="H135" s="1327"/>
      <c r="I135" s="1327"/>
      <c r="J135" s="1327"/>
      <c r="K135" s="1327"/>
      <c r="L135" s="1327"/>
    </row>
    <row r="136" spans="1:18" ht="15" customHeight="1">
      <c r="B136" s="1331" t="s">
        <v>1214</v>
      </c>
      <c r="C136" s="1676"/>
      <c r="D136" s="1677" t="s">
        <v>1274</v>
      </c>
      <c r="E136" s="1794"/>
      <c r="F136" s="1678" t="s">
        <v>1311</v>
      </c>
      <c r="G136" s="1678" t="s">
        <v>1311</v>
      </c>
      <c r="H136" s="1678" t="s">
        <v>1311</v>
      </c>
      <c r="I136" s="1678" t="s">
        <v>1311</v>
      </c>
      <c r="J136" s="1744" t="s">
        <v>1279</v>
      </c>
      <c r="K136" s="1745"/>
      <c r="L136" s="1746"/>
    </row>
    <row r="137" spans="1:18" ht="38.25" customHeight="1">
      <c r="B137" s="3157" t="s">
        <v>1439</v>
      </c>
      <c r="C137" s="1581"/>
      <c r="D137" s="1679" t="s">
        <v>1282</v>
      </c>
      <c r="E137" s="1679"/>
      <c r="F137" s="1747" t="s">
        <v>1317</v>
      </c>
      <c r="G137" s="1575" t="s">
        <v>1319</v>
      </c>
      <c r="H137" s="1575" t="s">
        <v>1320</v>
      </c>
      <c r="I137" s="1575" t="s">
        <v>1325</v>
      </c>
      <c r="J137" s="1748" t="s">
        <v>1295</v>
      </c>
      <c r="K137" s="1748"/>
      <c r="L137" s="1749"/>
    </row>
    <row r="138" spans="1:18" ht="15" customHeight="1">
      <c r="B138" s="3158"/>
      <c r="C138" s="1581"/>
      <c r="D138" s="1679" t="s">
        <v>1201</v>
      </c>
      <c r="E138" s="1679"/>
      <c r="F138" s="1582" t="s">
        <v>1196</v>
      </c>
      <c r="G138" s="1582" t="s">
        <v>1196</v>
      </c>
      <c r="H138" s="1583" t="s">
        <v>1196</v>
      </c>
      <c r="I138" s="1583" t="s">
        <v>1196</v>
      </c>
      <c r="J138" s="1582" t="s">
        <v>1196</v>
      </c>
      <c r="K138" s="1750"/>
      <c r="L138" s="1751"/>
    </row>
    <row r="139" spans="1:18" ht="15.75">
      <c r="B139" s="1332"/>
      <c r="C139" s="1581"/>
      <c r="D139" s="1679" t="s">
        <v>1296</v>
      </c>
      <c r="E139" s="1679"/>
      <c r="F139" s="302" t="s">
        <v>1315</v>
      </c>
      <c r="G139" s="305" t="s">
        <v>1321</v>
      </c>
      <c r="H139" s="306" t="s">
        <v>1323</v>
      </c>
      <c r="I139" s="306" t="s">
        <v>1324</v>
      </c>
      <c r="J139" s="1752" t="s">
        <v>1285</v>
      </c>
      <c r="K139" s="1750"/>
      <c r="L139" s="1753"/>
    </row>
    <row r="140" spans="1:18" ht="15" customHeight="1">
      <c r="B140" s="1333" t="s">
        <v>1322</v>
      </c>
      <c r="C140" s="1658"/>
      <c r="D140" s="1849" t="s">
        <v>1283</v>
      </c>
      <c r="E140" s="1850"/>
      <c r="F140" s="303" t="s">
        <v>1318</v>
      </c>
      <c r="G140" s="303" t="s">
        <v>1291</v>
      </c>
      <c r="H140" s="303" t="s">
        <v>1291</v>
      </c>
      <c r="I140" s="303" t="s">
        <v>1291</v>
      </c>
      <c r="J140" s="304" t="s">
        <v>1291</v>
      </c>
      <c r="K140" s="300"/>
      <c r="L140" s="301"/>
    </row>
    <row r="141" spans="1:18" ht="15.75" hidden="1">
      <c r="B141" s="1333"/>
      <c r="C141" s="1581"/>
      <c r="D141" s="1327">
        <v>100</v>
      </c>
      <c r="E141" s="1327"/>
      <c r="F141" s="1584">
        <f>MIN(F142:F246)</f>
        <v>1476998</v>
      </c>
      <c r="G141" s="1584">
        <f>MIN(G142:G246)</f>
        <v>201929</v>
      </c>
      <c r="H141" s="1584">
        <f>MIN(H142:H246)</f>
        <v>376380</v>
      </c>
      <c r="I141" s="1584">
        <f>MIN(I142:I246)</f>
        <v>323665</v>
      </c>
      <c r="J141" s="1584">
        <f>MIN(J142:J246)</f>
        <v>1562660</v>
      </c>
      <c r="K141" s="1754"/>
      <c r="L141" s="1755"/>
    </row>
    <row r="142" spans="1:18" ht="15.75">
      <c r="B142" s="1328" t="s">
        <v>1242</v>
      </c>
      <c r="C142" s="1585"/>
      <c r="D142" s="1804">
        <f t="shared" ref="D142:D174" si="9">SUM(F142/F$141,G142/G$141,H142/H$141,I142/I$141,J142/J$141)/5*100</f>
        <v>334.70046388296117</v>
      </c>
      <c r="E142" s="2948"/>
      <c r="F142" s="1660">
        <v>5463062</v>
      </c>
      <c r="G142" s="1587">
        <v>1048593</v>
      </c>
      <c r="H142" s="1586">
        <v>1048593</v>
      </c>
      <c r="I142" s="1683">
        <v>674513</v>
      </c>
      <c r="J142" s="1756">
        <v>4646417</v>
      </c>
      <c r="K142" s="1757"/>
      <c r="L142" s="1758"/>
    </row>
    <row r="143" spans="1:18" ht="15.75">
      <c r="B143" s="889" t="s">
        <v>643</v>
      </c>
      <c r="C143" s="1707" t="s">
        <v>41</v>
      </c>
      <c r="D143" s="1804">
        <f t="shared" si="9"/>
        <v>100.03322539771928</v>
      </c>
      <c r="E143" s="2948"/>
      <c r="F143" s="1589">
        <v>1476998</v>
      </c>
      <c r="G143" s="1590">
        <v>201929</v>
      </c>
      <c r="H143" s="1590">
        <v>376380</v>
      </c>
      <c r="I143" s="1590">
        <v>323665</v>
      </c>
      <c r="J143" s="1759">
        <v>1565256</v>
      </c>
      <c r="K143" s="1760"/>
      <c r="L143" s="1602"/>
    </row>
    <row r="144" spans="1:18" ht="15.75">
      <c r="B144" s="881" t="s">
        <v>1330</v>
      </c>
      <c r="C144" s="1690"/>
      <c r="D144" s="1804">
        <f t="shared" si="9"/>
        <v>102.81624715384399</v>
      </c>
      <c r="E144" s="2948"/>
      <c r="F144" s="1796">
        <v>1536232</v>
      </c>
      <c r="G144" s="1761">
        <v>205036</v>
      </c>
      <c r="H144" s="1761">
        <v>385972</v>
      </c>
      <c r="I144" s="1761">
        <v>343032</v>
      </c>
      <c r="J144" s="1689">
        <v>1562660</v>
      </c>
      <c r="K144" s="1762"/>
      <c r="L144" s="1602"/>
    </row>
    <row r="145" spans="2:12" ht="15.75">
      <c r="B145" s="1013" t="s">
        <v>1335</v>
      </c>
      <c r="C145" s="1707" t="s">
        <v>41</v>
      </c>
      <c r="D145" s="1804">
        <f t="shared" ref="D145:D152" si="10">SUM(F145/F$141,G145/G$141,H145/H$141,I145/I$141,J145/J$141)/5*100</f>
        <v>105.60214590868947</v>
      </c>
      <c r="E145" s="2949"/>
      <c r="F145" s="1708">
        <v>1626883</v>
      </c>
      <c r="G145" s="1708">
        <v>205276</v>
      </c>
      <c r="H145" s="1708">
        <v>390678</v>
      </c>
      <c r="I145" s="1708">
        <v>355153</v>
      </c>
      <c r="J145" s="1600">
        <v>1604506</v>
      </c>
      <c r="K145" s="1760"/>
      <c r="L145" s="1602"/>
    </row>
    <row r="146" spans="2:12" ht="15.75">
      <c r="B146" s="891" t="s">
        <v>1568</v>
      </c>
      <c r="C146" s="1723"/>
      <c r="D146" s="1804">
        <f t="shared" si="10"/>
        <v>106.37945337986912</v>
      </c>
      <c r="E146" s="2949"/>
      <c r="F146" s="1708">
        <v>1582467</v>
      </c>
      <c r="G146" s="1708">
        <v>217349</v>
      </c>
      <c r="H146" s="1708">
        <v>408049</v>
      </c>
      <c r="I146" s="1708">
        <v>348284</v>
      </c>
      <c r="J146" s="1600">
        <v>1579845</v>
      </c>
      <c r="K146" s="1760"/>
      <c r="L146" s="1602"/>
    </row>
    <row r="147" spans="2:12" ht="15.75">
      <c r="B147" s="3013" t="s">
        <v>2135</v>
      </c>
      <c r="C147" s="1701"/>
      <c r="D147" s="1804">
        <f t="shared" si="10"/>
        <v>106.38507643387076</v>
      </c>
      <c r="E147" s="3015">
        <f>1212.8+190+176+133.4+807.9</f>
        <v>2520.1</v>
      </c>
      <c r="F147" s="1708">
        <v>1618678</v>
      </c>
      <c r="G147" s="1708">
        <v>212772</v>
      </c>
      <c r="H147" s="1708">
        <v>401607</v>
      </c>
      <c r="I147" s="1708">
        <v>349906</v>
      </c>
      <c r="J147" s="1763">
        <v>1596308</v>
      </c>
      <c r="K147" s="1762"/>
      <c r="L147" s="1602"/>
    </row>
    <row r="148" spans="2:12" ht="15.75">
      <c r="B148" s="881" t="s">
        <v>1207</v>
      </c>
      <c r="C148" s="1765" t="s">
        <v>41</v>
      </c>
      <c r="D148" s="1804">
        <f t="shared" si="10"/>
        <v>108.21582386413185</v>
      </c>
      <c r="E148" s="2949"/>
      <c r="F148" s="1708">
        <v>1631540</v>
      </c>
      <c r="G148" s="1708">
        <v>219475</v>
      </c>
      <c r="H148" s="1708">
        <v>418470</v>
      </c>
      <c r="I148" s="1708">
        <v>342815</v>
      </c>
      <c r="J148" s="1600">
        <v>1638093</v>
      </c>
      <c r="K148" s="1760"/>
      <c r="L148" s="1602"/>
    </row>
    <row r="149" spans="2:12" ht="15.75">
      <c r="B149" s="881" t="s">
        <v>1215</v>
      </c>
      <c r="C149" s="1764"/>
      <c r="D149" s="1804">
        <f t="shared" si="10"/>
        <v>109.01220434617839</v>
      </c>
      <c r="E149" s="2950"/>
      <c r="F149" s="1598">
        <v>1716600</v>
      </c>
      <c r="G149" s="1599">
        <v>220423</v>
      </c>
      <c r="H149" s="1599">
        <v>402323</v>
      </c>
      <c r="I149" s="1599">
        <v>352011</v>
      </c>
      <c r="J149" s="1600">
        <v>1625628</v>
      </c>
      <c r="K149" s="1760"/>
      <c r="L149" s="1602"/>
    </row>
    <row r="150" spans="2:12" ht="15.75">
      <c r="B150" s="308" t="s">
        <v>1298</v>
      </c>
      <c r="C150" s="1764"/>
      <c r="D150" s="1804">
        <f t="shared" si="10"/>
        <v>109.07923530486654</v>
      </c>
      <c r="E150" s="2950"/>
      <c r="F150" s="1797">
        <v>1618167</v>
      </c>
      <c r="G150" s="1692">
        <v>227060</v>
      </c>
      <c r="H150" s="1692">
        <v>403913</v>
      </c>
      <c r="I150" s="1692">
        <v>355213</v>
      </c>
      <c r="J150" s="1766">
        <v>1661585</v>
      </c>
      <c r="K150" s="1762"/>
      <c r="L150" s="1602"/>
    </row>
    <row r="151" spans="2:12" ht="15.75">
      <c r="B151" s="890" t="s">
        <v>927</v>
      </c>
      <c r="C151" s="3014" t="s">
        <v>41</v>
      </c>
      <c r="D151" s="1804">
        <f t="shared" si="10"/>
        <v>109.75179397631236</v>
      </c>
      <c r="E151" s="2950"/>
      <c r="F151" s="1697">
        <v>1660429</v>
      </c>
      <c r="G151" s="1697">
        <v>224093</v>
      </c>
      <c r="H151" s="1697">
        <v>422531</v>
      </c>
      <c r="I151" s="1697">
        <v>345985</v>
      </c>
      <c r="J151" s="1766">
        <v>1659636</v>
      </c>
      <c r="K151" s="1769"/>
      <c r="L151" s="1602"/>
    </row>
    <row r="152" spans="2:12" ht="15.75">
      <c r="B152" s="1820" t="s">
        <v>1354</v>
      </c>
      <c r="C152" s="3012" t="s">
        <v>41</v>
      </c>
      <c r="D152" s="1804">
        <f t="shared" si="10"/>
        <v>113.49879988591567</v>
      </c>
      <c r="E152" s="2950"/>
      <c r="F152" s="1602">
        <v>1732511</v>
      </c>
      <c r="G152" s="1768">
        <v>238484</v>
      </c>
      <c r="H152" s="1768">
        <v>433526</v>
      </c>
      <c r="I152" s="1768">
        <v>346177</v>
      </c>
      <c r="J152" s="1762">
        <v>1718195</v>
      </c>
      <c r="K152" s="1762"/>
      <c r="L152" s="1602"/>
    </row>
    <row r="153" spans="2:12" ht="15.75">
      <c r="B153" s="884" t="s">
        <v>1355</v>
      </c>
      <c r="C153" s="1767" t="s">
        <v>41</v>
      </c>
      <c r="D153" s="1804">
        <f t="shared" si="9"/>
        <v>114.17858242482937</v>
      </c>
      <c r="E153" s="2950"/>
      <c r="F153" s="1797">
        <v>1763131</v>
      </c>
      <c r="G153" s="1770">
        <v>240741</v>
      </c>
      <c r="H153" s="1770">
        <v>435028</v>
      </c>
      <c r="I153" s="1770">
        <v>344192</v>
      </c>
      <c r="J153" s="1771">
        <v>1724794</v>
      </c>
      <c r="K153" s="1769"/>
      <c r="L153" s="1602"/>
    </row>
    <row r="154" spans="2:12" ht="15.75">
      <c r="B154" s="896" t="s">
        <v>642</v>
      </c>
      <c r="C154" s="1767" t="s">
        <v>41</v>
      </c>
      <c r="D154" s="1804">
        <f t="shared" si="9"/>
        <v>116.12102896092462</v>
      </c>
      <c r="E154" s="2950"/>
      <c r="F154" s="1797">
        <v>1820128</v>
      </c>
      <c r="G154" s="1770">
        <v>241315</v>
      </c>
      <c r="H154" s="1770">
        <v>448208</v>
      </c>
      <c r="I154" s="1770">
        <v>349410</v>
      </c>
      <c r="J154" s="1771">
        <v>1731905</v>
      </c>
      <c r="K154" s="1769"/>
      <c r="L154" s="1602"/>
    </row>
    <row r="155" spans="2:12" ht="15.75">
      <c r="B155" s="897" t="s">
        <v>1312</v>
      </c>
      <c r="C155" s="1767" t="s">
        <v>41</v>
      </c>
      <c r="D155" s="1804">
        <f t="shared" si="9"/>
        <v>116.67002356223395</v>
      </c>
      <c r="E155" s="2950"/>
      <c r="F155" s="1797">
        <v>1804581</v>
      </c>
      <c r="G155" s="1770">
        <v>244940</v>
      </c>
      <c r="H155" s="1770">
        <v>439587</v>
      </c>
      <c r="I155" s="1770">
        <v>361304</v>
      </c>
      <c r="J155" s="1771">
        <v>1741564</v>
      </c>
      <c r="K155" s="1762"/>
      <c r="L155" s="1602"/>
    </row>
    <row r="156" spans="2:12" ht="15.75">
      <c r="B156" s="877" t="s">
        <v>1300</v>
      </c>
      <c r="C156" s="1772"/>
      <c r="D156" s="1804">
        <f t="shared" si="9"/>
        <v>117.25946720931985</v>
      </c>
      <c r="E156" s="2950"/>
      <c r="F156" s="1797">
        <v>1834109</v>
      </c>
      <c r="G156" s="1770">
        <v>238498</v>
      </c>
      <c r="H156" s="1770">
        <v>439812</v>
      </c>
      <c r="I156" s="1770">
        <v>363201</v>
      </c>
      <c r="J156" s="1771">
        <v>1796138</v>
      </c>
      <c r="K156" s="1769"/>
      <c r="L156" s="1602"/>
    </row>
    <row r="157" spans="2:12" ht="15.75">
      <c r="B157" s="1014" t="s">
        <v>1336</v>
      </c>
      <c r="C157" s="1772"/>
      <c r="D157" s="1804">
        <f t="shared" si="9"/>
        <v>120.83227800115918</v>
      </c>
      <c r="E157" s="2950"/>
      <c r="F157" s="1797">
        <v>1891646</v>
      </c>
      <c r="G157" s="1770">
        <v>251864</v>
      </c>
      <c r="H157" s="1770">
        <v>465317</v>
      </c>
      <c r="I157" s="1770">
        <v>371641</v>
      </c>
      <c r="J157" s="1771">
        <v>1764343</v>
      </c>
      <c r="K157" s="1769"/>
      <c r="L157" s="1602"/>
    </row>
    <row r="158" spans="2:12" ht="15.75">
      <c r="B158" s="891" t="s">
        <v>1328</v>
      </c>
      <c r="C158" s="1767" t="s">
        <v>41</v>
      </c>
      <c r="D158" s="1804">
        <f t="shared" si="9"/>
        <v>121.57750760738071</v>
      </c>
      <c r="E158" s="2950"/>
      <c r="F158" s="1797">
        <v>1919889</v>
      </c>
      <c r="G158" s="1770">
        <v>250871</v>
      </c>
      <c r="H158" s="1770">
        <v>467961</v>
      </c>
      <c r="I158" s="1770">
        <v>369303</v>
      </c>
      <c r="J158" s="1771">
        <v>1800684</v>
      </c>
      <c r="K158" s="1769"/>
      <c r="L158" s="1602"/>
    </row>
    <row r="159" spans="2:12" ht="15.75">
      <c r="B159" s="881" t="s">
        <v>1174</v>
      </c>
      <c r="C159" s="1773" t="s">
        <v>41</v>
      </c>
      <c r="D159" s="1804">
        <f t="shared" si="9"/>
        <v>121.57750760738071</v>
      </c>
      <c r="E159" s="2950"/>
      <c r="F159" s="1602">
        <v>1919889</v>
      </c>
      <c r="G159" s="1685">
        <v>250871</v>
      </c>
      <c r="H159" s="1685">
        <v>467961</v>
      </c>
      <c r="I159" s="1685">
        <v>369303</v>
      </c>
      <c r="J159" s="1762">
        <v>1800684</v>
      </c>
      <c r="K159" s="1762"/>
      <c r="L159" s="1602"/>
    </row>
    <row r="160" spans="2:12" ht="15.75">
      <c r="B160" s="890" t="s">
        <v>1173</v>
      </c>
      <c r="C160" s="1707" t="s">
        <v>41</v>
      </c>
      <c r="D160" s="1804">
        <f t="shared" si="9"/>
        <v>121.57918980856155</v>
      </c>
      <c r="E160" s="2950"/>
      <c r="F160" s="1796">
        <v>1919896</v>
      </c>
      <c r="G160" s="1688">
        <v>250878</v>
      </c>
      <c r="H160" s="1688">
        <v>467968</v>
      </c>
      <c r="I160" s="1688">
        <v>369310</v>
      </c>
      <c r="J160" s="1774">
        <v>1800691</v>
      </c>
      <c r="K160" s="1760"/>
      <c r="L160" s="1602"/>
    </row>
    <row r="161" spans="2:12" ht="15.75">
      <c r="B161" s="890" t="s">
        <v>1352</v>
      </c>
      <c r="C161" s="1775" t="s">
        <v>41</v>
      </c>
      <c r="D161" s="1804">
        <f t="shared" si="9"/>
        <v>121.65252534239275</v>
      </c>
      <c r="E161" s="2950"/>
      <c r="F161" s="1598">
        <v>1904845</v>
      </c>
      <c r="G161" s="1599">
        <v>246585</v>
      </c>
      <c r="H161" s="1599">
        <v>456848</v>
      </c>
      <c r="I161" s="1599">
        <v>380421</v>
      </c>
      <c r="J161" s="1776">
        <v>1848091</v>
      </c>
      <c r="K161" s="1762"/>
      <c r="L161" s="1602"/>
    </row>
    <row r="162" spans="2:12" ht="15.75">
      <c r="B162" s="899" t="s">
        <v>1351</v>
      </c>
      <c r="C162" s="1777"/>
      <c r="D162" s="1804">
        <f t="shared" si="9"/>
        <v>121.68542099966682</v>
      </c>
      <c r="E162" s="2950"/>
      <c r="F162" s="1598">
        <v>1904934</v>
      </c>
      <c r="G162" s="1599">
        <v>246727</v>
      </c>
      <c r="H162" s="1599">
        <v>456986</v>
      </c>
      <c r="I162" s="1599">
        <v>380565</v>
      </c>
      <c r="J162" s="1776">
        <v>1848200</v>
      </c>
      <c r="K162" s="1762"/>
      <c r="L162" s="1602"/>
    </row>
    <row r="163" spans="2:12" ht="15.75">
      <c r="B163" s="890" t="s">
        <v>1304</v>
      </c>
      <c r="C163" s="1690"/>
      <c r="D163" s="1804">
        <f t="shared" si="9"/>
        <v>121.75201779403768</v>
      </c>
      <c r="E163" s="2950"/>
      <c r="F163" s="1598">
        <v>1904804</v>
      </c>
      <c r="G163" s="1599">
        <v>247605</v>
      </c>
      <c r="H163" s="1599">
        <v>456889</v>
      </c>
      <c r="I163" s="1599">
        <v>380384</v>
      </c>
      <c r="J163" s="1776">
        <v>1848023</v>
      </c>
      <c r="K163" s="1760"/>
      <c r="L163" s="1602"/>
    </row>
    <row r="164" spans="2:12" ht="15.75">
      <c r="B164" s="900" t="s">
        <v>1509</v>
      </c>
      <c r="C164" s="1717"/>
      <c r="D164" s="1804">
        <f t="shared" si="9"/>
        <v>121.88177355205711</v>
      </c>
      <c r="E164" s="2950"/>
      <c r="F164" s="1798">
        <v>1868911</v>
      </c>
      <c r="G164" s="1609">
        <v>258401</v>
      </c>
      <c r="H164" s="1609">
        <v>446217</v>
      </c>
      <c r="I164" s="1609">
        <v>387376</v>
      </c>
      <c r="J164" s="1609">
        <v>1823140</v>
      </c>
      <c r="K164" s="1760"/>
      <c r="L164" s="1602"/>
    </row>
    <row r="165" spans="2:12" ht="15.75">
      <c r="B165" s="891" t="s">
        <v>1614</v>
      </c>
      <c r="C165" s="1691"/>
      <c r="D165" s="1804">
        <f t="shared" si="9"/>
        <v>122.14916275713547</v>
      </c>
      <c r="E165" s="2950"/>
      <c r="F165" s="1798">
        <v>1878884</v>
      </c>
      <c r="G165" s="1609">
        <v>253393</v>
      </c>
      <c r="H165" s="1609">
        <v>468657</v>
      </c>
      <c r="I165" s="1609">
        <v>371764</v>
      </c>
      <c r="J165" s="1778">
        <v>1854444</v>
      </c>
      <c r="K165" s="1760"/>
      <c r="L165" s="1602"/>
    </row>
    <row r="166" spans="2:12" ht="15.75">
      <c r="B166" s="881" t="s">
        <v>638</v>
      </c>
      <c r="C166" s="1690"/>
      <c r="D166" s="1804">
        <f t="shared" si="9"/>
        <v>122.79112114553143</v>
      </c>
      <c r="E166" s="2950"/>
      <c r="F166" s="1798">
        <v>1982090</v>
      </c>
      <c r="G166" s="1609">
        <v>257006</v>
      </c>
      <c r="H166" s="1609">
        <v>467211</v>
      </c>
      <c r="I166" s="1662">
        <v>361256</v>
      </c>
      <c r="J166" s="1617">
        <v>1824187</v>
      </c>
      <c r="K166" s="1760"/>
      <c r="L166" s="1602"/>
    </row>
    <row r="167" spans="2:12" ht="15.75">
      <c r="B167" s="894" t="s">
        <v>677</v>
      </c>
      <c r="C167" s="1715"/>
      <c r="D167" s="1804">
        <f t="shared" si="9"/>
        <v>123.12891697980812</v>
      </c>
      <c r="E167" s="2950"/>
      <c r="F167" s="1798">
        <v>1853783</v>
      </c>
      <c r="G167" s="1609">
        <v>275657</v>
      </c>
      <c r="H167" s="1609">
        <v>454147</v>
      </c>
      <c r="I167" s="1609">
        <v>363541</v>
      </c>
      <c r="J167" s="1640">
        <v>1885202</v>
      </c>
      <c r="K167" s="1760"/>
      <c r="L167" s="1602"/>
    </row>
    <row r="168" spans="2:12" ht="15.75">
      <c r="B168" s="881" t="s">
        <v>641</v>
      </c>
      <c r="C168" s="1704"/>
      <c r="D168" s="1804">
        <f t="shared" si="9"/>
        <v>123.39365575872807</v>
      </c>
      <c r="E168" s="2950"/>
      <c r="F168" s="1798">
        <v>1914848</v>
      </c>
      <c r="G168" s="1609">
        <v>255188</v>
      </c>
      <c r="H168" s="1609">
        <v>473172</v>
      </c>
      <c r="I168" s="1609">
        <v>383272</v>
      </c>
      <c r="J168" s="1640">
        <v>1825433</v>
      </c>
      <c r="K168" s="1760"/>
      <c r="L168" s="1602"/>
    </row>
    <row r="169" spans="2:12" ht="15.75">
      <c r="B169" s="885" t="s">
        <v>647</v>
      </c>
      <c r="C169" s="1728"/>
      <c r="D169" s="1804">
        <f t="shared" si="9"/>
        <v>123.40035231033181</v>
      </c>
      <c r="E169" s="2950"/>
      <c r="F169" s="1798">
        <v>1961614</v>
      </c>
      <c r="G169" s="1609">
        <v>251422</v>
      </c>
      <c r="H169" s="1609">
        <v>479875</v>
      </c>
      <c r="I169" s="1609">
        <v>363473</v>
      </c>
      <c r="J169" s="1640">
        <v>1873382</v>
      </c>
      <c r="K169" s="1760"/>
      <c r="L169" s="1602"/>
    </row>
    <row r="170" spans="2:12" ht="15.75">
      <c r="B170" s="309" t="s">
        <v>1313</v>
      </c>
      <c r="C170" s="1779"/>
      <c r="D170" s="1804">
        <f t="shared" si="9"/>
        <v>123.92005940068032</v>
      </c>
      <c r="E170" s="2950"/>
      <c r="F170" s="1798">
        <v>1985679</v>
      </c>
      <c r="G170" s="1609">
        <v>254694</v>
      </c>
      <c r="H170" s="1609">
        <v>467684</v>
      </c>
      <c r="I170" s="1609">
        <v>370349</v>
      </c>
      <c r="J170" s="1640">
        <v>1880624</v>
      </c>
      <c r="K170" s="1760"/>
      <c r="L170" s="1602"/>
    </row>
    <row r="171" spans="2:12" ht="15.75">
      <c r="B171" s="309" t="s">
        <v>1206</v>
      </c>
      <c r="C171" s="1715"/>
      <c r="D171" s="1804">
        <f t="shared" si="9"/>
        <v>124.05449946932603</v>
      </c>
      <c r="E171" s="2950"/>
      <c r="F171" s="1799">
        <v>1786081</v>
      </c>
      <c r="G171" s="1640">
        <v>276516</v>
      </c>
      <c r="H171" s="1640">
        <v>503373</v>
      </c>
      <c r="I171" s="1640">
        <v>368650</v>
      </c>
      <c r="J171" s="1778">
        <v>1793458</v>
      </c>
      <c r="K171" s="1760"/>
      <c r="L171" s="1602"/>
    </row>
    <row r="172" spans="2:12" ht="15.75">
      <c r="B172" s="309" t="s">
        <v>1337</v>
      </c>
      <c r="C172" s="1717" t="s">
        <v>41</v>
      </c>
      <c r="D172" s="1804">
        <f t="shared" si="9"/>
        <v>124.73401676578011</v>
      </c>
      <c r="E172" s="2950"/>
      <c r="F172" s="1798">
        <v>1931386</v>
      </c>
      <c r="G172" s="1609">
        <v>278884</v>
      </c>
      <c r="H172" s="1609">
        <v>445755</v>
      </c>
      <c r="I172" s="1609">
        <v>376200</v>
      </c>
      <c r="J172" s="1778">
        <v>1877261</v>
      </c>
      <c r="K172" s="1760"/>
      <c r="L172" s="1602"/>
    </row>
    <row r="173" spans="2:12" ht="15.75">
      <c r="B173" s="1547" t="s">
        <v>1618</v>
      </c>
      <c r="C173" s="1719"/>
      <c r="D173" s="1804">
        <f t="shared" si="9"/>
        <v>125.63843019594994</v>
      </c>
      <c r="E173" s="2950"/>
      <c r="F173" s="1798">
        <v>2164738</v>
      </c>
      <c r="G173" s="1609">
        <v>244912</v>
      </c>
      <c r="H173" s="1609">
        <v>456129</v>
      </c>
      <c r="I173" s="1609">
        <v>368347</v>
      </c>
      <c r="J173" s="1778">
        <v>1958781</v>
      </c>
      <c r="K173" s="1760"/>
      <c r="L173" s="1602"/>
    </row>
    <row r="174" spans="2:12" ht="15.75">
      <c r="B174" s="891" t="s">
        <v>1225</v>
      </c>
      <c r="C174" s="1702"/>
      <c r="D174" s="1804">
        <f t="shared" si="9"/>
        <v>126.38048576882102</v>
      </c>
      <c r="E174" s="2950"/>
      <c r="F174" s="1798">
        <v>1993453</v>
      </c>
      <c r="G174" s="1780">
        <v>283028</v>
      </c>
      <c r="H174" s="1780">
        <v>476720</v>
      </c>
      <c r="I174" s="1780">
        <v>358478</v>
      </c>
      <c r="J174" s="1781">
        <v>1865170</v>
      </c>
      <c r="K174" s="1762"/>
      <c r="L174" s="1602"/>
    </row>
    <row r="175" spans="2:12" ht="15.75">
      <c r="B175" s="890" t="s">
        <v>1353</v>
      </c>
      <c r="C175" s="1728"/>
      <c r="D175" s="1804">
        <f t="shared" ref="D175:D206" si="11">SUM(F175/F$141,G175/G$141,H175/H$141,I175/I$141,J175/J$141)/5*100</f>
        <v>127.23771544664839</v>
      </c>
      <c r="E175" s="2950"/>
      <c r="F175" s="1798">
        <v>2192888</v>
      </c>
      <c r="G175" s="1609">
        <v>249747</v>
      </c>
      <c r="H175" s="1609">
        <v>459476</v>
      </c>
      <c r="I175" s="1609">
        <v>372244</v>
      </c>
      <c r="J175" s="1778">
        <v>1983828</v>
      </c>
      <c r="K175" s="1760"/>
      <c r="L175" s="1602"/>
    </row>
    <row r="176" spans="2:12" ht="15.75">
      <c r="B176" s="1544" t="s">
        <v>1347</v>
      </c>
      <c r="C176" s="1721" t="s">
        <v>41</v>
      </c>
      <c r="D176" s="1804">
        <f t="shared" si="11"/>
        <v>130.24050556890506</v>
      </c>
      <c r="E176" s="2950"/>
      <c r="F176" s="1798">
        <v>2017904</v>
      </c>
      <c r="G176" s="1609">
        <v>286210</v>
      </c>
      <c r="H176" s="1609">
        <v>479340</v>
      </c>
      <c r="I176" s="1609">
        <v>392460</v>
      </c>
      <c r="J176" s="1778">
        <v>1941328</v>
      </c>
      <c r="K176" s="1760"/>
      <c r="L176" s="1602"/>
    </row>
    <row r="177" spans="2:12" ht="15.75">
      <c r="B177" s="898" t="s">
        <v>648</v>
      </c>
      <c r="C177" s="1722"/>
      <c r="D177" s="1804">
        <f t="shared" si="11"/>
        <v>130.68857469311922</v>
      </c>
      <c r="E177" s="2950"/>
      <c r="F177" s="1798">
        <v>2167619</v>
      </c>
      <c r="G177" s="1609">
        <v>260675</v>
      </c>
      <c r="H177" s="1609">
        <v>493283</v>
      </c>
      <c r="I177" s="1609">
        <v>393647</v>
      </c>
      <c r="J177" s="1778">
        <v>1951926</v>
      </c>
      <c r="K177" s="1760"/>
      <c r="L177" s="1602"/>
    </row>
    <row r="178" spans="2:12" ht="15.75">
      <c r="B178" s="891" t="s">
        <v>1195</v>
      </c>
      <c r="C178" s="1725"/>
      <c r="D178" s="1804">
        <f t="shared" si="11"/>
        <v>130.88236365125809</v>
      </c>
      <c r="E178" s="2950"/>
      <c r="F178" s="1798">
        <v>2001664</v>
      </c>
      <c r="G178" s="1609">
        <v>274416</v>
      </c>
      <c r="H178" s="1609">
        <v>517504</v>
      </c>
      <c r="I178" s="1609">
        <v>371504</v>
      </c>
      <c r="J178" s="1778">
        <v>2042656</v>
      </c>
      <c r="K178" s="1760"/>
      <c r="L178" s="1602"/>
    </row>
    <row r="179" spans="2:12" ht="15.75">
      <c r="B179" s="296" t="s">
        <v>1329</v>
      </c>
      <c r="C179" s="1720" t="s">
        <v>41</v>
      </c>
      <c r="D179" s="1804">
        <f t="shared" si="11"/>
        <v>132.14670948885239</v>
      </c>
      <c r="E179" s="2950"/>
      <c r="F179" s="1798">
        <v>2139585</v>
      </c>
      <c r="G179" s="1609">
        <v>267014</v>
      </c>
      <c r="H179" s="1609">
        <v>504273</v>
      </c>
      <c r="I179" s="1609">
        <v>377497</v>
      </c>
      <c r="J179" s="1778">
        <v>2078803</v>
      </c>
      <c r="K179" s="1760"/>
      <c r="L179" s="1602"/>
    </row>
    <row r="180" spans="2:12" ht="15.75">
      <c r="B180" s="891" t="s">
        <v>1339</v>
      </c>
      <c r="C180" s="1725" t="s">
        <v>41</v>
      </c>
      <c r="D180" s="1804">
        <f t="shared" si="11"/>
        <v>133.04146108480995</v>
      </c>
      <c r="E180" s="2950"/>
      <c r="F180" s="1798">
        <v>2174458</v>
      </c>
      <c r="G180" s="1609">
        <v>271929</v>
      </c>
      <c r="H180" s="1609">
        <v>487385</v>
      </c>
      <c r="I180" s="1609">
        <v>386949</v>
      </c>
      <c r="J180" s="1778">
        <v>2098263</v>
      </c>
      <c r="K180" s="1760"/>
      <c r="L180" s="1602"/>
    </row>
    <row r="181" spans="2:12" ht="15.75">
      <c r="B181" s="881" t="s">
        <v>1332</v>
      </c>
      <c r="C181" s="1725" t="s">
        <v>41</v>
      </c>
      <c r="D181" s="1804">
        <f t="shared" si="11"/>
        <v>133.36663024101748</v>
      </c>
      <c r="E181" s="2950"/>
      <c r="F181" s="1798">
        <v>2174654</v>
      </c>
      <c r="G181" s="1609">
        <v>274595</v>
      </c>
      <c r="H181" s="1609">
        <v>488156</v>
      </c>
      <c r="I181" s="1609">
        <v>387183</v>
      </c>
      <c r="J181" s="1778">
        <v>2098500</v>
      </c>
      <c r="K181" s="1760"/>
      <c r="L181" s="1602"/>
    </row>
    <row r="182" spans="2:12" ht="15.75">
      <c r="B182" s="890" t="s">
        <v>1333</v>
      </c>
      <c r="C182" s="1725" t="s">
        <v>41</v>
      </c>
      <c r="D182" s="1804">
        <f t="shared" si="11"/>
        <v>133.36789454513709</v>
      </c>
      <c r="E182" s="2950"/>
      <c r="F182" s="1799">
        <v>2174702</v>
      </c>
      <c r="G182" s="1640">
        <v>274595</v>
      </c>
      <c r="H182" s="1640">
        <v>488156</v>
      </c>
      <c r="I182" s="1640">
        <v>387183</v>
      </c>
      <c r="J182" s="1778">
        <v>2098548</v>
      </c>
      <c r="K182" s="1760"/>
      <c r="L182" s="1602"/>
    </row>
    <row r="183" spans="2:12" ht="15.75">
      <c r="B183" s="890" t="s">
        <v>1306</v>
      </c>
      <c r="C183" s="1720" t="s">
        <v>41</v>
      </c>
      <c r="D183" s="1804">
        <f t="shared" si="11"/>
        <v>133.41790350367683</v>
      </c>
      <c r="E183" s="2950"/>
      <c r="F183" s="1798">
        <v>2153853</v>
      </c>
      <c r="G183" s="1609">
        <v>277291</v>
      </c>
      <c r="H183" s="1609">
        <v>496855</v>
      </c>
      <c r="I183" s="1609">
        <v>412235</v>
      </c>
      <c r="J183" s="1778">
        <v>1946582</v>
      </c>
      <c r="K183" s="1760"/>
      <c r="L183" s="1602"/>
    </row>
    <row r="184" spans="2:12" ht="15.75">
      <c r="B184" s="890" t="s">
        <v>1307</v>
      </c>
      <c r="C184" s="1725" t="s">
        <v>41</v>
      </c>
      <c r="D184" s="1804">
        <f t="shared" si="11"/>
        <v>133.63501872638233</v>
      </c>
      <c r="E184" s="2950"/>
      <c r="F184" s="1799">
        <v>2158545</v>
      </c>
      <c r="G184" s="1640">
        <v>278123</v>
      </c>
      <c r="H184" s="1640">
        <v>496789</v>
      </c>
      <c r="I184" s="1640">
        <v>412606</v>
      </c>
      <c r="J184" s="1778">
        <v>1950626</v>
      </c>
      <c r="K184" s="1760"/>
      <c r="L184" s="1602"/>
    </row>
    <row r="185" spans="2:12" ht="15.75">
      <c r="B185" s="890" t="s">
        <v>1316</v>
      </c>
      <c r="C185" s="1717"/>
      <c r="D185" s="1804">
        <f t="shared" si="11"/>
        <v>133.73113808613286</v>
      </c>
      <c r="E185" s="2950"/>
      <c r="F185" s="1798">
        <v>2135628</v>
      </c>
      <c r="G185" s="1609">
        <v>278411</v>
      </c>
      <c r="H185" s="1609">
        <v>518962</v>
      </c>
      <c r="I185" s="1609">
        <v>372362</v>
      </c>
      <c r="J185" s="1778">
        <v>2082394</v>
      </c>
      <c r="K185" s="1760"/>
      <c r="L185" s="1602"/>
    </row>
    <row r="186" spans="2:12" ht="15.75">
      <c r="B186" s="309" t="s">
        <v>1224</v>
      </c>
      <c r="C186" s="1704"/>
      <c r="D186" s="1804">
        <f t="shared" si="11"/>
        <v>134.63288027960093</v>
      </c>
      <c r="E186" s="2950"/>
      <c r="F186" s="1798">
        <v>2122207</v>
      </c>
      <c r="G186" s="1609">
        <v>281368</v>
      </c>
      <c r="H186" s="1609">
        <v>526840</v>
      </c>
      <c r="I186" s="1609">
        <v>376345</v>
      </c>
      <c r="J186" s="1778">
        <v>2092228</v>
      </c>
      <c r="K186" s="1760"/>
      <c r="L186" s="1602"/>
    </row>
    <row r="187" spans="2:12" ht="15.75">
      <c r="B187" s="309" t="s">
        <v>679</v>
      </c>
      <c r="C187" s="1782"/>
      <c r="D187" s="1804">
        <f t="shared" si="11"/>
        <v>135.55419753528818</v>
      </c>
      <c r="E187" s="2950"/>
      <c r="F187" s="1798">
        <v>2206598</v>
      </c>
      <c r="G187" s="1609">
        <v>290086</v>
      </c>
      <c r="H187" s="1609">
        <v>488895</v>
      </c>
      <c r="I187" s="1609">
        <v>390115</v>
      </c>
      <c r="J187" s="1778">
        <v>2098521</v>
      </c>
      <c r="K187" s="1760"/>
      <c r="L187" s="1602"/>
    </row>
    <row r="188" spans="2:12" ht="15.75">
      <c r="B188" s="1015" t="s">
        <v>1302</v>
      </c>
      <c r="C188" s="1726" t="s">
        <v>41</v>
      </c>
      <c r="D188" s="1804">
        <f t="shared" si="11"/>
        <v>135.81457161342675</v>
      </c>
      <c r="E188" s="2950"/>
      <c r="F188" s="1799">
        <v>2029108</v>
      </c>
      <c r="G188" s="1640">
        <v>283404</v>
      </c>
      <c r="H188" s="1640">
        <v>549524</v>
      </c>
      <c r="I188" s="1640">
        <v>392318</v>
      </c>
      <c r="J188" s="1778">
        <v>2096002</v>
      </c>
      <c r="K188" s="1760"/>
      <c r="L188" s="1602"/>
    </row>
    <row r="189" spans="2:12" ht="15.75">
      <c r="B189" s="299" t="s">
        <v>1202</v>
      </c>
      <c r="C189" s="1723"/>
      <c r="D189" s="1804">
        <f t="shared" si="11"/>
        <v>136.7241014877462</v>
      </c>
      <c r="E189" s="2950"/>
      <c r="F189" s="1800">
        <v>2215686</v>
      </c>
      <c r="G189" s="1718">
        <v>285014</v>
      </c>
      <c r="H189" s="1718">
        <v>523158</v>
      </c>
      <c r="I189" s="1718">
        <v>377754</v>
      </c>
      <c r="J189" s="1778">
        <v>2136990</v>
      </c>
      <c r="K189" s="1760"/>
      <c r="L189" s="1602"/>
    </row>
    <row r="190" spans="2:12" ht="15.75" customHeight="1">
      <c r="B190" s="890" t="s">
        <v>1239</v>
      </c>
      <c r="C190" s="1717"/>
      <c r="D190" s="1804">
        <f t="shared" si="11"/>
        <v>137.91996321788838</v>
      </c>
      <c r="E190" s="2950"/>
      <c r="F190" s="1800">
        <v>2264553</v>
      </c>
      <c r="G190" s="1718">
        <v>288158</v>
      </c>
      <c r="H190" s="1718">
        <v>526853</v>
      </c>
      <c r="I190" s="1718">
        <v>383465</v>
      </c>
      <c r="J190" s="1778">
        <v>2111481</v>
      </c>
      <c r="K190" s="1760"/>
      <c r="L190" s="1602"/>
    </row>
    <row r="191" spans="2:12" ht="15.75">
      <c r="B191" s="309" t="s">
        <v>1334</v>
      </c>
      <c r="C191" s="1782"/>
      <c r="D191" s="1804">
        <f t="shared" si="11"/>
        <v>138.50203598671033</v>
      </c>
      <c r="E191" s="2950"/>
      <c r="F191" s="1799">
        <v>2314985</v>
      </c>
      <c r="G191" s="1640">
        <v>290499</v>
      </c>
      <c r="H191" s="1609">
        <v>487232</v>
      </c>
      <c r="I191" s="1609">
        <v>395751</v>
      </c>
      <c r="J191" s="1778">
        <v>2190669</v>
      </c>
      <c r="K191" s="1760"/>
      <c r="L191" s="1602"/>
    </row>
    <row r="192" spans="2:12" ht="15.75" customHeight="1">
      <c r="B192" s="891" t="s">
        <v>1495</v>
      </c>
      <c r="C192" s="1723"/>
      <c r="D192" s="1804">
        <f t="shared" si="11"/>
        <v>139.83554546188307</v>
      </c>
      <c r="E192" s="2950"/>
      <c r="F192" s="1800">
        <v>2231104</v>
      </c>
      <c r="G192" s="1718">
        <v>314296</v>
      </c>
      <c r="H192" s="1718">
        <v>512400</v>
      </c>
      <c r="I192" s="1718">
        <v>409664</v>
      </c>
      <c r="J192" s="1778">
        <v>2027784</v>
      </c>
      <c r="K192" s="1760"/>
      <c r="L192" s="1602"/>
    </row>
    <row r="193" spans="2:12" ht="15.75">
      <c r="B193" s="309" t="s">
        <v>1310</v>
      </c>
      <c r="C193" s="1727"/>
      <c r="D193" s="1804">
        <f t="shared" si="11"/>
        <v>140.81992338204216</v>
      </c>
      <c r="E193" s="2950"/>
      <c r="F193" s="1800">
        <v>2208098</v>
      </c>
      <c r="G193" s="1718">
        <v>287846</v>
      </c>
      <c r="H193" s="1718">
        <v>549307</v>
      </c>
      <c r="I193" s="1718">
        <v>398679</v>
      </c>
      <c r="J193" s="1778">
        <v>2233529</v>
      </c>
      <c r="K193" s="1760"/>
      <c r="L193" s="1602"/>
    </row>
    <row r="194" spans="2:12" ht="15.75">
      <c r="B194" s="890" t="s">
        <v>1305</v>
      </c>
      <c r="C194" s="1715"/>
      <c r="D194" s="1804">
        <f t="shared" si="11"/>
        <v>140.87993060830081</v>
      </c>
      <c r="E194" s="2950"/>
      <c r="F194" s="1800">
        <v>2163044</v>
      </c>
      <c r="G194" s="1718">
        <v>335362</v>
      </c>
      <c r="H194" s="1718">
        <v>507362</v>
      </c>
      <c r="I194" s="1718">
        <v>406254</v>
      </c>
      <c r="J194" s="1778">
        <v>2055750</v>
      </c>
      <c r="K194" s="1760"/>
      <c r="L194" s="1602"/>
    </row>
    <row r="195" spans="2:12" ht="15.75">
      <c r="B195" s="880" t="s">
        <v>553</v>
      </c>
      <c r="C195" s="1720" t="s">
        <v>41</v>
      </c>
      <c r="D195" s="1804">
        <f t="shared" si="11"/>
        <v>143.71636481780121</v>
      </c>
      <c r="E195" s="2950"/>
      <c r="F195" s="1798">
        <v>2461167</v>
      </c>
      <c r="G195" s="1609">
        <v>311508</v>
      </c>
      <c r="H195" s="1609">
        <v>522586</v>
      </c>
      <c r="I195" s="1609">
        <v>393267</v>
      </c>
      <c r="J195" s="1778">
        <v>2146048</v>
      </c>
      <c r="K195" s="1760"/>
      <c r="L195" s="1602"/>
    </row>
    <row r="196" spans="2:12" ht="15.75">
      <c r="B196" s="297" t="s">
        <v>551</v>
      </c>
      <c r="C196" s="1720" t="s">
        <v>41</v>
      </c>
      <c r="D196" s="1804">
        <f t="shared" si="11"/>
        <v>145.28332638775825</v>
      </c>
      <c r="E196" s="2950"/>
      <c r="F196" s="1798">
        <v>2326547</v>
      </c>
      <c r="G196" s="1609">
        <v>309595</v>
      </c>
      <c r="H196" s="1609">
        <v>550134</v>
      </c>
      <c r="I196" s="1609">
        <v>399402</v>
      </c>
      <c r="J196" s="1778">
        <v>2281717</v>
      </c>
      <c r="K196" s="1760"/>
      <c r="L196" s="1602"/>
    </row>
    <row r="197" spans="2:12" ht="15.75">
      <c r="B197" s="309" t="s">
        <v>1326</v>
      </c>
      <c r="C197" s="1612" t="s">
        <v>41</v>
      </c>
      <c r="D197" s="1804">
        <f t="shared" si="11"/>
        <v>145.4528099411159</v>
      </c>
      <c r="E197" s="2950"/>
      <c r="F197" s="1798">
        <v>2386875</v>
      </c>
      <c r="G197" s="1609">
        <v>306880</v>
      </c>
      <c r="H197" s="1609">
        <v>561360</v>
      </c>
      <c r="I197" s="1609">
        <v>395875</v>
      </c>
      <c r="J197" s="1778">
        <v>2222563</v>
      </c>
      <c r="K197" s="1760"/>
      <c r="L197" s="1602"/>
    </row>
    <row r="198" spans="2:12" ht="15.75">
      <c r="B198" s="309" t="s">
        <v>1270</v>
      </c>
      <c r="C198" s="1783"/>
      <c r="D198" s="1804">
        <f t="shared" si="11"/>
        <v>146.25738656539932</v>
      </c>
      <c r="E198" s="2950"/>
      <c r="F198" s="1799">
        <v>2522312</v>
      </c>
      <c r="G198" s="1640">
        <v>321096</v>
      </c>
      <c r="H198" s="1640">
        <v>523779</v>
      </c>
      <c r="I198" s="1640">
        <v>374864</v>
      </c>
      <c r="J198" s="1778">
        <v>2289593</v>
      </c>
      <c r="K198" s="1760"/>
      <c r="L198" s="1602"/>
    </row>
    <row r="199" spans="2:12" ht="15.75">
      <c r="B199" s="890" t="s">
        <v>1420</v>
      </c>
      <c r="C199" s="1720" t="s">
        <v>41</v>
      </c>
      <c r="D199" s="1804">
        <f t="shared" si="11"/>
        <v>146.26246706420153</v>
      </c>
      <c r="E199" s="2950"/>
      <c r="F199" s="1799">
        <v>2375108</v>
      </c>
      <c r="G199" s="1640">
        <v>310761</v>
      </c>
      <c r="H199" s="1640">
        <v>550827</v>
      </c>
      <c r="I199" s="1640">
        <v>400505</v>
      </c>
      <c r="J199" s="1778">
        <v>2289617</v>
      </c>
      <c r="K199" s="1760"/>
      <c r="L199" s="1602"/>
    </row>
    <row r="200" spans="2:12" ht="15.75">
      <c r="B200" s="890" t="s">
        <v>1344</v>
      </c>
      <c r="C200" s="1724" t="s">
        <v>41</v>
      </c>
      <c r="D200" s="1804">
        <f t="shared" si="11"/>
        <v>148.87833030512658</v>
      </c>
      <c r="E200" s="2950"/>
      <c r="F200" s="1800">
        <v>2906734</v>
      </c>
      <c r="G200" s="1718">
        <v>270708</v>
      </c>
      <c r="H200" s="1718">
        <v>590487</v>
      </c>
      <c r="I200" s="1718">
        <v>422711</v>
      </c>
      <c r="J200" s="1778">
        <v>1969628</v>
      </c>
      <c r="K200" s="1760"/>
      <c r="L200" s="1602"/>
    </row>
    <row r="201" spans="2:12" ht="15.75">
      <c r="B201" s="887" t="s">
        <v>1348</v>
      </c>
      <c r="C201" s="1720"/>
      <c r="D201" s="1804">
        <f t="shared" si="11"/>
        <v>148.95982166211951</v>
      </c>
      <c r="E201" s="2950"/>
      <c r="F201" s="1800">
        <v>2536906</v>
      </c>
      <c r="G201" s="1718">
        <v>287511</v>
      </c>
      <c r="H201" s="1718">
        <v>610686</v>
      </c>
      <c r="I201" s="1718">
        <v>429514</v>
      </c>
      <c r="J201" s="1778">
        <v>2120532</v>
      </c>
      <c r="K201" s="1760"/>
      <c r="L201" s="1602"/>
    </row>
    <row r="202" spans="2:12" ht="15.75">
      <c r="B202" s="890" t="s">
        <v>1228</v>
      </c>
      <c r="C202" s="1719"/>
      <c r="D202" s="1804">
        <f t="shared" si="11"/>
        <v>150.76320390679351</v>
      </c>
      <c r="E202" s="2950"/>
      <c r="F202" s="1801">
        <v>2200922</v>
      </c>
      <c r="G202" s="1716">
        <v>369797</v>
      </c>
      <c r="H202" s="1609">
        <v>575707</v>
      </c>
      <c r="I202" s="1609">
        <v>418119</v>
      </c>
      <c r="J202" s="1778">
        <v>2180364</v>
      </c>
      <c r="K202" s="1760"/>
      <c r="L202" s="1602"/>
    </row>
    <row r="203" spans="2:12" ht="15.75">
      <c r="B203" s="895" t="s">
        <v>1364</v>
      </c>
      <c r="C203" s="1720" t="s">
        <v>41</v>
      </c>
      <c r="D203" s="1804">
        <f t="shared" si="11"/>
        <v>153.82949480427749</v>
      </c>
      <c r="E203" s="2950"/>
      <c r="F203" s="1800">
        <v>2570806</v>
      </c>
      <c r="G203" s="1718">
        <v>317175</v>
      </c>
      <c r="H203" s="1718">
        <v>579155</v>
      </c>
      <c r="I203" s="1718">
        <v>406417</v>
      </c>
      <c r="J203" s="1778">
        <v>2478012</v>
      </c>
      <c r="K203" s="1760"/>
      <c r="L203" s="1602"/>
    </row>
    <row r="204" spans="2:12" ht="15.75">
      <c r="B204" s="309" t="s">
        <v>1341</v>
      </c>
      <c r="C204" s="1726" t="s">
        <v>41</v>
      </c>
      <c r="D204" s="1804">
        <f t="shared" si="11"/>
        <v>154.71843408341439</v>
      </c>
      <c r="E204" s="2950"/>
      <c r="F204" s="1799">
        <v>3012209</v>
      </c>
      <c r="G204" s="1640">
        <v>255862</v>
      </c>
      <c r="H204" s="1640">
        <v>594414</v>
      </c>
      <c r="I204" s="1640">
        <v>492453</v>
      </c>
      <c r="J204" s="1778">
        <v>2076209</v>
      </c>
      <c r="K204" s="1760"/>
      <c r="L204" s="1602"/>
    </row>
    <row r="205" spans="2:12" ht="15.75">
      <c r="B205" s="1544" t="s">
        <v>1494</v>
      </c>
      <c r="C205" s="1732"/>
      <c r="D205" s="1804">
        <f t="shared" si="11"/>
        <v>157.79525059099356</v>
      </c>
      <c r="E205" s="2950"/>
      <c r="F205" s="1799">
        <v>2578698</v>
      </c>
      <c r="G205" s="1640">
        <v>345293</v>
      </c>
      <c r="H205" s="1640">
        <v>583506</v>
      </c>
      <c r="I205" s="1640">
        <v>420904</v>
      </c>
      <c r="J205" s="1778">
        <v>2473915</v>
      </c>
      <c r="K205" s="1760"/>
      <c r="L205" s="1602"/>
    </row>
    <row r="206" spans="2:12" ht="15.75">
      <c r="B206" s="891" t="s">
        <v>1204</v>
      </c>
      <c r="C206" s="1732"/>
      <c r="D206" s="1804">
        <f t="shared" si="11"/>
        <v>158.65205665212201</v>
      </c>
      <c r="E206" s="2950"/>
      <c r="F206" s="1799">
        <v>2791738</v>
      </c>
      <c r="G206" s="1640">
        <v>358991</v>
      </c>
      <c r="H206" s="1640">
        <v>531364</v>
      </c>
      <c r="I206" s="1640">
        <v>390030</v>
      </c>
      <c r="J206" s="1778">
        <v>2575004</v>
      </c>
      <c r="K206" s="1760"/>
      <c r="L206" s="1602"/>
    </row>
    <row r="207" spans="2:12" ht="15.75">
      <c r="B207" s="886" t="s">
        <v>1343</v>
      </c>
      <c r="C207" s="1715"/>
      <c r="D207" s="1804">
        <f t="shared" ref="D207:D230" si="12">SUM(F207/F$141,G207/G$141,H207/H$141,I207/I$141,J207/J$141)/5*100</f>
        <v>169.10676416355037</v>
      </c>
      <c r="E207" s="2950"/>
      <c r="F207" s="1799">
        <v>3412748</v>
      </c>
      <c r="G207" s="1640">
        <v>303589</v>
      </c>
      <c r="H207" s="1640">
        <v>642291</v>
      </c>
      <c r="I207" s="1640">
        <v>519155</v>
      </c>
      <c r="J207" s="1778">
        <v>2079606</v>
      </c>
      <c r="K207" s="1760"/>
      <c r="L207" s="1602"/>
    </row>
    <row r="208" spans="2:12" ht="15.75">
      <c r="B208" s="309" t="s">
        <v>1327</v>
      </c>
      <c r="C208" s="1715"/>
      <c r="D208" s="1804">
        <f t="shared" si="12"/>
        <v>169.92507265502053</v>
      </c>
      <c r="E208" s="2950"/>
      <c r="F208" s="1799">
        <v>2901544</v>
      </c>
      <c r="G208" s="1640">
        <v>365547</v>
      </c>
      <c r="H208" s="1640">
        <v>607473</v>
      </c>
      <c r="I208" s="1640">
        <v>441256</v>
      </c>
      <c r="J208" s="1778">
        <v>2725579</v>
      </c>
      <c r="K208" s="1760"/>
      <c r="L208" s="1602"/>
    </row>
    <row r="209" spans="2:12" ht="15.75">
      <c r="B209" s="297" t="s">
        <v>1172</v>
      </c>
      <c r="C209" s="1720" t="s">
        <v>41</v>
      </c>
      <c r="D209" s="1804">
        <f t="shared" si="12"/>
        <v>173.32765844708609</v>
      </c>
      <c r="E209" s="2950"/>
      <c r="F209" s="1799">
        <v>2596540</v>
      </c>
      <c r="G209" s="1640">
        <v>448631</v>
      </c>
      <c r="H209" s="1640">
        <v>631959</v>
      </c>
      <c r="I209" s="1640">
        <v>458412</v>
      </c>
      <c r="J209" s="1778">
        <v>2486677</v>
      </c>
      <c r="K209" s="1760"/>
      <c r="L209" s="1602"/>
    </row>
    <row r="210" spans="2:12" ht="15.75">
      <c r="B210" s="1544" t="s">
        <v>1170</v>
      </c>
      <c r="C210" s="1721" t="s">
        <v>41</v>
      </c>
      <c r="D210" s="1804">
        <f t="shared" si="12"/>
        <v>176.49152914591198</v>
      </c>
      <c r="E210" s="2950"/>
      <c r="F210" s="1799">
        <v>3030916</v>
      </c>
      <c r="G210" s="1640">
        <v>389420</v>
      </c>
      <c r="H210" s="1640">
        <v>604526</v>
      </c>
      <c r="I210" s="1640">
        <v>457984</v>
      </c>
      <c r="J210" s="1778">
        <v>2848488</v>
      </c>
      <c r="K210" s="1760"/>
      <c r="L210" s="1602"/>
    </row>
    <row r="211" spans="2:12" ht="15.75">
      <c r="B211" s="1543" t="s">
        <v>1767</v>
      </c>
      <c r="C211" s="1717" t="s">
        <v>41</v>
      </c>
      <c r="D211" s="1804">
        <f>SUM(F211/F$141,G211/G$141,H211/H$141,I211/I$141,J211/J$141)/5*100</f>
        <v>180.24003188162817</v>
      </c>
      <c r="E211" s="2950"/>
      <c r="F211" s="2945">
        <v>3170018</v>
      </c>
      <c r="G211" s="2946">
        <v>396506</v>
      </c>
      <c r="H211" s="2946">
        <v>606356</v>
      </c>
      <c r="I211" s="2946">
        <v>459192</v>
      </c>
      <c r="J211" s="2947">
        <v>2925934</v>
      </c>
      <c r="K211" s="1762"/>
      <c r="L211" s="1602"/>
    </row>
    <row r="212" spans="2:12" ht="15.75">
      <c r="B212" s="1567" t="s">
        <v>2129</v>
      </c>
      <c r="C212" s="1720" t="s">
        <v>41</v>
      </c>
      <c r="D212" s="1804">
        <f>SUM(F212/F$141,G212/G$141,H212/H$141,I212/I$141,J212/J$141)/5*100</f>
        <v>180.29468460362335</v>
      </c>
      <c r="E212" s="1913">
        <f>15.8+2.3+2.4+1.4+14.3</f>
        <v>36.200000000000003</v>
      </c>
      <c r="F212" s="1799">
        <v>3174520</v>
      </c>
      <c r="G212" s="1640">
        <v>397298</v>
      </c>
      <c r="H212" s="1640">
        <v>606774</v>
      </c>
      <c r="I212" s="1640">
        <v>456258</v>
      </c>
      <c r="J212" s="1778">
        <v>2931742</v>
      </c>
      <c r="K212" s="1760"/>
      <c r="L212" s="1602"/>
    </row>
    <row r="213" spans="2:12" ht="15.75">
      <c r="B213" s="296" t="s">
        <v>1308</v>
      </c>
      <c r="C213" s="1720" t="s">
        <v>41</v>
      </c>
      <c r="D213" s="1804">
        <f>SUM(F213/F$141,G213/G$141,H213/H$141,I213/I$141,J213/J$141)/5*100</f>
        <v>199.9848285792464</v>
      </c>
      <c r="E213" s="2950"/>
      <c r="F213" s="1799">
        <v>3987099</v>
      </c>
      <c r="G213" s="1640">
        <v>409476</v>
      </c>
      <c r="H213" s="1640">
        <v>593245</v>
      </c>
      <c r="I213" s="1640">
        <v>505681</v>
      </c>
      <c r="J213" s="1778">
        <v>3333799</v>
      </c>
      <c r="K213" s="1760"/>
      <c r="L213" s="1602"/>
    </row>
    <row r="214" spans="2:12" ht="15.75">
      <c r="B214" s="894" t="s">
        <v>1210</v>
      </c>
      <c r="C214" s="1733" t="s">
        <v>41</v>
      </c>
      <c r="D214" s="1804">
        <f t="shared" si="12"/>
        <v>206.48293849801229</v>
      </c>
      <c r="E214" s="2950"/>
      <c r="F214" s="1799">
        <v>3819132</v>
      </c>
      <c r="G214" s="1640">
        <v>464149</v>
      </c>
      <c r="H214" s="1640">
        <v>656985</v>
      </c>
      <c r="I214" s="1640">
        <v>498971</v>
      </c>
      <c r="J214" s="1778">
        <v>3363888</v>
      </c>
      <c r="K214" s="1760"/>
      <c r="L214" s="1602"/>
    </row>
    <row r="215" spans="2:12" ht="15.75" customHeight="1">
      <c r="B215" s="891" t="s">
        <v>1490</v>
      </c>
      <c r="C215" s="1725"/>
      <c r="D215" s="1804">
        <f t="shared" si="12"/>
        <v>214.01867987722824</v>
      </c>
      <c r="E215" s="2950"/>
      <c r="F215" s="1799">
        <v>3899179</v>
      </c>
      <c r="G215" s="1640">
        <v>491016</v>
      </c>
      <c r="H215" s="1640">
        <v>688705</v>
      </c>
      <c r="I215" s="1640">
        <v>525320</v>
      </c>
      <c r="J215" s="1778">
        <v>3401165</v>
      </c>
      <c r="K215" s="1760"/>
      <c r="L215" s="1602"/>
    </row>
    <row r="216" spans="2:12" ht="15.75">
      <c r="B216" s="890" t="s">
        <v>1350</v>
      </c>
      <c r="C216" s="1717"/>
      <c r="D216" s="1804">
        <f t="shared" si="12"/>
        <v>214.66442488369347</v>
      </c>
      <c r="E216" s="2950"/>
      <c r="F216" s="1799">
        <v>3951722</v>
      </c>
      <c r="G216" s="1640">
        <v>502377</v>
      </c>
      <c r="H216" s="1640">
        <v>664516</v>
      </c>
      <c r="I216" s="1640">
        <v>506801</v>
      </c>
      <c r="J216" s="1778">
        <v>3497948</v>
      </c>
      <c r="K216" s="1760"/>
      <c r="L216" s="1602"/>
    </row>
    <row r="217" spans="2:12" ht="15.75" customHeight="1">
      <c r="B217" s="1544" t="s">
        <v>1493</v>
      </c>
      <c r="C217" s="1784"/>
      <c r="D217" s="1804">
        <f t="shared" si="12"/>
        <v>226.29472547592746</v>
      </c>
      <c r="E217" s="2950"/>
      <c r="F217" s="1799">
        <v>4404370</v>
      </c>
      <c r="G217" s="1640">
        <v>527127</v>
      </c>
      <c r="H217" s="1640">
        <v>667525</v>
      </c>
      <c r="I217" s="1640">
        <v>508358</v>
      </c>
      <c r="J217" s="1778">
        <v>3716216</v>
      </c>
      <c r="K217" s="1760"/>
      <c r="L217" s="1602"/>
    </row>
    <row r="218" spans="2:12" ht="15.75">
      <c r="B218" s="299" t="s">
        <v>1505</v>
      </c>
      <c r="C218" s="1624"/>
      <c r="D218" s="1804">
        <f t="shared" si="12"/>
        <v>248.31471036616742</v>
      </c>
      <c r="E218" s="2950"/>
      <c r="F218" s="1799">
        <v>4718613</v>
      </c>
      <c r="G218" s="1640">
        <v>564603</v>
      </c>
      <c r="H218" s="1640">
        <v>775877</v>
      </c>
      <c r="I218" s="1640">
        <v>568092</v>
      </c>
      <c r="J218" s="1778">
        <v>4075967</v>
      </c>
      <c r="K218" s="1760"/>
      <c r="L218" s="1602"/>
    </row>
    <row r="219" spans="2:12" ht="15.75">
      <c r="B219" s="891" t="s">
        <v>1507</v>
      </c>
      <c r="C219" s="1732"/>
      <c r="D219" s="1804">
        <f t="shared" si="12"/>
        <v>252.22828628576326</v>
      </c>
      <c r="E219" s="2950"/>
      <c r="F219" s="1799">
        <v>4767812</v>
      </c>
      <c r="G219" s="1640">
        <v>378889</v>
      </c>
      <c r="H219" s="1640">
        <v>1049830</v>
      </c>
      <c r="I219" s="1640">
        <v>675448</v>
      </c>
      <c r="J219" s="1778">
        <v>4111153</v>
      </c>
      <c r="K219" s="1760"/>
      <c r="L219" s="1602"/>
    </row>
    <row r="220" spans="2:12" ht="15.75">
      <c r="B220" s="895" t="s">
        <v>1491</v>
      </c>
      <c r="C220" s="1719"/>
      <c r="D220" s="1804">
        <f t="shared" si="12"/>
        <v>268.86515235013974</v>
      </c>
      <c r="E220" s="2950"/>
      <c r="F220" s="1799">
        <v>4787991</v>
      </c>
      <c r="G220" s="1640">
        <v>608162</v>
      </c>
      <c r="H220" s="1640">
        <v>909217</v>
      </c>
      <c r="I220" s="1640">
        <v>672889</v>
      </c>
      <c r="J220" s="1778">
        <v>4211580</v>
      </c>
      <c r="K220" s="1760"/>
      <c r="L220" s="1602"/>
    </row>
    <row r="221" spans="2:12" ht="15.75">
      <c r="B221" s="892" t="s">
        <v>1488</v>
      </c>
      <c r="C221" s="1720"/>
      <c r="D221" s="1804">
        <f t="shared" si="12"/>
        <v>287.092911915483</v>
      </c>
      <c r="E221" s="2950"/>
      <c r="F221" s="1799">
        <v>4974961</v>
      </c>
      <c r="G221" s="1640">
        <v>687510</v>
      </c>
      <c r="H221" s="1640">
        <v>951689</v>
      </c>
      <c r="I221" s="1640">
        <v>721198</v>
      </c>
      <c r="J221" s="1778">
        <v>4414336</v>
      </c>
      <c r="K221" s="1760"/>
      <c r="L221" s="1602"/>
    </row>
    <row r="222" spans="2:12" ht="15.75">
      <c r="B222" s="890" t="s">
        <v>1500</v>
      </c>
      <c r="C222" s="1723"/>
      <c r="D222" s="1804">
        <f t="shared" si="12"/>
        <v>289.99900991346612</v>
      </c>
      <c r="E222" s="2950"/>
      <c r="F222" s="1799">
        <v>5325868</v>
      </c>
      <c r="G222" s="1640">
        <v>729258</v>
      </c>
      <c r="H222" s="1640">
        <v>845962</v>
      </c>
      <c r="I222" s="1640">
        <v>678858</v>
      </c>
      <c r="J222" s="1778">
        <v>4590443</v>
      </c>
      <c r="K222" s="1760"/>
      <c r="L222" s="1602"/>
    </row>
    <row r="223" spans="2:12" ht="15.75">
      <c r="B223" s="890" t="s">
        <v>1499</v>
      </c>
      <c r="C223" s="1723"/>
      <c r="D223" s="1804">
        <f t="shared" si="12"/>
        <v>290.54464420495458</v>
      </c>
      <c r="E223" s="2950"/>
      <c r="F223" s="1799">
        <v>5333938</v>
      </c>
      <c r="G223" s="1640">
        <v>730786</v>
      </c>
      <c r="H223" s="1640">
        <v>846927</v>
      </c>
      <c r="I223" s="1640">
        <v>680708</v>
      </c>
      <c r="J223" s="1778">
        <v>4599774</v>
      </c>
      <c r="K223" s="1760"/>
      <c r="L223" s="1602"/>
    </row>
    <row r="224" spans="2:12" ht="15.75">
      <c r="B224" s="890" t="s">
        <v>1501</v>
      </c>
      <c r="C224" s="1715"/>
      <c r="D224" s="1804">
        <f t="shared" si="12"/>
        <v>291.90902637276542</v>
      </c>
      <c r="E224" s="2950"/>
      <c r="F224" s="1799">
        <v>5300576</v>
      </c>
      <c r="G224" s="1640">
        <v>730913</v>
      </c>
      <c r="H224" s="1609">
        <v>838340</v>
      </c>
      <c r="I224" s="1609">
        <v>682557</v>
      </c>
      <c r="J224" s="1778">
        <v>4767416</v>
      </c>
      <c r="K224" s="1760"/>
      <c r="L224" s="1602"/>
    </row>
    <row r="225" spans="2:12" ht="15.75">
      <c r="B225" s="899" t="s">
        <v>1489</v>
      </c>
      <c r="C225" s="1785" t="s">
        <v>41</v>
      </c>
      <c r="D225" s="1804">
        <f t="shared" si="12"/>
        <v>295.40941294151719</v>
      </c>
      <c r="E225" s="2950"/>
      <c r="F225" s="1799">
        <v>5483264</v>
      </c>
      <c r="G225" s="1739">
        <v>748286</v>
      </c>
      <c r="H225" s="1786">
        <v>841317</v>
      </c>
      <c r="I225" s="1786">
        <v>679972</v>
      </c>
      <c r="J225" s="1781">
        <v>4713305</v>
      </c>
      <c r="K225" s="1762"/>
      <c r="L225" s="1602"/>
    </row>
    <row r="226" spans="2:12" ht="15.75">
      <c r="B226" s="881" t="s">
        <v>1508</v>
      </c>
      <c r="C226" s="1715"/>
      <c r="D226" s="1804">
        <f t="shared" si="12"/>
        <v>331.96821774511193</v>
      </c>
      <c r="E226" s="2950"/>
      <c r="F226" s="1799">
        <v>5512704</v>
      </c>
      <c r="G226" s="1640">
        <v>1063424</v>
      </c>
      <c r="H226" s="1609">
        <v>1063424</v>
      </c>
      <c r="I226" s="1609">
        <v>686080</v>
      </c>
      <c r="J226" s="1778">
        <v>4148224</v>
      </c>
      <c r="K226" s="1760"/>
      <c r="L226" s="1602"/>
    </row>
    <row r="227" spans="2:12" ht="15.75">
      <c r="B227" s="890" t="s">
        <v>1492</v>
      </c>
      <c r="C227" s="1729"/>
      <c r="D227" s="1804">
        <f t="shared" si="12"/>
        <v>333.62691434152038</v>
      </c>
      <c r="E227" s="2950"/>
      <c r="F227" s="1799">
        <v>5675075</v>
      </c>
      <c r="G227" s="1640">
        <v>1048594</v>
      </c>
      <c r="H227" s="1640">
        <v>871600</v>
      </c>
      <c r="I227" s="1640">
        <v>710961</v>
      </c>
      <c r="J227" s="1778">
        <v>4897091</v>
      </c>
      <c r="K227" s="1760"/>
      <c r="L227" s="1602"/>
    </row>
    <row r="228" spans="2:12" ht="15.75">
      <c r="B228" s="899" t="s">
        <v>1496</v>
      </c>
      <c r="C228" s="1719"/>
      <c r="D228" s="1804">
        <f t="shared" si="12"/>
        <v>334.70130841089485</v>
      </c>
      <c r="E228" s="2950"/>
      <c r="F228" s="1799">
        <v>5463065</v>
      </c>
      <c r="G228" s="1640">
        <v>1048596</v>
      </c>
      <c r="H228" s="1609">
        <v>1048596</v>
      </c>
      <c r="I228" s="1609">
        <v>674518</v>
      </c>
      <c r="J228" s="1778">
        <v>4646420</v>
      </c>
      <c r="K228" s="1760"/>
      <c r="L228" s="1602"/>
    </row>
    <row r="229" spans="2:12" ht="15.75">
      <c r="B229" s="881" t="s">
        <v>1504</v>
      </c>
      <c r="C229" s="1784"/>
      <c r="D229" s="1804">
        <f t="shared" si="12"/>
        <v>335.12410488759758</v>
      </c>
      <c r="E229" s="2950"/>
      <c r="F229" s="1799">
        <v>5470987</v>
      </c>
      <c r="G229" s="1640">
        <v>1049830</v>
      </c>
      <c r="H229" s="1609">
        <v>1049830</v>
      </c>
      <c r="I229" s="1609">
        <v>675448</v>
      </c>
      <c r="J229" s="1778">
        <v>4651910</v>
      </c>
      <c r="K229" s="1760"/>
      <c r="L229" s="1602"/>
    </row>
    <row r="230" spans="2:12" ht="15.75">
      <c r="B230" s="891" t="s">
        <v>1503</v>
      </c>
      <c r="C230" s="1720"/>
      <c r="D230" s="1804">
        <f t="shared" si="12"/>
        <v>339.54256585229615</v>
      </c>
      <c r="E230" s="2950"/>
      <c r="F230" s="1799">
        <v>6341324</v>
      </c>
      <c r="G230" s="1640">
        <v>871594</v>
      </c>
      <c r="H230" s="1609">
        <v>934004</v>
      </c>
      <c r="I230" s="1609">
        <v>777450</v>
      </c>
      <c r="J230" s="1778">
        <v>5444052</v>
      </c>
      <c r="K230" s="1760"/>
      <c r="L230" s="1602"/>
    </row>
    <row r="231" spans="2:12" ht="15.75">
      <c r="B231" s="1569" t="s">
        <v>1511</v>
      </c>
      <c r="C231" s="1783"/>
      <c r="D231" s="294"/>
      <c r="E231" s="2950"/>
      <c r="F231" s="1802" t="s">
        <v>549</v>
      </c>
      <c r="G231" s="1742" t="s">
        <v>549</v>
      </c>
      <c r="H231" s="1742" t="s">
        <v>549</v>
      </c>
      <c r="I231" s="1742" t="s">
        <v>549</v>
      </c>
      <c r="J231" s="1787" t="s">
        <v>549</v>
      </c>
      <c r="K231" s="1760"/>
      <c r="L231" s="1602"/>
    </row>
    <row r="232" spans="2:12" ht="15.75">
      <c r="B232" s="878" t="s">
        <v>1314</v>
      </c>
      <c r="C232" s="1717"/>
      <c r="D232" s="294"/>
      <c r="E232" s="2950"/>
      <c r="F232" s="1802" t="s">
        <v>639</v>
      </c>
      <c r="G232" s="1640">
        <v>1049988</v>
      </c>
      <c r="H232" s="1640">
        <v>720528</v>
      </c>
      <c r="I232" s="1742" t="s">
        <v>639</v>
      </c>
      <c r="J232" s="1787" t="s">
        <v>639</v>
      </c>
      <c r="K232" s="1760"/>
      <c r="L232" s="1602"/>
    </row>
    <row r="233" spans="2:12" ht="15.75">
      <c r="B233" s="309" t="s">
        <v>640</v>
      </c>
      <c r="C233" s="1728"/>
      <c r="D233" s="294"/>
      <c r="E233" s="2950"/>
      <c r="F233" s="1802" t="s">
        <v>549</v>
      </c>
      <c r="G233" s="1742" t="s">
        <v>549</v>
      </c>
      <c r="H233" s="1742" t="s">
        <v>549</v>
      </c>
      <c r="I233" s="1742" t="s">
        <v>549</v>
      </c>
      <c r="J233" s="1787" t="s">
        <v>549</v>
      </c>
      <c r="K233" s="1760"/>
      <c r="L233" s="1602"/>
    </row>
    <row r="234" spans="2:12" ht="15.75">
      <c r="B234" s="879" t="s">
        <v>554</v>
      </c>
      <c r="C234" s="1717" t="s">
        <v>41</v>
      </c>
      <c r="D234" s="294"/>
      <c r="E234" s="2950"/>
      <c r="F234" s="1799">
        <v>2820529</v>
      </c>
      <c r="G234" s="1640">
        <v>311158</v>
      </c>
      <c r="H234" s="1640">
        <v>511721</v>
      </c>
      <c r="I234" s="1640">
        <v>405694</v>
      </c>
      <c r="J234" s="1787" t="s">
        <v>495</v>
      </c>
      <c r="K234" s="1760"/>
      <c r="L234" s="1602"/>
    </row>
    <row r="235" spans="2:12" ht="15.75">
      <c r="B235" s="297" t="s">
        <v>646</v>
      </c>
      <c r="C235" s="1616" t="s">
        <v>41</v>
      </c>
      <c r="D235" s="294"/>
      <c r="E235" s="2950"/>
      <c r="F235" s="1802" t="s">
        <v>549</v>
      </c>
      <c r="G235" s="1742" t="s">
        <v>549</v>
      </c>
      <c r="H235" s="1742" t="s">
        <v>549</v>
      </c>
      <c r="I235" s="1742" t="s">
        <v>549</v>
      </c>
      <c r="J235" s="1787" t="s">
        <v>549</v>
      </c>
      <c r="K235" s="1760"/>
      <c r="L235" s="1602"/>
    </row>
    <row r="236" spans="2:12" ht="15.75" customHeight="1">
      <c r="B236" s="309" t="s">
        <v>1359</v>
      </c>
      <c r="C236" s="1717" t="s">
        <v>41</v>
      </c>
      <c r="D236" s="294"/>
      <c r="E236" s="2950"/>
      <c r="F236" s="1802" t="s">
        <v>549</v>
      </c>
      <c r="G236" s="1742" t="s">
        <v>549</v>
      </c>
      <c r="H236" s="1742" t="s">
        <v>549</v>
      </c>
      <c r="I236" s="1742" t="s">
        <v>549</v>
      </c>
      <c r="J236" s="1787" t="s">
        <v>549</v>
      </c>
      <c r="K236" s="1788"/>
      <c r="L236" s="1789"/>
    </row>
    <row r="237" spans="2:12" ht="15.75" customHeight="1">
      <c r="B237" s="1018" t="s">
        <v>1338</v>
      </c>
      <c r="C237" s="1728"/>
      <c r="D237" s="294"/>
      <c r="E237" s="2950"/>
      <c r="F237" s="1802" t="s">
        <v>549</v>
      </c>
      <c r="G237" s="1742" t="s">
        <v>549</v>
      </c>
      <c r="H237" s="1742" t="s">
        <v>549</v>
      </c>
      <c r="I237" s="1742" t="s">
        <v>549</v>
      </c>
      <c r="J237" s="1787" t="s">
        <v>549</v>
      </c>
      <c r="K237" s="1788"/>
      <c r="L237" s="1789"/>
    </row>
    <row r="238" spans="2:12" ht="15.75" customHeight="1">
      <c r="B238" s="297" t="s">
        <v>710</v>
      </c>
      <c r="C238" s="1783"/>
      <c r="D238" s="294"/>
      <c r="E238" s="2950"/>
      <c r="F238" s="1802" t="s">
        <v>549</v>
      </c>
      <c r="G238" s="1742" t="s">
        <v>549</v>
      </c>
      <c r="H238" s="1742" t="s">
        <v>549</v>
      </c>
      <c r="I238" s="1742" t="s">
        <v>549</v>
      </c>
      <c r="J238" s="1787" t="s">
        <v>549</v>
      </c>
      <c r="K238" s="1788"/>
      <c r="L238" s="1789"/>
    </row>
    <row r="239" spans="2:12" ht="15.75" customHeight="1">
      <c r="B239" s="309" t="s">
        <v>1309</v>
      </c>
      <c r="C239" s="1624" t="s">
        <v>41</v>
      </c>
      <c r="D239" s="294"/>
      <c r="E239" s="2950"/>
      <c r="F239" s="1802" t="s">
        <v>549</v>
      </c>
      <c r="G239" s="1742" t="s">
        <v>549</v>
      </c>
      <c r="H239" s="1742" t="s">
        <v>549</v>
      </c>
      <c r="I239" s="1742" t="s">
        <v>549</v>
      </c>
      <c r="J239" s="1787" t="s">
        <v>549</v>
      </c>
      <c r="K239" s="1788"/>
      <c r="L239" s="1789"/>
    </row>
    <row r="240" spans="2:12" ht="15.75" customHeight="1">
      <c r="B240" s="1568" t="s">
        <v>550</v>
      </c>
      <c r="C240" s="1790" t="s">
        <v>41</v>
      </c>
      <c r="D240" s="1017"/>
      <c r="E240" s="2950"/>
      <c r="F240" s="1802" t="s">
        <v>549</v>
      </c>
      <c r="G240" s="1742" t="s">
        <v>549</v>
      </c>
      <c r="H240" s="1742" t="s">
        <v>549</v>
      </c>
      <c r="I240" s="1742" t="s">
        <v>549</v>
      </c>
      <c r="J240" s="1787" t="s">
        <v>549</v>
      </c>
      <c r="K240" s="1791"/>
      <c r="L240" s="1789"/>
    </row>
    <row r="241" spans="2:12" ht="15.75" customHeight="1">
      <c r="B241" s="890" t="s">
        <v>709</v>
      </c>
      <c r="C241" s="1792"/>
      <c r="D241" s="1017"/>
      <c r="E241" s="2950"/>
      <c r="F241" s="1802" t="s">
        <v>549</v>
      </c>
      <c r="G241" s="1742" t="s">
        <v>549</v>
      </c>
      <c r="H241" s="1742" t="s">
        <v>549</v>
      </c>
      <c r="I241" s="1742" t="s">
        <v>549</v>
      </c>
      <c r="J241" s="1787" t="s">
        <v>549</v>
      </c>
      <c r="K241" s="1791"/>
      <c r="L241" s="1789"/>
    </row>
    <row r="242" spans="2:12" ht="15.75" customHeight="1">
      <c r="B242" s="1016" t="s">
        <v>1303</v>
      </c>
      <c r="C242" s="1704"/>
      <c r="D242" s="307"/>
      <c r="E242" s="2950"/>
      <c r="F242" s="1802" t="s">
        <v>549</v>
      </c>
      <c r="G242" s="1742" t="s">
        <v>549</v>
      </c>
      <c r="H242" s="1742" t="s">
        <v>549</v>
      </c>
      <c r="I242" s="1742" t="s">
        <v>549</v>
      </c>
      <c r="J242" s="1787" t="s">
        <v>549</v>
      </c>
      <c r="K242" s="1788"/>
      <c r="L242" s="1789"/>
    </row>
    <row r="243" spans="2:12" ht="15.75" customHeight="1">
      <c r="B243" s="886" t="s">
        <v>1299</v>
      </c>
      <c r="C243" s="1704"/>
      <c r="D243" s="294"/>
      <c r="E243" s="2950"/>
      <c r="F243" s="1802" t="s">
        <v>549</v>
      </c>
      <c r="G243" s="1742" t="s">
        <v>549</v>
      </c>
      <c r="H243" s="1742" t="s">
        <v>549</v>
      </c>
      <c r="I243" s="1742" t="s">
        <v>549</v>
      </c>
      <c r="J243" s="1787" t="s">
        <v>549</v>
      </c>
      <c r="K243" s="1788"/>
      <c r="L243" s="1789"/>
    </row>
    <row r="244" spans="2:12" ht="15.75" customHeight="1">
      <c r="B244" s="881" t="s">
        <v>678</v>
      </c>
      <c r="C244" s="1704"/>
      <c r="D244" s="294"/>
      <c r="E244" s="2950"/>
      <c r="F244" s="1802" t="s">
        <v>549</v>
      </c>
      <c r="G244" s="1742" t="s">
        <v>549</v>
      </c>
      <c r="H244" s="1742" t="s">
        <v>549</v>
      </c>
      <c r="I244" s="1742" t="s">
        <v>549</v>
      </c>
      <c r="J244" s="1787" t="s">
        <v>549</v>
      </c>
      <c r="K244" s="1788"/>
      <c r="L244" s="1789"/>
    </row>
    <row r="245" spans="2:12" ht="15.75" customHeight="1">
      <c r="B245" s="893" t="s">
        <v>1571</v>
      </c>
      <c r="C245" s="1720"/>
      <c r="D245" s="294"/>
      <c r="E245" s="2950"/>
      <c r="F245" s="1802" t="s">
        <v>495</v>
      </c>
      <c r="G245" s="1742" t="s">
        <v>495</v>
      </c>
      <c r="H245" s="1742" t="s">
        <v>495</v>
      </c>
      <c r="I245" s="1742" t="s">
        <v>495</v>
      </c>
      <c r="J245" s="1787" t="s">
        <v>495</v>
      </c>
      <c r="K245" s="1760"/>
      <c r="L245" s="1602"/>
    </row>
    <row r="246" spans="2:12" ht="15.75" customHeight="1">
      <c r="B246" s="890" t="s">
        <v>1569</v>
      </c>
      <c r="C246" s="1719"/>
      <c r="D246" s="294"/>
      <c r="E246" s="2950"/>
      <c r="F246" s="1802" t="s">
        <v>549</v>
      </c>
      <c r="G246" s="1742" t="s">
        <v>549</v>
      </c>
      <c r="H246" s="1742" t="s">
        <v>549</v>
      </c>
      <c r="I246" s="1742" t="s">
        <v>549</v>
      </c>
      <c r="J246" s="1787" t="s">
        <v>549</v>
      </c>
      <c r="K246" s="1760"/>
      <c r="L246" s="1602"/>
    </row>
    <row r="247" spans="2:12" ht="15.75" customHeight="1">
      <c r="B247" s="1019" t="s">
        <v>1349</v>
      </c>
      <c r="C247" s="1719"/>
      <c r="D247" s="294"/>
      <c r="E247" s="2950"/>
      <c r="F247" s="1802" t="s">
        <v>1346</v>
      </c>
      <c r="G247" s="1742" t="s">
        <v>1346</v>
      </c>
      <c r="H247" s="1742" t="s">
        <v>1346</v>
      </c>
      <c r="I247" s="1742" t="s">
        <v>1346</v>
      </c>
      <c r="J247" s="1787" t="s">
        <v>1346</v>
      </c>
      <c r="K247" s="1793"/>
      <c r="L247" s="1655"/>
    </row>
    <row r="248" spans="2:12" ht="15.75" customHeight="1">
      <c r="B248" s="1329" t="s">
        <v>1570</v>
      </c>
      <c r="C248" s="1784"/>
      <c r="D248" s="311"/>
      <c r="E248" s="2950"/>
      <c r="F248" s="1802" t="s">
        <v>549</v>
      </c>
      <c r="G248" s="1742" t="s">
        <v>549</v>
      </c>
      <c r="H248" s="1742" t="s">
        <v>549</v>
      </c>
      <c r="I248" s="1742" t="s">
        <v>549</v>
      </c>
      <c r="J248" s="1787" t="s">
        <v>549</v>
      </c>
      <c r="K248" s="1793"/>
      <c r="L248" s="1655"/>
    </row>
    <row r="249" spans="2:12" ht="15.75">
      <c r="B249" s="310" t="s">
        <v>1345</v>
      </c>
      <c r="C249" s="1724"/>
      <c r="D249" s="298"/>
      <c r="E249" s="2951"/>
      <c r="F249" s="1802" t="s">
        <v>1346</v>
      </c>
      <c r="G249" s="1742" t="s">
        <v>1346</v>
      </c>
      <c r="H249" s="1742" t="s">
        <v>1346</v>
      </c>
      <c r="I249" s="1742" t="s">
        <v>1346</v>
      </c>
      <c r="J249" s="1787" t="s">
        <v>1346</v>
      </c>
      <c r="K249" s="1793"/>
      <c r="L249" s="1655"/>
    </row>
    <row r="250" spans="2:12" ht="15">
      <c r="B250" s="1652" t="s">
        <v>1783</v>
      </c>
      <c r="C250" s="1653"/>
      <c r="D250" s="1653"/>
      <c r="E250" s="1653"/>
      <c r="F250" s="1654"/>
      <c r="G250" s="1654"/>
      <c r="H250" s="1654"/>
      <c r="I250" s="1655"/>
      <c r="J250" s="1655"/>
      <c r="K250" s="1655"/>
      <c r="L250" s="1655"/>
    </row>
    <row r="251" spans="2:12" ht="15">
      <c r="B251" s="1652" t="s">
        <v>1784</v>
      </c>
      <c r="C251" s="1653"/>
      <c r="D251" s="1653"/>
      <c r="E251" s="1653"/>
      <c r="F251" s="1654"/>
      <c r="G251" s="1654"/>
      <c r="H251" s="1654"/>
      <c r="I251" s="1655"/>
      <c r="J251" s="1655"/>
      <c r="K251" s="1655"/>
      <c r="L251" s="1655"/>
    </row>
    <row r="252" spans="2:12" ht="15">
      <c r="B252" s="1656" t="s">
        <v>1357</v>
      </c>
      <c r="C252" s="1653"/>
      <c r="D252" s="1653"/>
      <c r="E252" s="1653"/>
      <c r="F252" s="1654"/>
      <c r="G252" s="1654"/>
      <c r="H252" s="1654"/>
      <c r="I252" s="1655"/>
      <c r="J252" s="1655"/>
      <c r="K252" s="1655"/>
      <c r="L252" s="1655"/>
    </row>
    <row r="253" spans="2:12" ht="15">
      <c r="B253" s="1656" t="s">
        <v>1356</v>
      </c>
      <c r="C253" s="1653"/>
      <c r="D253" s="1653"/>
      <c r="E253" s="1653"/>
      <c r="F253" s="1654"/>
      <c r="G253" s="1654"/>
      <c r="H253" s="1654"/>
      <c r="I253" s="1655"/>
      <c r="J253" s="1655"/>
      <c r="K253" s="1655"/>
      <c r="L253" s="1655"/>
    </row>
    <row r="254" spans="2:12" ht="15">
      <c r="B254" s="1656" t="s">
        <v>1331</v>
      </c>
      <c r="C254" s="1327"/>
      <c r="D254" s="1327"/>
      <c r="E254" s="1327"/>
      <c r="F254" s="1327"/>
      <c r="G254" s="1327"/>
      <c r="H254" s="1327"/>
      <c r="I254" s="1327"/>
      <c r="J254" s="1327"/>
      <c r="K254" s="1327"/>
      <c r="L254" s="1327"/>
    </row>
  </sheetData>
  <sortState ref="B145:J152">
    <sortCondition ref="D145:D152"/>
  </sortState>
  <mergeCells count="5">
    <mergeCell ref="B5:B6"/>
    <mergeCell ref="B137:B138"/>
    <mergeCell ref="C1:L3"/>
    <mergeCell ref="D4:D9"/>
    <mergeCell ref="E4:E9"/>
  </mergeCells>
  <conditionalFormatting sqref="D231:E249 E142:E230">
    <cfRule type="dataBar" priority="44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{7864D16B-B775-41A7-8AB6-488D9D62E174}</x14:id>
        </ext>
      </extLst>
    </cfRule>
  </conditionalFormatting>
  <conditionalFormatting sqref="I143:I239 I242:I249">
    <cfRule type="cellIs" dxfId="54" priority="4461" operator="equal">
      <formula>MIN(I$143:I$249)</formula>
    </cfRule>
    <cfRule type="cellIs" dxfId="53" priority="4462" operator="lessThan">
      <formula>MIN(I$143:I$249)*1.1</formula>
    </cfRule>
    <cfRule type="colorScale" priority="446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43:G239 G242:G249">
    <cfRule type="cellIs" dxfId="52" priority="4467" operator="equal">
      <formula>MIN(G$143:G$249)</formula>
    </cfRule>
    <cfRule type="cellIs" dxfId="51" priority="4468" operator="lessThan">
      <formula>MIN(G$143:G$249)*1.1</formula>
    </cfRule>
    <cfRule type="colorScale" priority="446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43:F239 F242:F249">
    <cfRule type="cellIs" dxfId="50" priority="4473" operator="equal">
      <formula>MIN(F$143:F$249)</formula>
    </cfRule>
    <cfRule type="cellIs" dxfId="49" priority="4474" operator="lessThan">
      <formula>MIN(F$143:F$249)*1.1</formula>
    </cfRule>
    <cfRule type="colorScale" priority="447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43:H239 H242:H249">
    <cfRule type="cellIs" dxfId="48" priority="4479" operator="equal">
      <formula>MIN(H$143:H$249)</formula>
    </cfRule>
    <cfRule type="colorScale" priority="4480">
      <colorScale>
        <cfvo type="min"/>
        <cfvo type="percentile" val="50"/>
        <cfvo type="max"/>
        <color rgb="FFFFFF99"/>
        <color rgb="FFFFCC99"/>
        <color rgb="FF99CCFF"/>
      </colorScale>
    </cfRule>
    <cfRule type="cellIs" dxfId="47" priority="4481" operator="lessThan">
      <formula>MIN(H$143:H$249)*1.1</formula>
    </cfRule>
  </conditionalFormatting>
  <conditionalFormatting sqref="J143:J239 J242:J249">
    <cfRule type="cellIs" dxfId="46" priority="4485" operator="equal">
      <formula>MIN(J$143:J$249)</formula>
    </cfRule>
    <cfRule type="cellIs" dxfId="45" priority="4486" operator="lessThan">
      <formula>MIN(J$143:J$249)*1.1</formula>
    </cfRule>
    <cfRule type="colorScale" priority="4487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240:I241">
    <cfRule type="cellIs" dxfId="44" priority="94" operator="equal">
      <formula>MIN(I$143:I$249)</formula>
    </cfRule>
    <cfRule type="cellIs" dxfId="43" priority="95" operator="lessThan">
      <formula>MIN(I$143:I$249)*1.1</formula>
    </cfRule>
    <cfRule type="colorScale" priority="9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240:G241">
    <cfRule type="cellIs" dxfId="42" priority="97" operator="equal">
      <formula>MIN(G$143:G$249)</formula>
    </cfRule>
    <cfRule type="cellIs" dxfId="41" priority="98" operator="lessThan">
      <formula>MIN(G$143:G$249)*1.1</formula>
    </cfRule>
    <cfRule type="colorScale" priority="9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240:F241">
    <cfRule type="cellIs" dxfId="40" priority="100" operator="equal">
      <formula>MIN(F$143:F$249)</formula>
    </cfRule>
    <cfRule type="cellIs" dxfId="39" priority="101" operator="lessThan">
      <formula>MIN(F$143:F$249)*1.1</formula>
    </cfRule>
    <cfRule type="colorScale" priority="10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240:H241">
    <cfRule type="cellIs" dxfId="38" priority="103" operator="equal">
      <formula>MIN(H$143:H$249)</formula>
    </cfRule>
    <cfRule type="colorScale" priority="104">
      <colorScale>
        <cfvo type="min"/>
        <cfvo type="percentile" val="50"/>
        <cfvo type="max"/>
        <color rgb="FFFFFF99"/>
        <color rgb="FFFFCC99"/>
        <color rgb="FF99CCFF"/>
      </colorScale>
    </cfRule>
    <cfRule type="cellIs" dxfId="37" priority="105" operator="lessThan">
      <formula>MIN(H$143:H$249)*1.1</formula>
    </cfRule>
  </conditionalFormatting>
  <conditionalFormatting sqref="J240:J241">
    <cfRule type="cellIs" dxfId="36" priority="106" operator="equal">
      <formula>MIN(J$143:J$249)</formula>
    </cfRule>
    <cfRule type="cellIs" dxfId="35" priority="107" operator="lessThan">
      <formula>MIN(J$143:J$249)*1.1</formula>
    </cfRule>
    <cfRule type="colorScale" priority="10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2:I118 I120:I129">
    <cfRule type="cellIs" dxfId="34" priority="15351" operator="equal">
      <formula>MIN(I$12:I$129)</formula>
    </cfRule>
    <cfRule type="cellIs" dxfId="33" priority="15352" operator="lessThan">
      <formula>MIN(I$12:I$129)*1.1</formula>
    </cfRule>
    <cfRule type="colorScale" priority="1535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2:I118 I120:I129">
    <cfRule type="cellIs" dxfId="32" priority="15372" operator="equal">
      <formula>MIN(I$12:I$129)</formula>
    </cfRule>
    <cfRule type="colorScale" priority="1537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G12:G118 G120:G129">
    <cfRule type="cellIs" dxfId="31" priority="15386" operator="equal">
      <formula>MIN(G$12:G$129)</formula>
    </cfRule>
    <cfRule type="cellIs" dxfId="30" priority="15387" operator="lessThan">
      <formula>MIN(G$12:G$129)*1.1</formula>
    </cfRule>
    <cfRule type="colorScale" priority="1538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F12:F129">
    <cfRule type="cellIs" dxfId="29" priority="15407" operator="equal">
      <formula>MIN(F$12:F$129)</formula>
    </cfRule>
    <cfRule type="cellIs" dxfId="28" priority="15408" operator="lessThan">
      <formula>MIN(F$12:F$129)*1.1</formula>
    </cfRule>
    <cfRule type="colorScale" priority="1540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2:H118 H120:H129">
    <cfRule type="cellIs" dxfId="27" priority="15425" operator="equal">
      <formula>MIN(H$12:H$129)</formula>
    </cfRule>
    <cfRule type="colorScale" priority="15426">
      <colorScale>
        <cfvo type="min"/>
        <cfvo type="percentile" val="50"/>
        <cfvo type="max"/>
        <color rgb="FFFFFF99"/>
        <color rgb="FFFFCC99"/>
        <color rgb="FF99CCFF"/>
      </colorScale>
    </cfRule>
    <cfRule type="cellIs" dxfId="26" priority="15427" operator="lessThan">
      <formula>MIN(H$12:H$129)*1.1</formula>
    </cfRule>
  </conditionalFormatting>
  <conditionalFormatting sqref="J12:J118 J120:J129">
    <cfRule type="cellIs" dxfId="25" priority="15446" operator="equal">
      <formula>MIN(J$12:J$129)</formula>
    </cfRule>
    <cfRule type="cellIs" dxfId="24" priority="15447" operator="lessThan">
      <formula>MIN(J$12:J$129)*1.1</formula>
    </cfRule>
    <cfRule type="colorScale" priority="1544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K12:K118 K120:K129">
    <cfRule type="cellIs" dxfId="23" priority="15467" operator="equal">
      <formula>MIN(K$12:K$129)</formula>
    </cfRule>
    <cfRule type="cellIs" dxfId="22" priority="15468" operator="lessThan">
      <formula>MIN(K$12:K$129)*1.1</formula>
    </cfRule>
    <cfRule type="colorScale" priority="1546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L12:L118 L120:L129">
    <cfRule type="cellIs" dxfId="21" priority="15488" operator="equal">
      <formula>MIN(L$12:L$134)</formula>
    </cfRule>
    <cfRule type="colorScale" priority="1548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D115:E129 E12:E114">
    <cfRule type="dataBar" priority="154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{FBAF1830-663E-4AE8-9529-F3FD6F513634}</x14:id>
        </ext>
      </extLst>
    </cfRule>
  </conditionalFormatting>
  <conditionalFormatting sqref="G119">
    <cfRule type="cellIs" dxfId="20" priority="15498" operator="equal">
      <formula>MIN(G$12:G$129)</formula>
    </cfRule>
    <cfRule type="cellIs" dxfId="19" priority="15499" operator="lessThan">
      <formula>MIN(G$12:G$129)*1.1</formula>
    </cfRule>
    <cfRule type="colorScale" priority="15500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H119">
    <cfRule type="cellIs" dxfId="18" priority="15501" operator="equal">
      <formula>MIN(H$12:H$129)</formula>
    </cfRule>
    <cfRule type="cellIs" dxfId="17" priority="15502" operator="lessThan">
      <formula>MIN(H$12:H$129)*1.1</formula>
    </cfRule>
    <cfRule type="colorScale" priority="15503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I119">
    <cfRule type="cellIs" dxfId="16" priority="15504" operator="equal">
      <formula>MIN(I$12:I$129)</formula>
    </cfRule>
    <cfRule type="cellIs" dxfId="15" priority="15505" operator="lessThan">
      <formula>MIN(I$12:I$129)*1.1</formula>
    </cfRule>
    <cfRule type="colorScale" priority="15506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J119">
    <cfRule type="cellIs" dxfId="14" priority="15507" operator="equal">
      <formula>MIN(J$12:J$129)</formula>
    </cfRule>
    <cfRule type="cellIs" dxfId="13" priority="15508" operator="lessThan">
      <formula>MIN(J$12:J$129)*1.1</formula>
    </cfRule>
    <cfRule type="colorScale" priority="15509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K119">
    <cfRule type="cellIs" dxfId="12" priority="15510" operator="equal">
      <formula>MIN(K$12:K$129)</formula>
    </cfRule>
    <cfRule type="cellIs" dxfId="11" priority="15511" operator="lessThan">
      <formula>MIN(K$12:K$129)*1.1</formula>
    </cfRule>
    <cfRule type="colorScale" priority="15512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L119">
    <cfRule type="cellIs" dxfId="10" priority="15513" operator="equal">
      <formula>MIN(L$12:L$129)</formula>
    </cfRule>
    <cfRule type="cellIs" dxfId="9" priority="15514" operator="lessThan">
      <formula>MIN(L$12:L$129)*1.1</formula>
    </cfRule>
    <cfRule type="colorScale" priority="1551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K143:K249">
    <cfRule type="cellIs" dxfId="8" priority="15516" operator="equal">
      <formula>MIN(K$12:K$129)</formula>
    </cfRule>
    <cfRule type="cellIs" dxfId="7" priority="15517" operator="lessThan">
      <formula>MIN(K$12:K$129)*1.1</formula>
    </cfRule>
    <cfRule type="colorScale" priority="15518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L143:L249">
    <cfRule type="cellIs" dxfId="6" priority="15534" operator="equal">
      <formula>MIN(L$12:L$134)</formula>
    </cfRule>
    <cfRule type="colorScale" priority="15535">
      <colorScale>
        <cfvo type="min"/>
        <cfvo type="percentile" val="50"/>
        <cfvo type="max"/>
        <color rgb="FFFFFF99"/>
        <color rgb="FFFFCC99"/>
        <color rgb="FF99CCFF"/>
      </colorScale>
    </cfRule>
  </conditionalFormatting>
  <conditionalFormatting sqref="E12:E114">
    <cfRule type="cellIs" dxfId="5" priority="15544" operator="equal">
      <formula>MIN(E$12:E$129)</formula>
    </cfRule>
  </conditionalFormatting>
  <conditionalFormatting sqref="E11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{EA25018F-D055-4772-BECB-E897D8539F4E}</x14:id>
        </ext>
      </extLst>
    </cfRule>
  </conditionalFormatting>
  <conditionalFormatting sqref="D142:D23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{D1B68DF6-9DB9-4D18-9CAE-F35919FEF4A6}</x14:id>
        </ext>
      </extLst>
    </cfRule>
  </conditionalFormatting>
  <conditionalFormatting sqref="D11:D1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{0E90D876-6C24-4705-83F1-A778E0BB9F83}</x14:id>
        </ext>
      </extLst>
    </cfRule>
  </conditionalFormatting>
  <hyperlinks>
    <hyperlink ref="F6" r:id="rId1"/>
    <hyperlink ref="K6" r:id="rId2"/>
    <hyperlink ref="L6" r:id="rId3"/>
    <hyperlink ref="L7" r:id="rId4"/>
    <hyperlink ref="K7" r:id="rId5"/>
    <hyperlink ref="F7" r:id="rId6"/>
    <hyperlink ref="G7" r:id="rId7"/>
    <hyperlink ref="G6" r:id="rId8"/>
    <hyperlink ref="I6" r:id="rId9"/>
    <hyperlink ref="I7" r:id="rId10"/>
    <hyperlink ref="H6" r:id="rId11"/>
    <hyperlink ref="H7" r:id="rId12"/>
    <hyperlink ref="B122" r:id="rId13" display=".RWZ RAWZOR (lossless) Sachin Garg 2010"/>
    <hyperlink ref="B15" r:id="rId14" display="STUFFIT 2010 v14.0.0.9 (2009) SITX"/>
    <hyperlink ref="B58" r:id="rId15"/>
    <hyperlink ref="B57" r:id="rId16" display="FreeARC 0.67 ultra (2012) Bulat Ziganshin"/>
    <hyperlink ref="B87" r:id="rId17"/>
    <hyperlink ref="B78" r:id="rId18"/>
    <hyperlink ref="B13" r:id="rId19" location="1350"/>
    <hyperlink ref="B42" r:id="rId20" display="UHARC v0.6b (PPM, 32MB dict., Multimedia ) U. Herklotz"/>
    <hyperlink ref="B47" r:id="rId21" display="WinAce v2.69 Final (4096 KB dict + Delta) Marcel Lemke"/>
    <hyperlink ref="B81" r:id="rId22" display="WinRar x64 v3.92 (4096 KB dictionary + Delta) Eugene Roshal"/>
    <hyperlink ref="B19" r:id="rId23" display="FLIC 2.1 x64 (16.11.11) Alexander Ratushnyak"/>
    <hyperlink ref="B16" r:id="rId24" display="GraLIC 1.11 demo (30.07.11) A. Ratushnyak, Graystone CT Inc."/>
    <hyperlink ref="B52" r:id="rId25" display=".PGF / libPGF 6.11.24 (2004-2011) (lossless) (input=bmp)"/>
    <hyperlink ref="B14" r:id="rId26" location="1532"/>
    <hyperlink ref="B51" r:id="rId27" display=".PPN PackPNM 1.4d (08.03.12) Matthias Stirner (input=PPM)"/>
    <hyperlink ref="B20" r:id="rId28"/>
    <hyperlink ref="B27" r:id="rId29"/>
    <hyperlink ref="B21" r:id="rId30"/>
    <hyperlink ref="B23" r:id="rId31"/>
    <hyperlink ref="B46" r:id="rId32" display=".WEBP 0.20 lossless (cwebp.exe, 16.08.2012)"/>
    <hyperlink ref="B33" r:id="rId33"/>
    <hyperlink ref="B36" r:id="rId34"/>
    <hyperlink ref="B35" r:id="rId35"/>
    <hyperlink ref="B39" r:id="rId36" display=".LSP S+P 3.0.1 (30.08.96) Amir Said &amp; W.A. Pearlman (lossless) (input=RAS)"/>
    <hyperlink ref="B89" r:id="rId37" display=".PNG (XnView 1.98.7)"/>
    <hyperlink ref="B93" r:id="rId38" display=".TIFF/deflate (lossless)"/>
    <hyperlink ref="B95" r:id="rId39" display=".TIFF/lzw + predictor (lossless)"/>
    <hyperlink ref="B108" r:id="rId40" display=".TGA TARGA (Compressed) (XnView 1.98.7)"/>
    <hyperlink ref="B111" r:id="rId41" display=".TIFF (uncompressed)"/>
    <hyperlink ref="B26" r:id="rId42"/>
    <hyperlink ref="B54" r:id="rId43"/>
    <hyperlink ref="B60" r:id="rId44"/>
    <hyperlink ref="B70" r:id="rId45"/>
    <hyperlink ref="B62" r:id="rId46"/>
    <hyperlink ref="B59" r:id="rId47" display=".APT v 1.0 (25.3.2004) (input=bmp)"/>
    <hyperlink ref="B67" r:id="rId48" display=".JPG (JPEG 9; cjpeg -rgb1 -block 1 -arithmetic) 19.05.2012, lossless"/>
    <hyperlink ref="B68" r:id="rId49" display=".BTP BTPC 5 (EPIC 24 v0.1b) (2003) (input=bmp)John Robinson"/>
    <hyperlink ref="B75" r:id="rId50" display=".IZ ImageZero (23.03.2012) Chritoph Feck"/>
    <hyperlink ref="B72" r:id="rId51"/>
    <hyperlink ref="B71" r:id="rId52"/>
    <hyperlink ref="B77" r:id="rId53"/>
    <hyperlink ref="B94" r:id="rId54"/>
    <hyperlink ref="J6" r:id="rId55"/>
    <hyperlink ref="B90" r:id="rId56" display="BZIP2 1.0 (2008) -9 Julian Seward"/>
    <hyperlink ref="B98" r:id="rId57" display="GZIP 1.3.5 (-9) ('07) Jean-Loup Gailly &amp; Mark Adler"/>
    <hyperlink ref="B76" r:id="rId58"/>
    <hyperlink ref="B56" r:id="rId59" display="SBC Archiver v0.970 (2004) -m3 -b63 Sami J. Makinen"/>
    <hyperlink ref="B241" r:id="rId60" display=".RWZ RAWZOR (lossless) Sachin Garg 2010"/>
    <hyperlink ref="B149" r:id="rId61" display="STUFFIT 2010 v14.0.0.9 (2009) SITX"/>
    <hyperlink ref="B171" r:id="rId62"/>
    <hyperlink ref="B188" r:id="rId63" display="FreeARC 0.67 ultra (2012) Bulat Ziganshin"/>
    <hyperlink ref="B206" r:id="rId64"/>
    <hyperlink ref="B198" r:id="rId65"/>
    <hyperlink ref="B148" r:id="rId66" location="1350"/>
    <hyperlink ref="B186" r:id="rId67" display="UHARC v0.6b (PPM, 32MB dict., Multimedia ) U. Herklotz"/>
    <hyperlink ref="B174" r:id="rId68" display="WinAce v2.69 Final (4096 KB dict + Delta) Marcel Lemke"/>
    <hyperlink ref="B202" r:id="rId69" display="WinRar x64 v3.92 (4096 KB dictionary + Delta) Eugene Roshal"/>
    <hyperlink ref="B144" r:id="rId70" display=".BMF v2.0 (2009) -S Dmitry Shkarin (input=bmp)"/>
    <hyperlink ref="B246" r:id="rId71" display="FLIC 2.1 x64 (16.11.11) Alexander Ratushnyak"/>
    <hyperlink ref="B146" r:id="rId72" display="GraLIC 1.11 demo (30.07.11) A. Ratushnyak, Graystone CT Inc."/>
    <hyperlink ref="B151" r:id="rId73" location="1532"/>
    <hyperlink ref="B165" r:id="rId74" display=".PPN PackPNM 1.4d (08.03.12) Matthias Stirner (input=PPM)"/>
    <hyperlink ref="B150" r:id="rId75"/>
    <hyperlink ref="B156" r:id="rId76"/>
    <hyperlink ref="B243" r:id="rId77"/>
    <hyperlink ref="B242" r:id="rId78"/>
    <hyperlink ref="B210" r:id="rId79"/>
    <hyperlink ref="B244" r:id="rId80"/>
    <hyperlink ref="B158" r:id="rId81" display=".JLS (jpegls.8bi, color transform B-=(R+G)/2, 21.11.2001, lossless)"/>
    <hyperlink ref="B167" r:id="rId82"/>
    <hyperlink ref="B163" r:id="rId83"/>
    <hyperlink ref="B168" r:id="rId84"/>
    <hyperlink ref="B166" r:id="rId85"/>
    <hyperlink ref="B194" r:id="rId86"/>
    <hyperlink ref="B208" r:id="rId87" display=".CPD (PhotoK 0.1.0.1, www.kandalu.net, 30.07.2009) lossless"/>
    <hyperlink ref="B183" r:id="rId88" display=".APT v 1.0 (25.3.2004) (input=bmp)"/>
    <hyperlink ref="B197" r:id="rId89" display=".JPG (JPEG 9; cjpeg -rgb1 -block 1 -arithmetic) 19.05.2012, lossless"/>
    <hyperlink ref="B184" r:id="rId90"/>
    <hyperlink ref="B236" r:id="rId91" display=".IZ ImageZero (23.03.2012) Chritoph Feck"/>
    <hyperlink ref="B159" r:id="rId92"/>
    <hyperlink ref="B160" r:id="rId93"/>
    <hyperlink ref="B187" r:id="rId94"/>
    <hyperlink ref="B239" r:id="rId95" display=".OpenEXR Format (PIZ Mode)"/>
    <hyperlink ref="B233" r:id="rId96"/>
    <hyperlink ref="B199" r:id="rId97" display="BZIP2 1.0 (2008) -9 Julian Seward"/>
    <hyperlink ref="B214" r:id="rId98" display="GZIP 1.3.5 (-9) ('07) Jean-Loup Gailly &amp; Mark Adler"/>
    <hyperlink ref="B178" r:id="rId99"/>
    <hyperlink ref="B193" r:id="rId100" display="SBC Archiver v0.970 (2004) -m3 -b63 Sami J. Makinen"/>
    <hyperlink ref="B190" r:id="rId101"/>
    <hyperlink ref="F138" r:id="rId102"/>
    <hyperlink ref="B143" r:id="rId103"/>
    <hyperlink ref="B155" r:id="rId104"/>
    <hyperlink ref="B170" r:id="rId105" display=".PWC (20.11.1999) Paul Ausbeck"/>
    <hyperlink ref="B120" r:id="rId106"/>
    <hyperlink ref="B125" r:id="rId107"/>
    <hyperlink ref="B121" r:id="rId108" display=".PWC (20.11.1999) Paul Ausbeck"/>
    <hyperlink ref="H138" r:id="rId109"/>
    <hyperlink ref="I138" r:id="rId110"/>
    <hyperlink ref="B230" r:id="rId111" display=".BMP Windows Bitmap (RLE compressed)"/>
    <hyperlink ref="B17" r:id="rId112" display=".BMF v2.0 (2009) -S Dmitry Shkarin (input=bmp)"/>
    <hyperlink ref="B191" r:id="rId113" display=".PNG (XnView 1.98.7)"/>
    <hyperlink ref="B181" r:id="rId114"/>
    <hyperlink ref="B182" r:id="rId115" display=".PNG (XnView 1.98.7)"/>
    <hyperlink ref="B157" r:id="rId116" display=".TVC NK (26.11.1999) Tomsk State University (input=bmp)"/>
    <hyperlink ref="B92" r:id="rId117" display=".OpenEXR Format (PIZ Mode)"/>
    <hyperlink ref="B24" r:id="rId118" display=".TVC NK (26.11.1999) Tomsk State University (input=bmp)"/>
    <hyperlink ref="B22" r:id="rId119" display=".BMF v2.0 (2009) -S Dmitry Shkarin (input=bmp)"/>
    <hyperlink ref="B207" r:id="rId120" display="ARHANGEL 1.40 -mm -mf (2000) George Lyapko"/>
    <hyperlink ref="B43" r:id="rId121" display="ARHANGEL 1.40 -mm -mf (2000) George Lyapko"/>
    <hyperlink ref="B55" r:id="rId122" display="Pyramid Workshop 0.01debug (cptpc.exe) (2000) Niels Fröhling"/>
    <hyperlink ref="B200" r:id="rId123" display="Pyramid Workshop 0.01debug (cptpc.exe) (2000) Niels Fröhling"/>
    <hyperlink ref="B34" r:id="rId124" display="WIC lossless image compressor"/>
    <hyperlink ref="B176" r:id="rId125" display=".PGF / libPGF 6.11.24 (2004-2011) (lossless) (input=bmp)"/>
    <hyperlink ref="B127" r:id="rId126"/>
    <hyperlink ref="B195" r:id="rId127"/>
    <hyperlink ref="B216" r:id="rId128"/>
    <hyperlink ref="B101" r:id="rId129"/>
    <hyperlink ref="B162" r:id="rId130" display=".J2K JPEG2000 (Lossless) Kakadu 7.1 (25.06.2012)"/>
    <hyperlink ref="B40" r:id="rId131" display=".J2K JPEG2000 (Lossless) Kakadu 7.1 (25.06.2012)"/>
    <hyperlink ref="B84" r:id="rId132" display=".PNG OPTIPNG 0.71 HG -o7 (19.03.2012) Cosmin Truta"/>
    <hyperlink ref="B85" r:id="rId133" display=".PNG (XnView 1.98.7)"/>
    <hyperlink ref="B83" r:id="rId134" display=".PNG (XnView 1.98.7)"/>
    <hyperlink ref="B41" r:id="rId135" display=".J2K JPEG2000 (lossless) www.openjpeg.org 1.5.1 (25.06.2012) "/>
    <hyperlink ref="B161" r:id="rId136"/>
    <hyperlink ref="B175" r:id="rId137" display="ZCM 0.60d -m7 -r -s (2012) N.F. Antonio"/>
    <hyperlink ref="G138" r:id="rId138"/>
    <hyperlink ref="J138" r:id="rId139"/>
    <hyperlink ref="B74" r:id="rId140" display="7-Zip x64 9.1.7 (0=delta:4 1=lzma:lp1:d96:fb273) Igor Pavlov"/>
    <hyperlink ref="B203" r:id="rId141" display="7-Zip x64 9.1.7 (0=delta:4 1=lzma:lp1:d96:fb273) Igor Pavlov"/>
    <hyperlink ref="B103" r:id="rId142"/>
    <hyperlink ref="B221" r:id="rId143"/>
    <hyperlink ref="B107" r:id="rId144"/>
    <hyperlink ref="B97" r:id="rId145" display=".PSP Paintshop Pro Image (Corel Corporation)"/>
    <hyperlink ref="B225" r:id="rId146"/>
    <hyperlink ref="B215" r:id="rId147" display=".PSP Paintshop Pro Image (Corel Corporation)"/>
    <hyperlink ref="B99" r:id="rId148"/>
    <hyperlink ref="B112" r:id="rId149" display=".TIFF/lzw + predictor (lossless)"/>
    <hyperlink ref="B222" r:id="rId150" display=".TIFF/lzw + predictor (lossless)"/>
    <hyperlink ref="B220" r:id="rId151"/>
    <hyperlink ref="B110" r:id="rId152" display=".BMP Windows Bitmap (RLE compressed)"/>
    <hyperlink ref="B217" r:id="rId153" display=".TIFF/deflate (lossless)"/>
    <hyperlink ref="B229" r:id="rId154" display=".TIFF (uncompressed)"/>
    <hyperlink ref="B227" r:id="rId155" display=".TGA TARGA (Compressed) (XnView 1.98.7)"/>
    <hyperlink ref="B219" r:id="rId156" display=".TIFF/lzw + predictor (lossless)"/>
    <hyperlink ref="B205" r:id="rId157" display=".PNG (XnView 1.98.7)"/>
    <hyperlink ref="B113" r:id="rId158" display=".SLI StudioLine Photo Classic 2 Plus"/>
    <hyperlink ref="B226" r:id="rId159" display=".SLI StudioLine Photo Classic 2 Plus"/>
    <hyperlink ref="B32" r:id="rId160" display=".BIM Lossless Image Compressor 0.01 (13.01.2013) Ilya Muravyov"/>
    <hyperlink ref="B50" r:id="rId161" display="QLIC Quick Lossless Image Compressor 1.demo (2013) Alex Ratushnyak"/>
    <hyperlink ref="B248" r:id="rId162" display="QLIC Quick Lossless Image Compressor 1.demo (2013) Alex Ratushnyak"/>
    <hyperlink ref="B231" r:id="rId163"/>
    <hyperlink ref="B3" r:id="rId164"/>
    <hyperlink ref="B2" r:id="rId165"/>
    <hyperlink ref="B31" r:id="rId166" display=".BIM Lossless Image Compressor 0.01 (13.01.2013) Ilya Muravyov"/>
    <hyperlink ref="B173" r:id="rId167" display="ZCM 0.60d -m7 -r -s (2012) N.F. Antonio"/>
    <hyperlink ref="B63" r:id="rId168" display="ZCM 0.60d -m7 -r -s (2012) N.F. Antonio"/>
    <hyperlink ref="B45" r:id="rId169" display=".WEBP 0.20 lossless (cwebp.exe, 16.08.2012)"/>
    <hyperlink ref="B211" r:id="rId170" display=".WEBP 0.20 lossless (cwebp.exe, 16.08.2012)"/>
    <hyperlink ref="B28" r:id="rId171" display="ZCM 0.60d -m7 -r -s (2012) N.F. Antonio"/>
    <hyperlink ref="B86" r:id="rId172" display=".JPG (LIBJPEG 8d, 2012 09, Thomas Richter) -ls 0 -c (lossless)"/>
    <hyperlink ref="B96" r:id="rId173" display=".JPG (LIBJPEG 8d, 2012 09, Thomas Richter) -ls 0 -c (lossless)"/>
    <hyperlink ref="B65" r:id="rId174" display="JXRLIB 1.1 (28.05.23013)"/>
    <hyperlink ref="B48" r:id="rId175" display=".WEBP 0.20 lossless (cwebp.exe, 16.08.2012)"/>
    <hyperlink ref="B49" r:id="rId176" display=".WEBP 0.20 lossless (cwebp.exe, 16.08.2012)"/>
    <hyperlink ref="B64" r:id="rId177" display=".PNG (XnView 1.98.7)"/>
    <hyperlink ref="B100" r:id="rId178"/>
    <hyperlink ref="B25" r:id="rId179" display=".BIM Lossless Image Compressor 0.01 (13.01.2013) Ilya Muravyov"/>
    <hyperlink ref="B44" r:id="rId180" display=".WEBP 0.20 lossless (cwebp.exe, 16.08.2012)"/>
    <hyperlink ref="B212" r:id="rId181" display=".WEBP 0.20 lossless (cwebp.exe, 16.08.2012)"/>
    <hyperlink ref="B66" r:id="rId182" display=".JPG (JPEG 9; cjpeg -rgb1 -block 1 -arithmetic) 19.05.2012, lossless"/>
  </hyperlinks>
  <pageMargins left="0.70866141732283472" right="0.70866141732283472" top="0.74803149606299213" bottom="0.74803149606299213" header="0.31496062992125984" footer="0.31496062992125984"/>
  <pageSetup paperSize="9" scale="65" fitToWidth="2" fitToHeight="2" orientation="portrait" r:id="rId183"/>
  <picture r:id="rId184"/>
  <webPublishItems count="2">
    <webPublishItem id="1950" divId="SqueezeChart2014web_1950" sourceType="range" sourceRef="B1:L30" destinationFile="E:\FILES 1989 - 2014\Files 2014\CoBaLP2 - RGB.htm"/>
    <webPublishItem id="24472" divId="SqueezeChart2014web_24472" sourceType="range" sourceRef="B136:J156" destinationFile="E:\FILES 1989 - 2014\Files 2014\CoBaLP2 - grayscale.htm"/>
  </webPublishItem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64D16B-B775-41A7-8AB6-488D9D62E1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D231:E249 E142:E230</xm:sqref>
        </x14:conditionalFormatting>
        <x14:conditionalFormatting xmlns:xm="http://schemas.microsoft.com/office/excel/2006/main">
          <x14:cfRule type="dataBar" id="{FBAF1830-663E-4AE8-9529-F3FD6F5136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D115:E129 E12:E114</xm:sqref>
        </x14:conditionalFormatting>
        <x14:conditionalFormatting xmlns:xm="http://schemas.microsoft.com/office/excel/2006/main">
          <x14:cfRule type="dataBar" id="{EA25018F-D055-4772-BECB-E897D8539F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D1B68DF6-9DB9-4D18-9CAE-F35919FEF4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D142:D230</xm:sqref>
        </x14:conditionalFormatting>
        <x14:conditionalFormatting xmlns:xm="http://schemas.microsoft.com/office/excel/2006/main">
          <x14:cfRule type="dataBar" id="{0E90D876-6C24-4705-83F1-A778E0BB9F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D11:D114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525"/>
  <sheetViews>
    <sheetView showGridLines="0" topLeftCell="A127" zoomScale="85" zoomScaleNormal="85" workbookViewId="0">
      <selection activeCell="C130" sqref="C130"/>
    </sheetView>
  </sheetViews>
  <sheetFormatPr baseColWidth="10" defaultColWidth="9.140625" defaultRowHeight="12.75"/>
  <cols>
    <col min="1" max="1" width="37.7109375" style="1" customWidth="1"/>
    <col min="2" max="2" width="2.7109375" style="1" customWidth="1"/>
    <col min="3" max="3" width="8.85546875" style="1" customWidth="1"/>
    <col min="4" max="4" width="14.7109375" style="1" customWidth="1"/>
    <col min="5" max="5" width="8.42578125" style="1" customWidth="1"/>
    <col min="6" max="6" width="2.7109375" style="1" customWidth="1"/>
    <col min="7" max="7" width="37.7109375" style="1" customWidth="1"/>
    <col min="8" max="8" width="2.7109375" style="1" customWidth="1"/>
    <col min="9" max="9" width="8.85546875" style="1" customWidth="1"/>
    <col min="10" max="10" width="14.7109375" style="1" customWidth="1"/>
    <col min="11" max="11" width="8.42578125" style="1" customWidth="1"/>
    <col min="12" max="12" width="2.7109375" style="1" customWidth="1"/>
    <col min="13" max="13" width="37.7109375" style="1" customWidth="1"/>
    <col min="14" max="14" width="2.7109375" style="1" customWidth="1"/>
    <col min="15" max="15" width="7.85546875" style="1" customWidth="1"/>
    <col min="16" max="16" width="14.7109375" style="1" customWidth="1"/>
    <col min="17" max="17" width="8.42578125" style="1" customWidth="1"/>
    <col min="18" max="16384" width="9.140625" style="1"/>
  </cols>
  <sheetData>
    <row r="1" spans="1:18" ht="18">
      <c r="A1" s="20">
        <f ca="1">NOW()</f>
        <v>41756.581124537035</v>
      </c>
      <c r="B1" s="56"/>
      <c r="C1" s="56"/>
      <c r="D1" s="57"/>
      <c r="E1" s="58"/>
      <c r="F1" s="52"/>
      <c r="G1" s="50"/>
      <c r="H1" s="51"/>
      <c r="I1" s="51"/>
      <c r="J1" s="49"/>
      <c r="K1" s="59"/>
      <c r="L1" s="50"/>
      <c r="M1" s="60"/>
      <c r="N1" s="61"/>
      <c r="O1" s="61"/>
      <c r="P1" s="62"/>
      <c r="Q1" s="63"/>
    </row>
    <row r="2" spans="1:18">
      <c r="A2" s="3169" t="s">
        <v>1255</v>
      </c>
      <c r="B2" s="3169"/>
      <c r="C2" s="3169"/>
      <c r="D2" s="3169"/>
      <c r="E2" s="3169"/>
      <c r="F2" s="3169"/>
      <c r="G2" s="3169"/>
      <c r="H2" s="3169"/>
      <c r="I2" s="3169"/>
      <c r="J2" s="3169"/>
      <c r="K2" s="3169"/>
      <c r="L2" s="3169"/>
      <c r="M2" s="3169"/>
      <c r="N2" s="3169"/>
      <c r="O2" s="3169"/>
      <c r="P2" s="3169"/>
      <c r="Q2" s="3169"/>
    </row>
    <row r="3" spans="1:18">
      <c r="A3" s="3169"/>
      <c r="B3" s="3169"/>
      <c r="C3" s="3169"/>
      <c r="D3" s="3169"/>
      <c r="E3" s="3169"/>
      <c r="F3" s="3169"/>
      <c r="G3" s="3169"/>
      <c r="H3" s="3169"/>
      <c r="I3" s="3169"/>
      <c r="J3" s="3169"/>
      <c r="K3" s="3169"/>
      <c r="L3" s="3169"/>
      <c r="M3" s="3169"/>
      <c r="N3" s="3169"/>
      <c r="O3" s="3169"/>
      <c r="P3" s="3169"/>
      <c r="Q3" s="3169"/>
    </row>
    <row r="4" spans="1:18">
      <c r="A4" s="3169"/>
      <c r="B4" s="3169"/>
      <c r="C4" s="3169"/>
      <c r="D4" s="3169"/>
      <c r="E4" s="3169"/>
      <c r="F4" s="3169"/>
      <c r="G4" s="3169"/>
      <c r="H4" s="3169"/>
      <c r="I4" s="3169"/>
      <c r="J4" s="3169"/>
      <c r="K4" s="3169"/>
      <c r="L4" s="3169"/>
      <c r="M4" s="3169"/>
      <c r="N4" s="3169"/>
      <c r="O4" s="3169"/>
      <c r="P4" s="3169"/>
      <c r="Q4" s="3169"/>
    </row>
    <row r="5" spans="1:18">
      <c r="A5" s="3169"/>
      <c r="B5" s="3169"/>
      <c r="C5" s="3169"/>
      <c r="D5" s="3169"/>
      <c r="E5" s="3169"/>
      <c r="F5" s="3169"/>
      <c r="G5" s="3169"/>
      <c r="H5" s="3169"/>
      <c r="I5" s="3169"/>
      <c r="J5" s="3169"/>
      <c r="K5" s="3169"/>
      <c r="L5" s="3169"/>
      <c r="M5" s="3169"/>
      <c r="N5" s="3169"/>
      <c r="O5" s="3169"/>
      <c r="P5" s="3169"/>
      <c r="Q5" s="3169"/>
    </row>
    <row r="6" spans="1:18">
      <c r="A6" s="3169"/>
      <c r="B6" s="3169"/>
      <c r="C6" s="3169"/>
      <c r="D6" s="3169"/>
      <c r="E6" s="3169"/>
      <c r="F6" s="3169"/>
      <c r="G6" s="3169"/>
      <c r="H6" s="3169"/>
      <c r="I6" s="3169"/>
      <c r="J6" s="3169"/>
      <c r="K6" s="3169"/>
      <c r="L6" s="3169"/>
      <c r="M6" s="3169"/>
      <c r="N6" s="3169"/>
      <c r="O6" s="3169"/>
      <c r="P6" s="3169"/>
      <c r="Q6" s="3169"/>
    </row>
    <row r="7" spans="1:18" ht="14.25" customHeight="1">
      <c r="A7" s="1050" t="s">
        <v>1514</v>
      </c>
      <c r="B7" s="1047"/>
      <c r="C7" s="1047"/>
      <c r="D7" s="1047"/>
      <c r="E7" s="1047"/>
      <c r="F7" s="1047"/>
      <c r="G7" s="1047"/>
      <c r="H7" s="1047"/>
      <c r="I7" s="1047"/>
      <c r="J7" s="1047"/>
      <c r="K7" s="1047"/>
      <c r="L7" s="1047"/>
      <c r="M7" s="1047"/>
      <c r="N7" s="1047"/>
      <c r="O7" s="1047"/>
      <c r="P7" s="1047"/>
      <c r="Q7" s="1047"/>
    </row>
    <row r="8" spans="1:18" ht="20.25">
      <c r="A8" s="1051" t="s">
        <v>1515</v>
      </c>
      <c r="B8" s="64"/>
      <c r="C8" s="64"/>
      <c r="D8" s="65"/>
      <c r="E8" s="66"/>
      <c r="F8" s="67"/>
      <c r="G8" s="68"/>
      <c r="H8" s="69"/>
      <c r="I8" s="69"/>
      <c r="J8" s="70"/>
      <c r="K8" s="71"/>
      <c r="L8" s="68"/>
      <c r="M8" s="72"/>
      <c r="N8" s="73"/>
      <c r="O8" s="73"/>
      <c r="P8" s="74"/>
      <c r="Q8" s="75"/>
    </row>
    <row r="9" spans="1:18" ht="20.25">
      <c r="A9" s="816" t="s">
        <v>558</v>
      </c>
      <c r="B9" s="76"/>
      <c r="C9" s="76"/>
      <c r="D9" s="77"/>
      <c r="E9" s="78"/>
      <c r="F9" s="77"/>
      <c r="G9" s="79"/>
      <c r="H9" s="79"/>
      <c r="I9" s="79"/>
      <c r="J9" s="79"/>
      <c r="K9" s="79"/>
      <c r="L9" s="79"/>
      <c r="M9" s="79"/>
      <c r="N9" s="76"/>
      <c r="O9" s="76"/>
      <c r="P9" s="77"/>
      <c r="Q9" s="78"/>
    </row>
    <row r="10" spans="1:18" ht="21" thickBot="1">
      <c r="A10" s="80"/>
      <c r="B10" s="81"/>
      <c r="C10" s="81"/>
      <c r="D10" s="80"/>
      <c r="E10" s="82"/>
      <c r="F10" s="80"/>
      <c r="G10" s="83"/>
      <c r="H10" s="83"/>
      <c r="I10" s="83"/>
      <c r="J10" s="83"/>
      <c r="K10" s="83"/>
      <c r="L10" s="83"/>
      <c r="M10" s="83"/>
      <c r="N10" s="81"/>
      <c r="O10" s="81"/>
      <c r="P10" s="80"/>
      <c r="Q10" s="82"/>
    </row>
    <row r="11" spans="1:18" ht="21" thickTop="1">
      <c r="A11" s="820"/>
      <c r="B11" s="821"/>
      <c r="C11" s="821"/>
      <c r="D11" s="820"/>
      <c r="E11" s="822"/>
      <c r="F11" s="820"/>
      <c r="G11" s="79"/>
      <c r="H11" s="79"/>
      <c r="I11" s="79"/>
      <c r="J11" s="79"/>
      <c r="K11" s="79"/>
      <c r="L11" s="79"/>
      <c r="M11" s="79"/>
      <c r="N11" s="821"/>
      <c r="O11" s="821"/>
      <c r="P11" s="820"/>
      <c r="Q11" s="822"/>
    </row>
    <row r="12" spans="1:18" ht="15">
      <c r="A12" s="429" t="s">
        <v>746</v>
      </c>
      <c r="B12" s="430"/>
      <c r="C12" s="430"/>
      <c r="D12" s="264"/>
      <c r="E12" s="431"/>
      <c r="F12" s="264"/>
      <c r="G12" s="432"/>
      <c r="H12" s="433"/>
      <c r="I12" s="432"/>
      <c r="J12" s="264"/>
      <c r="K12" s="431"/>
      <c r="L12" s="264"/>
      <c r="M12" s="423"/>
      <c r="N12" s="423"/>
      <c r="O12" s="423"/>
      <c r="P12" s="423"/>
      <c r="Q12" s="434"/>
      <c r="R12" s="435"/>
    </row>
    <row r="13" spans="1:18" ht="15">
      <c r="A13" s="364" t="s">
        <v>745</v>
      </c>
      <c r="B13" s="436"/>
      <c r="C13" s="437"/>
      <c r="D13" s="3170" t="s">
        <v>559</v>
      </c>
      <c r="E13" s="3170"/>
      <c r="F13" s="264"/>
      <c r="G13" s="365" t="s">
        <v>565</v>
      </c>
      <c r="H13" s="438"/>
      <c r="I13" s="439"/>
      <c r="J13" s="3166" t="s">
        <v>564</v>
      </c>
      <c r="K13" s="3170"/>
      <c r="L13" s="264"/>
      <c r="M13" s="366" t="s">
        <v>560</v>
      </c>
      <c r="N13" s="440"/>
      <c r="O13" s="437"/>
      <c r="P13" s="3168" t="s">
        <v>561</v>
      </c>
      <c r="Q13" s="3168"/>
      <c r="R13" s="435"/>
    </row>
    <row r="14" spans="1:18" ht="15">
      <c r="A14" s="669" t="s">
        <v>2047</v>
      </c>
      <c r="B14" s="441" t="s">
        <v>41</v>
      </c>
      <c r="C14" s="442">
        <v>336.44</v>
      </c>
      <c r="D14" s="330">
        <v>9938052</v>
      </c>
      <c r="E14" s="613">
        <f t="shared" ref="E14:E37" si="0">(D14*100/14384698)</f>
        <v>69.087665239826379</v>
      </c>
      <c r="F14" s="264"/>
      <c r="G14" s="368" t="s">
        <v>1417</v>
      </c>
      <c r="H14" s="444"/>
      <c r="I14" s="445">
        <v>34</v>
      </c>
      <c r="J14" s="698">
        <v>5957025</v>
      </c>
      <c r="K14" s="613">
        <f t="shared" ref="K14:K38" si="1">(J14*100/9121790)</f>
        <v>65.305438954415749</v>
      </c>
      <c r="L14" s="264"/>
      <c r="M14" s="368" t="s">
        <v>1417</v>
      </c>
      <c r="N14" s="446"/>
      <c r="O14" s="445">
        <v>19</v>
      </c>
      <c r="P14" s="698">
        <v>6883057</v>
      </c>
      <c r="Q14" s="617">
        <f t="shared" ref="Q14:Q38" si="2">(P14*100/9350522)</f>
        <v>73.611473241814736</v>
      </c>
      <c r="R14" s="435"/>
    </row>
    <row r="15" spans="1:18" ht="15">
      <c r="A15" s="1931" t="s">
        <v>1430</v>
      </c>
      <c r="B15" s="348" t="s">
        <v>41</v>
      </c>
      <c r="C15" s="457">
        <v>353.93</v>
      </c>
      <c r="D15" s="1893">
        <v>9939825</v>
      </c>
      <c r="E15" s="613">
        <f t="shared" si="0"/>
        <v>69.099990837485777</v>
      </c>
      <c r="F15" s="264"/>
      <c r="G15" s="1930" t="s">
        <v>2047</v>
      </c>
      <c r="H15" s="462" t="s">
        <v>41</v>
      </c>
      <c r="I15" s="457">
        <v>719.67</v>
      </c>
      <c r="J15" s="1893">
        <v>7790439</v>
      </c>
      <c r="K15" s="613">
        <f t="shared" si="1"/>
        <v>85.404717714395971</v>
      </c>
      <c r="L15" s="264"/>
      <c r="M15" s="740" t="s">
        <v>694</v>
      </c>
      <c r="N15" s="1934"/>
      <c r="O15" s="457">
        <v>18.3</v>
      </c>
      <c r="P15" s="1893">
        <v>8825607</v>
      </c>
      <c r="Q15" s="617">
        <f t="shared" si="2"/>
        <v>94.386249238277827</v>
      </c>
      <c r="R15" s="435"/>
    </row>
    <row r="16" spans="1:18" ht="15">
      <c r="A16" s="666" t="s">
        <v>927</v>
      </c>
      <c r="B16" s="348" t="s">
        <v>41</v>
      </c>
      <c r="C16" s="448">
        <v>182.25</v>
      </c>
      <c r="D16" s="331">
        <v>9958791</v>
      </c>
      <c r="E16" s="613">
        <f t="shared" si="0"/>
        <v>69.231839278099542</v>
      </c>
      <c r="F16" s="264"/>
      <c r="G16" s="1932" t="s">
        <v>1430</v>
      </c>
      <c r="H16" s="465" t="s">
        <v>41</v>
      </c>
      <c r="I16" s="449">
        <v>783.1</v>
      </c>
      <c r="J16" s="106">
        <v>7794256</v>
      </c>
      <c r="K16" s="613">
        <f t="shared" si="1"/>
        <v>85.446562571600523</v>
      </c>
      <c r="L16" s="264"/>
      <c r="M16" s="1933" t="s">
        <v>2047</v>
      </c>
      <c r="N16" s="459" t="s">
        <v>41</v>
      </c>
      <c r="O16" s="449">
        <v>1018.3</v>
      </c>
      <c r="P16" s="334">
        <v>9163819</v>
      </c>
      <c r="Q16" s="617">
        <f t="shared" si="2"/>
        <v>98.003287944779984</v>
      </c>
      <c r="R16" s="435"/>
    </row>
    <row r="17" spans="1:18" ht="15">
      <c r="A17" s="666" t="s">
        <v>1169</v>
      </c>
      <c r="B17" s="347"/>
      <c r="C17" s="449">
        <v>26.359000000000002</v>
      </c>
      <c r="D17" s="334">
        <v>10408411</v>
      </c>
      <c r="E17" s="613">
        <f t="shared" si="0"/>
        <v>72.357521861077657</v>
      </c>
      <c r="F17" s="264"/>
      <c r="G17" s="646" t="s">
        <v>927</v>
      </c>
      <c r="H17" s="348" t="s">
        <v>41</v>
      </c>
      <c r="I17" s="449">
        <v>114.55</v>
      </c>
      <c r="J17" s="336">
        <v>7813969</v>
      </c>
      <c r="K17" s="613">
        <f t="shared" si="1"/>
        <v>85.662671471279211</v>
      </c>
      <c r="L17" s="264"/>
      <c r="M17" s="1931" t="s">
        <v>1430</v>
      </c>
      <c r="N17" s="465" t="s">
        <v>41</v>
      </c>
      <c r="O17" s="449">
        <v>1125.75</v>
      </c>
      <c r="P17" s="334">
        <v>9164467</v>
      </c>
      <c r="Q17" s="617">
        <f t="shared" si="2"/>
        <v>98.010218039164016</v>
      </c>
      <c r="R17" s="435"/>
    </row>
    <row r="18" spans="1:18" ht="15">
      <c r="A18" s="662" t="s">
        <v>1426</v>
      </c>
      <c r="B18" s="450"/>
      <c r="C18" s="449">
        <v>31.75</v>
      </c>
      <c r="D18" s="106">
        <v>12532312</v>
      </c>
      <c r="E18" s="613">
        <f t="shared" si="0"/>
        <v>87.122524226785998</v>
      </c>
      <c r="F18" s="264"/>
      <c r="G18" s="666" t="s">
        <v>1169</v>
      </c>
      <c r="H18" s="451"/>
      <c r="I18" s="449">
        <v>26.5</v>
      </c>
      <c r="J18" s="106">
        <v>7814900</v>
      </c>
      <c r="K18" s="613">
        <f t="shared" si="1"/>
        <v>85.672877801396439</v>
      </c>
      <c r="L18" s="264"/>
      <c r="M18" s="651" t="s">
        <v>1426</v>
      </c>
      <c r="N18" s="347"/>
      <c r="O18" s="449">
        <v>15.89</v>
      </c>
      <c r="P18" s="106">
        <v>9164873</v>
      </c>
      <c r="Q18" s="617">
        <f t="shared" si="2"/>
        <v>98.014560042744137</v>
      </c>
      <c r="R18" s="435"/>
    </row>
    <row r="19" spans="1:18" ht="15">
      <c r="A19" s="667" t="s">
        <v>694</v>
      </c>
      <c r="B19" s="452"/>
      <c r="C19" s="449">
        <v>30.2</v>
      </c>
      <c r="D19" s="106">
        <v>12574535</v>
      </c>
      <c r="E19" s="613">
        <f t="shared" si="0"/>
        <v>87.416051417972071</v>
      </c>
      <c r="F19" s="264"/>
      <c r="G19" s="664" t="s">
        <v>694</v>
      </c>
      <c r="H19" s="453"/>
      <c r="I19" s="448">
        <v>28</v>
      </c>
      <c r="J19" s="331">
        <v>7936048</v>
      </c>
      <c r="K19" s="613">
        <f t="shared" si="1"/>
        <v>87.00099432238629</v>
      </c>
      <c r="L19" s="264"/>
      <c r="M19" s="645" t="s">
        <v>1429</v>
      </c>
      <c r="N19" s="454"/>
      <c r="O19" s="455"/>
      <c r="P19" s="106">
        <v>9174933</v>
      </c>
      <c r="Q19" s="617">
        <f t="shared" si="2"/>
        <v>98.122147619138275</v>
      </c>
      <c r="R19" s="435"/>
    </row>
    <row r="20" spans="1:18" ht="15">
      <c r="A20" s="666" t="s">
        <v>1418</v>
      </c>
      <c r="B20" s="354" t="s">
        <v>41</v>
      </c>
      <c r="C20" s="449">
        <v>32.17</v>
      </c>
      <c r="D20" s="106">
        <v>12708414</v>
      </c>
      <c r="E20" s="613">
        <f t="shared" si="0"/>
        <v>88.346755698312194</v>
      </c>
      <c r="F20" s="264"/>
      <c r="G20" s="651" t="s">
        <v>1426</v>
      </c>
      <c r="H20" s="350"/>
      <c r="I20" s="448">
        <v>15.72</v>
      </c>
      <c r="J20" s="106">
        <v>8348280</v>
      </c>
      <c r="K20" s="613">
        <f t="shared" si="1"/>
        <v>91.520195049436566</v>
      </c>
      <c r="L20" s="264"/>
      <c r="M20" s="646" t="s">
        <v>927</v>
      </c>
      <c r="N20" s="348" t="s">
        <v>41</v>
      </c>
      <c r="O20" s="449">
        <v>119.38</v>
      </c>
      <c r="P20" s="106">
        <v>9178076</v>
      </c>
      <c r="Q20" s="617">
        <f t="shared" si="2"/>
        <v>98.155760715818857</v>
      </c>
      <c r="R20" s="435"/>
    </row>
    <row r="21" spans="1:18" ht="15">
      <c r="A21" s="668" t="s">
        <v>122</v>
      </c>
      <c r="B21" s="456"/>
      <c r="C21" s="457">
        <v>394.45</v>
      </c>
      <c r="D21" s="370">
        <v>12712262</v>
      </c>
      <c r="E21" s="613">
        <f t="shared" si="0"/>
        <v>88.373506346813812</v>
      </c>
      <c r="F21" s="264"/>
      <c r="G21" s="662" t="s">
        <v>122</v>
      </c>
      <c r="H21" s="350"/>
      <c r="I21" s="458">
        <v>251.42</v>
      </c>
      <c r="J21" s="332">
        <v>8392774</v>
      </c>
      <c r="K21" s="613">
        <f t="shared" si="1"/>
        <v>92.007972119507244</v>
      </c>
      <c r="L21" s="264"/>
      <c r="M21" s="646" t="s">
        <v>1418</v>
      </c>
      <c r="N21" s="354" t="s">
        <v>41</v>
      </c>
      <c r="O21" s="457">
        <v>17.2</v>
      </c>
      <c r="P21" s="370">
        <v>9186714</v>
      </c>
      <c r="Q21" s="617">
        <f t="shared" si="2"/>
        <v>98.248140585092472</v>
      </c>
      <c r="R21" s="435"/>
    </row>
    <row r="22" spans="1:18" ht="15">
      <c r="A22" s="669" t="s">
        <v>1412</v>
      </c>
      <c r="B22" s="459"/>
      <c r="C22" s="448">
        <v>11.93</v>
      </c>
      <c r="D22" s="336">
        <v>12755907</v>
      </c>
      <c r="E22" s="614">
        <f t="shared" si="0"/>
        <v>88.67691904272165</v>
      </c>
      <c r="F22" s="264"/>
      <c r="G22" s="651" t="s">
        <v>1425</v>
      </c>
      <c r="H22" s="461"/>
      <c r="I22" s="448">
        <v>66</v>
      </c>
      <c r="J22" s="336">
        <v>8415450</v>
      </c>
      <c r="K22" s="614">
        <f t="shared" si="1"/>
        <v>92.256563678839356</v>
      </c>
      <c r="L22" s="264"/>
      <c r="M22" s="647" t="s">
        <v>1412</v>
      </c>
      <c r="N22" s="459"/>
      <c r="O22" s="448">
        <v>3.18</v>
      </c>
      <c r="P22" s="334">
        <v>9190353</v>
      </c>
      <c r="Q22" s="618">
        <f t="shared" si="2"/>
        <v>98.287058198462077</v>
      </c>
      <c r="R22" s="435"/>
    </row>
    <row r="23" spans="1:18" ht="15">
      <c r="A23" s="662" t="s">
        <v>1425</v>
      </c>
      <c r="B23" s="462"/>
      <c r="C23" s="449">
        <v>133.28</v>
      </c>
      <c r="D23" s="106">
        <v>12757000</v>
      </c>
      <c r="E23" s="613">
        <f t="shared" si="0"/>
        <v>88.684517394803834</v>
      </c>
      <c r="F23" s="264"/>
      <c r="G23" s="646" t="s">
        <v>1418</v>
      </c>
      <c r="H23" s="354" t="s">
        <v>41</v>
      </c>
      <c r="I23" s="448">
        <v>16.8</v>
      </c>
      <c r="J23" s="106">
        <v>8425964</v>
      </c>
      <c r="K23" s="613">
        <f t="shared" si="1"/>
        <v>92.371826143772225</v>
      </c>
      <c r="L23" s="264"/>
      <c r="M23" s="651" t="s">
        <v>1425</v>
      </c>
      <c r="N23" s="453"/>
      <c r="O23" s="448">
        <v>71.599999999999994</v>
      </c>
      <c r="P23" s="106">
        <v>9191900</v>
      </c>
      <c r="Q23" s="617">
        <f t="shared" si="2"/>
        <v>98.303602729344945</v>
      </c>
      <c r="R23" s="435"/>
    </row>
    <row r="24" spans="1:18" ht="15">
      <c r="A24" s="670" t="s">
        <v>557</v>
      </c>
      <c r="B24" s="462"/>
      <c r="C24" s="449">
        <v>9</v>
      </c>
      <c r="D24" s="106">
        <v>12773126</v>
      </c>
      <c r="E24" s="613">
        <f t="shared" si="0"/>
        <v>88.796622633301027</v>
      </c>
      <c r="F24" s="264"/>
      <c r="G24" s="647" t="s">
        <v>1412</v>
      </c>
      <c r="H24" s="348"/>
      <c r="I24" s="448">
        <v>6.21</v>
      </c>
      <c r="J24" s="331">
        <v>8447390</v>
      </c>
      <c r="K24" s="613">
        <f t="shared" si="1"/>
        <v>92.60671425235617</v>
      </c>
      <c r="L24" s="264"/>
      <c r="M24" s="662" t="s">
        <v>122</v>
      </c>
      <c r="N24" s="350"/>
      <c r="O24" s="448">
        <v>284.02999999999997</v>
      </c>
      <c r="P24" s="106">
        <v>9192732</v>
      </c>
      <c r="Q24" s="617">
        <f t="shared" si="2"/>
        <v>98.312500628307163</v>
      </c>
      <c r="R24" s="435"/>
    </row>
    <row r="25" spans="1:18" ht="15">
      <c r="A25" s="662" t="s">
        <v>1429</v>
      </c>
      <c r="B25" s="454"/>
      <c r="C25" s="457">
        <v>30.2</v>
      </c>
      <c r="D25" s="371">
        <v>12864424</v>
      </c>
      <c r="E25" s="615">
        <f t="shared" si="0"/>
        <v>89.431310966695307</v>
      </c>
      <c r="F25" s="264"/>
      <c r="G25" s="611" t="s">
        <v>557</v>
      </c>
      <c r="H25" s="462"/>
      <c r="I25" s="457">
        <v>13.3</v>
      </c>
      <c r="J25" s="335">
        <v>8460231</v>
      </c>
      <c r="K25" s="615">
        <f t="shared" si="1"/>
        <v>92.747487061201809</v>
      </c>
      <c r="L25" s="264"/>
      <c r="M25" s="611" t="s">
        <v>557</v>
      </c>
      <c r="N25" s="463"/>
      <c r="O25" s="457">
        <v>13.775</v>
      </c>
      <c r="P25" s="335">
        <v>9193782</v>
      </c>
      <c r="Q25" s="619">
        <f t="shared" si="2"/>
        <v>98.323729947910934</v>
      </c>
      <c r="R25" s="435"/>
    </row>
    <row r="26" spans="1:18" ht="15">
      <c r="A26" s="671" t="s">
        <v>1215</v>
      </c>
      <c r="B26" s="609"/>
      <c r="C26" s="455">
        <v>13</v>
      </c>
      <c r="D26" s="377">
        <v>12865230</v>
      </c>
      <c r="E26" s="613">
        <f t="shared" si="0"/>
        <v>89.436914143070638</v>
      </c>
      <c r="F26" s="264"/>
      <c r="G26" s="645" t="s">
        <v>1456</v>
      </c>
      <c r="H26" s="348" t="s">
        <v>41</v>
      </c>
      <c r="I26" s="449">
        <v>1</v>
      </c>
      <c r="J26" s="106">
        <v>8486701</v>
      </c>
      <c r="K26" s="613">
        <f t="shared" si="1"/>
        <v>93.037671334244706</v>
      </c>
      <c r="L26" s="264"/>
      <c r="M26" s="662" t="s">
        <v>1419</v>
      </c>
      <c r="N26" s="348" t="s">
        <v>41</v>
      </c>
      <c r="O26" s="448">
        <v>4.91</v>
      </c>
      <c r="P26" s="106">
        <v>9204637</v>
      </c>
      <c r="Q26" s="617">
        <f t="shared" si="2"/>
        <v>98.439819723433615</v>
      </c>
      <c r="R26" s="435"/>
    </row>
    <row r="27" spans="1:18" ht="15">
      <c r="A27" s="672" t="s">
        <v>1456</v>
      </c>
      <c r="B27" s="610" t="s">
        <v>41</v>
      </c>
      <c r="C27" s="449">
        <v>3</v>
      </c>
      <c r="D27" s="331">
        <v>12910767</v>
      </c>
      <c r="E27" s="613">
        <f t="shared" si="0"/>
        <v>89.753479704613895</v>
      </c>
      <c r="F27" s="264"/>
      <c r="G27" s="662" t="s">
        <v>1419</v>
      </c>
      <c r="H27" s="348" t="s">
        <v>41</v>
      </c>
      <c r="I27" s="448">
        <v>9.1300000000000008</v>
      </c>
      <c r="J27" s="331">
        <v>8495515</v>
      </c>
      <c r="K27" s="613">
        <f t="shared" si="1"/>
        <v>93.134297106160091</v>
      </c>
      <c r="L27" s="264"/>
      <c r="M27" s="1288" t="s">
        <v>2045</v>
      </c>
      <c r="N27" s="1267"/>
      <c r="O27" s="448">
        <v>1</v>
      </c>
      <c r="P27" s="106">
        <v>9205325</v>
      </c>
      <c r="Q27" s="617">
        <f t="shared" si="2"/>
        <v>98.447177601421615</v>
      </c>
      <c r="R27" s="435"/>
    </row>
    <row r="28" spans="1:18" ht="15">
      <c r="A28" s="668" t="s">
        <v>1419</v>
      </c>
      <c r="B28" s="348" t="s">
        <v>41</v>
      </c>
      <c r="C28" s="448">
        <v>17.61</v>
      </c>
      <c r="D28" s="331">
        <v>12918722</v>
      </c>
      <c r="E28" s="613">
        <f t="shared" si="0"/>
        <v>89.808781526035517</v>
      </c>
      <c r="F28" s="264"/>
      <c r="G28" s="645" t="s">
        <v>2049</v>
      </c>
      <c r="H28" s="471"/>
      <c r="I28" s="448">
        <v>2</v>
      </c>
      <c r="J28" s="331">
        <v>8495769</v>
      </c>
      <c r="K28" s="613">
        <f t="shared" si="1"/>
        <v>93.137081647352105</v>
      </c>
      <c r="L28" s="264"/>
      <c r="M28" s="645" t="s">
        <v>1456</v>
      </c>
      <c r="N28" s="355" t="s">
        <v>41</v>
      </c>
      <c r="O28" s="449">
        <v>2</v>
      </c>
      <c r="P28" s="106">
        <v>9206162</v>
      </c>
      <c r="Q28" s="617">
        <f t="shared" si="2"/>
        <v>98.456128973334316</v>
      </c>
      <c r="R28" s="435"/>
    </row>
    <row r="29" spans="1:18" ht="15">
      <c r="A29" s="662" t="s">
        <v>2049</v>
      </c>
      <c r="B29" s="264"/>
      <c r="C29" s="448">
        <v>2</v>
      </c>
      <c r="D29" s="331">
        <v>12924216</v>
      </c>
      <c r="E29" s="613">
        <f t="shared" si="0"/>
        <v>89.846974889566681</v>
      </c>
      <c r="F29" s="264"/>
      <c r="G29" s="645" t="s">
        <v>1429</v>
      </c>
      <c r="H29" s="454"/>
      <c r="I29" s="448"/>
      <c r="J29" s="331">
        <v>8497149</v>
      </c>
      <c r="K29" s="613">
        <f t="shared" si="1"/>
        <v>93.152210256978066</v>
      </c>
      <c r="L29" s="264"/>
      <c r="M29" s="673" t="s">
        <v>1427</v>
      </c>
      <c r="N29" s="360" t="s">
        <v>41</v>
      </c>
      <c r="O29" s="449">
        <v>1</v>
      </c>
      <c r="P29" s="106">
        <v>9250536</v>
      </c>
      <c r="Q29" s="617">
        <f t="shared" si="2"/>
        <v>98.930690714379367</v>
      </c>
      <c r="R29" s="435"/>
    </row>
    <row r="30" spans="1:18" ht="15">
      <c r="A30" s="662" t="s">
        <v>1423</v>
      </c>
      <c r="B30" s="350"/>
      <c r="C30" s="448">
        <v>2</v>
      </c>
      <c r="D30" s="331">
        <v>12937350</v>
      </c>
      <c r="E30" s="613">
        <f t="shared" si="0"/>
        <v>89.938280247524133</v>
      </c>
      <c r="F30" s="264"/>
      <c r="G30" s="645" t="s">
        <v>1423</v>
      </c>
      <c r="H30" s="350"/>
      <c r="I30" s="448"/>
      <c r="J30" s="331">
        <v>8514623</v>
      </c>
      <c r="K30" s="613">
        <f t="shared" si="1"/>
        <v>93.343773535676661</v>
      </c>
      <c r="L30" s="264"/>
      <c r="M30" s="1289" t="s">
        <v>700</v>
      </c>
      <c r="N30" s="348" t="s">
        <v>41</v>
      </c>
      <c r="O30" s="449">
        <v>3.2</v>
      </c>
      <c r="P30" s="106">
        <v>9255430</v>
      </c>
      <c r="Q30" s="617">
        <f t="shared" si="2"/>
        <v>98.983030038322994</v>
      </c>
      <c r="R30" s="435"/>
    </row>
    <row r="31" spans="1:18" ht="15">
      <c r="A31" s="669" t="s">
        <v>2045</v>
      </c>
      <c r="B31" s="779"/>
      <c r="C31" s="448">
        <v>1</v>
      </c>
      <c r="D31" s="1269">
        <v>12941371</v>
      </c>
      <c r="E31" s="613">
        <f t="shared" si="0"/>
        <v>89.966233562915264</v>
      </c>
      <c r="F31" s="264"/>
      <c r="G31" s="669" t="s">
        <v>2045</v>
      </c>
      <c r="H31" s="1270"/>
      <c r="I31" s="448">
        <v>1</v>
      </c>
      <c r="J31" s="1269">
        <v>8517635</v>
      </c>
      <c r="K31" s="613">
        <f t="shared" si="1"/>
        <v>93.376793370599415</v>
      </c>
      <c r="L31" s="264"/>
      <c r="M31" s="662" t="s">
        <v>2049</v>
      </c>
      <c r="N31" s="1271"/>
      <c r="O31" s="448">
        <v>1</v>
      </c>
      <c r="P31" s="1272">
        <v>9266732</v>
      </c>
      <c r="Q31" s="617">
        <f t="shared" si="2"/>
        <v>99.103900295619866</v>
      </c>
      <c r="R31" s="435"/>
    </row>
    <row r="32" spans="1:18" ht="15">
      <c r="A32" s="662" t="s">
        <v>1424</v>
      </c>
      <c r="B32" s="264"/>
      <c r="C32" s="448">
        <v>7.73</v>
      </c>
      <c r="D32" s="331">
        <v>12948000</v>
      </c>
      <c r="E32" s="613">
        <f t="shared" si="0"/>
        <v>90.012317255461326</v>
      </c>
      <c r="F32" s="264"/>
      <c r="G32" s="612" t="s">
        <v>1428</v>
      </c>
      <c r="H32" s="350"/>
      <c r="I32" s="448"/>
      <c r="J32" s="331">
        <v>8526345</v>
      </c>
      <c r="K32" s="613">
        <f t="shared" si="1"/>
        <v>93.472279015412539</v>
      </c>
      <c r="L32" s="264"/>
      <c r="M32" s="645" t="s">
        <v>1424</v>
      </c>
      <c r="N32" s="347"/>
      <c r="O32" s="449"/>
      <c r="P32" s="106">
        <v>9276432</v>
      </c>
      <c r="Q32" s="617">
        <f t="shared" si="2"/>
        <v>99.207637819578409</v>
      </c>
      <c r="R32" s="435"/>
    </row>
    <row r="33" spans="1:18" ht="15">
      <c r="A33" s="673" t="s">
        <v>1427</v>
      </c>
      <c r="B33" s="355" t="s">
        <v>41</v>
      </c>
      <c r="C33" s="449">
        <v>4</v>
      </c>
      <c r="D33" s="331">
        <v>12953121</v>
      </c>
      <c r="E33" s="613">
        <f t="shared" si="0"/>
        <v>90.04791758575675</v>
      </c>
      <c r="F33" s="264"/>
      <c r="G33" s="653" t="s">
        <v>1427</v>
      </c>
      <c r="H33" s="355" t="s">
        <v>41</v>
      </c>
      <c r="I33" s="466"/>
      <c r="J33" s="373">
        <v>8561950</v>
      </c>
      <c r="K33" s="616">
        <f t="shared" si="1"/>
        <v>93.862608106522956</v>
      </c>
      <c r="L33" s="264"/>
      <c r="M33" s="612" t="s">
        <v>1428</v>
      </c>
      <c r="N33" s="264"/>
      <c r="O33" s="448"/>
      <c r="P33" s="106">
        <v>9314509</v>
      </c>
      <c r="Q33" s="617">
        <f t="shared" si="2"/>
        <v>99.614855726771196</v>
      </c>
      <c r="R33" s="435"/>
    </row>
    <row r="34" spans="1:18" ht="15">
      <c r="A34" s="662" t="s">
        <v>1428</v>
      </c>
      <c r="B34" s="521"/>
      <c r="C34" s="448">
        <v>11</v>
      </c>
      <c r="D34" s="331">
        <v>12961025</v>
      </c>
      <c r="E34" s="613">
        <f t="shared" si="0"/>
        <v>90.10286486376009</v>
      </c>
      <c r="F34" s="264"/>
      <c r="G34" s="645" t="s">
        <v>1424</v>
      </c>
      <c r="H34" s="350"/>
      <c r="I34" s="468"/>
      <c r="J34" s="106">
        <v>8564496</v>
      </c>
      <c r="K34" s="613">
        <f t="shared" si="1"/>
        <v>93.890519295006797</v>
      </c>
      <c r="L34" s="264"/>
      <c r="M34" s="666" t="s">
        <v>1169</v>
      </c>
      <c r="N34" s="350"/>
      <c r="O34" s="448">
        <v>8.8000000000000007</v>
      </c>
      <c r="P34" s="106">
        <v>9333041</v>
      </c>
      <c r="Q34" s="617">
        <f t="shared" si="2"/>
        <v>99.813047870482521</v>
      </c>
      <c r="R34" s="435"/>
    </row>
    <row r="35" spans="1:18" ht="15">
      <c r="A35" s="674" t="s">
        <v>700</v>
      </c>
      <c r="B35" s="360" t="s">
        <v>41</v>
      </c>
      <c r="C35" s="448">
        <v>5.9</v>
      </c>
      <c r="D35" s="331">
        <v>12974706</v>
      </c>
      <c r="E35" s="613">
        <f t="shared" si="0"/>
        <v>90.197972873674516</v>
      </c>
      <c r="F35" s="264"/>
      <c r="G35" s="663" t="s">
        <v>700</v>
      </c>
      <c r="H35" s="360" t="s">
        <v>41</v>
      </c>
      <c r="I35" s="449">
        <v>3.07</v>
      </c>
      <c r="J35" s="106">
        <v>8582954</v>
      </c>
      <c r="K35" s="613">
        <f t="shared" si="1"/>
        <v>94.092869930134327</v>
      </c>
      <c r="L35" s="264"/>
      <c r="M35" s="612" t="s">
        <v>1420</v>
      </c>
      <c r="N35" s="464" t="s">
        <v>41</v>
      </c>
      <c r="O35" s="448">
        <v>2.71</v>
      </c>
      <c r="P35" s="106">
        <v>9339599</v>
      </c>
      <c r="Q35" s="617">
        <f t="shared" si="2"/>
        <v>99.883182992350584</v>
      </c>
      <c r="R35" s="435"/>
    </row>
    <row r="36" spans="1:18" ht="15">
      <c r="A36" s="662" t="s">
        <v>1420</v>
      </c>
      <c r="B36" s="348" t="s">
        <v>41</v>
      </c>
      <c r="C36" s="449">
        <v>4.0999999999999996</v>
      </c>
      <c r="D36" s="106">
        <v>13098547</v>
      </c>
      <c r="E36" s="613">
        <f t="shared" si="0"/>
        <v>91.058894667096936</v>
      </c>
      <c r="F36" s="264"/>
      <c r="G36" s="608" t="s">
        <v>1420</v>
      </c>
      <c r="H36" s="348" t="s">
        <v>41</v>
      </c>
      <c r="I36" s="448">
        <v>2.59</v>
      </c>
      <c r="J36" s="331">
        <v>8685498</v>
      </c>
      <c r="K36" s="613">
        <f t="shared" si="1"/>
        <v>95.217035252949259</v>
      </c>
      <c r="L36" s="264"/>
      <c r="M36" s="375" t="s">
        <v>563</v>
      </c>
      <c r="N36" s="348"/>
      <c r="O36" s="448"/>
      <c r="P36" s="106">
        <v>9348000</v>
      </c>
      <c r="Q36" s="617">
        <f t="shared" si="2"/>
        <v>99.97302824377077</v>
      </c>
      <c r="R36" s="435"/>
    </row>
    <row r="37" spans="1:18" ht="15">
      <c r="A37" s="670" t="s">
        <v>600</v>
      </c>
      <c r="B37" s="451"/>
      <c r="C37" s="448"/>
      <c r="D37" s="331">
        <v>14384698</v>
      </c>
      <c r="E37" s="613">
        <f t="shared" si="0"/>
        <v>100</v>
      </c>
      <c r="F37" s="264"/>
      <c r="G37" s="376" t="s">
        <v>563</v>
      </c>
      <c r="H37" s="465"/>
      <c r="I37" s="469"/>
      <c r="J37" s="106">
        <v>9099514</v>
      </c>
      <c r="K37" s="613">
        <f t="shared" si="1"/>
        <v>99.755793544907306</v>
      </c>
      <c r="L37" s="264"/>
      <c r="M37" s="337" t="s">
        <v>600</v>
      </c>
      <c r="N37" s="470"/>
      <c r="O37" s="448"/>
      <c r="P37" s="106">
        <v>9350522</v>
      </c>
      <c r="Q37" s="617">
        <f t="shared" si="2"/>
        <v>100</v>
      </c>
      <c r="R37" s="435"/>
    </row>
    <row r="38" spans="1:18" ht="15">
      <c r="A38" s="675" t="s">
        <v>563</v>
      </c>
      <c r="B38" s="347"/>
      <c r="C38" s="449"/>
      <c r="D38" s="377" t="s">
        <v>548</v>
      </c>
      <c r="E38" s="613"/>
      <c r="F38" s="264"/>
      <c r="G38" s="369" t="s">
        <v>600</v>
      </c>
      <c r="H38" s="451"/>
      <c r="I38" s="449"/>
      <c r="J38" s="106">
        <v>9121790</v>
      </c>
      <c r="K38" s="613">
        <f t="shared" si="1"/>
        <v>100</v>
      </c>
      <c r="L38" s="264"/>
      <c r="M38" s="645" t="s">
        <v>1423</v>
      </c>
      <c r="N38" s="471"/>
      <c r="O38" s="472"/>
      <c r="P38" s="106">
        <v>9359940</v>
      </c>
      <c r="Q38" s="617">
        <f t="shared" si="2"/>
        <v>100.10072164955069</v>
      </c>
      <c r="R38" s="435"/>
    </row>
    <row r="39" spans="1:18" ht="15">
      <c r="A39" s="378"/>
      <c r="B39" s="378"/>
      <c r="C39" s="378"/>
      <c r="D39" s="96"/>
      <c r="E39" s="473"/>
      <c r="F39" s="264"/>
      <c r="G39" s="94"/>
      <c r="H39" s="94"/>
      <c r="I39" s="94"/>
      <c r="J39" s="379"/>
      <c r="K39" s="473"/>
      <c r="L39" s="264"/>
      <c r="M39" s="264"/>
      <c r="N39" s="264"/>
      <c r="O39" s="264"/>
      <c r="P39" s="53"/>
      <c r="Q39" s="474"/>
      <c r="R39" s="435"/>
    </row>
    <row r="40" spans="1:18" ht="17.25">
      <c r="A40" s="378"/>
      <c r="B40" s="713" t="s">
        <v>1432</v>
      </c>
      <c r="C40" s="378"/>
      <c r="D40" s="96"/>
      <c r="E40" s="473"/>
      <c r="F40" s="264"/>
      <c r="G40" s="94"/>
      <c r="H40" s="94"/>
      <c r="I40" s="94"/>
      <c r="J40" s="379"/>
      <c r="K40" s="473"/>
      <c r="L40" s="264"/>
      <c r="M40" s="264"/>
      <c r="N40" s="264"/>
      <c r="O40" s="264"/>
      <c r="P40" s="53"/>
      <c r="Q40" s="474"/>
      <c r="R40" s="435"/>
    </row>
    <row r="41" spans="1:18" ht="17.25">
      <c r="A41" s="432"/>
      <c r="B41" s="283" t="s">
        <v>1271</v>
      </c>
      <c r="C41" s="432"/>
      <c r="D41" s="475"/>
      <c r="E41" s="473"/>
      <c r="F41" s="264"/>
      <c r="G41" s="714"/>
      <c r="H41" s="714"/>
      <c r="I41" s="714"/>
      <c r="J41" s="714"/>
      <c r="K41" s="714"/>
      <c r="L41" s="714"/>
      <c r="M41" s="714"/>
      <c r="N41" s="264"/>
      <c r="O41" s="264"/>
      <c r="P41" s="476"/>
      <c r="Q41" s="474"/>
      <c r="R41" s="435"/>
    </row>
    <row r="42" spans="1:18" ht="17.25">
      <c r="A42" s="432"/>
      <c r="B42" s="55" t="s">
        <v>1465</v>
      </c>
      <c r="C42" s="432"/>
      <c r="D42" s="475"/>
      <c r="E42" s="473"/>
      <c r="F42" s="264"/>
      <c r="G42" s="380"/>
      <c r="H42" s="380"/>
      <c r="I42" s="380"/>
      <c r="J42" s="380"/>
      <c r="K42" s="380"/>
      <c r="L42" s="380"/>
      <c r="M42" s="380"/>
      <c r="N42" s="264"/>
      <c r="O42" s="264"/>
      <c r="P42" s="476"/>
      <c r="Q42" s="474"/>
      <c r="R42" s="435"/>
    </row>
    <row r="43" spans="1:18" ht="15">
      <c r="A43" s="432"/>
      <c r="B43" s="432"/>
      <c r="C43" s="432"/>
      <c r="D43" s="475"/>
      <c r="E43" s="473"/>
      <c r="F43" s="264"/>
      <c r="G43" s="380"/>
      <c r="H43" s="380"/>
      <c r="I43" s="380"/>
      <c r="J43" s="380"/>
      <c r="K43" s="380"/>
      <c r="L43" s="380"/>
      <c r="M43" s="380"/>
      <c r="N43" s="264"/>
      <c r="O43" s="264"/>
      <c r="P43" s="476"/>
      <c r="Q43" s="474"/>
      <c r="R43" s="435"/>
    </row>
    <row r="44" spans="1:18" ht="15">
      <c r="A44" s="432"/>
      <c r="B44" s="432"/>
      <c r="C44" s="432"/>
      <c r="D44" s="475"/>
      <c r="E44" s="473"/>
      <c r="F44" s="264"/>
      <c r="G44" s="380"/>
      <c r="H44" s="380"/>
      <c r="I44" s="380"/>
      <c r="J44" s="380"/>
      <c r="K44" s="380"/>
      <c r="L44" s="380"/>
      <c r="M44" s="380"/>
      <c r="N44" s="264"/>
      <c r="O44" s="264"/>
      <c r="P44" s="476"/>
      <c r="Q44" s="474"/>
      <c r="R44" s="435"/>
    </row>
    <row r="45" spans="1:18" ht="20.25">
      <c r="A45" s="816" t="s">
        <v>1458</v>
      </c>
      <c r="B45" s="423"/>
      <c r="C45" s="423"/>
      <c r="D45" s="423"/>
      <c r="E45" s="434"/>
      <c r="F45" s="423"/>
      <c r="G45" s="380"/>
      <c r="H45" s="380"/>
      <c r="I45" s="380"/>
      <c r="J45" s="380"/>
      <c r="K45" s="380"/>
      <c r="L45" s="380"/>
      <c r="M45" s="380"/>
      <c r="N45" s="423"/>
      <c r="O45" s="423"/>
      <c r="P45" s="423"/>
      <c r="Q45" s="434"/>
      <c r="R45" s="435"/>
    </row>
    <row r="46" spans="1:18" ht="15.75" thickBot="1">
      <c r="A46" s="477"/>
      <c r="B46" s="477"/>
      <c r="C46" s="477"/>
      <c r="D46" s="477"/>
      <c r="E46" s="478"/>
      <c r="F46" s="477"/>
      <c r="G46" s="381"/>
      <c r="H46" s="381"/>
      <c r="I46" s="381"/>
      <c r="J46" s="381"/>
      <c r="K46" s="381"/>
      <c r="L46" s="381"/>
      <c r="M46" s="381"/>
      <c r="N46" s="477"/>
      <c r="O46" s="477"/>
      <c r="P46" s="477"/>
      <c r="Q46" s="478"/>
      <c r="R46" s="435"/>
    </row>
    <row r="47" spans="1:18" ht="15.75" thickTop="1">
      <c r="A47" s="805"/>
      <c r="B47" s="805"/>
      <c r="C47" s="805"/>
      <c r="D47" s="805"/>
      <c r="E47" s="596"/>
      <c r="F47" s="805"/>
      <c r="G47" s="380"/>
      <c r="H47" s="380"/>
      <c r="I47" s="380"/>
      <c r="J47" s="380"/>
      <c r="K47" s="380"/>
      <c r="L47" s="380"/>
      <c r="M47" s="380"/>
      <c r="N47" s="805"/>
      <c r="O47" s="805"/>
      <c r="P47" s="805"/>
      <c r="Q47" s="596"/>
      <c r="R47" s="435"/>
    </row>
    <row r="48" spans="1:18" ht="15">
      <c r="A48" s="724" t="s">
        <v>1459</v>
      </c>
      <c r="B48" s="430"/>
      <c r="C48" s="430"/>
      <c r="D48" s="264"/>
      <c r="E48" s="431"/>
      <c r="F48" s="264"/>
      <c r="G48" s="724" t="s">
        <v>1476</v>
      </c>
      <c r="H48" s="264"/>
      <c r="I48" s="264"/>
      <c r="J48" s="264"/>
      <c r="K48" s="431"/>
      <c r="L48" s="264"/>
      <c r="M48" s="724" t="s">
        <v>1460</v>
      </c>
      <c r="N48" s="264"/>
      <c r="O48" s="264"/>
      <c r="P48" s="264"/>
      <c r="Q48" s="431"/>
      <c r="R48" s="435"/>
    </row>
    <row r="49" spans="1:18" ht="15">
      <c r="A49" s="382" t="s">
        <v>1473</v>
      </c>
      <c r="B49" s="436"/>
      <c r="C49" s="479"/>
      <c r="D49" s="3171" t="s">
        <v>1478</v>
      </c>
      <c r="E49" s="3171"/>
      <c r="F49" s="264"/>
      <c r="G49" s="382" t="s">
        <v>1477</v>
      </c>
      <c r="H49" s="480"/>
      <c r="I49" s="480"/>
      <c r="J49" s="3167" t="s">
        <v>1474</v>
      </c>
      <c r="K49" s="3167"/>
      <c r="L49" s="264"/>
      <c r="M49" s="382" t="s">
        <v>1471</v>
      </c>
      <c r="N49" s="480"/>
      <c r="O49" s="480"/>
      <c r="P49" s="3171" t="s">
        <v>1479</v>
      </c>
      <c r="Q49" s="3171"/>
      <c r="R49" s="435"/>
    </row>
    <row r="50" spans="1:18" ht="15">
      <c r="A50" s="834" t="s">
        <v>1463</v>
      </c>
      <c r="B50" s="577"/>
      <c r="C50" s="449">
        <v>14</v>
      </c>
      <c r="D50" s="377">
        <v>14444450</v>
      </c>
      <c r="E50" s="613">
        <f t="shared" ref="E50:E81" si="3">(D50*100/23460139)</f>
        <v>61.570180807539117</v>
      </c>
      <c r="F50" s="264"/>
      <c r="G50" s="1935" t="s">
        <v>2047</v>
      </c>
      <c r="H50" s="787" t="s">
        <v>41</v>
      </c>
      <c r="I50" s="483">
        <v>2926.08</v>
      </c>
      <c r="J50" s="852">
        <v>10973707</v>
      </c>
      <c r="K50" s="614">
        <f t="shared" ref="K50:K80" si="4">(J50*100/26146816)</f>
        <v>41.969572891781546</v>
      </c>
      <c r="L50" s="264"/>
      <c r="M50" s="834" t="s">
        <v>1463</v>
      </c>
      <c r="N50" s="577"/>
      <c r="O50" s="837">
        <v>22</v>
      </c>
      <c r="P50" s="701">
        <v>28348428</v>
      </c>
      <c r="Q50" s="614">
        <f t="shared" ref="Q50:Q81" si="5">(P50*100/32894902)</f>
        <v>86.178788433539026</v>
      </c>
      <c r="R50" s="435"/>
    </row>
    <row r="51" spans="1:18" ht="15">
      <c r="A51" s="783" t="s">
        <v>1468</v>
      </c>
      <c r="B51" s="465"/>
      <c r="C51" s="449">
        <v>6</v>
      </c>
      <c r="D51" s="377">
        <v>17888484</v>
      </c>
      <c r="E51" s="613">
        <f t="shared" si="3"/>
        <v>76.250545659597321</v>
      </c>
      <c r="F51" s="423"/>
      <c r="G51" s="1938" t="s">
        <v>1430</v>
      </c>
      <c r="H51" s="465" t="s">
        <v>41</v>
      </c>
      <c r="I51" s="487">
        <v>2848.39</v>
      </c>
      <c r="J51" s="334">
        <v>10997834</v>
      </c>
      <c r="K51" s="614">
        <f t="shared" si="4"/>
        <v>42.061847989445447</v>
      </c>
      <c r="L51" s="423"/>
      <c r="M51" s="783" t="s">
        <v>1485</v>
      </c>
      <c r="N51" s="465"/>
      <c r="O51" s="487">
        <v>2</v>
      </c>
      <c r="P51" s="392">
        <v>29758800</v>
      </c>
      <c r="Q51" s="614">
        <f t="shared" si="5"/>
        <v>90.466297786812078</v>
      </c>
      <c r="R51" s="435"/>
    </row>
    <row r="52" spans="1:18" ht="15">
      <c r="A52" s="783" t="s">
        <v>1485</v>
      </c>
      <c r="B52" s="348"/>
      <c r="C52" s="449">
        <v>2</v>
      </c>
      <c r="D52" s="377">
        <v>19094710</v>
      </c>
      <c r="E52" s="613">
        <f t="shared" si="3"/>
        <v>81.392143499235019</v>
      </c>
      <c r="F52" s="423"/>
      <c r="G52" s="741" t="s">
        <v>927</v>
      </c>
      <c r="H52" s="348" t="s">
        <v>41</v>
      </c>
      <c r="I52" s="487">
        <v>370.97</v>
      </c>
      <c r="J52" s="336">
        <v>11687915</v>
      </c>
      <c r="K52" s="614">
        <f t="shared" si="4"/>
        <v>44.701102421036659</v>
      </c>
      <c r="L52" s="423"/>
      <c r="M52" s="665" t="s">
        <v>1470</v>
      </c>
      <c r="N52" s="523"/>
      <c r="O52" s="531">
        <v>10</v>
      </c>
      <c r="P52" s="1940">
        <v>30428170</v>
      </c>
      <c r="Q52" s="614">
        <f t="shared" si="5"/>
        <v>92.501172370113764</v>
      </c>
      <c r="R52" s="435"/>
    </row>
    <row r="53" spans="1:18" ht="15">
      <c r="A53" s="798" t="s">
        <v>1467</v>
      </c>
      <c r="B53" s="768"/>
      <c r="C53" s="457">
        <v>4</v>
      </c>
      <c r="D53" s="772">
        <v>19904600</v>
      </c>
      <c r="E53" s="613">
        <f t="shared" si="3"/>
        <v>84.844339583836231</v>
      </c>
      <c r="F53" s="423"/>
      <c r="G53" s="824" t="s">
        <v>1426</v>
      </c>
      <c r="H53" s="785"/>
      <c r="I53" s="492">
        <v>52.45</v>
      </c>
      <c r="J53" s="769">
        <v>12333758</v>
      </c>
      <c r="K53" s="614">
        <f t="shared" si="4"/>
        <v>47.171166080030545</v>
      </c>
      <c r="L53" s="423"/>
      <c r="M53" s="798" t="s">
        <v>1468</v>
      </c>
      <c r="N53" s="768"/>
      <c r="O53" s="492">
        <v>8</v>
      </c>
      <c r="P53" s="772">
        <v>31888406</v>
      </c>
      <c r="Q53" s="614">
        <f t="shared" si="5"/>
        <v>96.940267522304822</v>
      </c>
      <c r="R53" s="435"/>
    </row>
    <row r="54" spans="1:18" ht="15">
      <c r="A54" s="835" t="s">
        <v>1470</v>
      </c>
      <c r="B54" s="836"/>
      <c r="C54" s="545">
        <v>3</v>
      </c>
      <c r="D54" s="1939">
        <v>20346748</v>
      </c>
      <c r="E54" s="613">
        <f t="shared" si="3"/>
        <v>86.729017249215786</v>
      </c>
      <c r="F54" s="423"/>
      <c r="G54" s="788" t="s">
        <v>122</v>
      </c>
      <c r="H54" s="785"/>
      <c r="I54" s="492">
        <v>166.1</v>
      </c>
      <c r="J54" s="769">
        <v>12431138</v>
      </c>
      <c r="K54" s="614">
        <f t="shared" si="4"/>
        <v>47.543601484784993</v>
      </c>
      <c r="L54" s="423"/>
      <c r="M54" s="802" t="s">
        <v>1169</v>
      </c>
      <c r="N54" s="782"/>
      <c r="O54" s="492">
        <v>14.78</v>
      </c>
      <c r="P54" s="770">
        <v>32228239</v>
      </c>
      <c r="Q54" s="614">
        <f t="shared" si="5"/>
        <v>97.973354655380945</v>
      </c>
      <c r="R54" s="435"/>
    </row>
    <row r="55" spans="1:18" ht="15">
      <c r="A55" s="791" t="s">
        <v>1462</v>
      </c>
      <c r="B55" s="768"/>
      <c r="C55" s="457">
        <v>3</v>
      </c>
      <c r="D55" s="772">
        <v>21575822</v>
      </c>
      <c r="E55" s="613">
        <f t="shared" si="3"/>
        <v>91.968005816163327</v>
      </c>
      <c r="F55" s="423"/>
      <c r="G55" s="1937" t="s">
        <v>1412</v>
      </c>
      <c r="H55" s="773"/>
      <c r="I55" s="492">
        <v>21.6</v>
      </c>
      <c r="J55" s="769">
        <v>12490886</v>
      </c>
      <c r="K55" s="614">
        <f t="shared" si="4"/>
        <v>47.772111143475364</v>
      </c>
      <c r="L55" s="423"/>
      <c r="M55" s="789" t="s">
        <v>1426</v>
      </c>
      <c r="N55" s="785"/>
      <c r="O55" s="492">
        <v>56.74</v>
      </c>
      <c r="P55" s="770">
        <v>32526438</v>
      </c>
      <c r="Q55" s="614">
        <f t="shared" si="5"/>
        <v>98.879875063923279</v>
      </c>
      <c r="R55" s="435"/>
    </row>
    <row r="56" spans="1:18" ht="15">
      <c r="A56" s="789" t="s">
        <v>1426</v>
      </c>
      <c r="B56" s="785"/>
      <c r="C56" s="457">
        <v>38.799999999999997</v>
      </c>
      <c r="D56" s="769">
        <v>22124658</v>
      </c>
      <c r="E56" s="613">
        <f t="shared" si="3"/>
        <v>94.307446345479875</v>
      </c>
      <c r="F56" s="423"/>
      <c r="G56" s="789" t="s">
        <v>1425</v>
      </c>
      <c r="H56" s="773"/>
      <c r="I56" s="492">
        <v>81.099999999999994</v>
      </c>
      <c r="J56" s="769">
        <v>12663992</v>
      </c>
      <c r="K56" s="614">
        <f t="shared" si="4"/>
        <v>48.434164985901148</v>
      </c>
      <c r="L56" s="423"/>
      <c r="M56" s="801" t="s">
        <v>927</v>
      </c>
      <c r="N56" s="768" t="s">
        <v>41</v>
      </c>
      <c r="O56" s="492">
        <v>507.15</v>
      </c>
      <c r="P56" s="770">
        <v>32599956</v>
      </c>
      <c r="Q56" s="614">
        <f t="shared" si="5"/>
        <v>99.103368661806627</v>
      </c>
      <c r="R56" s="435"/>
    </row>
    <row r="57" spans="1:18" ht="15">
      <c r="A57" s="1935" t="s">
        <v>2047</v>
      </c>
      <c r="B57" s="768" t="s">
        <v>41</v>
      </c>
      <c r="C57" s="457">
        <v>2620.16</v>
      </c>
      <c r="D57" s="769">
        <v>22142527</v>
      </c>
      <c r="E57" s="613">
        <f t="shared" si="3"/>
        <v>94.38361383962814</v>
      </c>
      <c r="F57" s="423"/>
      <c r="G57" s="790" t="s">
        <v>1424</v>
      </c>
      <c r="H57" s="811"/>
      <c r="I57" s="492">
        <v>7.0579999999999998</v>
      </c>
      <c r="J57" s="770">
        <v>12674048</v>
      </c>
      <c r="K57" s="614">
        <f t="shared" si="4"/>
        <v>48.47262473564659</v>
      </c>
      <c r="L57" s="423"/>
      <c r="M57" s="1935" t="s">
        <v>2047</v>
      </c>
      <c r="N57" s="768" t="s">
        <v>41</v>
      </c>
      <c r="O57" s="492">
        <v>3642.02</v>
      </c>
      <c r="P57" s="770">
        <v>32650089</v>
      </c>
      <c r="Q57" s="614">
        <f t="shared" si="5"/>
        <v>99.255772216618851</v>
      </c>
      <c r="R57" s="435"/>
    </row>
    <row r="58" spans="1:18" ht="15">
      <c r="A58" s="1936" t="s">
        <v>1430</v>
      </c>
      <c r="B58" s="348" t="s">
        <v>41</v>
      </c>
      <c r="C58" s="457">
        <v>2723.6</v>
      </c>
      <c r="D58" s="1893">
        <v>22147707</v>
      </c>
      <c r="E58" s="613">
        <f t="shared" si="3"/>
        <v>94.405693845206969</v>
      </c>
      <c r="F58" s="423"/>
      <c r="G58" s="683" t="s">
        <v>557</v>
      </c>
      <c r="H58" s="347"/>
      <c r="I58" s="492">
        <v>14.75</v>
      </c>
      <c r="J58" s="1893">
        <v>12699243</v>
      </c>
      <c r="K58" s="1919">
        <f t="shared" si="4"/>
        <v>48.568984460670087</v>
      </c>
      <c r="L58" s="423"/>
      <c r="M58" s="1936" t="s">
        <v>1430</v>
      </c>
      <c r="N58" s="348" t="s">
        <v>41</v>
      </c>
      <c r="O58" s="492">
        <v>3753.52</v>
      </c>
      <c r="P58" s="1920">
        <v>32650938</v>
      </c>
      <c r="Q58" s="1919">
        <f t="shared" si="5"/>
        <v>99.258353163660431</v>
      </c>
      <c r="R58" s="435"/>
    </row>
    <row r="59" spans="1:18" ht="15">
      <c r="A59" s="792" t="s">
        <v>927</v>
      </c>
      <c r="B59" s="768" t="s">
        <v>41</v>
      </c>
      <c r="C59" s="457">
        <v>342.08</v>
      </c>
      <c r="D59" s="769">
        <v>22156602</v>
      </c>
      <c r="E59" s="613">
        <f t="shared" si="3"/>
        <v>94.443609221582193</v>
      </c>
      <c r="F59" s="423"/>
      <c r="G59" s="833" t="s">
        <v>1466</v>
      </c>
      <c r="H59" s="786"/>
      <c r="I59" s="492">
        <v>15.99</v>
      </c>
      <c r="J59" s="769">
        <v>12748103</v>
      </c>
      <c r="K59" s="614">
        <f t="shared" si="4"/>
        <v>48.755852337814289</v>
      </c>
      <c r="L59" s="423"/>
      <c r="M59" s="651" t="s">
        <v>122</v>
      </c>
      <c r="N59" s="785"/>
      <c r="O59" s="492">
        <v>943.2</v>
      </c>
      <c r="P59" s="769">
        <v>32750525</v>
      </c>
      <c r="Q59" s="614">
        <f t="shared" si="5"/>
        <v>99.561096123648582</v>
      </c>
      <c r="R59" s="435"/>
    </row>
    <row r="60" spans="1:18" ht="15">
      <c r="A60" s="792" t="s">
        <v>1169</v>
      </c>
      <c r="B60" s="499"/>
      <c r="C60" s="449">
        <v>11.1</v>
      </c>
      <c r="D60" s="334">
        <v>22289852</v>
      </c>
      <c r="E60" s="613">
        <f t="shared" si="3"/>
        <v>95.011593921076084</v>
      </c>
      <c r="F60" s="423"/>
      <c r="G60" s="741" t="s">
        <v>1464</v>
      </c>
      <c r="H60" s="459" t="s">
        <v>41</v>
      </c>
      <c r="I60" s="487">
        <v>29.61</v>
      </c>
      <c r="J60" s="106">
        <v>12757328</v>
      </c>
      <c r="K60" s="614">
        <f t="shared" si="4"/>
        <v>48.791133880316444</v>
      </c>
      <c r="L60" s="423"/>
      <c r="M60" s="662" t="s">
        <v>1424</v>
      </c>
      <c r="N60" s="527"/>
      <c r="O60" s="487">
        <v>15.468</v>
      </c>
      <c r="P60" s="331">
        <v>32766320</v>
      </c>
      <c r="Q60" s="614">
        <f t="shared" si="5"/>
        <v>99.609112682567044</v>
      </c>
      <c r="R60" s="435"/>
    </row>
    <row r="61" spans="1:18" ht="15">
      <c r="A61" s="793" t="s">
        <v>122</v>
      </c>
      <c r="B61" s="456"/>
      <c r="C61" s="457">
        <v>627</v>
      </c>
      <c r="D61" s="335">
        <v>22292167</v>
      </c>
      <c r="E61" s="613">
        <f t="shared" si="3"/>
        <v>95.021461722797127</v>
      </c>
      <c r="F61" s="423"/>
      <c r="G61" s="771" t="s">
        <v>1455</v>
      </c>
      <c r="H61" s="348" t="s">
        <v>41</v>
      </c>
      <c r="I61" s="492">
        <v>5.625</v>
      </c>
      <c r="J61" s="335">
        <v>13103906</v>
      </c>
      <c r="K61" s="614">
        <f t="shared" si="4"/>
        <v>50.116641353195739</v>
      </c>
      <c r="L61" s="423"/>
      <c r="M61" s="736" t="s">
        <v>1412</v>
      </c>
      <c r="N61" s="350"/>
      <c r="O61" s="492">
        <v>10.3</v>
      </c>
      <c r="P61" s="371">
        <v>32767419</v>
      </c>
      <c r="Q61" s="614">
        <f t="shared" si="5"/>
        <v>99.612453625792838</v>
      </c>
      <c r="R61" s="435"/>
    </row>
    <row r="62" spans="1:18" ht="15">
      <c r="A62" s="792" t="s">
        <v>1464</v>
      </c>
      <c r="B62" s="354" t="s">
        <v>41</v>
      </c>
      <c r="C62" s="449">
        <v>32.07</v>
      </c>
      <c r="D62" s="334">
        <v>22394936</v>
      </c>
      <c r="E62" s="613">
        <f t="shared" si="3"/>
        <v>95.459519655872455</v>
      </c>
      <c r="F62" s="423"/>
      <c r="G62" s="662" t="s">
        <v>1469</v>
      </c>
      <c r="H62" s="358"/>
      <c r="I62" s="487">
        <v>967</v>
      </c>
      <c r="J62" s="335">
        <v>13480395</v>
      </c>
      <c r="K62" s="614">
        <f t="shared" si="4"/>
        <v>51.556545164045978</v>
      </c>
      <c r="L62" s="423"/>
      <c r="M62" s="662" t="s">
        <v>1425</v>
      </c>
      <c r="N62" s="453"/>
      <c r="O62" s="487">
        <v>278.3</v>
      </c>
      <c r="P62" s="336">
        <v>32767493</v>
      </c>
      <c r="Q62" s="614">
        <f t="shared" si="5"/>
        <v>99.612678584663357</v>
      </c>
      <c r="R62" s="435"/>
    </row>
    <row r="63" spans="1:18" ht="15">
      <c r="A63" s="794" t="s">
        <v>1425</v>
      </c>
      <c r="B63" s="350"/>
      <c r="C63" s="457">
        <v>194.7</v>
      </c>
      <c r="D63" s="370">
        <v>22398564</v>
      </c>
      <c r="E63" s="613">
        <f t="shared" si="3"/>
        <v>95.47498418487632</v>
      </c>
      <c r="F63" s="423"/>
      <c r="G63" s="834" t="s">
        <v>1463</v>
      </c>
      <c r="H63" s="348"/>
      <c r="I63" s="492">
        <v>14</v>
      </c>
      <c r="J63" s="838">
        <v>13808262</v>
      </c>
      <c r="K63" s="614">
        <f t="shared" si="4"/>
        <v>52.810491342425784</v>
      </c>
      <c r="L63" s="423"/>
      <c r="M63" s="741" t="s">
        <v>694</v>
      </c>
      <c r="N63" s="456"/>
      <c r="O63" s="492">
        <v>38</v>
      </c>
      <c r="P63" s="370">
        <v>32771313</v>
      </c>
      <c r="Q63" s="614">
        <f t="shared" si="5"/>
        <v>99.624291326358104</v>
      </c>
      <c r="R63" s="435"/>
    </row>
    <row r="64" spans="1:18" ht="15">
      <c r="A64" s="793" t="s">
        <v>1429</v>
      </c>
      <c r="B64" s="809"/>
      <c r="C64" s="457">
        <v>45.8</v>
      </c>
      <c r="D64" s="769">
        <v>22422475</v>
      </c>
      <c r="E64" s="613">
        <f t="shared" si="3"/>
        <v>95.576906002134095</v>
      </c>
      <c r="F64" s="423"/>
      <c r="G64" s="793" t="s">
        <v>1429</v>
      </c>
      <c r="H64" s="809"/>
      <c r="I64" s="492">
        <v>40.5</v>
      </c>
      <c r="J64" s="371">
        <v>14032210</v>
      </c>
      <c r="K64" s="614">
        <f t="shared" si="4"/>
        <v>53.666993334867236</v>
      </c>
      <c r="L64" s="423"/>
      <c r="M64" s="810" t="s">
        <v>557</v>
      </c>
      <c r="N64" s="811"/>
      <c r="O64" s="492">
        <v>18.96</v>
      </c>
      <c r="P64" s="769">
        <v>32777050</v>
      </c>
      <c r="Q64" s="614">
        <f t="shared" si="5"/>
        <v>99.64173171879338</v>
      </c>
      <c r="R64" s="435"/>
    </row>
    <row r="65" spans="1:18" ht="15">
      <c r="A65" s="799" t="s">
        <v>557</v>
      </c>
      <c r="B65" s="347"/>
      <c r="C65" s="449">
        <v>13.28</v>
      </c>
      <c r="D65" s="106">
        <v>22425108</v>
      </c>
      <c r="E65" s="613">
        <f t="shared" si="3"/>
        <v>95.588129294545098</v>
      </c>
      <c r="F65" s="423"/>
      <c r="G65" s="741" t="s">
        <v>1169</v>
      </c>
      <c r="H65" s="451"/>
      <c r="I65" s="487">
        <v>7.8</v>
      </c>
      <c r="J65" s="371">
        <v>14300463</v>
      </c>
      <c r="K65" s="614">
        <f t="shared" si="4"/>
        <v>54.692942345255346</v>
      </c>
      <c r="L65" s="423"/>
      <c r="M65" s="662" t="s">
        <v>1429</v>
      </c>
      <c r="N65" s="454"/>
      <c r="O65" s="487">
        <v>65.400000000000006</v>
      </c>
      <c r="P65" s="336">
        <v>32804326</v>
      </c>
      <c r="Q65" s="614">
        <f t="shared" si="5"/>
        <v>99.724650342475556</v>
      </c>
      <c r="R65" s="435"/>
    </row>
    <row r="66" spans="1:18" ht="15">
      <c r="A66" s="806" t="s">
        <v>1412</v>
      </c>
      <c r="B66" s="461"/>
      <c r="C66" s="449">
        <v>5.6</v>
      </c>
      <c r="D66" s="334">
        <v>22440948</v>
      </c>
      <c r="E66" s="613">
        <f t="shared" si="3"/>
        <v>95.655648076083438</v>
      </c>
      <c r="F66" s="423"/>
      <c r="G66" s="662" t="s">
        <v>1420</v>
      </c>
      <c r="H66" s="459" t="s">
        <v>41</v>
      </c>
      <c r="I66" s="487">
        <v>5</v>
      </c>
      <c r="J66" s="334">
        <v>14419069</v>
      </c>
      <c r="K66" s="614">
        <f t="shared" si="4"/>
        <v>55.146557806503097</v>
      </c>
      <c r="L66" s="423"/>
      <c r="M66" s="662" t="s">
        <v>1469</v>
      </c>
      <c r="N66" s="490"/>
      <c r="O66" s="487">
        <v>693</v>
      </c>
      <c r="P66" s="334">
        <v>32853571</v>
      </c>
      <c r="Q66" s="614">
        <f t="shared" si="5"/>
        <v>99.874354390841475</v>
      </c>
      <c r="R66" s="435"/>
    </row>
    <row r="67" spans="1:18" ht="15">
      <c r="A67" s="807" t="s">
        <v>694</v>
      </c>
      <c r="B67" s="456"/>
      <c r="C67" s="449">
        <v>21</v>
      </c>
      <c r="D67" s="106">
        <v>22442060</v>
      </c>
      <c r="E67" s="613">
        <f t="shared" si="3"/>
        <v>95.660388030949008</v>
      </c>
      <c r="F67" s="423"/>
      <c r="G67" s="783" t="s">
        <v>1485</v>
      </c>
      <c r="H67" s="348"/>
      <c r="I67" s="487"/>
      <c r="J67" s="700">
        <v>14604690</v>
      </c>
      <c r="K67" s="614">
        <f t="shared" si="4"/>
        <v>55.856475985450771</v>
      </c>
      <c r="L67" s="423"/>
      <c r="M67" s="668" t="s">
        <v>1456</v>
      </c>
      <c r="N67" s="348" t="s">
        <v>41</v>
      </c>
      <c r="O67" s="487">
        <v>6</v>
      </c>
      <c r="P67" s="336">
        <v>32858526</v>
      </c>
      <c r="Q67" s="614">
        <f t="shared" si="5"/>
        <v>99.889417515212543</v>
      </c>
      <c r="R67" s="435"/>
    </row>
    <row r="68" spans="1:18" ht="15">
      <c r="A68" s="808" t="s">
        <v>1466</v>
      </c>
      <c r="B68" s="489"/>
      <c r="C68" s="449">
        <v>18.989999999999998</v>
      </c>
      <c r="D68" s="106">
        <v>22467085</v>
      </c>
      <c r="E68" s="613">
        <f t="shared" si="3"/>
        <v>95.767058328171032</v>
      </c>
      <c r="F68" s="423"/>
      <c r="G68" s="662" t="s">
        <v>1419</v>
      </c>
      <c r="H68" s="348" t="s">
        <v>41</v>
      </c>
      <c r="I68" s="487">
        <v>51.8</v>
      </c>
      <c r="J68" s="335">
        <v>14674519</v>
      </c>
      <c r="K68" s="614">
        <f t="shared" si="4"/>
        <v>56.123541007822901</v>
      </c>
      <c r="L68" s="423"/>
      <c r="M68" s="662" t="s">
        <v>1416</v>
      </c>
      <c r="N68" s="350"/>
      <c r="O68" s="487">
        <v>1</v>
      </c>
      <c r="P68" s="336">
        <v>32863373</v>
      </c>
      <c r="Q68" s="614">
        <f t="shared" si="5"/>
        <v>99.904152321232019</v>
      </c>
      <c r="R68" s="435"/>
    </row>
    <row r="69" spans="1:18" ht="15">
      <c r="A69" s="793" t="s">
        <v>1424</v>
      </c>
      <c r="B69" s="357"/>
      <c r="C69" s="449">
        <v>11.058999999999999</v>
      </c>
      <c r="D69" s="106">
        <v>22568224</v>
      </c>
      <c r="E69" s="613">
        <f t="shared" si="3"/>
        <v>96.198168305822918</v>
      </c>
      <c r="F69" s="423"/>
      <c r="G69" s="746" t="s">
        <v>694</v>
      </c>
      <c r="H69" s="362"/>
      <c r="I69" s="487">
        <v>27</v>
      </c>
      <c r="J69" s="335">
        <v>14738010</v>
      </c>
      <c r="K69" s="614">
        <f t="shared" si="4"/>
        <v>56.36636598505914</v>
      </c>
      <c r="L69" s="423"/>
      <c r="M69" s="668" t="s">
        <v>1419</v>
      </c>
      <c r="N69" s="360" t="s">
        <v>41</v>
      </c>
      <c r="O69" s="487">
        <v>18.940000000000001</v>
      </c>
      <c r="P69" s="334">
        <v>32869171</v>
      </c>
      <c r="Q69" s="614">
        <f t="shared" si="5"/>
        <v>99.921778152736252</v>
      </c>
      <c r="R69" s="435"/>
    </row>
    <row r="70" spans="1:18" ht="15">
      <c r="A70" s="794" t="s">
        <v>1469</v>
      </c>
      <c r="B70" s="350"/>
      <c r="C70" s="449">
        <v>485</v>
      </c>
      <c r="D70" s="106">
        <v>22599086</v>
      </c>
      <c r="E70" s="613">
        <f t="shared" si="3"/>
        <v>96.329719103539844</v>
      </c>
      <c r="F70" s="423"/>
      <c r="G70" s="662" t="s">
        <v>2049</v>
      </c>
      <c r="H70" s="350"/>
      <c r="I70" s="487">
        <v>14</v>
      </c>
      <c r="J70" s="335">
        <v>15217095</v>
      </c>
      <c r="K70" s="614">
        <f t="shared" si="4"/>
        <v>58.198654092337669</v>
      </c>
      <c r="L70" s="423"/>
      <c r="M70" s="671" t="s">
        <v>1466</v>
      </c>
      <c r="N70" s="489"/>
      <c r="O70" s="487">
        <v>1.3</v>
      </c>
      <c r="P70" s="334">
        <v>32871938</v>
      </c>
      <c r="Q70" s="614">
        <f t="shared" si="5"/>
        <v>99.930189790503107</v>
      </c>
      <c r="R70" s="435"/>
    </row>
    <row r="71" spans="1:18" ht="15">
      <c r="A71" s="794" t="s">
        <v>1419</v>
      </c>
      <c r="B71" s="348" t="s">
        <v>41</v>
      </c>
      <c r="C71" s="449">
        <v>12.83</v>
      </c>
      <c r="D71" s="106">
        <v>22600183</v>
      </c>
      <c r="E71" s="613">
        <f t="shared" si="3"/>
        <v>96.334395120165311</v>
      </c>
      <c r="F71" s="423"/>
      <c r="G71" s="662" t="s">
        <v>1456</v>
      </c>
      <c r="H71" s="348" t="s">
        <v>41</v>
      </c>
      <c r="I71" s="487">
        <v>15</v>
      </c>
      <c r="J71" s="336">
        <v>15225287</v>
      </c>
      <c r="K71" s="614">
        <f t="shared" si="4"/>
        <v>58.229984866991067</v>
      </c>
      <c r="L71" s="423"/>
      <c r="M71" s="670" t="s">
        <v>600</v>
      </c>
      <c r="N71" s="451"/>
      <c r="O71" s="487"/>
      <c r="P71" s="334">
        <v>32894902</v>
      </c>
      <c r="Q71" s="614">
        <f t="shared" si="5"/>
        <v>100</v>
      </c>
      <c r="R71" s="435"/>
    </row>
    <row r="72" spans="1:18" ht="15">
      <c r="A72" s="793" t="s">
        <v>1456</v>
      </c>
      <c r="B72" s="348" t="s">
        <v>41</v>
      </c>
      <c r="C72" s="449">
        <v>4</v>
      </c>
      <c r="D72" s="331">
        <v>22603803</v>
      </c>
      <c r="E72" s="613">
        <f t="shared" si="3"/>
        <v>96.349825548774461</v>
      </c>
      <c r="F72" s="423"/>
      <c r="G72" s="784" t="s">
        <v>1427</v>
      </c>
      <c r="H72" s="348" t="s">
        <v>41</v>
      </c>
      <c r="I72" s="487">
        <v>18</v>
      </c>
      <c r="J72" s="371">
        <v>15256611</v>
      </c>
      <c r="K72" s="614">
        <f t="shared" si="4"/>
        <v>58.349785304642829</v>
      </c>
      <c r="L72" s="423"/>
      <c r="M72" s="771" t="s">
        <v>1455</v>
      </c>
      <c r="N72" s="348" t="s">
        <v>41</v>
      </c>
      <c r="O72" s="487">
        <v>64.84</v>
      </c>
      <c r="P72" s="336">
        <v>32894948</v>
      </c>
      <c r="Q72" s="614">
        <f t="shared" si="5"/>
        <v>100.0001398392979</v>
      </c>
      <c r="R72" s="435"/>
    </row>
    <row r="73" spans="1:18" ht="15">
      <c r="A73" s="794" t="s">
        <v>1423</v>
      </c>
      <c r="B73" s="573"/>
      <c r="C73" s="448">
        <v>1</v>
      </c>
      <c r="D73" s="106">
        <v>22675669</v>
      </c>
      <c r="E73" s="613">
        <f t="shared" si="3"/>
        <v>96.656157919609939</v>
      </c>
      <c r="F73" s="423"/>
      <c r="G73" s="669" t="s">
        <v>2045</v>
      </c>
      <c r="H73" s="779"/>
      <c r="I73" s="448">
        <v>2</v>
      </c>
      <c r="J73" s="336">
        <v>16237581</v>
      </c>
      <c r="K73" s="614">
        <f t="shared" si="4"/>
        <v>62.101561429123912</v>
      </c>
      <c r="L73" s="423"/>
      <c r="M73" s="662" t="s">
        <v>2049</v>
      </c>
      <c r="N73" s="779"/>
      <c r="O73" s="487">
        <v>6</v>
      </c>
      <c r="P73" s="334">
        <v>32895054</v>
      </c>
      <c r="Q73" s="614">
        <f t="shared" si="5"/>
        <v>100.00046207768</v>
      </c>
      <c r="R73" s="435"/>
    </row>
    <row r="74" spans="1:18" ht="15">
      <c r="A74" s="669" t="s">
        <v>2045</v>
      </c>
      <c r="B74" s="779"/>
      <c r="C74" s="448">
        <v>1</v>
      </c>
      <c r="D74" s="1269">
        <v>22678193</v>
      </c>
      <c r="E74" s="613">
        <f t="shared" si="3"/>
        <v>96.666916594142947</v>
      </c>
      <c r="F74" s="264"/>
      <c r="G74" s="662" t="s">
        <v>1423</v>
      </c>
      <c r="H74" s="1270"/>
      <c r="I74" s="487">
        <v>2</v>
      </c>
      <c r="J74" s="1272">
        <v>16350216</v>
      </c>
      <c r="K74" s="614">
        <f t="shared" si="4"/>
        <v>62.532340457820943</v>
      </c>
      <c r="L74" s="264"/>
      <c r="M74" s="741" t="s">
        <v>1464</v>
      </c>
      <c r="N74" s="519" t="s">
        <v>41</v>
      </c>
      <c r="O74" s="487">
        <v>1.01</v>
      </c>
      <c r="P74" s="1272">
        <v>32911402</v>
      </c>
      <c r="Q74" s="614">
        <f t="shared" si="5"/>
        <v>100.05015974815794</v>
      </c>
      <c r="R74" s="435"/>
    </row>
    <row r="75" spans="1:18" ht="15">
      <c r="A75" s="794" t="s">
        <v>1420</v>
      </c>
      <c r="B75" s="497" t="s">
        <v>41</v>
      </c>
      <c r="C75" s="449">
        <v>6.23</v>
      </c>
      <c r="D75" s="106">
        <v>22708009</v>
      </c>
      <c r="E75" s="613">
        <f t="shared" si="3"/>
        <v>96.794008765250709</v>
      </c>
      <c r="F75" s="423"/>
      <c r="G75" s="783" t="s">
        <v>1468</v>
      </c>
      <c r="H75" s="497"/>
      <c r="I75" s="487">
        <v>5</v>
      </c>
      <c r="J75" s="700">
        <v>17005822</v>
      </c>
      <c r="K75" s="614">
        <f t="shared" si="4"/>
        <v>65.039743271226598</v>
      </c>
      <c r="L75" s="423"/>
      <c r="M75" s="669" t="s">
        <v>2045</v>
      </c>
      <c r="N75" s="495"/>
      <c r="O75" s="487">
        <v>1</v>
      </c>
      <c r="P75" s="334">
        <v>32931327</v>
      </c>
      <c r="Q75" s="614">
        <f t="shared" si="5"/>
        <v>100.11073144403957</v>
      </c>
      <c r="R75" s="435"/>
    </row>
    <row r="76" spans="1:18" ht="15">
      <c r="A76" s="794" t="s">
        <v>1428</v>
      </c>
      <c r="B76" s="722"/>
      <c r="C76" s="448">
        <v>12</v>
      </c>
      <c r="D76" s="106">
        <v>22714293</v>
      </c>
      <c r="E76" s="613">
        <f t="shared" si="3"/>
        <v>96.820794625300394</v>
      </c>
      <c r="F76" s="423"/>
      <c r="G76" s="662" t="s">
        <v>1428</v>
      </c>
      <c r="H76" s="722"/>
      <c r="I76" s="487">
        <v>19</v>
      </c>
      <c r="J76" s="335">
        <v>17104824</v>
      </c>
      <c r="K76" s="614">
        <f t="shared" si="4"/>
        <v>65.418382108169496</v>
      </c>
      <c r="L76" s="423"/>
      <c r="M76" s="662" t="s">
        <v>1423</v>
      </c>
      <c r="N76" s="722"/>
      <c r="O76" s="487">
        <v>2</v>
      </c>
      <c r="P76" s="336">
        <v>32941649</v>
      </c>
      <c r="Q76" s="614">
        <f t="shared" si="5"/>
        <v>100.14211016649328</v>
      </c>
      <c r="R76" s="435"/>
    </row>
    <row r="77" spans="1:18" ht="15">
      <c r="A77" s="794" t="s">
        <v>2049</v>
      </c>
      <c r="B77" s="495"/>
      <c r="C77" s="448">
        <v>4</v>
      </c>
      <c r="D77" s="106">
        <v>22752831</v>
      </c>
      <c r="E77" s="613">
        <f t="shared" si="3"/>
        <v>96.985064751747629</v>
      </c>
      <c r="F77" s="423"/>
      <c r="G77" s="662" t="s">
        <v>1416</v>
      </c>
      <c r="H77" s="495"/>
      <c r="I77" s="487">
        <v>1</v>
      </c>
      <c r="J77" s="335">
        <v>18196297</v>
      </c>
      <c r="K77" s="614">
        <f t="shared" si="4"/>
        <v>69.59278330485823</v>
      </c>
      <c r="L77" s="423"/>
      <c r="M77" s="662" t="s">
        <v>1420</v>
      </c>
      <c r="N77" s="497" t="s">
        <v>41</v>
      </c>
      <c r="O77" s="487">
        <v>8.9</v>
      </c>
      <c r="P77" s="334">
        <v>32983876</v>
      </c>
      <c r="Q77" s="614">
        <f t="shared" si="5"/>
        <v>100.27047960197602</v>
      </c>
      <c r="R77" s="435"/>
    </row>
    <row r="78" spans="1:18" ht="15">
      <c r="A78" s="795" t="s">
        <v>1427</v>
      </c>
      <c r="B78" s="497" t="s">
        <v>41</v>
      </c>
      <c r="C78" s="449">
        <v>5</v>
      </c>
      <c r="D78" s="106">
        <v>22779718</v>
      </c>
      <c r="E78" s="613">
        <f t="shared" si="3"/>
        <v>97.099671915839892</v>
      </c>
      <c r="F78" s="423"/>
      <c r="G78" s="783" t="s">
        <v>1467</v>
      </c>
      <c r="H78" s="497"/>
      <c r="I78" s="487">
        <v>14</v>
      </c>
      <c r="J78" s="700">
        <v>18297566</v>
      </c>
      <c r="K78" s="614">
        <f t="shared" si="4"/>
        <v>69.980092413546643</v>
      </c>
      <c r="L78" s="423"/>
      <c r="M78" s="662" t="s">
        <v>1428</v>
      </c>
      <c r="N78" s="495"/>
      <c r="O78" s="487">
        <v>17</v>
      </c>
      <c r="P78" s="336">
        <v>33029393</v>
      </c>
      <c r="Q78" s="614">
        <f t="shared" si="5"/>
        <v>100.40885058724297</v>
      </c>
      <c r="R78" s="435"/>
    </row>
    <row r="79" spans="1:18" ht="15">
      <c r="A79" s="796" t="s">
        <v>1455</v>
      </c>
      <c r="B79" s="348" t="s">
        <v>41</v>
      </c>
      <c r="C79" s="449">
        <v>63.48</v>
      </c>
      <c r="D79" s="106">
        <v>22860824</v>
      </c>
      <c r="E79" s="613">
        <f t="shared" si="3"/>
        <v>97.445390242572728</v>
      </c>
      <c r="F79" s="423"/>
      <c r="G79" s="783" t="s">
        <v>1462</v>
      </c>
      <c r="H79" s="348"/>
      <c r="I79" s="487">
        <v>31</v>
      </c>
      <c r="J79" s="700">
        <v>20561000</v>
      </c>
      <c r="K79" s="614">
        <f t="shared" si="4"/>
        <v>78.636725787185711</v>
      </c>
      <c r="L79" s="423"/>
      <c r="M79" s="673" t="s">
        <v>1427</v>
      </c>
      <c r="N79" s="348" t="s">
        <v>41</v>
      </c>
      <c r="O79" s="487">
        <v>6</v>
      </c>
      <c r="P79" s="336">
        <v>33163588</v>
      </c>
      <c r="Q79" s="614">
        <f t="shared" si="5"/>
        <v>100.81680133900383</v>
      </c>
      <c r="R79" s="435"/>
    </row>
    <row r="80" spans="1:18" ht="15">
      <c r="A80" s="794" t="s">
        <v>1416</v>
      </c>
      <c r="B80" s="776"/>
      <c r="C80" s="448">
        <v>1</v>
      </c>
      <c r="D80" s="106">
        <v>22931654</v>
      </c>
      <c r="E80" s="613">
        <f t="shared" si="3"/>
        <v>97.747306612292448</v>
      </c>
      <c r="F80" s="423"/>
      <c r="G80" s="670" t="s">
        <v>600</v>
      </c>
      <c r="H80" s="648"/>
      <c r="I80" s="487"/>
      <c r="J80" s="335">
        <v>26146816</v>
      </c>
      <c r="K80" s="614">
        <f t="shared" si="4"/>
        <v>100</v>
      </c>
      <c r="L80" s="423"/>
      <c r="M80" s="783" t="s">
        <v>1467</v>
      </c>
      <c r="N80" s="775"/>
      <c r="O80" s="487">
        <v>25</v>
      </c>
      <c r="P80" s="392">
        <v>41816531</v>
      </c>
      <c r="Q80" s="614">
        <f t="shared" si="5"/>
        <v>127.12161598779045</v>
      </c>
      <c r="R80" s="435"/>
    </row>
    <row r="81" spans="1:18" ht="15">
      <c r="A81" s="797" t="s">
        <v>600</v>
      </c>
      <c r="B81" s="774"/>
      <c r="C81" s="449"/>
      <c r="D81" s="106">
        <v>23460139</v>
      </c>
      <c r="E81" s="613">
        <f t="shared" si="3"/>
        <v>100</v>
      </c>
      <c r="F81" s="423"/>
      <c r="G81" s="766" t="s">
        <v>1470</v>
      </c>
      <c r="H81" s="777"/>
      <c r="I81" s="487"/>
      <c r="J81" s="700" t="s">
        <v>549</v>
      </c>
      <c r="K81" s="614"/>
      <c r="L81" s="423"/>
      <c r="M81" s="781" t="s">
        <v>1462</v>
      </c>
      <c r="N81" s="777"/>
      <c r="O81" s="487">
        <v>2</v>
      </c>
      <c r="P81" s="392">
        <v>43261690</v>
      </c>
      <c r="Q81" s="614">
        <f t="shared" si="5"/>
        <v>131.5148772901041</v>
      </c>
      <c r="R81" s="435"/>
    </row>
    <row r="82" spans="1:18" ht="15">
      <c r="A82" s="429"/>
      <c r="B82" s="264"/>
      <c r="C82" s="539"/>
      <c r="D82" s="53"/>
      <c r="E82" s="765"/>
      <c r="F82" s="423"/>
      <c r="G82" s="429"/>
      <c r="H82" s="464"/>
      <c r="I82" s="532"/>
      <c r="J82" s="267"/>
      <c r="K82" s="765"/>
      <c r="L82" s="423"/>
      <c r="M82" s="429"/>
      <c r="N82" s="464"/>
      <c r="O82" s="533"/>
      <c r="P82" s="53"/>
      <c r="Q82" s="765"/>
      <c r="R82" s="435"/>
    </row>
    <row r="83" spans="1:18" ht="15">
      <c r="A83" s="429"/>
      <c r="B83" s="264"/>
      <c r="C83" s="539"/>
      <c r="D83" s="53"/>
      <c r="E83" s="765"/>
      <c r="F83" s="423"/>
      <c r="G83" s="429"/>
      <c r="H83" s="464"/>
      <c r="I83" s="532"/>
      <c r="J83" s="267"/>
      <c r="K83" s="765"/>
      <c r="L83" s="423"/>
      <c r="M83" s="429"/>
      <c r="N83" s="464"/>
      <c r="O83" s="533"/>
      <c r="P83" s="53"/>
      <c r="Q83" s="765"/>
      <c r="R83" s="435"/>
    </row>
    <row r="84" spans="1:18" ht="15">
      <c r="A84" s="724" t="s">
        <v>1481</v>
      </c>
      <c r="B84" s="264"/>
      <c r="C84" s="539"/>
      <c r="D84" s="53"/>
      <c r="E84" s="765"/>
      <c r="F84" s="423"/>
      <c r="G84" s="724" t="s">
        <v>1482</v>
      </c>
      <c r="H84" s="464"/>
      <c r="I84" s="532"/>
      <c r="J84" s="267"/>
      <c r="K84" s="765"/>
      <c r="L84" s="423"/>
      <c r="M84" s="724" t="s">
        <v>1461</v>
      </c>
      <c r="N84" s="464"/>
      <c r="O84" s="533"/>
      <c r="P84" s="53"/>
      <c r="Q84" s="765"/>
      <c r="R84" s="435"/>
    </row>
    <row r="85" spans="1:18" ht="15">
      <c r="A85" s="382" t="s">
        <v>1480</v>
      </c>
      <c r="B85" s="436"/>
      <c r="C85" s="479"/>
      <c r="D85" s="3171" t="s">
        <v>1483</v>
      </c>
      <c r="E85" s="3171"/>
      <c r="F85" s="264"/>
      <c r="G85" s="382" t="s">
        <v>1475</v>
      </c>
      <c r="H85" s="480"/>
      <c r="I85" s="480"/>
      <c r="J85" s="3167" t="s">
        <v>1483</v>
      </c>
      <c r="K85" s="3167"/>
      <c r="L85" s="264"/>
      <c r="M85" s="382" t="s">
        <v>1472</v>
      </c>
      <c r="N85" s="767"/>
      <c r="O85" s="479"/>
      <c r="P85" s="3171" t="s">
        <v>1474</v>
      </c>
      <c r="Q85" s="3171"/>
      <c r="R85" s="435"/>
    </row>
    <row r="86" spans="1:18" ht="15">
      <c r="A86" s="665" t="s">
        <v>1470</v>
      </c>
      <c r="B86" s="787"/>
      <c r="C86" s="442">
        <v>4</v>
      </c>
      <c r="D86" s="330">
        <v>15748459</v>
      </c>
      <c r="E86" s="613">
        <f t="shared" ref="E86:E117" si="6">(D86*100/16182707)</f>
        <v>97.31659233526257</v>
      </c>
      <c r="F86" s="264"/>
      <c r="G86" s="834" t="s">
        <v>1463</v>
      </c>
      <c r="H86" s="577"/>
      <c r="I86" s="449">
        <v>7</v>
      </c>
      <c r="J86" s="377">
        <v>4464366</v>
      </c>
      <c r="K86" s="614">
        <f t="shared" ref="K86:K116" si="7">(J86*100/14337044)</f>
        <v>31.138678237996618</v>
      </c>
      <c r="L86" s="264"/>
      <c r="M86" s="1935" t="s">
        <v>2047</v>
      </c>
      <c r="N86" s="787" t="s">
        <v>41</v>
      </c>
      <c r="O86" s="442">
        <v>2974.7</v>
      </c>
      <c r="P86" s="330">
        <v>14109872</v>
      </c>
      <c r="Q86" s="613">
        <f t="shared" ref="Q86:Q116" si="8">(P86*100/17039360)</f>
        <v>82.807523287259613</v>
      </c>
      <c r="R86" s="435"/>
    </row>
    <row r="87" spans="1:18" ht="15">
      <c r="A87" s="741" t="s">
        <v>1169</v>
      </c>
      <c r="B87" s="470"/>
      <c r="C87" s="449">
        <v>8.5</v>
      </c>
      <c r="D87" s="106">
        <v>15841790</v>
      </c>
      <c r="E87" s="613">
        <f t="shared" si="6"/>
        <v>97.89332526381402</v>
      </c>
      <c r="F87" s="423"/>
      <c r="G87" s="783" t="s">
        <v>1468</v>
      </c>
      <c r="H87" s="826"/>
      <c r="I87" s="449">
        <v>2</v>
      </c>
      <c r="J87" s="377">
        <v>5202034</v>
      </c>
      <c r="K87" s="614">
        <f t="shared" si="7"/>
        <v>36.28386716257549</v>
      </c>
      <c r="L87" s="423"/>
      <c r="M87" s="1938" t="s">
        <v>1430</v>
      </c>
      <c r="N87" s="465" t="s">
        <v>41</v>
      </c>
      <c r="O87" s="449">
        <v>1903.86</v>
      </c>
      <c r="P87" s="106">
        <v>14163545</v>
      </c>
      <c r="Q87" s="613">
        <f t="shared" si="8"/>
        <v>83.122517512394836</v>
      </c>
      <c r="R87" s="435"/>
    </row>
    <row r="88" spans="1:18" ht="15">
      <c r="A88" s="662" t="s">
        <v>1426</v>
      </c>
      <c r="B88" s="456"/>
      <c r="C88" s="449">
        <v>27.79</v>
      </c>
      <c r="D88" s="106">
        <v>15855101</v>
      </c>
      <c r="E88" s="613">
        <f t="shared" si="6"/>
        <v>97.975579734589516</v>
      </c>
      <c r="F88" s="423"/>
      <c r="G88" s="783" t="s">
        <v>1467</v>
      </c>
      <c r="H88" s="456"/>
      <c r="I88" s="449">
        <v>5</v>
      </c>
      <c r="J88" s="377">
        <v>6077469</v>
      </c>
      <c r="K88" s="614">
        <f t="shared" si="7"/>
        <v>42.389972437833073</v>
      </c>
      <c r="L88" s="423"/>
      <c r="M88" s="741" t="s">
        <v>927</v>
      </c>
      <c r="N88" s="348" t="s">
        <v>41</v>
      </c>
      <c r="O88" s="449">
        <v>243.8</v>
      </c>
      <c r="P88" s="106">
        <v>14596166</v>
      </c>
      <c r="Q88" s="613">
        <f t="shared" si="8"/>
        <v>85.661468505859375</v>
      </c>
      <c r="R88" s="435"/>
    </row>
    <row r="89" spans="1:18" ht="15">
      <c r="A89" s="831" t="s">
        <v>927</v>
      </c>
      <c r="B89" s="768" t="s">
        <v>41</v>
      </c>
      <c r="C89" s="457">
        <v>236.72</v>
      </c>
      <c r="D89" s="769">
        <v>15883097</v>
      </c>
      <c r="E89" s="613">
        <f t="shared" si="6"/>
        <v>98.148579221016604</v>
      </c>
      <c r="F89" s="423"/>
      <c r="G89" s="798" t="s">
        <v>1462</v>
      </c>
      <c r="H89" s="768"/>
      <c r="I89" s="457">
        <v>3</v>
      </c>
      <c r="J89" s="772">
        <v>6674140</v>
      </c>
      <c r="K89" s="614">
        <f t="shared" si="7"/>
        <v>46.551715960416942</v>
      </c>
      <c r="L89" s="423"/>
      <c r="M89" s="824" t="s">
        <v>1426</v>
      </c>
      <c r="N89" s="785"/>
      <c r="O89" s="457">
        <v>31.76</v>
      </c>
      <c r="P89" s="769">
        <v>15330681</v>
      </c>
      <c r="Q89" s="613">
        <f t="shared" si="8"/>
        <v>89.972164447490982</v>
      </c>
      <c r="R89" s="435"/>
    </row>
    <row r="90" spans="1:18" ht="15">
      <c r="A90" s="1935" t="s">
        <v>2047</v>
      </c>
      <c r="B90" s="768" t="s">
        <v>41</v>
      </c>
      <c r="C90" s="457">
        <v>1817.77</v>
      </c>
      <c r="D90" s="769">
        <v>15899112</v>
      </c>
      <c r="E90" s="613">
        <f t="shared" si="6"/>
        <v>98.24754288636629</v>
      </c>
      <c r="F90" s="423"/>
      <c r="G90" s="1935" t="s">
        <v>2047</v>
      </c>
      <c r="H90" s="836" t="s">
        <v>41</v>
      </c>
      <c r="I90" s="545">
        <v>1900.09</v>
      </c>
      <c r="J90" s="1939">
        <v>11475410</v>
      </c>
      <c r="K90" s="614">
        <f t="shared" si="7"/>
        <v>80.040278874780597</v>
      </c>
      <c r="L90" s="423"/>
      <c r="M90" s="1941" t="s">
        <v>1466</v>
      </c>
      <c r="N90" s="786"/>
      <c r="O90" s="457">
        <v>15.3</v>
      </c>
      <c r="P90" s="769">
        <v>15514158</v>
      </c>
      <c r="Q90" s="613">
        <f t="shared" si="8"/>
        <v>91.048947847806488</v>
      </c>
      <c r="R90" s="435"/>
    </row>
    <row r="91" spans="1:18" ht="15">
      <c r="A91" s="1936" t="s">
        <v>1430</v>
      </c>
      <c r="B91" s="348" t="s">
        <v>41</v>
      </c>
      <c r="C91" s="457">
        <v>1855.14</v>
      </c>
      <c r="D91" s="1893">
        <v>15899370</v>
      </c>
      <c r="E91" s="1919">
        <f t="shared" si="6"/>
        <v>98.249137180819005</v>
      </c>
      <c r="F91" s="423"/>
      <c r="G91" s="1936" t="s">
        <v>1430</v>
      </c>
      <c r="H91" s="348" t="s">
        <v>41</v>
      </c>
      <c r="I91" s="457">
        <v>1527.62</v>
      </c>
      <c r="J91" s="1893">
        <v>11500089</v>
      </c>
      <c r="K91" s="1919">
        <f t="shared" si="7"/>
        <v>80.212413381726392</v>
      </c>
      <c r="L91" s="423"/>
      <c r="M91" s="739" t="s">
        <v>122</v>
      </c>
      <c r="N91" s="456"/>
      <c r="O91" s="457">
        <v>360.5</v>
      </c>
      <c r="P91" s="1893">
        <v>15557951</v>
      </c>
      <c r="Q91" s="1919">
        <f t="shared" si="8"/>
        <v>91.305958674504211</v>
      </c>
      <c r="R91" s="435"/>
    </row>
    <row r="92" spans="1:18" ht="15">
      <c r="A92" s="789" t="s">
        <v>122</v>
      </c>
      <c r="B92" s="785"/>
      <c r="C92" s="457">
        <v>436.25</v>
      </c>
      <c r="D92" s="769">
        <v>15948364</v>
      </c>
      <c r="E92" s="613">
        <f t="shared" si="6"/>
        <v>98.551892461502263</v>
      </c>
      <c r="F92" s="423"/>
      <c r="G92" s="801" t="s">
        <v>927</v>
      </c>
      <c r="H92" s="768" t="s">
        <v>41</v>
      </c>
      <c r="I92" s="457">
        <v>227.28</v>
      </c>
      <c r="J92" s="769">
        <v>11576707</v>
      </c>
      <c r="K92" s="614">
        <f t="shared" si="7"/>
        <v>80.746819218801306</v>
      </c>
      <c r="L92" s="423"/>
      <c r="M92" s="789" t="s">
        <v>1425</v>
      </c>
      <c r="N92" s="773"/>
      <c r="O92" s="457">
        <v>100.28</v>
      </c>
      <c r="P92" s="769">
        <v>15599864</v>
      </c>
      <c r="Q92" s="613">
        <f t="shared" si="8"/>
        <v>91.551936222956726</v>
      </c>
      <c r="R92" s="435"/>
    </row>
    <row r="93" spans="1:18" ht="15">
      <c r="A93" s="789" t="s">
        <v>1425</v>
      </c>
      <c r="B93" s="773"/>
      <c r="C93" s="457">
        <v>125.9</v>
      </c>
      <c r="D93" s="769">
        <v>15956273</v>
      </c>
      <c r="E93" s="613">
        <f t="shared" si="6"/>
        <v>98.600765619744578</v>
      </c>
      <c r="F93" s="423"/>
      <c r="G93" s="789" t="s">
        <v>1426</v>
      </c>
      <c r="H93" s="785"/>
      <c r="I93" s="457">
        <v>25.75</v>
      </c>
      <c r="J93" s="769">
        <v>11862803</v>
      </c>
      <c r="K93" s="614">
        <f t="shared" si="7"/>
        <v>82.742321220469151</v>
      </c>
      <c r="L93" s="423"/>
      <c r="M93" s="801" t="s">
        <v>1464</v>
      </c>
      <c r="N93" s="768" t="s">
        <v>41</v>
      </c>
      <c r="O93" s="457">
        <v>31.61</v>
      </c>
      <c r="P93" s="769">
        <v>15635305</v>
      </c>
      <c r="Q93" s="613">
        <f t="shared" si="8"/>
        <v>91.759931124173676</v>
      </c>
      <c r="R93" s="435"/>
    </row>
    <row r="94" spans="1:18" ht="15">
      <c r="A94" s="803" t="s">
        <v>694</v>
      </c>
      <c r="B94" s="785"/>
      <c r="C94" s="457">
        <v>17</v>
      </c>
      <c r="D94" s="769">
        <v>15960600</v>
      </c>
      <c r="E94" s="613">
        <f t="shared" si="6"/>
        <v>98.627504038724794</v>
      </c>
      <c r="F94" s="423"/>
      <c r="G94" s="829" t="s">
        <v>1412</v>
      </c>
      <c r="H94" s="773"/>
      <c r="I94" s="457">
        <v>12.6</v>
      </c>
      <c r="J94" s="769">
        <v>12136690</v>
      </c>
      <c r="K94" s="614">
        <f t="shared" si="7"/>
        <v>84.652666198136799</v>
      </c>
      <c r="L94" s="423"/>
      <c r="M94" s="803" t="s">
        <v>694</v>
      </c>
      <c r="N94" s="785"/>
      <c r="O94" s="457">
        <v>14</v>
      </c>
      <c r="P94" s="769">
        <v>15699974</v>
      </c>
      <c r="Q94" s="613">
        <f t="shared" si="8"/>
        <v>92.139458289513215</v>
      </c>
      <c r="R94" s="435"/>
    </row>
    <row r="95" spans="1:18" ht="15">
      <c r="A95" s="828" t="s">
        <v>1412</v>
      </c>
      <c r="B95" s="773"/>
      <c r="C95" s="457">
        <v>4.2</v>
      </c>
      <c r="D95" s="769">
        <v>15969327</v>
      </c>
      <c r="E95" s="613">
        <f t="shared" si="6"/>
        <v>98.68143197550323</v>
      </c>
      <c r="F95" s="423"/>
      <c r="G95" s="827" t="s">
        <v>1464</v>
      </c>
      <c r="H95" s="768" t="s">
        <v>41</v>
      </c>
      <c r="I95" s="457">
        <v>31.2</v>
      </c>
      <c r="J95" s="769">
        <v>12271499</v>
      </c>
      <c r="K95" s="614">
        <f t="shared" si="7"/>
        <v>85.592950680767942</v>
      </c>
      <c r="L95" s="423"/>
      <c r="M95" s="804" t="s">
        <v>1455</v>
      </c>
      <c r="N95" s="768" t="s">
        <v>41</v>
      </c>
      <c r="O95" s="457">
        <v>34.14</v>
      </c>
      <c r="P95" s="769">
        <v>15716690</v>
      </c>
      <c r="Q95" s="613">
        <f t="shared" si="8"/>
        <v>92.237560565655045</v>
      </c>
      <c r="R95" s="435"/>
    </row>
    <row r="96" spans="1:18" ht="15">
      <c r="A96" s="741" t="s">
        <v>1464</v>
      </c>
      <c r="B96" s="459" t="s">
        <v>41</v>
      </c>
      <c r="C96" s="457">
        <v>35.61</v>
      </c>
      <c r="D96" s="106">
        <v>15975237</v>
      </c>
      <c r="E96" s="613">
        <f t="shared" si="6"/>
        <v>98.717952441454941</v>
      </c>
      <c r="F96" s="423"/>
      <c r="G96" s="671" t="s">
        <v>1466</v>
      </c>
      <c r="H96" s="485"/>
      <c r="I96" s="457">
        <v>12.9</v>
      </c>
      <c r="J96" s="106">
        <v>12286355</v>
      </c>
      <c r="K96" s="614">
        <f t="shared" si="7"/>
        <v>85.696570366945934</v>
      </c>
      <c r="L96" s="423"/>
      <c r="M96" s="662" t="s">
        <v>1424</v>
      </c>
      <c r="N96" s="527"/>
      <c r="O96" s="457">
        <v>7.7050000000000001</v>
      </c>
      <c r="P96" s="106">
        <v>15733264</v>
      </c>
      <c r="Q96" s="613">
        <f t="shared" si="8"/>
        <v>92.334829477163467</v>
      </c>
      <c r="R96" s="435"/>
    </row>
    <row r="97" spans="1:18" ht="15">
      <c r="A97" s="668" t="s">
        <v>1424</v>
      </c>
      <c r="B97" s="347"/>
      <c r="C97" s="457">
        <v>7.5339999999999998</v>
      </c>
      <c r="D97" s="335">
        <v>15996848</v>
      </c>
      <c r="E97" s="613">
        <f t="shared" si="6"/>
        <v>98.85149622989529</v>
      </c>
      <c r="F97" s="423"/>
      <c r="G97" s="668" t="s">
        <v>122</v>
      </c>
      <c r="H97" s="456"/>
      <c r="I97" s="457">
        <v>227.5</v>
      </c>
      <c r="J97" s="335">
        <v>12367102</v>
      </c>
      <c r="K97" s="614">
        <f t="shared" si="7"/>
        <v>86.259775725037883</v>
      </c>
      <c r="L97" s="423"/>
      <c r="M97" s="746" t="s">
        <v>1469</v>
      </c>
      <c r="N97" s="348"/>
      <c r="O97" s="458">
        <v>372</v>
      </c>
      <c r="P97" s="335">
        <v>15744586</v>
      </c>
      <c r="Q97" s="613">
        <f t="shared" si="8"/>
        <v>92.401275634765625</v>
      </c>
      <c r="R97" s="435"/>
    </row>
    <row r="98" spans="1:18" ht="15">
      <c r="A98" s="670" t="s">
        <v>557</v>
      </c>
      <c r="B98" s="359"/>
      <c r="C98" s="449">
        <v>9.25</v>
      </c>
      <c r="D98" s="334">
        <v>15998546</v>
      </c>
      <c r="E98" s="613">
        <f t="shared" si="6"/>
        <v>98.861988911991048</v>
      </c>
      <c r="F98" s="423"/>
      <c r="G98" s="662" t="s">
        <v>1425</v>
      </c>
      <c r="H98" s="453"/>
      <c r="I98" s="449">
        <v>78.89</v>
      </c>
      <c r="J98" s="334">
        <v>12412568</v>
      </c>
      <c r="K98" s="614">
        <f t="shared" si="7"/>
        <v>86.576898278334085</v>
      </c>
      <c r="L98" s="423"/>
      <c r="M98" s="669" t="s">
        <v>1412</v>
      </c>
      <c r="N98" s="453"/>
      <c r="O98" s="449">
        <v>4.4000000000000004</v>
      </c>
      <c r="P98" s="334">
        <v>15846102</v>
      </c>
      <c r="Q98" s="613">
        <f t="shared" si="8"/>
        <v>92.997049184945908</v>
      </c>
      <c r="R98" s="435"/>
    </row>
    <row r="99" spans="1:18" ht="15">
      <c r="A99" s="662" t="s">
        <v>1429</v>
      </c>
      <c r="B99" s="454"/>
      <c r="C99" s="457">
        <v>42.6</v>
      </c>
      <c r="D99" s="370">
        <v>16004224</v>
      </c>
      <c r="E99" s="613">
        <f t="shared" si="6"/>
        <v>98.897075748822488</v>
      </c>
      <c r="F99" s="423"/>
      <c r="G99" s="741" t="s">
        <v>1469</v>
      </c>
      <c r="H99" s="348"/>
      <c r="I99" s="458">
        <v>357</v>
      </c>
      <c r="J99" s="370">
        <v>12513899</v>
      </c>
      <c r="K99" s="614">
        <f t="shared" si="7"/>
        <v>87.283675770263386</v>
      </c>
      <c r="L99" s="423"/>
      <c r="M99" s="670" t="s">
        <v>557</v>
      </c>
      <c r="N99" s="347"/>
      <c r="O99" s="457">
        <v>9.7899999999999991</v>
      </c>
      <c r="P99" s="370">
        <v>15882766</v>
      </c>
      <c r="Q99" s="613">
        <f t="shared" si="8"/>
        <v>93.212221585787262</v>
      </c>
      <c r="R99" s="435"/>
    </row>
    <row r="100" spans="1:18" ht="15">
      <c r="A100" s="793" t="s">
        <v>1456</v>
      </c>
      <c r="B100" s="768" t="s">
        <v>41</v>
      </c>
      <c r="C100" s="458">
        <v>3</v>
      </c>
      <c r="D100" s="769">
        <v>16009061</v>
      </c>
      <c r="E100" s="613">
        <f t="shared" si="6"/>
        <v>98.926965680092948</v>
      </c>
      <c r="F100" s="423"/>
      <c r="G100" s="810" t="s">
        <v>557</v>
      </c>
      <c r="H100" s="811"/>
      <c r="I100" s="457">
        <v>8.5</v>
      </c>
      <c r="J100" s="769">
        <v>12631228</v>
      </c>
      <c r="K100" s="614">
        <f t="shared" si="7"/>
        <v>88.102038328123982</v>
      </c>
      <c r="L100" s="423"/>
      <c r="M100" s="793" t="s">
        <v>1419</v>
      </c>
      <c r="N100" s="768" t="s">
        <v>41</v>
      </c>
      <c r="O100" s="458">
        <v>13.51</v>
      </c>
      <c r="P100" s="769">
        <v>15923015</v>
      </c>
      <c r="Q100" s="613">
        <f t="shared" si="8"/>
        <v>93.448433509239777</v>
      </c>
      <c r="R100" s="435"/>
    </row>
    <row r="101" spans="1:18" ht="15">
      <c r="A101" s="741" t="s">
        <v>1469</v>
      </c>
      <c r="B101" s="348"/>
      <c r="C101" s="448">
        <v>367</v>
      </c>
      <c r="D101" s="334">
        <v>16010448</v>
      </c>
      <c r="E101" s="613">
        <f t="shared" si="6"/>
        <v>98.93553655763526</v>
      </c>
      <c r="F101" s="423"/>
      <c r="G101" s="825" t="s">
        <v>1455</v>
      </c>
      <c r="H101" s="348" t="s">
        <v>41</v>
      </c>
      <c r="I101" s="449">
        <v>4.4850000000000003</v>
      </c>
      <c r="J101" s="334">
        <v>12694548</v>
      </c>
      <c r="K101" s="614">
        <f t="shared" si="7"/>
        <v>88.543691433185245</v>
      </c>
      <c r="L101" s="423"/>
      <c r="M101" s="662" t="s">
        <v>1456</v>
      </c>
      <c r="N101" s="348" t="s">
        <v>41</v>
      </c>
      <c r="O101" s="448">
        <v>3</v>
      </c>
      <c r="P101" s="334">
        <v>16082982</v>
      </c>
      <c r="Q101" s="613">
        <f t="shared" si="8"/>
        <v>94.387242243840149</v>
      </c>
      <c r="R101" s="435"/>
    </row>
    <row r="102" spans="1:18" ht="15">
      <c r="A102" s="662" t="s">
        <v>1419</v>
      </c>
      <c r="B102" s="459" t="s">
        <v>41</v>
      </c>
      <c r="C102" s="448">
        <v>10.9</v>
      </c>
      <c r="D102" s="334">
        <v>16021582</v>
      </c>
      <c r="E102" s="613">
        <f t="shared" si="6"/>
        <v>99.004338396536497</v>
      </c>
      <c r="F102" s="423"/>
      <c r="G102" s="662" t="s">
        <v>1424</v>
      </c>
      <c r="H102" s="527"/>
      <c r="I102" s="449">
        <v>6.194</v>
      </c>
      <c r="J102" s="334">
        <v>12807056</v>
      </c>
      <c r="K102" s="614">
        <f t="shared" si="7"/>
        <v>89.328427812595123</v>
      </c>
      <c r="L102" s="423"/>
      <c r="M102" s="662" t="s">
        <v>2049</v>
      </c>
      <c r="N102" s="461"/>
      <c r="O102" s="449">
        <v>3</v>
      </c>
      <c r="P102" s="334">
        <v>16083258</v>
      </c>
      <c r="Q102" s="613">
        <f t="shared" si="8"/>
        <v>94.388862022986785</v>
      </c>
      <c r="R102" s="435"/>
    </row>
    <row r="103" spans="1:18" ht="15">
      <c r="A103" s="668" t="s">
        <v>1416</v>
      </c>
      <c r="B103" s="350"/>
      <c r="C103" s="449">
        <v>1</v>
      </c>
      <c r="D103" s="106">
        <v>16028964</v>
      </c>
      <c r="E103" s="613">
        <f t="shared" si="6"/>
        <v>99.049954992078895</v>
      </c>
      <c r="F103" s="423"/>
      <c r="G103" s="746" t="s">
        <v>1169</v>
      </c>
      <c r="H103" s="451"/>
      <c r="I103" s="449">
        <v>6.6</v>
      </c>
      <c r="J103" s="106">
        <v>12860955</v>
      </c>
      <c r="K103" s="614">
        <f t="shared" si="7"/>
        <v>89.704370022160774</v>
      </c>
      <c r="L103" s="423"/>
      <c r="M103" s="784" t="s">
        <v>1427</v>
      </c>
      <c r="N103" s="348" t="s">
        <v>41</v>
      </c>
      <c r="O103" s="449">
        <v>4</v>
      </c>
      <c r="P103" s="106">
        <v>16181027</v>
      </c>
      <c r="Q103" s="613">
        <f t="shared" si="8"/>
        <v>94.962645310621994</v>
      </c>
      <c r="R103" s="435"/>
    </row>
    <row r="104" spans="1:18" ht="15">
      <c r="A104" s="825" t="s">
        <v>1455</v>
      </c>
      <c r="B104" s="348" t="s">
        <v>41</v>
      </c>
      <c r="C104" s="449">
        <v>3.7970000000000002</v>
      </c>
      <c r="D104" s="106">
        <v>16053306</v>
      </c>
      <c r="E104" s="613">
        <f t="shared" si="6"/>
        <v>99.200374819861722</v>
      </c>
      <c r="F104" s="423"/>
      <c r="G104" s="741" t="s">
        <v>694</v>
      </c>
      <c r="H104" s="456"/>
      <c r="I104" s="449">
        <v>11</v>
      </c>
      <c r="J104" s="106">
        <v>12958381</v>
      </c>
      <c r="K104" s="614">
        <f t="shared" si="7"/>
        <v>90.383910379294363</v>
      </c>
      <c r="L104" s="423"/>
      <c r="M104" s="741" t="s">
        <v>1169</v>
      </c>
      <c r="N104" s="451"/>
      <c r="O104" s="449">
        <v>8.6199999999999992</v>
      </c>
      <c r="P104" s="106">
        <v>16199787</v>
      </c>
      <c r="Q104" s="613">
        <f t="shared" si="8"/>
        <v>95.072743342472961</v>
      </c>
      <c r="R104" s="435"/>
    </row>
    <row r="105" spans="1:18" ht="15">
      <c r="A105" s="830" t="s">
        <v>1466</v>
      </c>
      <c r="B105" s="800"/>
      <c r="C105" s="449">
        <v>20.399999999999999</v>
      </c>
      <c r="D105" s="106">
        <v>16054380</v>
      </c>
      <c r="E105" s="613">
        <f t="shared" si="6"/>
        <v>99.207011533978829</v>
      </c>
      <c r="F105" s="423"/>
      <c r="G105" s="783" t="s">
        <v>1485</v>
      </c>
      <c r="H105" s="360"/>
      <c r="I105" s="449">
        <v>4</v>
      </c>
      <c r="J105" s="377">
        <v>13125422</v>
      </c>
      <c r="K105" s="614">
        <f t="shared" si="7"/>
        <v>91.549011079271295</v>
      </c>
      <c r="L105" s="423"/>
      <c r="M105" s="668" t="s">
        <v>1429</v>
      </c>
      <c r="N105" s="595"/>
      <c r="O105" s="449">
        <v>35.299999999999997</v>
      </c>
      <c r="P105" s="106">
        <v>16211216</v>
      </c>
      <c r="Q105" s="613">
        <f t="shared" si="8"/>
        <v>95.139817457932693</v>
      </c>
      <c r="R105" s="435"/>
    </row>
    <row r="106" spans="1:18" ht="15">
      <c r="A106" s="669" t="s">
        <v>2045</v>
      </c>
      <c r="B106" s="350"/>
      <c r="C106" s="448">
        <v>1</v>
      </c>
      <c r="D106" s="331">
        <v>16055225</v>
      </c>
      <c r="E106" s="613">
        <f t="shared" si="6"/>
        <v>99.212233157283265</v>
      </c>
      <c r="F106" s="423"/>
      <c r="G106" s="662" t="s">
        <v>1420</v>
      </c>
      <c r="H106" s="348" t="s">
        <v>41</v>
      </c>
      <c r="I106" s="449">
        <v>4.0999999999999996</v>
      </c>
      <c r="J106" s="106">
        <v>13184268</v>
      </c>
      <c r="K106" s="614">
        <f t="shared" si="7"/>
        <v>91.959458309537169</v>
      </c>
      <c r="L106" s="423"/>
      <c r="M106" s="662" t="s">
        <v>1420</v>
      </c>
      <c r="N106" s="348" t="s">
        <v>41</v>
      </c>
      <c r="O106" s="449">
        <v>3.9</v>
      </c>
      <c r="P106" s="106">
        <v>16345140</v>
      </c>
      <c r="Q106" s="613">
        <f t="shared" si="8"/>
        <v>95.925785945012024</v>
      </c>
      <c r="R106" s="435"/>
    </row>
    <row r="107" spans="1:18" ht="15">
      <c r="A107" s="662" t="s">
        <v>1423</v>
      </c>
      <c r="B107" s="779"/>
      <c r="C107" s="449">
        <v>1</v>
      </c>
      <c r="D107" s="1272">
        <v>16062296</v>
      </c>
      <c r="E107" s="613">
        <f t="shared" si="6"/>
        <v>99.255927948272188</v>
      </c>
      <c r="F107" s="264"/>
      <c r="G107" s="662" t="s">
        <v>1429</v>
      </c>
      <c r="H107" s="1290"/>
      <c r="I107" s="449">
        <v>38.200000000000003</v>
      </c>
      <c r="J107" s="1272">
        <v>13192515</v>
      </c>
      <c r="K107" s="614">
        <f t="shared" si="7"/>
        <v>92.016980627247847</v>
      </c>
      <c r="L107" s="264"/>
      <c r="M107" s="662" t="s">
        <v>1416</v>
      </c>
      <c r="N107" s="1270"/>
      <c r="O107" s="1273">
        <v>1</v>
      </c>
      <c r="P107" s="1272">
        <v>16499443</v>
      </c>
      <c r="Q107" s="613">
        <f t="shared" si="8"/>
        <v>96.83135399451622</v>
      </c>
      <c r="R107" s="435"/>
    </row>
    <row r="108" spans="1:18" ht="15">
      <c r="A108" s="662" t="s">
        <v>1420</v>
      </c>
      <c r="B108" s="348" t="s">
        <v>41</v>
      </c>
      <c r="C108" s="346">
        <v>5.9</v>
      </c>
      <c r="D108" s="98">
        <v>16095430</v>
      </c>
      <c r="E108" s="613">
        <f t="shared" si="6"/>
        <v>99.460677376164568</v>
      </c>
      <c r="F108" s="423"/>
      <c r="G108" s="662" t="s">
        <v>1419</v>
      </c>
      <c r="H108" s="348" t="s">
        <v>41</v>
      </c>
      <c r="I108" s="466">
        <v>9.66</v>
      </c>
      <c r="J108" s="98">
        <v>13437765</v>
      </c>
      <c r="K108" s="614">
        <f t="shared" si="7"/>
        <v>93.727584291434127</v>
      </c>
      <c r="L108" s="423"/>
      <c r="M108" s="662" t="s">
        <v>1423</v>
      </c>
      <c r="N108" s="350"/>
      <c r="O108" s="346">
        <v>1</v>
      </c>
      <c r="P108" s="98">
        <v>16503428</v>
      </c>
      <c r="Q108" s="613">
        <f t="shared" si="8"/>
        <v>96.854741023137024</v>
      </c>
      <c r="R108" s="435"/>
    </row>
    <row r="109" spans="1:18" ht="15">
      <c r="A109" s="668" t="s">
        <v>1428</v>
      </c>
      <c r="B109" s="350"/>
      <c r="C109" s="448">
        <v>10</v>
      </c>
      <c r="D109" s="106">
        <v>16110815</v>
      </c>
      <c r="E109" s="613">
        <f t="shared" si="6"/>
        <v>99.555747996920417</v>
      </c>
      <c r="F109" s="423"/>
      <c r="G109" s="668" t="s">
        <v>1456</v>
      </c>
      <c r="H109" s="348" t="s">
        <v>41</v>
      </c>
      <c r="I109" s="448">
        <v>3</v>
      </c>
      <c r="J109" s="106">
        <v>13533522</v>
      </c>
      <c r="K109" s="614">
        <f t="shared" si="7"/>
        <v>94.39548347623122</v>
      </c>
      <c r="L109" s="423"/>
      <c r="M109" s="736" t="s">
        <v>2045</v>
      </c>
      <c r="N109" s="348"/>
      <c r="O109" s="449">
        <v>1</v>
      </c>
      <c r="P109" s="106">
        <v>16521638</v>
      </c>
      <c r="Q109" s="613">
        <f t="shared" si="8"/>
        <v>96.961611234224762</v>
      </c>
      <c r="R109" s="435"/>
    </row>
    <row r="110" spans="1:18" ht="15">
      <c r="A110" s="662" t="s">
        <v>2049</v>
      </c>
      <c r="B110" s="779"/>
      <c r="C110" s="449">
        <v>3</v>
      </c>
      <c r="D110" s="106">
        <v>16155999</v>
      </c>
      <c r="E110" s="613">
        <f t="shared" si="6"/>
        <v>99.834959626964761</v>
      </c>
      <c r="F110" s="423"/>
      <c r="G110" s="662" t="s">
        <v>2049</v>
      </c>
      <c r="H110" s="779"/>
      <c r="I110" s="449">
        <v>4</v>
      </c>
      <c r="J110" s="106">
        <v>13536617</v>
      </c>
      <c r="K110" s="614">
        <f t="shared" si="7"/>
        <v>94.417070910851635</v>
      </c>
      <c r="L110" s="423"/>
      <c r="M110" s="662" t="s">
        <v>1428</v>
      </c>
      <c r="N110" s="779"/>
      <c r="O110" s="448">
        <v>9</v>
      </c>
      <c r="P110" s="106">
        <v>16633012</v>
      </c>
      <c r="Q110" s="613">
        <f t="shared" si="8"/>
        <v>97.615239070012024</v>
      </c>
      <c r="R110" s="435"/>
    </row>
    <row r="111" spans="1:18" ht="15">
      <c r="A111" s="673" t="s">
        <v>1427</v>
      </c>
      <c r="B111" s="497" t="s">
        <v>41</v>
      </c>
      <c r="C111" s="449">
        <v>4</v>
      </c>
      <c r="D111" s="106">
        <v>16165696</v>
      </c>
      <c r="E111" s="613">
        <f t="shared" si="6"/>
        <v>99.89488161653054</v>
      </c>
      <c r="F111" s="423"/>
      <c r="G111" s="673" t="s">
        <v>1427</v>
      </c>
      <c r="H111" s="497" t="s">
        <v>41</v>
      </c>
      <c r="I111" s="449">
        <v>3</v>
      </c>
      <c r="J111" s="106">
        <v>13600918</v>
      </c>
      <c r="K111" s="614">
        <f t="shared" si="7"/>
        <v>94.865566430569643</v>
      </c>
      <c r="L111" s="423"/>
      <c r="M111" s="670" t="s">
        <v>600</v>
      </c>
      <c r="N111" s="778"/>
      <c r="O111" s="449"/>
      <c r="P111" s="106">
        <v>17039360</v>
      </c>
      <c r="Q111" s="613">
        <f t="shared" si="8"/>
        <v>100</v>
      </c>
      <c r="R111" s="435"/>
    </row>
    <row r="112" spans="1:18" ht="15">
      <c r="A112" s="670" t="s">
        <v>600</v>
      </c>
      <c r="B112" s="832"/>
      <c r="C112" s="449"/>
      <c r="D112" s="106">
        <v>16182707</v>
      </c>
      <c r="E112" s="613">
        <f t="shared" si="6"/>
        <v>100</v>
      </c>
      <c r="F112" s="423"/>
      <c r="G112" s="662" t="s">
        <v>1423</v>
      </c>
      <c r="H112" s="722"/>
      <c r="I112" s="449">
        <v>1</v>
      </c>
      <c r="J112" s="106">
        <v>14072781</v>
      </c>
      <c r="K112" s="614">
        <f t="shared" si="7"/>
        <v>98.156781830341032</v>
      </c>
      <c r="L112" s="423"/>
      <c r="M112" s="783" t="s">
        <v>1485</v>
      </c>
      <c r="N112" s="355"/>
      <c r="O112" s="449">
        <v>1</v>
      </c>
      <c r="P112" s="377">
        <v>18503280</v>
      </c>
      <c r="Q112" s="613">
        <f t="shared" si="8"/>
        <v>108.59140249399039</v>
      </c>
      <c r="R112" s="435"/>
    </row>
    <row r="113" spans="1:18" ht="15">
      <c r="A113" s="783" t="s">
        <v>1485</v>
      </c>
      <c r="B113" s="497"/>
      <c r="C113" s="449">
        <v>2</v>
      </c>
      <c r="D113" s="377">
        <v>17665054</v>
      </c>
      <c r="E113" s="613">
        <f t="shared" si="6"/>
        <v>109.16006821355661</v>
      </c>
      <c r="F113" s="423"/>
      <c r="G113" s="669" t="s">
        <v>2045</v>
      </c>
      <c r="H113" s="495"/>
      <c r="I113" s="448">
        <v>1</v>
      </c>
      <c r="J113" s="331">
        <v>14073062</v>
      </c>
      <c r="K113" s="614">
        <f t="shared" si="7"/>
        <v>98.158741788056176</v>
      </c>
      <c r="L113" s="423"/>
      <c r="M113" s="783" t="s">
        <v>1463</v>
      </c>
      <c r="N113" s="497"/>
      <c r="O113" s="449">
        <v>14</v>
      </c>
      <c r="P113" s="377">
        <v>19098858</v>
      </c>
      <c r="Q113" s="613">
        <f t="shared" si="8"/>
        <v>112.08670982947716</v>
      </c>
      <c r="R113" s="435"/>
    </row>
    <row r="114" spans="1:18" ht="15">
      <c r="A114" s="783" t="s">
        <v>1463</v>
      </c>
      <c r="B114" s="497"/>
      <c r="C114" s="449">
        <v>19</v>
      </c>
      <c r="D114" s="377">
        <v>22122909</v>
      </c>
      <c r="E114" s="613">
        <f t="shared" si="6"/>
        <v>136.70709727365144</v>
      </c>
      <c r="F114" s="423"/>
      <c r="G114" s="662" t="s">
        <v>1416</v>
      </c>
      <c r="H114" s="495"/>
      <c r="I114" s="449">
        <v>1</v>
      </c>
      <c r="J114" s="106">
        <v>14123268</v>
      </c>
      <c r="K114" s="614">
        <f t="shared" si="7"/>
        <v>98.508925549785573</v>
      </c>
      <c r="L114" s="423"/>
      <c r="M114" s="783" t="s">
        <v>1468</v>
      </c>
      <c r="N114" s="498"/>
      <c r="O114" s="449">
        <v>5</v>
      </c>
      <c r="P114" s="377">
        <v>20985396</v>
      </c>
      <c r="Q114" s="613">
        <f t="shared" si="8"/>
        <v>123.15835806039664</v>
      </c>
      <c r="R114" s="435"/>
    </row>
    <row r="115" spans="1:18" ht="15">
      <c r="A115" s="783" t="s">
        <v>1468</v>
      </c>
      <c r="B115" s="456"/>
      <c r="C115" s="449">
        <v>7</v>
      </c>
      <c r="D115" s="377">
        <v>23848040</v>
      </c>
      <c r="E115" s="613">
        <f t="shared" si="6"/>
        <v>147.36743364382733</v>
      </c>
      <c r="F115" s="423"/>
      <c r="G115" s="662" t="s">
        <v>1428</v>
      </c>
      <c r="H115" s="350"/>
      <c r="I115" s="448">
        <v>11</v>
      </c>
      <c r="J115" s="106">
        <v>14134001</v>
      </c>
      <c r="K115" s="614">
        <f t="shared" si="7"/>
        <v>98.583787564577463</v>
      </c>
      <c r="L115" s="423"/>
      <c r="M115" s="783" t="s">
        <v>1467</v>
      </c>
      <c r="N115" s="456"/>
      <c r="O115" s="449">
        <v>6</v>
      </c>
      <c r="P115" s="377">
        <v>27843785</v>
      </c>
      <c r="Q115" s="613">
        <f t="shared" si="8"/>
        <v>163.40863154484674</v>
      </c>
      <c r="R115" s="435"/>
    </row>
    <row r="116" spans="1:18" ht="15">
      <c r="A116" s="783" t="s">
        <v>1467</v>
      </c>
      <c r="B116" s="839"/>
      <c r="C116" s="449">
        <v>10</v>
      </c>
      <c r="D116" s="377">
        <v>26546222</v>
      </c>
      <c r="E116" s="613">
        <f t="shared" si="6"/>
        <v>164.04067626015845</v>
      </c>
      <c r="F116" s="423"/>
      <c r="G116" s="670" t="s">
        <v>600</v>
      </c>
      <c r="H116" s="648"/>
      <c r="I116" s="449"/>
      <c r="J116" s="106">
        <v>14337044</v>
      </c>
      <c r="K116" s="614">
        <f t="shared" si="7"/>
        <v>100</v>
      </c>
      <c r="L116" s="423"/>
      <c r="M116" s="783" t="s">
        <v>1462</v>
      </c>
      <c r="N116" s="775"/>
      <c r="O116" s="449">
        <v>2</v>
      </c>
      <c r="P116" s="377">
        <v>28617774</v>
      </c>
      <c r="Q116" s="613">
        <f t="shared" si="8"/>
        <v>167.95099111703726</v>
      </c>
      <c r="R116" s="435"/>
    </row>
    <row r="117" spans="1:18" ht="15">
      <c r="A117" s="781" t="s">
        <v>1462</v>
      </c>
      <c r="B117" s="777"/>
      <c r="C117" s="449">
        <v>12</v>
      </c>
      <c r="D117" s="377">
        <v>30605788</v>
      </c>
      <c r="E117" s="613">
        <f t="shared" si="6"/>
        <v>189.12650398972187</v>
      </c>
      <c r="F117" s="423"/>
      <c r="G117" s="766" t="s">
        <v>1470</v>
      </c>
      <c r="H117" s="777"/>
      <c r="I117" s="469"/>
      <c r="J117" s="377" t="s">
        <v>549</v>
      </c>
      <c r="K117" s="614"/>
      <c r="L117" s="423"/>
      <c r="M117" s="766" t="s">
        <v>1470</v>
      </c>
      <c r="N117" s="777"/>
      <c r="O117" s="469"/>
      <c r="P117" s="377" t="s">
        <v>549</v>
      </c>
      <c r="Q117" s="613"/>
      <c r="R117" s="435"/>
    </row>
    <row r="118" spans="1:18" ht="15">
      <c r="A118" s="429"/>
      <c r="B118" s="264"/>
      <c r="C118" s="539"/>
      <c r="D118" s="53"/>
      <c r="E118" s="765"/>
      <c r="F118" s="423"/>
      <c r="G118" s="429"/>
      <c r="H118" s="464"/>
      <c r="I118" s="532"/>
      <c r="J118" s="267"/>
      <c r="K118" s="765"/>
      <c r="L118" s="423"/>
      <c r="M118" s="429"/>
      <c r="N118" s="464"/>
      <c r="O118" s="533"/>
      <c r="P118" s="53"/>
      <c r="Q118" s="765"/>
      <c r="R118" s="435"/>
    </row>
    <row r="119" spans="1:18" ht="17.25">
      <c r="A119" s="429"/>
      <c r="B119" s="713" t="s">
        <v>1432</v>
      </c>
      <c r="C119" s="539"/>
      <c r="D119" s="53"/>
      <c r="E119" s="765"/>
      <c r="F119" s="423"/>
      <c r="G119" s="429"/>
      <c r="H119" s="464"/>
      <c r="I119" s="532"/>
      <c r="J119" s="267"/>
      <c r="K119" s="765"/>
      <c r="L119" s="423"/>
      <c r="M119" s="429"/>
      <c r="N119" s="464"/>
      <c r="O119" s="533"/>
      <c r="P119" s="53"/>
      <c r="Q119" s="765"/>
      <c r="R119" s="435"/>
    </row>
    <row r="120" spans="1:18" ht="17.25">
      <c r="A120" s="429"/>
      <c r="B120" s="283" t="s">
        <v>1271</v>
      </c>
      <c r="C120" s="539"/>
      <c r="D120" s="53"/>
      <c r="E120" s="765"/>
      <c r="F120" s="423"/>
      <c r="G120" s="429"/>
      <c r="H120" s="464"/>
      <c r="I120" s="532"/>
      <c r="J120" s="267"/>
      <c r="K120" s="765"/>
      <c r="L120" s="423"/>
      <c r="M120" s="429"/>
      <c r="N120" s="464"/>
      <c r="O120" s="533"/>
      <c r="P120" s="53"/>
      <c r="Q120" s="765"/>
      <c r="R120" s="435"/>
    </row>
    <row r="121" spans="1:18" ht="17.25">
      <c r="A121" s="429"/>
      <c r="B121" s="55" t="s">
        <v>1465</v>
      </c>
      <c r="C121" s="539"/>
      <c r="D121" s="53"/>
      <c r="E121" s="765"/>
      <c r="F121" s="423"/>
      <c r="G121" s="429"/>
      <c r="H121" s="464"/>
      <c r="I121" s="532"/>
      <c r="J121" s="267"/>
      <c r="K121" s="765"/>
      <c r="L121" s="423"/>
      <c r="M121" s="429"/>
      <c r="N121" s="464"/>
      <c r="O121" s="533"/>
      <c r="P121" s="53"/>
      <c r="Q121" s="765"/>
      <c r="R121" s="435"/>
    </row>
    <row r="122" spans="1:18" ht="15">
      <c r="A122" s="429"/>
      <c r="B122" s="264"/>
      <c r="C122" s="539"/>
      <c r="D122" s="53"/>
      <c r="E122" s="765"/>
      <c r="F122" s="423"/>
      <c r="G122" s="429"/>
      <c r="H122" s="464"/>
      <c r="I122" s="532"/>
      <c r="J122" s="267"/>
      <c r="K122" s="765"/>
      <c r="L122" s="423"/>
      <c r="M122" s="429"/>
      <c r="N122" s="464"/>
      <c r="O122" s="533"/>
      <c r="P122" s="53"/>
      <c r="Q122" s="765"/>
      <c r="R122" s="435"/>
    </row>
    <row r="123" spans="1:18" ht="15">
      <c r="A123" s="429"/>
      <c r="B123" s="264"/>
      <c r="C123" s="539"/>
      <c r="D123" s="53"/>
      <c r="E123" s="765"/>
      <c r="F123" s="423"/>
      <c r="G123" s="429"/>
      <c r="H123" s="464"/>
      <c r="I123" s="532"/>
      <c r="J123" s="267"/>
      <c r="K123" s="765"/>
      <c r="L123" s="423"/>
      <c r="M123" s="429"/>
      <c r="N123" s="464"/>
      <c r="O123" s="533"/>
      <c r="P123" s="53"/>
      <c r="Q123" s="765"/>
      <c r="R123" s="435"/>
    </row>
    <row r="124" spans="1:18" ht="20.25">
      <c r="A124" s="816" t="s">
        <v>566</v>
      </c>
      <c r="B124" s="423"/>
      <c r="C124" s="423"/>
      <c r="D124" s="423"/>
      <c r="E124" s="434"/>
      <c r="F124" s="423"/>
      <c r="G124" s="380"/>
      <c r="H124" s="380"/>
      <c r="I124" s="380"/>
      <c r="J124" s="380"/>
      <c r="K124" s="380"/>
      <c r="L124" s="380"/>
      <c r="M124" s="380"/>
      <c r="N124" s="423"/>
      <c r="O124" s="423"/>
      <c r="P124" s="423"/>
      <c r="Q124" s="434"/>
      <c r="R124" s="435"/>
    </row>
    <row r="125" spans="1:18" ht="15.75" thickBot="1">
      <c r="A125" s="477"/>
      <c r="B125" s="477"/>
      <c r="C125" s="477"/>
      <c r="D125" s="477"/>
      <c r="E125" s="478"/>
      <c r="F125" s="477"/>
      <c r="G125" s="381"/>
      <c r="H125" s="381"/>
      <c r="I125" s="381"/>
      <c r="J125" s="381"/>
      <c r="K125" s="381"/>
      <c r="L125" s="381"/>
      <c r="M125" s="381"/>
      <c r="N125" s="477"/>
      <c r="O125" s="477"/>
      <c r="P125" s="477"/>
      <c r="Q125" s="478"/>
      <c r="R125" s="435"/>
    </row>
    <row r="126" spans="1:18" ht="15.75" thickTop="1">
      <c r="A126" s="805"/>
      <c r="B126" s="805"/>
      <c r="C126" s="805"/>
      <c r="D126" s="805"/>
      <c r="E126" s="596"/>
      <c r="F126" s="805"/>
      <c r="G126" s="380"/>
      <c r="H126" s="380"/>
      <c r="I126" s="380"/>
      <c r="J126" s="380"/>
      <c r="K126" s="380"/>
      <c r="L126" s="380"/>
      <c r="M126" s="380"/>
      <c r="N126" s="805"/>
      <c r="O126" s="805"/>
      <c r="P126" s="805"/>
      <c r="Q126" s="596"/>
      <c r="R126" s="435"/>
    </row>
    <row r="127" spans="1:18" ht="15">
      <c r="A127" s="429" t="s">
        <v>736</v>
      </c>
      <c r="B127" s="430"/>
      <c r="C127" s="430"/>
      <c r="D127" s="264"/>
      <c r="E127" s="431"/>
      <c r="F127" s="264"/>
      <c r="G127" s="429" t="s">
        <v>762</v>
      </c>
      <c r="H127" s="264"/>
      <c r="I127" s="264"/>
      <c r="J127" s="264"/>
      <c r="K127" s="431"/>
      <c r="L127" s="264"/>
      <c r="M127" s="429" t="s">
        <v>735</v>
      </c>
      <c r="N127" s="264"/>
      <c r="O127" s="264"/>
      <c r="P127" s="264"/>
      <c r="Q127" s="431"/>
      <c r="R127" s="435"/>
    </row>
    <row r="128" spans="1:18" ht="15">
      <c r="A128" s="382" t="s">
        <v>738</v>
      </c>
      <c r="B128" s="436"/>
      <c r="C128" s="479"/>
      <c r="D128" s="3171" t="s">
        <v>719</v>
      </c>
      <c r="E128" s="3171"/>
      <c r="F128" s="264"/>
      <c r="G128" s="383" t="s">
        <v>761</v>
      </c>
      <c r="H128" s="480"/>
      <c r="I128" s="480"/>
      <c r="J128" s="3167" t="s">
        <v>737</v>
      </c>
      <c r="K128" s="3167"/>
      <c r="L128" s="264"/>
      <c r="M128" s="382" t="s">
        <v>739</v>
      </c>
      <c r="N128" s="481"/>
      <c r="O128" s="479"/>
      <c r="P128" s="3171" t="s">
        <v>720</v>
      </c>
      <c r="Q128" s="3171"/>
      <c r="R128" s="435"/>
    </row>
    <row r="129" spans="1:18" ht="15">
      <c r="A129" s="671" t="s">
        <v>1215</v>
      </c>
      <c r="B129" s="2983"/>
      <c r="C129" s="486">
        <v>3.68</v>
      </c>
      <c r="D129" s="377">
        <v>1113736</v>
      </c>
      <c r="E129" s="613">
        <f t="shared" ref="E129:E153" si="9">(D129*100/1854179)</f>
        <v>60.066261132285504</v>
      </c>
      <c r="F129" s="264"/>
      <c r="G129" s="647" t="s">
        <v>2047</v>
      </c>
      <c r="H129" s="523" t="s">
        <v>41</v>
      </c>
      <c r="I129" s="483">
        <v>92.92</v>
      </c>
      <c r="J129" s="1923">
        <v>5066556</v>
      </c>
      <c r="K129" s="614">
        <f>(J129*100/7132151)</f>
        <v>71.038260406993629</v>
      </c>
      <c r="L129" s="264"/>
      <c r="M129" s="372" t="s">
        <v>1215</v>
      </c>
      <c r="N129" s="484"/>
      <c r="O129" s="482">
        <v>11.9</v>
      </c>
      <c r="P129" s="698">
        <v>2554639</v>
      </c>
      <c r="Q129" s="613">
        <f>(P129*100/4696877)</f>
        <v>54.390161803257783</v>
      </c>
      <c r="R129" s="435"/>
    </row>
    <row r="130" spans="1:18" ht="15">
      <c r="A130" s="740" t="s">
        <v>1169</v>
      </c>
      <c r="B130" s="2982"/>
      <c r="C130" s="442">
        <v>0.7</v>
      </c>
      <c r="D130" s="2984">
        <v>1315760</v>
      </c>
      <c r="E130" s="613">
        <f t="shared" si="9"/>
        <v>70.961865062650375</v>
      </c>
      <c r="F130" s="264"/>
      <c r="G130" s="1932" t="s">
        <v>1430</v>
      </c>
      <c r="H130" s="465" t="s">
        <v>41</v>
      </c>
      <c r="I130" s="851">
        <v>109.12</v>
      </c>
      <c r="J130" s="408">
        <v>5067232</v>
      </c>
      <c r="K130" s="614">
        <f>(J130*100/7132151)</f>
        <v>71.047738613498225</v>
      </c>
      <c r="L130" s="264"/>
      <c r="M130" s="384" t="s">
        <v>567</v>
      </c>
      <c r="N130" s="485"/>
      <c r="O130" s="448"/>
      <c r="P130" s="392">
        <v>2874184</v>
      </c>
      <c r="Q130" s="613">
        <f>(P130*100/4696877)</f>
        <v>61.193512199702056</v>
      </c>
      <c r="R130" s="435"/>
    </row>
    <row r="131" spans="1:18" ht="15">
      <c r="A131" s="2981" t="s">
        <v>744</v>
      </c>
      <c r="B131" s="348"/>
      <c r="C131" s="449">
        <v>1</v>
      </c>
      <c r="D131" s="1918">
        <v>1329901</v>
      </c>
      <c r="E131" s="613">
        <f t="shared" si="9"/>
        <v>71.724520663862549</v>
      </c>
      <c r="F131" s="264"/>
      <c r="G131" s="1922" t="s">
        <v>927</v>
      </c>
      <c r="H131" s="348" t="s">
        <v>41</v>
      </c>
      <c r="I131" s="487">
        <v>90.86</v>
      </c>
      <c r="J131" s="1920">
        <v>5068321</v>
      </c>
      <c r="K131" s="614">
        <f>(J131*100/7132151)</f>
        <v>71.063007499420578</v>
      </c>
      <c r="L131" s="264"/>
      <c r="M131" s="1922" t="s">
        <v>1169</v>
      </c>
      <c r="N131" s="451"/>
      <c r="O131" s="449">
        <v>0.9</v>
      </c>
      <c r="P131" s="1893">
        <v>3726773</v>
      </c>
      <c r="Q131" s="613">
        <f>(P131*100/4696877)</f>
        <v>79.345765281909664</v>
      </c>
      <c r="R131" s="435"/>
    </row>
    <row r="132" spans="1:18" ht="15">
      <c r="A132" s="2980" t="s">
        <v>569</v>
      </c>
      <c r="B132" s="348" t="s">
        <v>41</v>
      </c>
      <c r="C132" s="486">
        <v>3</v>
      </c>
      <c r="D132" s="377">
        <v>1546233</v>
      </c>
      <c r="E132" s="613">
        <f t="shared" si="9"/>
        <v>83.391786877103016</v>
      </c>
      <c r="F132" s="264"/>
      <c r="G132" s="340" t="s">
        <v>1215</v>
      </c>
      <c r="H132" s="459"/>
      <c r="I132" s="487">
        <v>8</v>
      </c>
      <c r="J132" s="336">
        <v>5153538</v>
      </c>
      <c r="K132" s="614">
        <f t="shared" ref="K132:K164" si="10">(J132*100/7132151)</f>
        <v>72.257836380637485</v>
      </c>
      <c r="L132" s="264"/>
      <c r="M132" s="664" t="s">
        <v>694</v>
      </c>
      <c r="N132" s="1921"/>
      <c r="O132" s="449">
        <v>47.4</v>
      </c>
      <c r="P132" s="106">
        <v>3834760</v>
      </c>
      <c r="Q132" s="613">
        <f>(P132*100/4696877)</f>
        <v>81.644888720739331</v>
      </c>
      <c r="R132" s="435"/>
    </row>
    <row r="133" spans="1:18" ht="15">
      <c r="A133" s="1935" t="s">
        <v>2047</v>
      </c>
      <c r="B133" s="465" t="s">
        <v>41</v>
      </c>
      <c r="C133" s="449">
        <v>196.13</v>
      </c>
      <c r="D133" s="106">
        <v>1782768</v>
      </c>
      <c r="E133" s="613">
        <f t="shared" si="9"/>
        <v>96.148645842715297</v>
      </c>
      <c r="F133" s="423"/>
      <c r="G133" s="1898" t="s">
        <v>2133</v>
      </c>
      <c r="H133" s="488" t="s">
        <v>41</v>
      </c>
      <c r="I133" s="487">
        <v>6.59</v>
      </c>
      <c r="J133" s="336">
        <v>5391835</v>
      </c>
      <c r="K133" s="614">
        <f t="shared" si="10"/>
        <v>75.599002320618283</v>
      </c>
      <c r="L133" s="423"/>
      <c r="M133" s="678" t="s">
        <v>568</v>
      </c>
      <c r="N133" s="489"/>
      <c r="O133" s="469"/>
      <c r="P133" s="377">
        <v>4357424</v>
      </c>
      <c r="Q133" s="613">
        <f t="shared" ref="Q133:Q153" si="11">(P133*100/4696877)</f>
        <v>92.772793496614881</v>
      </c>
      <c r="R133" s="435"/>
    </row>
    <row r="134" spans="1:18" ht="15">
      <c r="A134" s="1938" t="s">
        <v>1430</v>
      </c>
      <c r="B134" s="348" t="s">
        <v>41</v>
      </c>
      <c r="C134" s="449">
        <v>221.98</v>
      </c>
      <c r="D134" s="106">
        <v>1783255</v>
      </c>
      <c r="E134" s="613">
        <f t="shared" si="9"/>
        <v>96.17491083654815</v>
      </c>
      <c r="F134" s="423"/>
      <c r="G134" s="341" t="s">
        <v>764</v>
      </c>
      <c r="H134" s="488"/>
      <c r="I134" s="487">
        <v>6.27</v>
      </c>
      <c r="J134" s="336">
        <v>5453449</v>
      </c>
      <c r="K134" s="614">
        <f t="shared" si="10"/>
        <v>76.462893172059879</v>
      </c>
      <c r="L134" s="423"/>
      <c r="M134" s="385" t="s">
        <v>569</v>
      </c>
      <c r="N134" s="348" t="s">
        <v>41</v>
      </c>
      <c r="O134" s="449" t="s">
        <v>501</v>
      </c>
      <c r="P134" s="377">
        <v>4401648</v>
      </c>
      <c r="Q134" s="613">
        <f t="shared" si="11"/>
        <v>93.714355304599209</v>
      </c>
      <c r="R134" s="435"/>
    </row>
    <row r="135" spans="1:18" ht="15">
      <c r="A135" s="666" t="s">
        <v>927</v>
      </c>
      <c r="B135" s="459" t="s">
        <v>41</v>
      </c>
      <c r="C135" s="449">
        <v>26.6</v>
      </c>
      <c r="D135" s="334">
        <v>1784700</v>
      </c>
      <c r="E135" s="613">
        <f t="shared" si="9"/>
        <v>96.252842902438218</v>
      </c>
      <c r="F135" s="423"/>
      <c r="G135" s="645" t="s">
        <v>2049</v>
      </c>
      <c r="H135" s="491"/>
      <c r="I135" s="487">
        <v>2</v>
      </c>
      <c r="J135" s="331">
        <v>5505032</v>
      </c>
      <c r="K135" s="614">
        <f t="shared" si="10"/>
        <v>77.186139216626231</v>
      </c>
      <c r="L135" s="423"/>
      <c r="M135" s="1924" t="s">
        <v>927</v>
      </c>
      <c r="N135" s="459" t="s">
        <v>41</v>
      </c>
      <c r="O135" s="457">
        <v>69.62</v>
      </c>
      <c r="P135" s="106">
        <v>4650725</v>
      </c>
      <c r="Q135" s="613">
        <f t="shared" si="11"/>
        <v>99.017389639967149</v>
      </c>
      <c r="R135" s="435"/>
    </row>
    <row r="136" spans="1:18" ht="15">
      <c r="A136" s="668" t="s">
        <v>1426</v>
      </c>
      <c r="B136" s="456"/>
      <c r="C136" s="457">
        <v>3.56</v>
      </c>
      <c r="D136" s="335">
        <v>1796575</v>
      </c>
      <c r="E136" s="615">
        <f t="shared" si="9"/>
        <v>96.893288080600627</v>
      </c>
      <c r="F136" s="423"/>
      <c r="G136" s="621" t="s">
        <v>941</v>
      </c>
      <c r="H136" s="493"/>
      <c r="I136" s="492">
        <v>11.9</v>
      </c>
      <c r="J136" s="335">
        <v>5515505</v>
      </c>
      <c r="K136" s="615">
        <f t="shared" si="10"/>
        <v>77.332981312369853</v>
      </c>
      <c r="L136" s="423"/>
      <c r="M136" s="1292" t="s">
        <v>2047</v>
      </c>
      <c r="N136" s="1925" t="s">
        <v>41</v>
      </c>
      <c r="O136" s="458">
        <v>560.27</v>
      </c>
      <c r="P136" s="335">
        <v>4651675</v>
      </c>
      <c r="Q136" s="615">
        <f t="shared" si="11"/>
        <v>99.037615845592725</v>
      </c>
      <c r="R136" s="435"/>
    </row>
    <row r="137" spans="1:18" ht="15">
      <c r="A137" s="662" t="s">
        <v>122</v>
      </c>
      <c r="B137" s="358"/>
      <c r="C137" s="449">
        <v>43.26</v>
      </c>
      <c r="D137" s="334">
        <v>1799454</v>
      </c>
      <c r="E137" s="613">
        <f t="shared" si="9"/>
        <v>97.048558957899971</v>
      </c>
      <c r="F137" s="423"/>
      <c r="G137" s="624" t="s">
        <v>1436</v>
      </c>
      <c r="H137" s="348" t="s">
        <v>41</v>
      </c>
      <c r="I137" s="487">
        <v>57.06</v>
      </c>
      <c r="J137" s="334">
        <v>5636813</v>
      </c>
      <c r="K137" s="614">
        <f t="shared" si="10"/>
        <v>79.033842665417481</v>
      </c>
      <c r="L137" s="423"/>
      <c r="M137" s="1932" t="s">
        <v>1430</v>
      </c>
      <c r="N137" s="348" t="s">
        <v>41</v>
      </c>
      <c r="O137" s="449">
        <v>564.96</v>
      </c>
      <c r="P137" s="334">
        <v>4652081</v>
      </c>
      <c r="Q137" s="613">
        <f t="shared" si="11"/>
        <v>99.046259887154804</v>
      </c>
      <c r="R137" s="435"/>
    </row>
    <row r="138" spans="1:18" ht="15">
      <c r="A138" s="666" t="s">
        <v>1418</v>
      </c>
      <c r="B138" s="348" t="s">
        <v>41</v>
      </c>
      <c r="C138" s="457">
        <v>3.83</v>
      </c>
      <c r="D138" s="370">
        <v>1801540</v>
      </c>
      <c r="E138" s="613">
        <f t="shared" si="9"/>
        <v>97.161061580354428</v>
      </c>
      <c r="F138" s="423"/>
      <c r="G138" s="387" t="s">
        <v>570</v>
      </c>
      <c r="H138" s="456"/>
      <c r="I138" s="492">
        <v>11.54</v>
      </c>
      <c r="J138" s="332">
        <v>5693179</v>
      </c>
      <c r="K138" s="614">
        <f t="shared" si="10"/>
        <v>79.824151227308562</v>
      </c>
      <c r="L138" s="423"/>
      <c r="M138" s="651" t="s">
        <v>1426</v>
      </c>
      <c r="N138" s="456"/>
      <c r="O138" s="457">
        <v>8.3000000000000007</v>
      </c>
      <c r="P138" s="370">
        <v>4655891</v>
      </c>
      <c r="Q138" s="613">
        <f t="shared" si="11"/>
        <v>99.127377617084719</v>
      </c>
      <c r="R138" s="435"/>
    </row>
    <row r="139" spans="1:18" ht="15">
      <c r="A139" s="662" t="s">
        <v>1425</v>
      </c>
      <c r="B139" s="350"/>
      <c r="C139" s="449">
        <v>12.5</v>
      </c>
      <c r="D139" s="106">
        <v>1803709</v>
      </c>
      <c r="E139" s="613">
        <f t="shared" si="9"/>
        <v>97.278040577527847</v>
      </c>
      <c r="F139" s="423"/>
      <c r="G139" s="333" t="s">
        <v>763</v>
      </c>
      <c r="H139" s="494"/>
      <c r="I139" s="487">
        <v>11.43</v>
      </c>
      <c r="J139" s="336">
        <v>5698312</v>
      </c>
      <c r="K139" s="614">
        <f t="shared" si="10"/>
        <v>79.896121100072051</v>
      </c>
      <c r="L139" s="423"/>
      <c r="M139" s="662" t="s">
        <v>122</v>
      </c>
      <c r="N139" s="348"/>
      <c r="O139" s="449">
        <v>165.85</v>
      </c>
      <c r="P139" s="334">
        <v>4658496</v>
      </c>
      <c r="Q139" s="613">
        <f t="shared" si="11"/>
        <v>99.182840001984303</v>
      </c>
      <c r="R139" s="435"/>
    </row>
    <row r="140" spans="1:18" ht="15">
      <c r="A140" s="669" t="s">
        <v>1412</v>
      </c>
      <c r="B140" s="461"/>
      <c r="C140" s="449">
        <v>0.81</v>
      </c>
      <c r="D140" s="334">
        <v>1805135</v>
      </c>
      <c r="E140" s="613">
        <f t="shared" si="9"/>
        <v>97.35494793113287</v>
      </c>
      <c r="F140" s="423"/>
      <c r="G140" s="612" t="s">
        <v>2131</v>
      </c>
      <c r="H140" s="491"/>
      <c r="I140" s="487">
        <v>1</v>
      </c>
      <c r="J140" s="336">
        <v>5998688</v>
      </c>
      <c r="K140" s="614">
        <f t="shared" si="10"/>
        <v>84.107697663720245</v>
      </c>
      <c r="L140" s="423"/>
      <c r="M140" s="651" t="s">
        <v>1425</v>
      </c>
      <c r="N140" s="461"/>
      <c r="O140" s="449">
        <v>34</v>
      </c>
      <c r="P140" s="334">
        <v>4662442</v>
      </c>
      <c r="Q140" s="614">
        <f t="shared" si="11"/>
        <v>99.266853272930078</v>
      </c>
      <c r="R140" s="435"/>
    </row>
    <row r="141" spans="1:18" ht="15">
      <c r="A141" s="668" t="s">
        <v>1424</v>
      </c>
      <c r="B141" s="347"/>
      <c r="C141" s="449"/>
      <c r="D141" s="106">
        <v>1807984</v>
      </c>
      <c r="E141" s="613">
        <f t="shared" si="9"/>
        <v>97.508600841666308</v>
      </c>
      <c r="F141" s="423"/>
      <c r="G141" s="651" t="s">
        <v>2132</v>
      </c>
      <c r="H141" s="459"/>
      <c r="I141" s="487">
        <v>1</v>
      </c>
      <c r="J141" s="334">
        <v>6445443</v>
      </c>
      <c r="K141" s="614">
        <f t="shared" si="10"/>
        <v>90.371656461003141</v>
      </c>
      <c r="L141" s="423"/>
      <c r="M141" s="645" t="s">
        <v>1424</v>
      </c>
      <c r="N141" s="347"/>
      <c r="O141" s="449"/>
      <c r="P141" s="106">
        <v>4670720</v>
      </c>
      <c r="Q141" s="613">
        <f t="shared" si="11"/>
        <v>99.443098041528444</v>
      </c>
      <c r="R141" s="435"/>
    </row>
    <row r="142" spans="1:18" ht="15">
      <c r="A142" s="666" t="s">
        <v>694</v>
      </c>
      <c r="B142" s="456"/>
      <c r="C142" s="449">
        <v>2.4</v>
      </c>
      <c r="D142" s="106">
        <v>1808208</v>
      </c>
      <c r="E142" s="613">
        <f t="shared" si="9"/>
        <v>97.520681660184906</v>
      </c>
      <c r="F142" s="423"/>
      <c r="G142" s="662" t="s">
        <v>1426</v>
      </c>
      <c r="H142" s="490"/>
      <c r="I142" s="487">
        <v>15</v>
      </c>
      <c r="J142" s="334">
        <v>6780376</v>
      </c>
      <c r="K142" s="614">
        <f t="shared" si="10"/>
        <v>95.06775725864469</v>
      </c>
      <c r="L142" s="423"/>
      <c r="M142" s="663" t="s">
        <v>700</v>
      </c>
      <c r="N142" s="360" t="s">
        <v>41</v>
      </c>
      <c r="O142" s="449">
        <v>2.2799999999999998</v>
      </c>
      <c r="P142" s="106">
        <v>4683319</v>
      </c>
      <c r="Q142" s="613">
        <f t="shared" si="11"/>
        <v>99.711340109608997</v>
      </c>
      <c r="R142" s="435"/>
    </row>
    <row r="143" spans="1:18" ht="15">
      <c r="A143" s="2979" t="s">
        <v>557</v>
      </c>
      <c r="B143" s="357"/>
      <c r="C143" s="449">
        <v>4.5549999999999997</v>
      </c>
      <c r="D143" s="106">
        <v>1811781</v>
      </c>
      <c r="E143" s="613">
        <f t="shared" si="9"/>
        <v>97.713381502001695</v>
      </c>
      <c r="F143" s="423"/>
      <c r="G143" s="720" t="s">
        <v>122</v>
      </c>
      <c r="H143" s="491"/>
      <c r="I143" s="487">
        <v>220.17</v>
      </c>
      <c r="J143" s="336">
        <v>6895799</v>
      </c>
      <c r="K143" s="614">
        <f t="shared" si="10"/>
        <v>96.686104935243236</v>
      </c>
      <c r="L143" s="423"/>
      <c r="M143" s="88" t="s">
        <v>557</v>
      </c>
      <c r="N143" s="453"/>
      <c r="O143" s="449">
        <v>8.0809999999999995</v>
      </c>
      <c r="P143" s="106">
        <v>4684346</v>
      </c>
      <c r="Q143" s="613">
        <f t="shared" si="11"/>
        <v>99.733205702427384</v>
      </c>
      <c r="R143" s="435"/>
    </row>
    <row r="144" spans="1:18" ht="15">
      <c r="A144" s="663" t="s">
        <v>700</v>
      </c>
      <c r="B144" s="348" t="s">
        <v>41</v>
      </c>
      <c r="C144" s="449">
        <v>1.1000000000000001</v>
      </c>
      <c r="D144" s="106">
        <v>1818992</v>
      </c>
      <c r="E144" s="613">
        <f t="shared" si="9"/>
        <v>98.102286780294676</v>
      </c>
      <c r="F144" s="423"/>
      <c r="G144" s="719" t="s">
        <v>660</v>
      </c>
      <c r="H144" s="488"/>
      <c r="I144" s="487">
        <v>1</v>
      </c>
      <c r="J144" s="334">
        <v>6901409</v>
      </c>
      <c r="K144" s="614">
        <f t="shared" si="10"/>
        <v>96.764762832418995</v>
      </c>
      <c r="L144" s="423"/>
      <c r="M144" s="339" t="s">
        <v>563</v>
      </c>
      <c r="N144" s="522"/>
      <c r="O144" s="449"/>
      <c r="P144" s="106">
        <v>4694087</v>
      </c>
      <c r="Q144" s="613">
        <f t="shared" si="11"/>
        <v>99.940598827689115</v>
      </c>
      <c r="R144" s="435"/>
    </row>
    <row r="145" spans="1:18" ht="15">
      <c r="A145" s="662" t="s">
        <v>2049</v>
      </c>
      <c r="B145" s="350"/>
      <c r="C145" s="448">
        <v>1</v>
      </c>
      <c r="D145" s="106">
        <v>1827218</v>
      </c>
      <c r="E145" s="613">
        <f t="shared" si="9"/>
        <v>98.545933267500061</v>
      </c>
      <c r="F145" s="423"/>
      <c r="G145" s="612" t="s">
        <v>1425</v>
      </c>
      <c r="H145" s="453"/>
      <c r="I145" s="487">
        <v>47.75</v>
      </c>
      <c r="J145" s="336">
        <v>6906416</v>
      </c>
      <c r="K145" s="614">
        <f t="shared" si="10"/>
        <v>96.834966057224534</v>
      </c>
      <c r="L145" s="423"/>
      <c r="M145" s="645" t="s">
        <v>1429</v>
      </c>
      <c r="N145" s="352"/>
      <c r="O145" s="466" t="s">
        <v>501</v>
      </c>
      <c r="P145" s="98">
        <v>4695795</v>
      </c>
      <c r="Q145" s="613">
        <f t="shared" si="11"/>
        <v>99.97696341632961</v>
      </c>
      <c r="R145" s="435"/>
    </row>
    <row r="146" spans="1:18" ht="15">
      <c r="A146" s="668" t="s">
        <v>1456</v>
      </c>
      <c r="B146" s="348" t="s">
        <v>41</v>
      </c>
      <c r="C146" s="449">
        <v>1</v>
      </c>
      <c r="D146" s="331">
        <v>1827243</v>
      </c>
      <c r="E146" s="614">
        <f t="shared" si="9"/>
        <v>98.547281573138306</v>
      </c>
      <c r="F146" s="423"/>
      <c r="G146" s="650" t="s">
        <v>1418</v>
      </c>
      <c r="H146" s="467" t="s">
        <v>41</v>
      </c>
      <c r="I146" s="487">
        <v>13.03</v>
      </c>
      <c r="J146" s="334">
        <v>6910098</v>
      </c>
      <c r="K146" s="614">
        <f t="shared" si="10"/>
        <v>96.886591436440426</v>
      </c>
      <c r="L146" s="423"/>
      <c r="M146" s="89" t="s">
        <v>1416</v>
      </c>
      <c r="N146" s="350"/>
      <c r="O146" s="448"/>
      <c r="P146" s="106">
        <v>4696877</v>
      </c>
      <c r="Q146" s="614">
        <f t="shared" si="11"/>
        <v>100</v>
      </c>
      <c r="R146" s="435"/>
    </row>
    <row r="147" spans="1:18" ht="15">
      <c r="A147" s="662" t="s">
        <v>1419</v>
      </c>
      <c r="B147" s="496" t="s">
        <v>41</v>
      </c>
      <c r="C147" s="449">
        <v>0.56000000000000005</v>
      </c>
      <c r="D147" s="106">
        <v>1828850</v>
      </c>
      <c r="E147" s="613">
        <f t="shared" si="9"/>
        <v>98.63395065956415</v>
      </c>
      <c r="F147" s="423"/>
      <c r="G147" s="662" t="s">
        <v>1424</v>
      </c>
      <c r="H147" s="360"/>
      <c r="I147" s="487">
        <v>3.19</v>
      </c>
      <c r="J147" s="336">
        <v>6920432</v>
      </c>
      <c r="K147" s="614">
        <f t="shared" si="10"/>
        <v>97.031484611024084</v>
      </c>
      <c r="L147" s="423"/>
      <c r="M147" s="89" t="s">
        <v>600</v>
      </c>
      <c r="N147" s="348"/>
      <c r="O147" s="449"/>
      <c r="P147" s="106">
        <v>4696877</v>
      </c>
      <c r="Q147" s="613">
        <f t="shared" si="11"/>
        <v>100</v>
      </c>
      <c r="R147" s="435"/>
    </row>
    <row r="148" spans="1:18" ht="15">
      <c r="A148" s="670" t="s">
        <v>1416</v>
      </c>
      <c r="B148" s="495"/>
      <c r="C148" s="448"/>
      <c r="D148" s="106">
        <v>1829710</v>
      </c>
      <c r="E148" s="613">
        <f t="shared" si="9"/>
        <v>98.680332373519491</v>
      </c>
      <c r="F148" s="423"/>
      <c r="G148" s="718" t="s">
        <v>700</v>
      </c>
      <c r="H148" s="459" t="s">
        <v>41</v>
      </c>
      <c r="I148" s="487">
        <v>6.31</v>
      </c>
      <c r="J148" s="336">
        <v>6947060</v>
      </c>
      <c r="K148" s="614">
        <f t="shared" si="10"/>
        <v>97.404836212805932</v>
      </c>
      <c r="L148" s="423"/>
      <c r="M148" s="662" t="s">
        <v>1419</v>
      </c>
      <c r="N148" s="348" t="s">
        <v>41</v>
      </c>
      <c r="O148" s="449">
        <v>1.6</v>
      </c>
      <c r="P148" s="106">
        <v>4696940</v>
      </c>
      <c r="Q148" s="613">
        <f t="shared" si="11"/>
        <v>100.00134131679411</v>
      </c>
      <c r="R148" s="435"/>
    </row>
    <row r="149" spans="1:18" ht="15">
      <c r="A149" s="662" t="s">
        <v>1429</v>
      </c>
      <c r="B149" s="356"/>
      <c r="C149" s="449"/>
      <c r="D149" s="106">
        <v>1830076</v>
      </c>
      <c r="E149" s="613">
        <f t="shared" si="9"/>
        <v>98.700071568063279</v>
      </c>
      <c r="F149" s="423"/>
      <c r="G149" s="669" t="s">
        <v>1412</v>
      </c>
      <c r="H149" s="464"/>
      <c r="I149" s="487">
        <v>5</v>
      </c>
      <c r="J149" s="336">
        <v>6958134</v>
      </c>
      <c r="K149" s="614">
        <f t="shared" si="10"/>
        <v>97.560104938888699</v>
      </c>
      <c r="L149" s="423"/>
      <c r="M149" s="647" t="s">
        <v>1412</v>
      </c>
      <c r="N149" s="497"/>
      <c r="O149" s="449">
        <v>0.68700000000000006</v>
      </c>
      <c r="P149" s="106">
        <v>4696947</v>
      </c>
      <c r="Q149" s="613">
        <f t="shared" si="11"/>
        <v>100.00149035199347</v>
      </c>
      <c r="R149" s="435"/>
    </row>
    <row r="150" spans="1:18" ht="15">
      <c r="A150" s="669" t="s">
        <v>2045</v>
      </c>
      <c r="B150" s="495"/>
      <c r="C150" s="448">
        <v>1</v>
      </c>
      <c r="D150" s="331">
        <v>1831004</v>
      </c>
      <c r="E150" s="613">
        <f t="shared" si="9"/>
        <v>98.750120673354616</v>
      </c>
      <c r="F150" s="423"/>
      <c r="G150" s="717" t="s">
        <v>694</v>
      </c>
      <c r="H150" s="459"/>
      <c r="I150" s="487">
        <v>8.4499999999999993</v>
      </c>
      <c r="J150" s="336">
        <v>6967148</v>
      </c>
      <c r="K150" s="614">
        <f t="shared" si="10"/>
        <v>97.686490372960421</v>
      </c>
      <c r="L150" s="423"/>
      <c r="M150" s="645" t="s">
        <v>2049</v>
      </c>
      <c r="N150" s="456"/>
      <c r="O150" s="448">
        <v>1</v>
      </c>
      <c r="P150" s="106">
        <v>4697029</v>
      </c>
      <c r="Q150" s="613">
        <f t="shared" si="11"/>
        <v>100.00323619290009</v>
      </c>
      <c r="R150" s="435"/>
    </row>
    <row r="151" spans="1:18" ht="15">
      <c r="A151" s="673" t="s">
        <v>1427</v>
      </c>
      <c r="B151" s="497" t="s">
        <v>41</v>
      </c>
      <c r="C151" s="449">
        <v>1</v>
      </c>
      <c r="D151" s="106">
        <v>1832824</v>
      </c>
      <c r="E151" s="613">
        <f t="shared" si="9"/>
        <v>98.848277323818252</v>
      </c>
      <c r="F151" s="423"/>
      <c r="G151" s="670" t="s">
        <v>557</v>
      </c>
      <c r="H151" s="464"/>
      <c r="I151" s="487">
        <v>4.03</v>
      </c>
      <c r="J151" s="334">
        <v>6972597</v>
      </c>
      <c r="K151" s="614">
        <f t="shared" si="10"/>
        <v>97.762890886634338</v>
      </c>
      <c r="L151" s="423"/>
      <c r="M151" s="653" t="s">
        <v>1427</v>
      </c>
      <c r="N151" s="355" t="s">
        <v>41</v>
      </c>
      <c r="O151" s="449">
        <v>1</v>
      </c>
      <c r="P151" s="106">
        <v>4697163</v>
      </c>
      <c r="Q151" s="613">
        <f t="shared" si="11"/>
        <v>100.00608915243043</v>
      </c>
      <c r="R151" s="435"/>
    </row>
    <row r="152" spans="1:18" ht="15">
      <c r="A152" s="662" t="s">
        <v>1428</v>
      </c>
      <c r="B152" s="350"/>
      <c r="C152" s="448"/>
      <c r="D152" s="106">
        <v>1835520</v>
      </c>
      <c r="E152" s="613">
        <f t="shared" si="9"/>
        <v>98.993678603845694</v>
      </c>
      <c r="F152" s="423"/>
      <c r="G152" s="717" t="s">
        <v>1169</v>
      </c>
      <c r="H152" s="499"/>
      <c r="I152" s="487">
        <v>2.54</v>
      </c>
      <c r="J152" s="336">
        <v>7054742</v>
      </c>
      <c r="K152" s="614">
        <f t="shared" si="10"/>
        <v>98.91464720811436</v>
      </c>
      <c r="L152" s="423"/>
      <c r="M152" s="645" t="s">
        <v>1456</v>
      </c>
      <c r="N152" s="497" t="s">
        <v>41</v>
      </c>
      <c r="O152" s="449">
        <v>1</v>
      </c>
      <c r="P152" s="106">
        <v>4697241</v>
      </c>
      <c r="Q152" s="613">
        <f t="shared" si="11"/>
        <v>100.00774983036601</v>
      </c>
      <c r="R152" s="435"/>
    </row>
    <row r="153" spans="1:18" ht="15">
      <c r="A153" s="662" t="s">
        <v>1420</v>
      </c>
      <c r="B153" s="775" t="s">
        <v>41</v>
      </c>
      <c r="C153" s="449">
        <v>0.48399999999999999</v>
      </c>
      <c r="D153" s="106">
        <v>1849799</v>
      </c>
      <c r="E153" s="613">
        <f t="shared" si="9"/>
        <v>99.763776852180939</v>
      </c>
      <c r="F153" s="423"/>
      <c r="G153" s="337" t="s">
        <v>659</v>
      </c>
      <c r="H153" s="500"/>
      <c r="I153" s="487">
        <v>1.34</v>
      </c>
      <c r="J153" s="334">
        <v>7054742</v>
      </c>
      <c r="K153" s="614">
        <f t="shared" si="10"/>
        <v>98.91464720811436</v>
      </c>
      <c r="L153" s="423"/>
      <c r="M153" s="646" t="s">
        <v>1418</v>
      </c>
      <c r="N153" s="354" t="s">
        <v>41</v>
      </c>
      <c r="O153" s="449">
        <v>0.33</v>
      </c>
      <c r="P153" s="106">
        <v>4699489</v>
      </c>
      <c r="Q153" s="613">
        <f t="shared" si="11"/>
        <v>100.05561142009893</v>
      </c>
      <c r="R153" s="435"/>
    </row>
    <row r="154" spans="1:18" ht="15">
      <c r="A154" s="670" t="s">
        <v>600</v>
      </c>
      <c r="B154" s="422"/>
      <c r="C154" s="449"/>
      <c r="D154" s="106">
        <v>1854179</v>
      </c>
      <c r="E154" s="613">
        <f>(D154*100/1854179)</f>
        <v>100</v>
      </c>
      <c r="F154" s="423"/>
      <c r="G154" s="645" t="s">
        <v>1420</v>
      </c>
      <c r="H154" s="459" t="s">
        <v>41</v>
      </c>
      <c r="I154" s="487">
        <v>1.92</v>
      </c>
      <c r="J154" s="336">
        <v>7055921</v>
      </c>
      <c r="K154" s="614">
        <f t="shared" si="10"/>
        <v>98.931177985435255</v>
      </c>
      <c r="L154" s="423"/>
      <c r="M154" s="1292" t="s">
        <v>2045</v>
      </c>
      <c r="N154" s="464"/>
      <c r="O154" s="449">
        <v>1</v>
      </c>
      <c r="P154" s="106">
        <v>4702609</v>
      </c>
      <c r="Q154" s="613">
        <f>(P154*100/4696877)</f>
        <v>100.12203853752185</v>
      </c>
      <c r="R154" s="435"/>
    </row>
    <row r="155" spans="1:18" ht="15">
      <c r="A155" s="662" t="s">
        <v>1423</v>
      </c>
      <c r="B155" s="779"/>
      <c r="C155" s="448"/>
      <c r="D155" s="1272">
        <v>1884377</v>
      </c>
      <c r="E155" s="613">
        <f>(D155*100/1854179)</f>
        <v>101.62864534653882</v>
      </c>
      <c r="F155" s="264"/>
      <c r="G155" s="662" t="s">
        <v>1429</v>
      </c>
      <c r="H155" s="1290"/>
      <c r="I155" s="487">
        <v>13.6</v>
      </c>
      <c r="J155" s="1269">
        <v>7067930</v>
      </c>
      <c r="K155" s="614">
        <f t="shared" si="10"/>
        <v>99.09955636104732</v>
      </c>
      <c r="L155" s="264"/>
      <c r="M155" s="662" t="s">
        <v>1420</v>
      </c>
      <c r="N155" s="464" t="s">
        <v>41</v>
      </c>
      <c r="O155" s="449">
        <v>1.3</v>
      </c>
      <c r="P155" s="1272">
        <v>4704120</v>
      </c>
      <c r="Q155" s="613">
        <f>(P155*100/4696877)</f>
        <v>100.15420884983789</v>
      </c>
      <c r="R155" s="435"/>
    </row>
    <row r="156" spans="1:18" ht="15">
      <c r="A156" s="676" t="s">
        <v>660</v>
      </c>
      <c r="B156" s="350"/>
      <c r="C156" s="448"/>
      <c r="D156" s="377" t="s">
        <v>548</v>
      </c>
      <c r="E156" s="443"/>
      <c r="F156" s="423"/>
      <c r="G156" s="662" t="s">
        <v>1419</v>
      </c>
      <c r="H156" s="348" t="s">
        <v>41</v>
      </c>
      <c r="I156" s="487">
        <v>3.37</v>
      </c>
      <c r="J156" s="336">
        <v>7076758</v>
      </c>
      <c r="K156" s="614">
        <f t="shared" si="10"/>
        <v>99.223333886228716</v>
      </c>
      <c r="L156" s="423"/>
      <c r="M156" s="612" t="s">
        <v>1428</v>
      </c>
      <c r="N156" s="350"/>
      <c r="O156" s="449"/>
      <c r="P156" s="106">
        <v>4713012</v>
      </c>
      <c r="Q156" s="613">
        <f>(P156*100/4696877)</f>
        <v>100.3435261344932</v>
      </c>
      <c r="R156" s="435"/>
    </row>
    <row r="157" spans="1:18" ht="15">
      <c r="A157" s="677" t="s">
        <v>563</v>
      </c>
      <c r="B157" s="502"/>
      <c r="C157" s="449"/>
      <c r="D157" s="377" t="s">
        <v>548</v>
      </c>
      <c r="E157" s="443"/>
      <c r="F157" s="423"/>
      <c r="G157" s="1291" t="s">
        <v>1416</v>
      </c>
      <c r="H157" s="467"/>
      <c r="I157" s="487">
        <v>1</v>
      </c>
      <c r="J157" s="334">
        <v>7090050</v>
      </c>
      <c r="K157" s="614">
        <f t="shared" si="10"/>
        <v>99.409701224777777</v>
      </c>
      <c r="L157" s="423"/>
      <c r="M157" s="645" t="s">
        <v>1423</v>
      </c>
      <c r="N157" s="471"/>
      <c r="O157" s="448"/>
      <c r="P157" s="106">
        <v>4811695</v>
      </c>
      <c r="Q157" s="613">
        <f>(P157*100/4696877)</f>
        <v>102.44456050264888</v>
      </c>
      <c r="R157" s="435"/>
    </row>
    <row r="158" spans="1:18" ht="15">
      <c r="A158" s="670" t="s">
        <v>659</v>
      </c>
      <c r="B158" s="348"/>
      <c r="C158" s="449"/>
      <c r="D158" s="377" t="s">
        <v>548</v>
      </c>
      <c r="E158" s="443"/>
      <c r="F158" s="423"/>
      <c r="G158" s="645" t="s">
        <v>1456</v>
      </c>
      <c r="H158" s="464" t="s">
        <v>41</v>
      </c>
      <c r="I158" s="487">
        <v>1</v>
      </c>
      <c r="J158" s="336">
        <v>7091171</v>
      </c>
      <c r="K158" s="614">
        <f t="shared" si="10"/>
        <v>99.425418783197387</v>
      </c>
      <c r="L158" s="423"/>
      <c r="M158" s="89" t="s">
        <v>660</v>
      </c>
      <c r="N158" s="467"/>
      <c r="O158" s="487"/>
      <c r="P158" s="377" t="s">
        <v>548</v>
      </c>
      <c r="Q158" s="443"/>
      <c r="R158" s="435"/>
    </row>
    <row r="159" spans="1:18" ht="15">
      <c r="A159" s="678" t="s">
        <v>567</v>
      </c>
      <c r="B159" s="350"/>
      <c r="C159" s="448"/>
      <c r="D159" s="377" t="s">
        <v>548</v>
      </c>
      <c r="E159" s="443"/>
      <c r="F159" s="423"/>
      <c r="G159" s="645" t="s">
        <v>1423</v>
      </c>
      <c r="H159" s="461"/>
      <c r="I159" s="487">
        <v>1</v>
      </c>
      <c r="J159" s="336">
        <v>7100538</v>
      </c>
      <c r="K159" s="614">
        <f t="shared" si="10"/>
        <v>99.55675363575449</v>
      </c>
      <c r="L159" s="423"/>
      <c r="M159" s="89" t="s">
        <v>659</v>
      </c>
      <c r="N159" s="464"/>
      <c r="O159" s="487"/>
      <c r="P159" s="377" t="s">
        <v>548</v>
      </c>
      <c r="Q159" s="443"/>
      <c r="R159" s="435"/>
    </row>
    <row r="160" spans="1:18" ht="15">
      <c r="A160" s="679" t="s">
        <v>571</v>
      </c>
      <c r="B160" s="502"/>
      <c r="C160" s="449"/>
      <c r="D160" s="377" t="s">
        <v>548</v>
      </c>
      <c r="E160" s="443"/>
      <c r="F160" s="423"/>
      <c r="G160" s="1288" t="s">
        <v>2045</v>
      </c>
      <c r="H160" s="722"/>
      <c r="I160" s="448">
        <v>1</v>
      </c>
      <c r="J160" s="336">
        <v>7104516</v>
      </c>
      <c r="K160" s="614">
        <f t="shared" si="10"/>
        <v>99.612529235570022</v>
      </c>
      <c r="L160" s="423"/>
      <c r="M160" s="88" t="s">
        <v>571</v>
      </c>
      <c r="N160" s="348"/>
      <c r="O160" s="487"/>
      <c r="P160" s="377" t="s">
        <v>548</v>
      </c>
      <c r="Q160" s="443"/>
      <c r="R160" s="435"/>
    </row>
    <row r="161" spans="1:18" ht="15">
      <c r="A161" s="389" t="s">
        <v>680</v>
      </c>
      <c r="B161" s="348"/>
      <c r="C161" s="449"/>
      <c r="D161" s="377" t="s">
        <v>548</v>
      </c>
      <c r="E161" s="443"/>
      <c r="F161" s="423"/>
      <c r="G161" s="715" t="s">
        <v>1427</v>
      </c>
      <c r="H161" s="459" t="s">
        <v>41</v>
      </c>
      <c r="I161" s="487">
        <v>1</v>
      </c>
      <c r="J161" s="336">
        <v>7115621</v>
      </c>
      <c r="K161" s="614">
        <f t="shared" si="10"/>
        <v>99.768232613134529</v>
      </c>
      <c r="L161" s="423"/>
      <c r="M161" s="389" t="s">
        <v>713</v>
      </c>
      <c r="N161" s="350"/>
      <c r="O161" s="487"/>
      <c r="P161" s="377" t="s">
        <v>548</v>
      </c>
      <c r="Q161" s="443"/>
      <c r="R161" s="435"/>
    </row>
    <row r="162" spans="1:18" ht="15">
      <c r="A162" s="389" t="s">
        <v>713</v>
      </c>
      <c r="B162" s="350"/>
      <c r="C162" s="448"/>
      <c r="D162" s="377" t="s">
        <v>548</v>
      </c>
      <c r="E162" s="443"/>
      <c r="F162" s="423"/>
      <c r="G162" s="612" t="s">
        <v>1428</v>
      </c>
      <c r="H162" s="461"/>
      <c r="I162" s="487">
        <v>3</v>
      </c>
      <c r="J162" s="336">
        <v>7120649</v>
      </c>
      <c r="K162" s="614">
        <f t="shared" si="10"/>
        <v>99.838730279266386</v>
      </c>
      <c r="L162" s="423"/>
      <c r="M162" s="333" t="s">
        <v>763</v>
      </c>
      <c r="N162" s="350"/>
      <c r="O162" s="487"/>
      <c r="P162" s="377" t="s">
        <v>548</v>
      </c>
      <c r="Q162" s="443"/>
      <c r="R162" s="435"/>
    </row>
    <row r="163" spans="1:18" ht="15">
      <c r="A163" s="333" t="s">
        <v>763</v>
      </c>
      <c r="B163" s="350"/>
      <c r="C163" s="448"/>
      <c r="D163" s="377" t="s">
        <v>548</v>
      </c>
      <c r="E163" s="443"/>
      <c r="F163" s="423"/>
      <c r="G163" s="341" t="s">
        <v>600</v>
      </c>
      <c r="H163" s="459"/>
      <c r="I163" s="487"/>
      <c r="J163" s="336">
        <v>7132151</v>
      </c>
      <c r="K163" s="614">
        <f t="shared" si="10"/>
        <v>100</v>
      </c>
      <c r="L163" s="423"/>
      <c r="M163" s="391" t="s">
        <v>699</v>
      </c>
      <c r="N163" s="461"/>
      <c r="O163" s="487"/>
      <c r="P163" s="377" t="s">
        <v>548</v>
      </c>
      <c r="Q163" s="443"/>
      <c r="R163" s="435"/>
    </row>
    <row r="164" spans="1:18" ht="15">
      <c r="A164" s="391" t="s">
        <v>699</v>
      </c>
      <c r="B164" s="502"/>
      <c r="C164" s="449"/>
      <c r="D164" s="377" t="s">
        <v>548</v>
      </c>
      <c r="E164" s="443"/>
      <c r="F164" s="423"/>
      <c r="G164" s="390" t="s">
        <v>713</v>
      </c>
      <c r="H164" s="721"/>
      <c r="I164" s="487">
        <v>6</v>
      </c>
      <c r="J164" s="334">
        <v>64131508</v>
      </c>
      <c r="K164" s="460">
        <f t="shared" si="10"/>
        <v>899.18887023003299</v>
      </c>
      <c r="L164" s="423"/>
      <c r="M164" s="393" t="s">
        <v>744</v>
      </c>
      <c r="N164" s="461"/>
      <c r="O164" s="487"/>
      <c r="P164" s="377" t="s">
        <v>548</v>
      </c>
      <c r="Q164" s="443"/>
      <c r="R164" s="435"/>
    </row>
    <row r="165" spans="1:18" ht="15">
      <c r="A165" s="394" t="s">
        <v>941</v>
      </c>
      <c r="B165" s="504"/>
      <c r="C165" s="449"/>
      <c r="D165" s="377" t="s">
        <v>548</v>
      </c>
      <c r="E165" s="505"/>
      <c r="F165" s="423"/>
      <c r="G165" s="395" t="s">
        <v>567</v>
      </c>
      <c r="H165" s="506"/>
      <c r="I165" s="487"/>
      <c r="J165" s="396" t="s">
        <v>548</v>
      </c>
      <c r="K165" s="505"/>
      <c r="L165" s="423"/>
      <c r="M165" s="394" t="s">
        <v>941</v>
      </c>
      <c r="N165" s="507"/>
      <c r="O165" s="487"/>
      <c r="P165" s="377" t="s">
        <v>548</v>
      </c>
      <c r="Q165" s="505"/>
      <c r="R165" s="435"/>
    </row>
    <row r="166" spans="1:18" ht="15">
      <c r="A166" s="385" t="s">
        <v>568</v>
      </c>
      <c r="B166" s="508"/>
      <c r="C166" s="449"/>
      <c r="D166" s="377" t="s">
        <v>548</v>
      </c>
      <c r="E166" s="460"/>
      <c r="F166" s="423"/>
      <c r="G166" s="393" t="s">
        <v>744</v>
      </c>
      <c r="H166" s="503"/>
      <c r="I166" s="487"/>
      <c r="J166" s="392" t="s">
        <v>548</v>
      </c>
      <c r="K166" s="460"/>
      <c r="L166" s="423"/>
      <c r="M166" s="89" t="s">
        <v>658</v>
      </c>
      <c r="N166" s="493"/>
      <c r="O166" s="487"/>
      <c r="P166" s="377" t="s">
        <v>548</v>
      </c>
      <c r="Q166" s="460"/>
      <c r="R166" s="435"/>
    </row>
    <row r="167" spans="1:18" ht="15">
      <c r="A167" s="264"/>
      <c r="B167" s="264"/>
      <c r="C167" s="264"/>
      <c r="D167" s="53"/>
      <c r="E167" s="473"/>
      <c r="F167" s="423"/>
      <c r="G167" s="54"/>
      <c r="H167" s="273"/>
      <c r="I167" s="273"/>
      <c r="J167" s="53"/>
      <c r="K167" s="473"/>
      <c r="L167" s="423"/>
      <c r="M167" s="273"/>
      <c r="N167" s="273"/>
      <c r="O167" s="273"/>
      <c r="P167" s="53"/>
      <c r="Q167" s="474"/>
      <c r="R167" s="435"/>
    </row>
    <row r="168" spans="1:18" ht="17.25">
      <c r="A168" s="432"/>
      <c r="B168" s="713" t="s">
        <v>1432</v>
      </c>
      <c r="C168" s="432"/>
      <c r="D168" s="475"/>
      <c r="E168" s="473"/>
      <c r="F168" s="264"/>
      <c r="G168" s="714"/>
      <c r="H168" s="714"/>
      <c r="I168" s="714"/>
      <c r="J168" s="714"/>
      <c r="K168" s="714"/>
      <c r="L168" s="714"/>
      <c r="M168" s="714"/>
      <c r="N168" s="264"/>
      <c r="O168" s="264"/>
      <c r="P168" s="476"/>
      <c r="Q168" s="474"/>
      <c r="R168" s="435"/>
    </row>
    <row r="169" spans="1:18" ht="17.25">
      <c r="A169" s="432"/>
      <c r="B169" s="283" t="s">
        <v>1271</v>
      </c>
      <c r="C169" s="432"/>
      <c r="D169" s="475"/>
      <c r="E169" s="473"/>
      <c r="F169" s="264"/>
      <c r="G169" s="380"/>
      <c r="H169" s="380"/>
      <c r="I169" s="380"/>
      <c r="J169" s="380"/>
      <c r="K169" s="380"/>
      <c r="L169" s="380"/>
      <c r="M169" s="380"/>
      <c r="N169" s="264"/>
      <c r="O169" s="264"/>
      <c r="P169" s="476"/>
      <c r="Q169" s="474"/>
      <c r="R169" s="435"/>
    </row>
    <row r="170" spans="1:18" ht="17.25">
      <c r="A170" s="432"/>
      <c r="B170" s="55" t="s">
        <v>1465</v>
      </c>
      <c r="C170" s="432"/>
      <c r="D170" s="475"/>
      <c r="E170" s="473"/>
      <c r="F170" s="264"/>
      <c r="G170" s="380"/>
      <c r="H170" s="380"/>
      <c r="I170" s="380"/>
      <c r="J170" s="380"/>
      <c r="K170" s="380"/>
      <c r="L170" s="380"/>
      <c r="M170" s="380"/>
      <c r="N170" s="264"/>
      <c r="O170" s="264"/>
      <c r="P170" s="476"/>
      <c r="Q170" s="474"/>
      <c r="R170" s="435"/>
    </row>
    <row r="171" spans="1:18" ht="15">
      <c r="A171" s="430"/>
      <c r="B171" s="430"/>
      <c r="C171" s="430"/>
      <c r="D171" s="264"/>
      <c r="E171" s="431"/>
      <c r="F171" s="264"/>
      <c r="G171" s="380"/>
      <c r="H171" s="380"/>
      <c r="I171" s="380"/>
      <c r="J171" s="380"/>
      <c r="K171" s="380"/>
      <c r="L171" s="380"/>
      <c r="M171" s="380"/>
      <c r="N171" s="423"/>
      <c r="O171" s="423"/>
      <c r="P171" s="423"/>
      <c r="Q171" s="434"/>
      <c r="R171" s="435"/>
    </row>
    <row r="172" spans="1:18" ht="15">
      <c r="A172" s="430"/>
      <c r="B172" s="430"/>
      <c r="C172" s="430"/>
      <c r="D172" s="264"/>
      <c r="E172" s="431"/>
      <c r="F172" s="264"/>
      <c r="G172" s="380"/>
      <c r="H172" s="380"/>
      <c r="I172" s="380"/>
      <c r="J172" s="380"/>
      <c r="K172" s="380"/>
      <c r="L172" s="380"/>
      <c r="M172" s="380"/>
      <c r="N172" s="423"/>
      <c r="O172" s="423"/>
      <c r="P172" s="423"/>
      <c r="Q172" s="434"/>
      <c r="R172" s="435"/>
    </row>
    <row r="173" spans="1:18" ht="20.25">
      <c r="A173" s="816" t="s">
        <v>760</v>
      </c>
      <c r="B173" s="423"/>
      <c r="C173" s="423"/>
      <c r="D173" s="423"/>
      <c r="E173" s="434"/>
      <c r="F173" s="423"/>
      <c r="G173" s="380"/>
      <c r="H173" s="380"/>
      <c r="I173" s="380"/>
      <c r="J173" s="380"/>
      <c r="K173" s="380"/>
      <c r="L173" s="380"/>
      <c r="M173" s="380"/>
      <c r="N173" s="423"/>
      <c r="O173" s="423"/>
      <c r="P173" s="423"/>
      <c r="Q173" s="434"/>
      <c r="R173" s="435"/>
    </row>
    <row r="174" spans="1:18" ht="15.75" thickBot="1">
      <c r="A174" s="477"/>
      <c r="B174" s="477"/>
      <c r="C174" s="477"/>
      <c r="D174" s="477"/>
      <c r="E174" s="478"/>
      <c r="F174" s="477"/>
      <c r="G174" s="381"/>
      <c r="H174" s="381"/>
      <c r="I174" s="381"/>
      <c r="J174" s="381"/>
      <c r="K174" s="381"/>
      <c r="L174" s="381"/>
      <c r="M174" s="381"/>
      <c r="N174" s="477"/>
      <c r="O174" s="477"/>
      <c r="P174" s="477"/>
      <c r="Q174" s="478"/>
      <c r="R174" s="435"/>
    </row>
    <row r="175" spans="1:18" ht="15.75" thickTop="1">
      <c r="A175" s="805"/>
      <c r="B175" s="805"/>
      <c r="C175" s="805"/>
      <c r="D175" s="805"/>
      <c r="E175" s="596"/>
      <c r="F175" s="805"/>
      <c r="G175" s="380"/>
      <c r="H175" s="380"/>
      <c r="I175" s="380"/>
      <c r="J175" s="380"/>
      <c r="K175" s="380"/>
      <c r="L175" s="380"/>
      <c r="M175" s="380"/>
      <c r="N175" s="805"/>
      <c r="O175" s="805"/>
      <c r="P175" s="805"/>
      <c r="Q175" s="596"/>
      <c r="R175" s="435"/>
    </row>
    <row r="176" spans="1:18" ht="15">
      <c r="A176" s="429" t="s">
        <v>740</v>
      </c>
      <c r="B176" s="264"/>
      <c r="C176" s="264"/>
      <c r="D176" s="53"/>
      <c r="E176" s="473"/>
      <c r="F176" s="423"/>
      <c r="G176" s="429" t="s">
        <v>732</v>
      </c>
      <c r="H176" s="264"/>
      <c r="I176" s="264"/>
      <c r="J176" s="53"/>
      <c r="K176" s="473"/>
      <c r="L176" s="423"/>
      <c r="M176" s="509" t="s">
        <v>734</v>
      </c>
      <c r="N176" s="273"/>
      <c r="O176" s="273"/>
      <c r="P176" s="476"/>
      <c r="Q176" s="474"/>
      <c r="R176" s="435"/>
    </row>
    <row r="177" spans="1:18" ht="15">
      <c r="A177" s="696" t="s">
        <v>724</v>
      </c>
      <c r="B177" s="481"/>
      <c r="C177" s="481"/>
      <c r="D177" s="3173" t="s">
        <v>723</v>
      </c>
      <c r="E177" s="3174"/>
      <c r="F177" s="423"/>
      <c r="G177" s="696" t="s">
        <v>725</v>
      </c>
      <c r="H177" s="481"/>
      <c r="I177" s="481"/>
      <c r="J177" s="3173" t="s">
        <v>723</v>
      </c>
      <c r="K177" s="3174"/>
      <c r="L177" s="423"/>
      <c r="M177" s="696" t="s">
        <v>733</v>
      </c>
      <c r="N177" s="481"/>
      <c r="O177" s="481"/>
      <c r="P177" s="3173" t="s">
        <v>714</v>
      </c>
      <c r="Q177" s="3174"/>
      <c r="R177" s="435"/>
    </row>
    <row r="178" spans="1:18" ht="15">
      <c r="A178" s="695" t="s">
        <v>1169</v>
      </c>
      <c r="B178" s="510"/>
      <c r="C178" s="511">
        <v>0.81200000000000006</v>
      </c>
      <c r="D178" s="86">
        <v>280640</v>
      </c>
      <c r="E178" s="613">
        <f t="shared" ref="E178:E202" si="12">(D178*100/577488)</f>
        <v>48.596680796830412</v>
      </c>
      <c r="F178" s="423"/>
      <c r="G178" s="664" t="s">
        <v>1169</v>
      </c>
      <c r="H178" s="510"/>
      <c r="I178" s="511">
        <v>12.4</v>
      </c>
      <c r="J178" s="86">
        <v>4186567</v>
      </c>
      <c r="K178" s="613">
        <f t="shared" ref="K178:K202" si="13">(J178*100/7233062)</f>
        <v>57.880977655106513</v>
      </c>
      <c r="L178" s="423"/>
      <c r="M178" s="680" t="s">
        <v>694</v>
      </c>
      <c r="N178" s="510"/>
      <c r="O178" s="511">
        <v>10.6</v>
      </c>
      <c r="P178" s="86">
        <v>5246316</v>
      </c>
      <c r="Q178" s="613">
        <f t="shared" ref="Q178:Q200" si="14">(P178*100/6327408)</f>
        <v>82.914141145947909</v>
      </c>
      <c r="R178" s="435"/>
    </row>
    <row r="179" spans="1:18" ht="15">
      <c r="A179" s="1935" t="s">
        <v>2047</v>
      </c>
      <c r="B179" s="465" t="s">
        <v>41</v>
      </c>
      <c r="C179" s="449">
        <v>62.24</v>
      </c>
      <c r="D179" s="334">
        <v>325883</v>
      </c>
      <c r="E179" s="613">
        <f t="shared" si="12"/>
        <v>56.431129304851353</v>
      </c>
      <c r="F179" s="423"/>
      <c r="G179" s="1935" t="s">
        <v>2047</v>
      </c>
      <c r="H179" s="348" t="s">
        <v>41</v>
      </c>
      <c r="I179" s="449">
        <v>807.21</v>
      </c>
      <c r="J179" s="334">
        <v>4189328</v>
      </c>
      <c r="K179" s="613">
        <f t="shared" si="13"/>
        <v>57.919149593906425</v>
      </c>
      <c r="L179" s="423"/>
      <c r="M179" s="1932" t="s">
        <v>1430</v>
      </c>
      <c r="N179" s="465" t="s">
        <v>41</v>
      </c>
      <c r="O179" s="449">
        <v>763.28</v>
      </c>
      <c r="P179" s="334">
        <v>5900239</v>
      </c>
      <c r="Q179" s="613">
        <f t="shared" si="14"/>
        <v>93.248910138243019</v>
      </c>
      <c r="R179" s="435"/>
    </row>
    <row r="180" spans="1:18" ht="15">
      <c r="A180" s="1932" t="s">
        <v>1430</v>
      </c>
      <c r="B180" s="768" t="s">
        <v>41</v>
      </c>
      <c r="C180" s="1926">
        <v>46.51</v>
      </c>
      <c r="D180" s="1893">
        <v>325989</v>
      </c>
      <c r="E180" s="613">
        <f t="shared" si="12"/>
        <v>56.449484664616406</v>
      </c>
      <c r="F180" s="423"/>
      <c r="G180" s="1932" t="s">
        <v>1430</v>
      </c>
      <c r="H180" s="768" t="s">
        <v>41</v>
      </c>
      <c r="I180" s="1926">
        <v>763.67</v>
      </c>
      <c r="J180" s="1893">
        <v>4236647</v>
      </c>
      <c r="K180" s="613">
        <f t="shared" si="13"/>
        <v>58.573353857605532</v>
      </c>
      <c r="L180" s="423"/>
      <c r="M180" s="1935" t="s">
        <v>2047</v>
      </c>
      <c r="N180" s="768" t="s">
        <v>41</v>
      </c>
      <c r="O180" s="1926">
        <v>1011.08</v>
      </c>
      <c r="P180" s="1893">
        <v>5900408</v>
      </c>
      <c r="Q180" s="613">
        <f t="shared" si="14"/>
        <v>93.251581058152084</v>
      </c>
      <c r="R180" s="435"/>
    </row>
    <row r="181" spans="1:18" ht="15">
      <c r="A181" s="666" t="s">
        <v>927</v>
      </c>
      <c r="B181" s="348" t="s">
        <v>41</v>
      </c>
      <c r="C181" s="512">
        <v>6.63</v>
      </c>
      <c r="D181" s="334">
        <v>335636</v>
      </c>
      <c r="E181" s="613">
        <f t="shared" si="12"/>
        <v>58.11999556700745</v>
      </c>
      <c r="F181" s="423"/>
      <c r="G181" s="843" t="s">
        <v>927</v>
      </c>
      <c r="H181" s="465" t="s">
        <v>41</v>
      </c>
      <c r="I181" s="512">
        <v>79.11</v>
      </c>
      <c r="J181" s="334">
        <v>4270185</v>
      </c>
      <c r="K181" s="613">
        <f t="shared" si="13"/>
        <v>59.037030236986773</v>
      </c>
      <c r="L181" s="423"/>
      <c r="M181" s="651" t="s">
        <v>1426</v>
      </c>
      <c r="N181" s="456"/>
      <c r="O181" s="512">
        <v>11.05</v>
      </c>
      <c r="P181" s="334">
        <v>5904502</v>
      </c>
      <c r="Q181" s="613">
        <f t="shared" si="14"/>
        <v>93.316283697842778</v>
      </c>
      <c r="R181" s="435"/>
    </row>
    <row r="182" spans="1:18" ht="15">
      <c r="A182" s="668" t="s">
        <v>122</v>
      </c>
      <c r="B182" s="461"/>
      <c r="C182" s="513">
        <v>3.95</v>
      </c>
      <c r="D182" s="334">
        <v>336952</v>
      </c>
      <c r="E182" s="613">
        <f t="shared" si="12"/>
        <v>58.347879090128281</v>
      </c>
      <c r="F182" s="423"/>
      <c r="G182" s="662" t="s">
        <v>122</v>
      </c>
      <c r="H182" s="461"/>
      <c r="I182" s="513">
        <v>66.7</v>
      </c>
      <c r="J182" s="334">
        <v>4298013</v>
      </c>
      <c r="K182" s="613">
        <f t="shared" si="13"/>
        <v>59.42176356292812</v>
      </c>
      <c r="L182" s="423"/>
      <c r="M182" s="646" t="s">
        <v>927</v>
      </c>
      <c r="N182" s="348" t="s">
        <v>41</v>
      </c>
      <c r="O182" s="512">
        <v>80.36</v>
      </c>
      <c r="P182" s="334">
        <v>5904779</v>
      </c>
      <c r="Q182" s="613">
        <f t="shared" si="14"/>
        <v>93.320661477812081</v>
      </c>
      <c r="R182" s="435"/>
    </row>
    <row r="183" spans="1:18" ht="15">
      <c r="A183" s="662" t="s">
        <v>1425</v>
      </c>
      <c r="B183" s="350"/>
      <c r="C183" s="514">
        <v>1.48</v>
      </c>
      <c r="D183" s="334">
        <v>339041</v>
      </c>
      <c r="E183" s="613">
        <f t="shared" si="12"/>
        <v>58.709618208516886</v>
      </c>
      <c r="F183" s="423"/>
      <c r="G183" s="651" t="s">
        <v>1425</v>
      </c>
      <c r="H183" s="350"/>
      <c r="I183" s="514">
        <v>20.12</v>
      </c>
      <c r="J183" s="334">
        <v>4332783</v>
      </c>
      <c r="K183" s="613">
        <f t="shared" si="13"/>
        <v>59.902472839303741</v>
      </c>
      <c r="L183" s="423"/>
      <c r="M183" s="646" t="s">
        <v>1418</v>
      </c>
      <c r="N183" s="354" t="s">
        <v>41</v>
      </c>
      <c r="O183" s="514">
        <v>11.2</v>
      </c>
      <c r="P183" s="334">
        <v>5911459</v>
      </c>
      <c r="Q183" s="613">
        <f t="shared" si="14"/>
        <v>93.426233933389469</v>
      </c>
      <c r="R183" s="435"/>
    </row>
    <row r="184" spans="1:18" ht="15">
      <c r="A184" s="662" t="s">
        <v>1426</v>
      </c>
      <c r="B184" s="490"/>
      <c r="C184" s="512">
        <v>1.64</v>
      </c>
      <c r="D184" s="334">
        <v>344618</v>
      </c>
      <c r="E184" s="613">
        <f t="shared" si="12"/>
        <v>59.675352561438508</v>
      </c>
      <c r="F184" s="423"/>
      <c r="G184" s="651" t="s">
        <v>1426</v>
      </c>
      <c r="H184" s="490"/>
      <c r="I184" s="512">
        <v>15.15</v>
      </c>
      <c r="J184" s="334">
        <v>4372445</v>
      </c>
      <c r="K184" s="613">
        <f t="shared" si="13"/>
        <v>60.450815989134341</v>
      </c>
      <c r="L184" s="423"/>
      <c r="M184" s="645" t="s">
        <v>1429</v>
      </c>
      <c r="N184" s="501"/>
      <c r="O184" s="512">
        <v>16.600000000000001</v>
      </c>
      <c r="P184" s="334">
        <v>5912312</v>
      </c>
      <c r="Q184" s="613">
        <f t="shared" si="14"/>
        <v>93.439714967013344</v>
      </c>
      <c r="R184" s="435"/>
    </row>
    <row r="185" spans="1:18" ht="15">
      <c r="A185" s="667" t="s">
        <v>694</v>
      </c>
      <c r="B185" s="350"/>
      <c r="C185" s="623">
        <v>0.79700000000000004</v>
      </c>
      <c r="D185" s="335">
        <v>346970</v>
      </c>
      <c r="E185" s="615">
        <f t="shared" si="12"/>
        <v>60.082633751697003</v>
      </c>
      <c r="F185" s="423"/>
      <c r="G185" s="645" t="s">
        <v>1429</v>
      </c>
      <c r="H185" s="454"/>
      <c r="I185" s="515">
        <v>9.3000000000000007</v>
      </c>
      <c r="J185" s="335">
        <v>4416532</v>
      </c>
      <c r="K185" s="615">
        <f t="shared" si="13"/>
        <v>61.060336549029998</v>
      </c>
      <c r="L185" s="423"/>
      <c r="M185" s="647" t="s">
        <v>1412</v>
      </c>
      <c r="N185" s="348"/>
      <c r="O185" s="515">
        <v>1.6870000000000001</v>
      </c>
      <c r="P185" s="335">
        <v>5912724</v>
      </c>
      <c r="Q185" s="615">
        <f t="shared" si="14"/>
        <v>93.446226322057939</v>
      </c>
      <c r="R185" s="435"/>
    </row>
    <row r="186" spans="1:18" ht="15">
      <c r="A186" s="669" t="s">
        <v>1412</v>
      </c>
      <c r="B186" s="348"/>
      <c r="C186" s="449">
        <v>0.64</v>
      </c>
      <c r="D186" s="106">
        <v>348506</v>
      </c>
      <c r="E186" s="613">
        <f t="shared" si="12"/>
        <v>60.348613304518885</v>
      </c>
      <c r="F186" s="423"/>
      <c r="G186" s="647" t="s">
        <v>1412</v>
      </c>
      <c r="H186" s="348"/>
      <c r="I186" s="449">
        <v>6.11</v>
      </c>
      <c r="J186" s="106">
        <v>4416980</v>
      </c>
      <c r="K186" s="613">
        <f t="shared" si="13"/>
        <v>61.066530329755224</v>
      </c>
      <c r="L186" s="423"/>
      <c r="M186" s="89" t="s">
        <v>557</v>
      </c>
      <c r="N186" s="462"/>
      <c r="O186" s="449">
        <v>9.0489999999999995</v>
      </c>
      <c r="P186" s="106">
        <v>5916831</v>
      </c>
      <c r="Q186" s="613">
        <f t="shared" si="14"/>
        <v>93.511134417126257</v>
      </c>
      <c r="R186" s="435"/>
    </row>
    <row r="187" spans="1:18" ht="15">
      <c r="A187" s="662" t="s">
        <v>1429</v>
      </c>
      <c r="B187" s="501"/>
      <c r="C187" s="449">
        <v>1</v>
      </c>
      <c r="D187" s="334">
        <v>350781</v>
      </c>
      <c r="E187" s="614">
        <f t="shared" si="12"/>
        <v>60.742560884382016</v>
      </c>
      <c r="F187" s="423"/>
      <c r="G187" s="646" t="s">
        <v>1418</v>
      </c>
      <c r="H187" s="354" t="s">
        <v>41</v>
      </c>
      <c r="I187" s="449">
        <v>11.5</v>
      </c>
      <c r="J187" s="334">
        <v>4437906</v>
      </c>
      <c r="K187" s="614">
        <f t="shared" si="13"/>
        <v>61.355840721398486</v>
      </c>
      <c r="L187" s="423"/>
      <c r="M187" s="662" t="s">
        <v>122</v>
      </c>
      <c r="N187" s="461"/>
      <c r="O187" s="448">
        <v>225.7</v>
      </c>
      <c r="P187" s="334">
        <v>5917644</v>
      </c>
      <c r="Q187" s="614">
        <f t="shared" si="14"/>
        <v>93.523983280357456</v>
      </c>
      <c r="R187" s="435"/>
    </row>
    <row r="188" spans="1:18" ht="15">
      <c r="A188" s="666" t="s">
        <v>1418</v>
      </c>
      <c r="B188" s="354" t="s">
        <v>41</v>
      </c>
      <c r="C188" s="457">
        <v>1.0900000000000001</v>
      </c>
      <c r="D188" s="370">
        <v>351871</v>
      </c>
      <c r="E188" s="614">
        <f t="shared" si="12"/>
        <v>60.931309395173578</v>
      </c>
      <c r="F188" s="423"/>
      <c r="G188" s="681" t="s">
        <v>694</v>
      </c>
      <c r="H188" s="350"/>
      <c r="I188" s="458">
        <v>7.75</v>
      </c>
      <c r="J188" s="370">
        <v>4450085</v>
      </c>
      <c r="K188" s="614">
        <f t="shared" si="13"/>
        <v>61.524220309462301</v>
      </c>
      <c r="L188" s="423"/>
      <c r="M188" s="651" t="s">
        <v>1425</v>
      </c>
      <c r="N188" s="350"/>
      <c r="O188" s="458">
        <v>43</v>
      </c>
      <c r="P188" s="370">
        <v>5918178</v>
      </c>
      <c r="Q188" s="614">
        <f t="shared" si="14"/>
        <v>93.532422755099716</v>
      </c>
      <c r="R188" s="435"/>
    </row>
    <row r="189" spans="1:18" ht="15">
      <c r="A189" s="662" t="s">
        <v>2049</v>
      </c>
      <c r="B189" s="350"/>
      <c r="C189" s="448">
        <v>1</v>
      </c>
      <c r="D189" s="106">
        <v>352952</v>
      </c>
      <c r="E189" s="613">
        <f t="shared" si="12"/>
        <v>61.11849943202283</v>
      </c>
      <c r="F189" s="423"/>
      <c r="G189" s="656" t="s">
        <v>1419</v>
      </c>
      <c r="H189" s="348" t="s">
        <v>41</v>
      </c>
      <c r="I189" s="448">
        <v>7.15</v>
      </c>
      <c r="J189" s="106">
        <v>4490158</v>
      </c>
      <c r="K189" s="613">
        <f t="shared" si="13"/>
        <v>62.078245700092161</v>
      </c>
      <c r="L189" s="423"/>
      <c r="M189" s="645" t="s">
        <v>1456</v>
      </c>
      <c r="N189" s="348" t="s">
        <v>41</v>
      </c>
      <c r="O189" s="449">
        <v>1</v>
      </c>
      <c r="P189" s="106">
        <v>5919142</v>
      </c>
      <c r="Q189" s="613">
        <f t="shared" si="14"/>
        <v>93.547658061563283</v>
      </c>
      <c r="R189" s="435"/>
    </row>
    <row r="190" spans="1:18" ht="15">
      <c r="A190" s="682" t="s">
        <v>1215</v>
      </c>
      <c r="B190" s="348"/>
      <c r="C190" s="449">
        <v>1</v>
      </c>
      <c r="D190" s="106">
        <v>352977</v>
      </c>
      <c r="E190" s="613">
        <f t="shared" si="12"/>
        <v>61.122828526307039</v>
      </c>
      <c r="F190" s="423"/>
      <c r="G190" s="320" t="s">
        <v>557</v>
      </c>
      <c r="H190" s="462"/>
      <c r="I190" s="449">
        <v>4.03</v>
      </c>
      <c r="J190" s="106">
        <v>4495042</v>
      </c>
      <c r="K190" s="613">
        <f t="shared" si="13"/>
        <v>62.145768970319899</v>
      </c>
      <c r="L190" s="423"/>
      <c r="M190" s="662" t="s">
        <v>1419</v>
      </c>
      <c r="N190" s="348" t="s">
        <v>41</v>
      </c>
      <c r="O190" s="448">
        <v>5.46</v>
      </c>
      <c r="P190" s="106">
        <v>5927554</v>
      </c>
      <c r="Q190" s="613">
        <f t="shared" si="14"/>
        <v>93.680603495143671</v>
      </c>
      <c r="R190" s="435"/>
    </row>
    <row r="191" spans="1:18" ht="15">
      <c r="A191" s="662" t="s">
        <v>1456</v>
      </c>
      <c r="B191" s="348" t="s">
        <v>41</v>
      </c>
      <c r="C191" s="449">
        <v>1</v>
      </c>
      <c r="D191" s="106">
        <v>353843</v>
      </c>
      <c r="E191" s="613">
        <f t="shared" si="12"/>
        <v>61.272788352312084</v>
      </c>
      <c r="F191" s="423"/>
      <c r="G191" s="391" t="s">
        <v>1215</v>
      </c>
      <c r="H191" s="348"/>
      <c r="I191" s="449">
        <v>9</v>
      </c>
      <c r="J191" s="106">
        <v>4496246</v>
      </c>
      <c r="K191" s="613">
        <f t="shared" si="13"/>
        <v>62.162414756018961</v>
      </c>
      <c r="L191" s="423"/>
      <c r="M191" s="1288" t="s">
        <v>2045</v>
      </c>
      <c r="N191" s="348"/>
      <c r="O191" s="449">
        <v>1</v>
      </c>
      <c r="P191" s="106">
        <v>5929974</v>
      </c>
      <c r="Q191" s="613">
        <f t="shared" si="14"/>
        <v>93.718849803900738</v>
      </c>
      <c r="R191" s="435"/>
    </row>
    <row r="192" spans="1:18" ht="15">
      <c r="A192" s="668" t="s">
        <v>1419</v>
      </c>
      <c r="B192" s="348" t="s">
        <v>41</v>
      </c>
      <c r="C192" s="448">
        <v>0.78</v>
      </c>
      <c r="D192" s="106">
        <v>356864</v>
      </c>
      <c r="E192" s="613">
        <f t="shared" si="12"/>
        <v>61.795916105616044</v>
      </c>
      <c r="F192" s="423"/>
      <c r="G192" s="663" t="s">
        <v>700</v>
      </c>
      <c r="H192" s="360" t="s">
        <v>41</v>
      </c>
      <c r="I192" s="448">
        <v>1.8440000000000001</v>
      </c>
      <c r="J192" s="106">
        <v>4505844</v>
      </c>
      <c r="K192" s="613">
        <f t="shared" si="13"/>
        <v>62.295110977895668</v>
      </c>
      <c r="L192" s="423"/>
      <c r="M192" s="612" t="s">
        <v>1423</v>
      </c>
      <c r="N192" s="518"/>
      <c r="O192" s="448"/>
      <c r="P192" s="106">
        <v>5930916</v>
      </c>
      <c r="Q192" s="613">
        <f t="shared" si="14"/>
        <v>93.733737416648339</v>
      </c>
      <c r="R192" s="435"/>
    </row>
    <row r="193" spans="1:18" ht="15">
      <c r="A193" s="670" t="s">
        <v>557</v>
      </c>
      <c r="B193" s="622"/>
      <c r="C193" s="449">
        <v>0.45</v>
      </c>
      <c r="D193" s="106">
        <v>357242</v>
      </c>
      <c r="E193" s="613">
        <f t="shared" si="12"/>
        <v>61.861372011193303</v>
      </c>
      <c r="F193" s="423"/>
      <c r="G193" s="645" t="s">
        <v>1456</v>
      </c>
      <c r="H193" s="519" t="s">
        <v>41</v>
      </c>
      <c r="I193" s="449">
        <v>1</v>
      </c>
      <c r="J193" s="106">
        <v>4508516</v>
      </c>
      <c r="K193" s="613">
        <f t="shared" si="13"/>
        <v>62.332052455792578</v>
      </c>
      <c r="L193" s="423"/>
      <c r="M193" s="645" t="s">
        <v>1428</v>
      </c>
      <c r="N193" s="520"/>
      <c r="O193" s="448"/>
      <c r="P193" s="106">
        <v>5934524</v>
      </c>
      <c r="Q193" s="613">
        <f t="shared" si="14"/>
        <v>93.790759186067973</v>
      </c>
      <c r="R193" s="435"/>
    </row>
    <row r="194" spans="1:18" ht="15">
      <c r="A194" s="673" t="s">
        <v>1427</v>
      </c>
      <c r="B194" s="355" t="s">
        <v>41</v>
      </c>
      <c r="C194" s="449">
        <v>1</v>
      </c>
      <c r="D194" s="106">
        <v>361907</v>
      </c>
      <c r="E194" s="613">
        <f t="shared" si="12"/>
        <v>62.669181004626935</v>
      </c>
      <c r="F194" s="423"/>
      <c r="G194" s="645" t="s">
        <v>2049</v>
      </c>
      <c r="H194" s="264"/>
      <c r="I194" s="448">
        <v>1</v>
      </c>
      <c r="J194" s="106">
        <v>4511818</v>
      </c>
      <c r="K194" s="613">
        <f t="shared" si="13"/>
        <v>62.377703937834347</v>
      </c>
      <c r="L194" s="423"/>
      <c r="M194" s="662" t="s">
        <v>1424</v>
      </c>
      <c r="N194" s="357"/>
      <c r="O194" s="449"/>
      <c r="P194" s="106">
        <v>5942496</v>
      </c>
      <c r="Q194" s="613">
        <f t="shared" si="14"/>
        <v>93.916750745328898</v>
      </c>
      <c r="R194" s="435"/>
    </row>
    <row r="195" spans="1:18" ht="15">
      <c r="A195" s="662" t="s">
        <v>1424</v>
      </c>
      <c r="B195" s="347"/>
      <c r="C195" s="449">
        <v>0.26900000000000002</v>
      </c>
      <c r="D195" s="106">
        <v>362832</v>
      </c>
      <c r="E195" s="613">
        <f t="shared" si="12"/>
        <v>62.829357493142716</v>
      </c>
      <c r="F195" s="423"/>
      <c r="G195" s="653" t="s">
        <v>1427</v>
      </c>
      <c r="H195" s="355" t="s">
        <v>41</v>
      </c>
      <c r="I195" s="449">
        <v>2</v>
      </c>
      <c r="J195" s="106">
        <v>4531612</v>
      </c>
      <c r="K195" s="613">
        <f t="shared" si="13"/>
        <v>62.651363972823681</v>
      </c>
      <c r="L195" s="423"/>
      <c r="M195" s="1289" t="s">
        <v>700</v>
      </c>
      <c r="N195" s="355" t="s">
        <v>41</v>
      </c>
      <c r="O195" s="448">
        <v>2.359</v>
      </c>
      <c r="P195" s="106">
        <v>5947052</v>
      </c>
      <c r="Q195" s="613">
        <f t="shared" si="14"/>
        <v>93.988754953055022</v>
      </c>
      <c r="R195" s="435"/>
    </row>
    <row r="196" spans="1:18" ht="15">
      <c r="A196" s="662" t="s">
        <v>1423</v>
      </c>
      <c r="B196" s="779"/>
      <c r="C196" s="448">
        <v>1</v>
      </c>
      <c r="D196" s="106">
        <v>363405</v>
      </c>
      <c r="E196" s="613">
        <f t="shared" si="12"/>
        <v>62.928580334136811</v>
      </c>
      <c r="F196" s="423"/>
      <c r="G196" s="612" t="s">
        <v>1420</v>
      </c>
      <c r="H196" s="496" t="s">
        <v>41</v>
      </c>
      <c r="I196" s="449">
        <v>1.25</v>
      </c>
      <c r="J196" s="106">
        <v>4563809</v>
      </c>
      <c r="K196" s="613">
        <f t="shared" si="13"/>
        <v>63.096500486239435</v>
      </c>
      <c r="L196" s="423"/>
      <c r="M196" s="715" t="s">
        <v>1427</v>
      </c>
      <c r="N196" s="496" t="s">
        <v>41</v>
      </c>
      <c r="O196" s="449">
        <v>1</v>
      </c>
      <c r="P196" s="106">
        <v>5953325</v>
      </c>
      <c r="Q196" s="613">
        <f t="shared" si="14"/>
        <v>94.087895074886902</v>
      </c>
      <c r="R196" s="435"/>
    </row>
    <row r="197" spans="1:18" ht="15">
      <c r="A197" s="669" t="s">
        <v>2045</v>
      </c>
      <c r="B197" s="779"/>
      <c r="C197" s="448">
        <v>1</v>
      </c>
      <c r="D197" s="1269">
        <v>363799</v>
      </c>
      <c r="E197" s="613">
        <f t="shared" si="12"/>
        <v>62.996806860055969</v>
      </c>
      <c r="F197" s="264"/>
      <c r="G197" s="662" t="s">
        <v>1424</v>
      </c>
      <c r="H197" s="1271"/>
      <c r="I197" s="449">
        <v>3.3</v>
      </c>
      <c r="J197" s="1272">
        <v>4570352</v>
      </c>
      <c r="K197" s="613">
        <f t="shared" si="13"/>
        <v>63.186960100715297</v>
      </c>
      <c r="L197" s="264"/>
      <c r="M197" s="686" t="s">
        <v>1215</v>
      </c>
      <c r="N197" s="1275"/>
      <c r="O197" s="449">
        <v>1</v>
      </c>
      <c r="P197" s="1272">
        <v>6029372</v>
      </c>
      <c r="Q197" s="613">
        <f t="shared" si="14"/>
        <v>95.289761621188333</v>
      </c>
      <c r="R197" s="435"/>
    </row>
    <row r="198" spans="1:18" ht="15">
      <c r="A198" s="674" t="s">
        <v>700</v>
      </c>
      <c r="B198" s="360" t="s">
        <v>41</v>
      </c>
      <c r="C198" s="448">
        <v>0.34399999999999997</v>
      </c>
      <c r="D198" s="106">
        <v>364910</v>
      </c>
      <c r="E198" s="613">
        <f t="shared" si="12"/>
        <v>63.189191810046268</v>
      </c>
      <c r="F198" s="423"/>
      <c r="G198" s="645" t="s">
        <v>1423</v>
      </c>
      <c r="H198" s="350"/>
      <c r="I198" s="448">
        <v>1</v>
      </c>
      <c r="J198" s="106">
        <v>4607412</v>
      </c>
      <c r="K198" s="613">
        <f t="shared" si="13"/>
        <v>63.699329550887299</v>
      </c>
      <c r="L198" s="423"/>
      <c r="M198" s="612" t="s">
        <v>1420</v>
      </c>
      <c r="N198" s="348" t="s">
        <v>41</v>
      </c>
      <c r="O198" s="449">
        <v>2.34</v>
      </c>
      <c r="P198" s="106">
        <v>6145668</v>
      </c>
      <c r="Q198" s="613">
        <f t="shared" si="14"/>
        <v>97.127733820863142</v>
      </c>
      <c r="R198" s="435"/>
    </row>
    <row r="199" spans="1:18" ht="15">
      <c r="A199" s="662" t="s">
        <v>1428</v>
      </c>
      <c r="B199" s="495"/>
      <c r="C199" s="448">
        <v>1</v>
      </c>
      <c r="D199" s="334">
        <v>365569</v>
      </c>
      <c r="E199" s="613">
        <f t="shared" si="12"/>
        <v>63.303306735378051</v>
      </c>
      <c r="F199" s="423"/>
      <c r="G199" s="1288" t="s">
        <v>2045</v>
      </c>
      <c r="H199" s="495"/>
      <c r="I199" s="448">
        <v>1</v>
      </c>
      <c r="J199" s="336">
        <v>4638190</v>
      </c>
      <c r="K199" s="613">
        <f t="shared" si="13"/>
        <v>64.12484781687202</v>
      </c>
      <c r="L199" s="423"/>
      <c r="M199" s="89" t="s">
        <v>1416</v>
      </c>
      <c r="N199" s="495"/>
      <c r="O199" s="448">
        <v>1</v>
      </c>
      <c r="P199" s="334">
        <v>6291021</v>
      </c>
      <c r="Q199" s="614">
        <f t="shared" si="14"/>
        <v>99.424930398039763</v>
      </c>
      <c r="R199" s="435"/>
    </row>
    <row r="200" spans="1:18" ht="15">
      <c r="A200" s="662" t="s">
        <v>1420</v>
      </c>
      <c r="B200" s="467" t="s">
        <v>41</v>
      </c>
      <c r="C200" s="449">
        <v>7.8E-2</v>
      </c>
      <c r="D200" s="334">
        <v>368155</v>
      </c>
      <c r="E200" s="613">
        <f t="shared" si="12"/>
        <v>63.751108248136759</v>
      </c>
      <c r="F200" s="423"/>
      <c r="G200" s="89" t="s">
        <v>1416</v>
      </c>
      <c r="H200" s="521"/>
      <c r="I200" s="448">
        <v>1</v>
      </c>
      <c r="J200" s="334">
        <v>4668113</v>
      </c>
      <c r="K200" s="614">
        <f t="shared" si="13"/>
        <v>64.538545362945868</v>
      </c>
      <c r="L200" s="423"/>
      <c r="M200" s="666" t="s">
        <v>1169</v>
      </c>
      <c r="N200" s="495"/>
      <c r="O200" s="448">
        <v>2.9689999999999999</v>
      </c>
      <c r="P200" s="334">
        <v>6295207</v>
      </c>
      <c r="Q200" s="614">
        <f t="shared" si="14"/>
        <v>99.491087029633618</v>
      </c>
      <c r="R200" s="435"/>
    </row>
    <row r="201" spans="1:18" ht="15">
      <c r="A201" s="670" t="s">
        <v>1416</v>
      </c>
      <c r="B201" s="495"/>
      <c r="C201" s="448"/>
      <c r="D201" s="334">
        <v>372408</v>
      </c>
      <c r="E201" s="613">
        <f t="shared" si="12"/>
        <v>64.487573767766605</v>
      </c>
      <c r="F201" s="423"/>
      <c r="G201" s="612" t="s">
        <v>1428</v>
      </c>
      <c r="H201" s="495"/>
      <c r="I201" s="448">
        <v>3</v>
      </c>
      <c r="J201" s="334">
        <v>5587900</v>
      </c>
      <c r="K201" s="613">
        <f t="shared" si="13"/>
        <v>77.25497168419129</v>
      </c>
      <c r="L201" s="423"/>
      <c r="M201" s="397" t="s">
        <v>600</v>
      </c>
      <c r="N201" s="495"/>
      <c r="O201" s="448"/>
      <c r="P201" s="334">
        <v>6327408</v>
      </c>
      <c r="Q201" s="613">
        <f>(P201*100/6327408)</f>
        <v>100</v>
      </c>
      <c r="R201" s="435"/>
    </row>
    <row r="202" spans="1:18" ht="15">
      <c r="A202" s="670" t="s">
        <v>600</v>
      </c>
      <c r="B202" s="495"/>
      <c r="C202" s="448"/>
      <c r="D202" s="106">
        <v>577488</v>
      </c>
      <c r="E202" s="613">
        <f t="shared" si="12"/>
        <v>100</v>
      </c>
      <c r="F202" s="423"/>
      <c r="G202" s="89" t="s">
        <v>600</v>
      </c>
      <c r="H202" s="495"/>
      <c r="I202" s="448"/>
      <c r="J202" s="106">
        <v>7233062</v>
      </c>
      <c r="K202" s="613">
        <f t="shared" si="13"/>
        <v>100</v>
      </c>
      <c r="L202" s="423"/>
      <c r="M202" s="645" t="s">
        <v>2049</v>
      </c>
      <c r="N202" s="495"/>
      <c r="O202" s="448">
        <v>1</v>
      </c>
      <c r="P202" s="106">
        <v>6330295</v>
      </c>
      <c r="Q202" s="613">
        <f>(P202*100/6327408)</f>
        <v>100.0456268980916</v>
      </c>
      <c r="R202" s="435"/>
    </row>
    <row r="203" spans="1:18" ht="15">
      <c r="A203" s="264"/>
      <c r="B203" s="264"/>
      <c r="C203" s="264"/>
      <c r="D203" s="53"/>
      <c r="E203" s="473"/>
      <c r="F203" s="423"/>
      <c r="G203" s="264"/>
      <c r="H203" s="264"/>
      <c r="I203" s="264"/>
      <c r="J203" s="53"/>
      <c r="K203" s="473"/>
      <c r="L203" s="423"/>
      <c r="M203" s="273"/>
      <c r="N203" s="273"/>
      <c r="O203" s="273"/>
      <c r="P203" s="476"/>
      <c r="Q203" s="474"/>
      <c r="R203" s="435"/>
    </row>
    <row r="204" spans="1:18" ht="17.25">
      <c r="A204" s="264"/>
      <c r="B204" s="713" t="s">
        <v>1432</v>
      </c>
      <c r="C204" s="264"/>
      <c r="D204" s="53"/>
      <c r="E204" s="473"/>
      <c r="F204" s="423"/>
      <c r="G204" s="714"/>
      <c r="H204" s="714"/>
      <c r="I204" s="714"/>
      <c r="J204" s="714"/>
      <c r="K204" s="714"/>
      <c r="L204" s="714"/>
      <c r="M204" s="714"/>
      <c r="N204" s="273"/>
      <c r="O204" s="273"/>
      <c r="P204" s="476"/>
      <c r="Q204" s="474"/>
      <c r="R204" s="435"/>
    </row>
    <row r="205" spans="1:18" ht="17.25">
      <c r="A205" s="264"/>
      <c r="B205" s="283" t="s">
        <v>1271</v>
      </c>
      <c r="C205" s="264"/>
      <c r="D205" s="53"/>
      <c r="E205" s="473"/>
      <c r="F205" s="423"/>
      <c r="G205" s="380"/>
      <c r="H205" s="380"/>
      <c r="I205" s="380"/>
      <c r="J205" s="380"/>
      <c r="K205" s="380"/>
      <c r="L205" s="380"/>
      <c r="M205" s="380"/>
      <c r="N205" s="273"/>
      <c r="O205" s="273"/>
      <c r="P205" s="476"/>
      <c r="Q205" s="474"/>
      <c r="R205" s="435"/>
    </row>
    <row r="206" spans="1:18" ht="17.25">
      <c r="A206" s="264"/>
      <c r="B206" s="55" t="s">
        <v>1465</v>
      </c>
      <c r="C206" s="264"/>
      <c r="D206" s="53"/>
      <c r="E206" s="473"/>
      <c r="F206" s="423"/>
      <c r="G206" s="380"/>
      <c r="H206" s="380"/>
      <c r="I206" s="380"/>
      <c r="J206" s="380"/>
      <c r="K206" s="380"/>
      <c r="L206" s="380"/>
      <c r="M206" s="380"/>
      <c r="N206" s="273"/>
      <c r="O206" s="273"/>
      <c r="P206" s="476"/>
      <c r="Q206" s="474"/>
      <c r="R206" s="435"/>
    </row>
    <row r="207" spans="1:18" ht="15">
      <c r="A207" s="264"/>
      <c r="B207" s="264"/>
      <c r="C207" s="264"/>
      <c r="D207" s="53"/>
      <c r="E207" s="473"/>
      <c r="F207" s="423"/>
      <c r="G207" s="380"/>
      <c r="H207" s="380"/>
      <c r="I207" s="380"/>
      <c r="J207" s="380"/>
      <c r="K207" s="380"/>
      <c r="L207" s="380"/>
      <c r="M207" s="380"/>
      <c r="N207" s="273"/>
      <c r="O207" s="273"/>
      <c r="P207" s="476"/>
      <c r="Q207" s="474"/>
      <c r="R207" s="435"/>
    </row>
    <row r="208" spans="1:18" ht="15">
      <c r="A208" s="264"/>
      <c r="B208" s="264"/>
      <c r="C208" s="264"/>
      <c r="D208" s="53"/>
      <c r="E208" s="473"/>
      <c r="F208" s="423"/>
      <c r="G208" s="380"/>
      <c r="H208" s="380"/>
      <c r="I208" s="380"/>
      <c r="J208" s="380"/>
      <c r="K208" s="380"/>
      <c r="L208" s="380"/>
      <c r="M208" s="380"/>
      <c r="N208" s="273"/>
      <c r="O208" s="273"/>
      <c r="P208" s="476"/>
      <c r="Q208" s="474"/>
      <c r="R208" s="435"/>
    </row>
    <row r="209" spans="1:18" ht="20.25">
      <c r="A209" s="816" t="s">
        <v>572</v>
      </c>
      <c r="B209" s="423"/>
      <c r="C209" s="423"/>
      <c r="D209" s="423"/>
      <c r="E209" s="434"/>
      <c r="F209" s="423"/>
      <c r="G209" s="380"/>
      <c r="H209" s="380"/>
      <c r="I209" s="380"/>
      <c r="J209" s="380"/>
      <c r="K209" s="380"/>
      <c r="L209" s="380"/>
      <c r="M209" s="380"/>
      <c r="N209" s="423"/>
      <c r="O209" s="423"/>
      <c r="P209" s="423"/>
      <c r="Q209" s="434"/>
      <c r="R209" s="435"/>
    </row>
    <row r="210" spans="1:18" ht="15.75" thickBot="1">
      <c r="A210" s="477"/>
      <c r="B210" s="477"/>
      <c r="C210" s="477"/>
      <c r="D210" s="477"/>
      <c r="E210" s="478"/>
      <c r="F210" s="477"/>
      <c r="G210" s="381"/>
      <c r="H210" s="381"/>
      <c r="I210" s="381"/>
      <c r="J210" s="381"/>
      <c r="K210" s="381"/>
      <c r="L210" s="381"/>
      <c r="M210" s="381"/>
      <c r="N210" s="477"/>
      <c r="O210" s="477"/>
      <c r="P210" s="477"/>
      <c r="Q210" s="478"/>
      <c r="R210" s="435"/>
    </row>
    <row r="211" spans="1:18" ht="15.75" thickTop="1">
      <c r="A211" s="805"/>
      <c r="B211" s="805"/>
      <c r="C211" s="805"/>
      <c r="D211" s="805"/>
      <c r="E211" s="596"/>
      <c r="F211" s="805"/>
      <c r="G211" s="380"/>
      <c r="H211" s="380"/>
      <c r="I211" s="818"/>
      <c r="J211" s="818"/>
      <c r="K211" s="818"/>
      <c r="L211" s="818"/>
      <c r="M211" s="818"/>
      <c r="N211" s="819"/>
      <c r="O211" s="819"/>
      <c r="P211" s="805"/>
      <c r="Q211" s="596"/>
      <c r="R211" s="435"/>
    </row>
    <row r="212" spans="1:18" ht="15">
      <c r="A212" s="429" t="s">
        <v>753</v>
      </c>
      <c r="B212" s="264"/>
      <c r="C212" s="264"/>
      <c r="D212" s="53"/>
      <c r="E212" s="473"/>
      <c r="F212" s="423"/>
      <c r="G212" s="429" t="s">
        <v>748</v>
      </c>
      <c r="H212" s="495"/>
      <c r="I212" s="817"/>
      <c r="J212" s="53"/>
      <c r="K212" s="473"/>
      <c r="L212" s="423"/>
      <c r="M212" s="509" t="s">
        <v>754</v>
      </c>
      <c r="N212" s="522"/>
      <c r="O212" s="528"/>
      <c r="P212" s="476"/>
      <c r="Q212" s="474"/>
      <c r="R212" s="435"/>
    </row>
    <row r="213" spans="1:18" ht="15">
      <c r="A213" s="364" t="s">
        <v>756</v>
      </c>
      <c r="B213" s="436"/>
      <c r="C213" s="481"/>
      <c r="D213" s="3166" t="s">
        <v>573</v>
      </c>
      <c r="E213" s="3167"/>
      <c r="F213" s="264"/>
      <c r="G213" s="365" t="s">
        <v>922</v>
      </c>
      <c r="H213" s="259"/>
      <c r="I213" s="259"/>
      <c r="J213" s="3166" t="s">
        <v>574</v>
      </c>
      <c r="K213" s="3167"/>
      <c r="L213" s="264"/>
      <c r="M213" s="365" t="s">
        <v>755</v>
      </c>
      <c r="N213" s="259"/>
      <c r="O213" s="259"/>
      <c r="P213" s="3166" t="s">
        <v>574</v>
      </c>
      <c r="Q213" s="3167"/>
      <c r="R213" s="435"/>
    </row>
    <row r="214" spans="1:18" ht="15">
      <c r="A214" s="681" t="s">
        <v>694</v>
      </c>
      <c r="B214" s="523"/>
      <c r="C214" s="442">
        <v>122</v>
      </c>
      <c r="D214" s="367">
        <v>48673735</v>
      </c>
      <c r="E214" s="613">
        <f t="shared" ref="E214:E238" si="15">(D214*100/54573840)</f>
        <v>89.188766998987063</v>
      </c>
      <c r="F214" s="264"/>
      <c r="G214" s="1932" t="s">
        <v>1430</v>
      </c>
      <c r="H214" s="441" t="s">
        <v>41</v>
      </c>
      <c r="I214" s="442">
        <v>37614.99</v>
      </c>
      <c r="J214" s="330">
        <v>185111802</v>
      </c>
      <c r="K214" s="613">
        <f t="shared" ref="K214:K240" si="16">(J214*100/343060820)</f>
        <v>53.958887523209441</v>
      </c>
      <c r="L214" s="264"/>
      <c r="M214" s="398" t="s">
        <v>747</v>
      </c>
      <c r="N214" s="345"/>
      <c r="O214" s="584">
        <v>49</v>
      </c>
      <c r="P214" s="780">
        <v>15305032</v>
      </c>
      <c r="Q214" s="617">
        <f t="shared" ref="Q214:Q239" si="17">(P214*100/19319296)</f>
        <v>79.221478877905284</v>
      </c>
      <c r="R214" s="435"/>
    </row>
    <row r="215" spans="1:18" ht="15">
      <c r="A215" s="666" t="s">
        <v>1169</v>
      </c>
      <c r="B215" s="524"/>
      <c r="C215" s="442">
        <v>32.25</v>
      </c>
      <c r="D215" s="399">
        <v>48673735</v>
      </c>
      <c r="E215" s="613">
        <f t="shared" si="15"/>
        <v>89.188766998987063</v>
      </c>
      <c r="F215" s="264"/>
      <c r="G215" s="651" t="s">
        <v>1426</v>
      </c>
      <c r="H215" s="347"/>
      <c r="I215" s="449">
        <v>782.21</v>
      </c>
      <c r="J215" s="106">
        <v>185678629</v>
      </c>
      <c r="K215" s="613">
        <f t="shared" si="16"/>
        <v>54.124113910763697</v>
      </c>
      <c r="L215" s="264"/>
      <c r="M215" s="1943" t="s">
        <v>557</v>
      </c>
      <c r="N215" s="752"/>
      <c r="O215" s="449">
        <v>11.53</v>
      </c>
      <c r="P215" s="106">
        <v>18528084</v>
      </c>
      <c r="Q215" s="617">
        <f t="shared" si="17"/>
        <v>95.904550559192216</v>
      </c>
      <c r="R215" s="435"/>
    </row>
    <row r="216" spans="1:18" ht="15">
      <c r="A216" s="1935" t="s">
        <v>2047</v>
      </c>
      <c r="B216" s="465" t="s">
        <v>41</v>
      </c>
      <c r="C216" s="449">
        <v>6997.14</v>
      </c>
      <c r="D216" s="106">
        <v>54184255</v>
      </c>
      <c r="E216" s="613">
        <f t="shared" si="15"/>
        <v>99.286132330068767</v>
      </c>
      <c r="F216" s="264"/>
      <c r="G216" s="666" t="s">
        <v>694</v>
      </c>
      <c r="H216" s="525"/>
      <c r="I216" s="487">
        <v>639.26</v>
      </c>
      <c r="J216" s="106">
        <v>186444625</v>
      </c>
      <c r="K216" s="613">
        <f t="shared" si="16"/>
        <v>54.347396767721825</v>
      </c>
      <c r="L216" s="264"/>
      <c r="M216" s="1944" t="s">
        <v>1430</v>
      </c>
      <c r="N216" s="348" t="s">
        <v>41</v>
      </c>
      <c r="O216" s="487">
        <v>2265.63</v>
      </c>
      <c r="P216" s="106">
        <v>18551043</v>
      </c>
      <c r="Q216" s="617">
        <f t="shared" si="17"/>
        <v>96.023390293310896</v>
      </c>
      <c r="R216" s="435"/>
    </row>
    <row r="217" spans="1:18" ht="15">
      <c r="A217" s="1932" t="s">
        <v>1430</v>
      </c>
      <c r="B217" s="768" t="s">
        <v>41</v>
      </c>
      <c r="C217" s="449">
        <v>6142.5</v>
      </c>
      <c r="D217" s="1893">
        <v>54186047</v>
      </c>
      <c r="E217" s="613">
        <f t="shared" si="15"/>
        <v>99.289415954603896</v>
      </c>
      <c r="F217" s="264"/>
      <c r="G217" s="1935" t="s">
        <v>2047</v>
      </c>
      <c r="H217" s="768" t="s">
        <v>41</v>
      </c>
      <c r="I217" s="487"/>
      <c r="J217" s="1893"/>
      <c r="K217" s="1919"/>
      <c r="L217" s="264"/>
      <c r="M217" s="1935" t="s">
        <v>2047</v>
      </c>
      <c r="N217" s="768" t="s">
        <v>41</v>
      </c>
      <c r="O217" s="449">
        <v>2223.81</v>
      </c>
      <c r="P217" s="1893">
        <v>18551461</v>
      </c>
      <c r="Q217" s="617">
        <f t="shared" si="17"/>
        <v>96.02555393322821</v>
      </c>
      <c r="R217" s="435"/>
    </row>
    <row r="218" spans="1:18" ht="15">
      <c r="A218" s="662" t="s">
        <v>1426</v>
      </c>
      <c r="B218" s="526"/>
      <c r="C218" s="449">
        <v>101.53</v>
      </c>
      <c r="D218" s="106">
        <v>54171990</v>
      </c>
      <c r="E218" s="613">
        <f t="shared" si="15"/>
        <v>99.263658192276736</v>
      </c>
      <c r="F218" s="264"/>
      <c r="G218" s="646" t="s">
        <v>927</v>
      </c>
      <c r="H218" s="348" t="s">
        <v>41</v>
      </c>
      <c r="I218" s="449">
        <v>3964.74</v>
      </c>
      <c r="J218" s="106">
        <v>188880770</v>
      </c>
      <c r="K218" s="613">
        <f t="shared" si="16"/>
        <v>55.057517206424215</v>
      </c>
      <c r="L218" s="264"/>
      <c r="M218" s="646" t="s">
        <v>927</v>
      </c>
      <c r="N218" s="348" t="s">
        <v>41</v>
      </c>
      <c r="O218" s="449">
        <v>244.08</v>
      </c>
      <c r="P218" s="106">
        <v>18569530</v>
      </c>
      <c r="Q218" s="617">
        <f t="shared" si="17"/>
        <v>96.11908218601755</v>
      </c>
      <c r="R218" s="435"/>
    </row>
    <row r="219" spans="1:18" ht="15">
      <c r="A219" s="666" t="s">
        <v>927</v>
      </c>
      <c r="B219" s="348" t="s">
        <v>41</v>
      </c>
      <c r="C219" s="449">
        <v>696.8</v>
      </c>
      <c r="D219" s="331">
        <v>54195637</v>
      </c>
      <c r="E219" s="613">
        <f t="shared" si="15"/>
        <v>99.306988476530151</v>
      </c>
      <c r="F219" s="264"/>
      <c r="G219" s="662" t="s">
        <v>122</v>
      </c>
      <c r="H219" s="459"/>
      <c r="I219" s="449">
        <v>6505.78</v>
      </c>
      <c r="J219" s="334">
        <v>189792486</v>
      </c>
      <c r="K219" s="613">
        <f t="shared" si="16"/>
        <v>55.32327649656991</v>
      </c>
      <c r="L219" s="264"/>
      <c r="M219" s="651" t="s">
        <v>1426</v>
      </c>
      <c r="N219" s="347"/>
      <c r="O219" s="449">
        <v>40.119999999999997</v>
      </c>
      <c r="P219" s="106">
        <v>18574131</v>
      </c>
      <c r="Q219" s="617">
        <f t="shared" si="17"/>
        <v>96.142897753624155</v>
      </c>
      <c r="R219" s="435"/>
    </row>
    <row r="220" spans="1:18" ht="15">
      <c r="A220" s="669" t="s">
        <v>1412</v>
      </c>
      <c r="B220" s="348"/>
      <c r="C220" s="449">
        <v>15.9</v>
      </c>
      <c r="D220" s="336">
        <v>54324849</v>
      </c>
      <c r="E220" s="613">
        <f t="shared" si="15"/>
        <v>99.543753930454585</v>
      </c>
      <c r="F220" s="264"/>
      <c r="G220" s="645" t="s">
        <v>1456</v>
      </c>
      <c r="H220" s="348" t="s">
        <v>41</v>
      </c>
      <c r="I220" s="449">
        <v>44</v>
      </c>
      <c r="J220" s="334">
        <v>189880612</v>
      </c>
      <c r="K220" s="613">
        <f t="shared" si="16"/>
        <v>55.348964652973194</v>
      </c>
      <c r="L220" s="264"/>
      <c r="M220" s="645" t="s">
        <v>1429</v>
      </c>
      <c r="N220" s="454"/>
      <c r="O220" s="449">
        <v>44.6</v>
      </c>
      <c r="P220" s="334">
        <v>18604663</v>
      </c>
      <c r="Q220" s="617">
        <f t="shared" si="17"/>
        <v>96.300936638684973</v>
      </c>
      <c r="R220" s="435"/>
    </row>
    <row r="221" spans="1:18" ht="15">
      <c r="A221" s="668" t="s">
        <v>122</v>
      </c>
      <c r="B221" s="348"/>
      <c r="C221" s="457">
        <v>1865.39</v>
      </c>
      <c r="D221" s="332">
        <v>54353729</v>
      </c>
      <c r="E221" s="613">
        <f t="shared" si="15"/>
        <v>99.596673058007283</v>
      </c>
      <c r="F221" s="264"/>
      <c r="G221" s="662" t="s">
        <v>1419</v>
      </c>
      <c r="H221" s="348" t="s">
        <v>41</v>
      </c>
      <c r="I221" s="458">
        <v>1466.14</v>
      </c>
      <c r="J221" s="332">
        <v>191493555</v>
      </c>
      <c r="K221" s="613">
        <f t="shared" si="16"/>
        <v>55.819127057412153</v>
      </c>
      <c r="L221" s="264"/>
      <c r="M221" s="647" t="s">
        <v>1412</v>
      </c>
      <c r="N221" s="348"/>
      <c r="O221" s="457">
        <v>5.0599999999999996</v>
      </c>
      <c r="P221" s="370">
        <v>18610191</v>
      </c>
      <c r="Q221" s="617">
        <f t="shared" si="17"/>
        <v>96.329550517782849</v>
      </c>
      <c r="R221" s="435"/>
    </row>
    <row r="222" spans="1:18" ht="15">
      <c r="A222" s="662" t="s">
        <v>1429</v>
      </c>
      <c r="B222" s="454"/>
      <c r="C222" s="457">
        <v>131.9</v>
      </c>
      <c r="D222" s="371">
        <v>54355972</v>
      </c>
      <c r="E222" s="615">
        <f t="shared" si="15"/>
        <v>99.600783085815479</v>
      </c>
      <c r="F222" s="264"/>
      <c r="G222" s="651" t="s">
        <v>1425</v>
      </c>
      <c r="H222" s="350"/>
      <c r="I222" s="457">
        <v>2054.29</v>
      </c>
      <c r="J222" s="371">
        <v>192742881</v>
      </c>
      <c r="K222" s="615">
        <f t="shared" si="16"/>
        <v>56.183297468944431</v>
      </c>
      <c r="L222" s="264"/>
      <c r="M222" s="662" t="s">
        <v>122</v>
      </c>
      <c r="N222" s="347"/>
      <c r="O222" s="457">
        <v>605.29999999999995</v>
      </c>
      <c r="P222" s="335">
        <v>18627522</v>
      </c>
      <c r="Q222" s="619">
        <f t="shared" si="17"/>
        <v>96.419258755598548</v>
      </c>
      <c r="R222" s="435"/>
    </row>
    <row r="223" spans="1:18" ht="15">
      <c r="A223" s="670" t="s">
        <v>557</v>
      </c>
      <c r="B223" s="516"/>
      <c r="C223" s="449">
        <v>33.840000000000003</v>
      </c>
      <c r="D223" s="334">
        <v>54356519</v>
      </c>
      <c r="E223" s="613">
        <f t="shared" si="15"/>
        <v>99.601785397545783</v>
      </c>
      <c r="F223" s="264"/>
      <c r="G223" s="647" t="s">
        <v>1412</v>
      </c>
      <c r="H223" s="459"/>
      <c r="I223" s="449">
        <v>214.06</v>
      </c>
      <c r="J223" s="334">
        <v>192746748</v>
      </c>
      <c r="K223" s="614">
        <f t="shared" si="16"/>
        <v>56.184424674318684</v>
      </c>
      <c r="L223" s="264"/>
      <c r="M223" s="646" t="s">
        <v>1418</v>
      </c>
      <c r="N223" s="354" t="s">
        <v>41</v>
      </c>
      <c r="O223" s="449">
        <v>30.44</v>
      </c>
      <c r="P223" s="334">
        <v>18637447</v>
      </c>
      <c r="Q223" s="618">
        <f t="shared" si="17"/>
        <v>96.470632263204621</v>
      </c>
      <c r="R223" s="435"/>
    </row>
    <row r="224" spans="1:18" ht="15">
      <c r="A224" s="668" t="s">
        <v>1419</v>
      </c>
      <c r="B224" s="348" t="s">
        <v>41</v>
      </c>
      <c r="C224" s="448">
        <v>36.01</v>
      </c>
      <c r="D224" s="331">
        <v>54382722</v>
      </c>
      <c r="E224" s="613">
        <f t="shared" si="15"/>
        <v>99.649799244473172</v>
      </c>
      <c r="F224" s="264"/>
      <c r="G224" s="389" t="s">
        <v>747</v>
      </c>
      <c r="H224" s="451"/>
      <c r="I224" s="487">
        <v>137</v>
      </c>
      <c r="J224" s="106">
        <v>193590203</v>
      </c>
      <c r="K224" s="613">
        <f t="shared" si="16"/>
        <v>56.430286326488698</v>
      </c>
      <c r="L224" s="264"/>
      <c r="M224" s="651" t="s">
        <v>1425</v>
      </c>
      <c r="N224" s="495"/>
      <c r="O224" s="449">
        <v>246.3</v>
      </c>
      <c r="P224" s="106">
        <v>18642551</v>
      </c>
      <c r="Q224" s="617">
        <f t="shared" si="17"/>
        <v>96.497051445352881</v>
      </c>
      <c r="R224" s="435"/>
    </row>
    <row r="225" spans="1:18" ht="15">
      <c r="A225" s="662" t="s">
        <v>1425</v>
      </c>
      <c r="B225" s="264"/>
      <c r="C225" s="448">
        <v>547.86</v>
      </c>
      <c r="D225" s="331">
        <v>54395868</v>
      </c>
      <c r="E225" s="613">
        <f t="shared" si="15"/>
        <v>99.673887708836318</v>
      </c>
      <c r="F225" s="264"/>
      <c r="G225" s="89" t="s">
        <v>557</v>
      </c>
      <c r="H225" s="463"/>
      <c r="I225" s="487">
        <v>201.59</v>
      </c>
      <c r="J225" s="106">
        <v>195336232</v>
      </c>
      <c r="K225" s="613">
        <f t="shared" si="16"/>
        <v>56.939242435204349</v>
      </c>
      <c r="L225" s="264"/>
      <c r="M225" s="645" t="s">
        <v>1456</v>
      </c>
      <c r="N225" s="348" t="s">
        <v>41</v>
      </c>
      <c r="O225" s="449">
        <v>3</v>
      </c>
      <c r="P225" s="106">
        <v>18649625</v>
      </c>
      <c r="Q225" s="617">
        <f t="shared" si="17"/>
        <v>96.533667686441575</v>
      </c>
      <c r="R225" s="435"/>
    </row>
    <row r="226" spans="1:18" ht="15">
      <c r="A226" s="662" t="s">
        <v>1456</v>
      </c>
      <c r="B226" s="348" t="s">
        <v>41</v>
      </c>
      <c r="C226" s="449">
        <v>12</v>
      </c>
      <c r="D226" s="331">
        <v>54395896</v>
      </c>
      <c r="E226" s="613">
        <f t="shared" si="15"/>
        <v>99.673939015469685</v>
      </c>
      <c r="F226" s="264"/>
      <c r="G226" s="1288" t="s">
        <v>2045</v>
      </c>
      <c r="H226" s="722"/>
      <c r="I226" s="448">
        <v>35</v>
      </c>
      <c r="J226" s="331">
        <v>196193421</v>
      </c>
      <c r="K226" s="613">
        <f t="shared" si="16"/>
        <v>57.189107459138</v>
      </c>
      <c r="L226" s="264"/>
      <c r="M226" s="681" t="s">
        <v>694</v>
      </c>
      <c r="N226" s="347"/>
      <c r="O226" s="449">
        <v>24.26</v>
      </c>
      <c r="P226" s="106">
        <v>18656093</v>
      </c>
      <c r="Q226" s="617">
        <f t="shared" si="17"/>
        <v>96.567147167267379</v>
      </c>
      <c r="R226" s="435"/>
    </row>
    <row r="227" spans="1:18" ht="15">
      <c r="A227" s="666" t="s">
        <v>1418</v>
      </c>
      <c r="B227" s="354" t="s">
        <v>41</v>
      </c>
      <c r="C227" s="449">
        <v>31.61</v>
      </c>
      <c r="D227" s="331">
        <v>54437789</v>
      </c>
      <c r="E227" s="613">
        <f t="shared" si="15"/>
        <v>99.750702900877044</v>
      </c>
      <c r="F227" s="264"/>
      <c r="G227" s="715" t="s">
        <v>1427</v>
      </c>
      <c r="H227" s="348" t="s">
        <v>41</v>
      </c>
      <c r="I227" s="487">
        <v>33</v>
      </c>
      <c r="J227" s="331">
        <v>198591751</v>
      </c>
      <c r="K227" s="613">
        <f t="shared" si="16"/>
        <v>57.888205071042506</v>
      </c>
      <c r="L227" s="264"/>
      <c r="M227" s="1293" t="s">
        <v>2045</v>
      </c>
      <c r="N227" s="348"/>
      <c r="O227" s="449">
        <v>1</v>
      </c>
      <c r="P227" s="106">
        <v>18684866</v>
      </c>
      <c r="Q227" s="617">
        <f t="shared" si="17"/>
        <v>96.716081165690511</v>
      </c>
      <c r="R227" s="435"/>
    </row>
    <row r="228" spans="1:18" ht="15">
      <c r="A228" s="670" t="s">
        <v>1416</v>
      </c>
      <c r="B228" s="347"/>
      <c r="C228" s="449">
        <v>1</v>
      </c>
      <c r="D228" s="331">
        <v>54459371</v>
      </c>
      <c r="E228" s="613">
        <f t="shared" si="15"/>
        <v>99.790249320920054</v>
      </c>
      <c r="F228" s="264"/>
      <c r="G228" s="845" t="s">
        <v>1215</v>
      </c>
      <c r="H228" s="347"/>
      <c r="I228" s="487">
        <v>361</v>
      </c>
      <c r="J228" s="106">
        <v>199835129</v>
      </c>
      <c r="K228" s="613">
        <f t="shared" si="16"/>
        <v>58.250641679221779</v>
      </c>
      <c r="L228" s="264"/>
      <c r="M228" s="645" t="s">
        <v>1419</v>
      </c>
      <c r="N228" s="348" t="s">
        <v>41</v>
      </c>
      <c r="O228" s="449">
        <v>18.47</v>
      </c>
      <c r="P228" s="106">
        <v>18689824</v>
      </c>
      <c r="Q228" s="617">
        <f t="shared" si="17"/>
        <v>96.741744626719324</v>
      </c>
      <c r="R228" s="435"/>
    </row>
    <row r="229" spans="1:18" ht="15">
      <c r="A229" s="662" t="s">
        <v>1424</v>
      </c>
      <c r="B229" s="347"/>
      <c r="C229" s="449">
        <v>30.76</v>
      </c>
      <c r="D229" s="106">
        <v>54479920</v>
      </c>
      <c r="E229" s="613">
        <f t="shared" si="15"/>
        <v>99.827902892667993</v>
      </c>
      <c r="F229" s="264"/>
      <c r="G229" s="612" t="s">
        <v>1429</v>
      </c>
      <c r="H229" s="352"/>
      <c r="I229" s="449">
        <v>664.1</v>
      </c>
      <c r="J229" s="106">
        <v>200680371</v>
      </c>
      <c r="K229" s="613">
        <f t="shared" si="16"/>
        <v>58.4970242302808</v>
      </c>
      <c r="L229" s="264"/>
      <c r="M229" s="612" t="s">
        <v>1423</v>
      </c>
      <c r="N229" s="350"/>
      <c r="O229" s="448">
        <v>3</v>
      </c>
      <c r="P229" s="106">
        <v>18698245</v>
      </c>
      <c r="Q229" s="617">
        <f t="shared" si="17"/>
        <v>96.785333171560708</v>
      </c>
      <c r="R229" s="435"/>
    </row>
    <row r="230" spans="1:18" ht="15">
      <c r="A230" s="669" t="s">
        <v>2045</v>
      </c>
      <c r="B230" s="350"/>
      <c r="C230" s="448">
        <v>3</v>
      </c>
      <c r="D230" s="331">
        <v>54503453</v>
      </c>
      <c r="E230" s="613">
        <f t="shared" si="15"/>
        <v>99.871024285628422</v>
      </c>
      <c r="F230" s="264"/>
      <c r="G230" s="650" t="s">
        <v>1418</v>
      </c>
      <c r="H230" s="348" t="s">
        <v>41</v>
      </c>
      <c r="I230" s="449">
        <v>281.31</v>
      </c>
      <c r="J230" s="106">
        <v>202048171</v>
      </c>
      <c r="K230" s="613">
        <f t="shared" si="16"/>
        <v>58.895729043030911</v>
      </c>
      <c r="L230" s="264"/>
      <c r="M230" s="645" t="s">
        <v>1428</v>
      </c>
      <c r="N230" s="722"/>
      <c r="O230" s="448">
        <v>14</v>
      </c>
      <c r="P230" s="106">
        <v>18725619</v>
      </c>
      <c r="Q230" s="617">
        <f t="shared" si="17"/>
        <v>96.927025705284493</v>
      </c>
      <c r="R230" s="435"/>
    </row>
    <row r="231" spans="1:18" ht="15">
      <c r="A231" s="662" t="s">
        <v>1423</v>
      </c>
      <c r="B231" s="779"/>
      <c r="C231" s="448">
        <v>11</v>
      </c>
      <c r="D231" s="1269">
        <v>54523435</v>
      </c>
      <c r="E231" s="613">
        <f t="shared" si="15"/>
        <v>99.907638898050791</v>
      </c>
      <c r="F231" s="264"/>
      <c r="G231" s="662" t="s">
        <v>2049</v>
      </c>
      <c r="H231" s="1271"/>
      <c r="I231" s="487">
        <v>118</v>
      </c>
      <c r="J231" s="1269">
        <v>203155703</v>
      </c>
      <c r="K231" s="613">
        <f t="shared" si="16"/>
        <v>59.218567424866528</v>
      </c>
      <c r="L231" s="264"/>
      <c r="M231" s="673" t="s">
        <v>1427</v>
      </c>
      <c r="N231" s="823" t="s">
        <v>41</v>
      </c>
      <c r="O231" s="449">
        <v>1</v>
      </c>
      <c r="P231" s="1272">
        <v>18764305</v>
      </c>
      <c r="Q231" s="617">
        <f t="shared" si="17"/>
        <v>97.127271097249093</v>
      </c>
      <c r="R231" s="435"/>
    </row>
    <row r="232" spans="1:18" ht="15">
      <c r="A232" s="673" t="s">
        <v>1427</v>
      </c>
      <c r="B232" s="355" t="s">
        <v>41</v>
      </c>
      <c r="C232" s="449">
        <v>2</v>
      </c>
      <c r="D232" s="331">
        <v>54524517</v>
      </c>
      <c r="E232" s="613">
        <f t="shared" si="15"/>
        <v>99.909621532954247</v>
      </c>
      <c r="F232" s="264"/>
      <c r="G232" s="645" t="s">
        <v>1423</v>
      </c>
      <c r="H232" s="264"/>
      <c r="I232" s="448">
        <v>78</v>
      </c>
      <c r="J232" s="106">
        <v>206697499</v>
      </c>
      <c r="K232" s="613">
        <f t="shared" si="16"/>
        <v>60.250977946126291</v>
      </c>
      <c r="L232" s="264"/>
      <c r="M232" s="645" t="s">
        <v>1424</v>
      </c>
      <c r="N232" s="273"/>
      <c r="O232" s="449">
        <v>10.73</v>
      </c>
      <c r="P232" s="106">
        <v>18795200</v>
      </c>
      <c r="Q232" s="617">
        <f t="shared" si="17"/>
        <v>97.287188932764423</v>
      </c>
      <c r="R232" s="435"/>
    </row>
    <row r="233" spans="1:18" ht="15">
      <c r="A233" s="674" t="s">
        <v>700</v>
      </c>
      <c r="B233" s="360" t="s">
        <v>41</v>
      </c>
      <c r="C233" s="449">
        <v>89.42</v>
      </c>
      <c r="D233" s="106">
        <v>54530318</v>
      </c>
      <c r="E233" s="613">
        <f t="shared" si="15"/>
        <v>99.920251167958867</v>
      </c>
      <c r="F233" s="264"/>
      <c r="G233" s="612" t="s">
        <v>1428</v>
      </c>
      <c r="H233" s="350"/>
      <c r="I233" s="448">
        <v>248</v>
      </c>
      <c r="J233" s="331">
        <v>207261203</v>
      </c>
      <c r="K233" s="613">
        <f t="shared" si="16"/>
        <v>60.415293999472162</v>
      </c>
      <c r="L233" s="264"/>
      <c r="M233" s="341" t="s">
        <v>1416</v>
      </c>
      <c r="N233" s="347"/>
      <c r="O233" s="487">
        <v>1</v>
      </c>
      <c r="P233" s="106">
        <v>18809468</v>
      </c>
      <c r="Q233" s="617">
        <f t="shared" si="17"/>
        <v>97.361042555587943</v>
      </c>
      <c r="R233" s="435"/>
    </row>
    <row r="234" spans="1:18" ht="15">
      <c r="A234" s="683" t="s">
        <v>600</v>
      </c>
      <c r="B234" s="347"/>
      <c r="C234" s="449"/>
      <c r="D234" s="331">
        <v>54573840</v>
      </c>
      <c r="E234" s="613">
        <f t="shared" si="15"/>
        <v>100</v>
      </c>
      <c r="F234" s="264"/>
      <c r="G234" s="663" t="s">
        <v>700</v>
      </c>
      <c r="H234" s="360" t="s">
        <v>41</v>
      </c>
      <c r="I234" s="449">
        <v>105.28</v>
      </c>
      <c r="J234" s="331">
        <v>210336180</v>
      </c>
      <c r="K234" s="613">
        <f t="shared" si="16"/>
        <v>61.311629815377927</v>
      </c>
      <c r="L234" s="264"/>
      <c r="M234" s="666" t="s">
        <v>1169</v>
      </c>
      <c r="N234" s="347"/>
      <c r="O234" s="448">
        <v>7.57</v>
      </c>
      <c r="P234" s="106">
        <v>18829223</v>
      </c>
      <c r="Q234" s="617">
        <f t="shared" si="17"/>
        <v>97.463297834455247</v>
      </c>
      <c r="R234" s="435"/>
    </row>
    <row r="235" spans="1:18" ht="15">
      <c r="A235" s="662" t="s">
        <v>2049</v>
      </c>
      <c r="B235" s="527"/>
      <c r="C235" s="449">
        <v>12</v>
      </c>
      <c r="D235" s="336">
        <v>54574002</v>
      </c>
      <c r="E235" s="613">
        <f t="shared" si="15"/>
        <v>100.00029684552159</v>
      </c>
      <c r="F235" s="264"/>
      <c r="G235" s="624" t="s">
        <v>749</v>
      </c>
      <c r="H235" s="527"/>
      <c r="I235" s="449"/>
      <c r="J235" s="334">
        <v>210810984</v>
      </c>
      <c r="K235" s="613">
        <f t="shared" si="16"/>
        <v>61.45003209634956</v>
      </c>
      <c r="L235" s="264"/>
      <c r="M235" s="386" t="s">
        <v>1215</v>
      </c>
      <c r="N235" s="527"/>
      <c r="O235" s="449">
        <v>29</v>
      </c>
      <c r="P235" s="334">
        <v>18852069</v>
      </c>
      <c r="Q235" s="617">
        <f t="shared" si="17"/>
        <v>97.581552661132164</v>
      </c>
      <c r="R235" s="435"/>
    </row>
    <row r="236" spans="1:18" ht="15">
      <c r="A236" s="662" t="s">
        <v>1428</v>
      </c>
      <c r="B236" s="350"/>
      <c r="C236" s="448">
        <v>38</v>
      </c>
      <c r="D236" s="331">
        <v>54628890</v>
      </c>
      <c r="E236" s="613">
        <f t="shared" si="15"/>
        <v>100.1008725059479</v>
      </c>
      <c r="F236" s="264"/>
      <c r="G236" s="645" t="s">
        <v>1424</v>
      </c>
      <c r="H236" s="347"/>
      <c r="I236" s="487">
        <v>159.88</v>
      </c>
      <c r="J236" s="106">
        <v>223509568</v>
      </c>
      <c r="K236" s="613">
        <f t="shared" si="16"/>
        <v>65.151586823584225</v>
      </c>
      <c r="L236" s="264"/>
      <c r="M236" s="645" t="s">
        <v>2049</v>
      </c>
      <c r="N236" s="348"/>
      <c r="O236" s="449">
        <v>4</v>
      </c>
      <c r="P236" s="106">
        <v>18854693</v>
      </c>
      <c r="Q236" s="617">
        <f t="shared" si="17"/>
        <v>97.595134936593965</v>
      </c>
      <c r="R236" s="435"/>
    </row>
    <row r="237" spans="1:18" ht="15">
      <c r="A237" s="662" t="s">
        <v>1420</v>
      </c>
      <c r="B237" s="348" t="s">
        <v>41</v>
      </c>
      <c r="C237" s="449">
        <v>16.25</v>
      </c>
      <c r="D237" s="331">
        <v>54732484</v>
      </c>
      <c r="E237" s="613">
        <f t="shared" si="15"/>
        <v>100.29069605510625</v>
      </c>
      <c r="F237" s="264"/>
      <c r="G237" s="666" t="s">
        <v>1169</v>
      </c>
      <c r="H237" s="347"/>
      <c r="I237" s="449">
        <v>154</v>
      </c>
      <c r="J237" s="106">
        <v>237043057</v>
      </c>
      <c r="K237" s="613">
        <f t="shared" si="16"/>
        <v>69.096510933542334</v>
      </c>
      <c r="L237" s="264"/>
      <c r="M237" s="663" t="s">
        <v>700</v>
      </c>
      <c r="N237" s="360" t="s">
        <v>41</v>
      </c>
      <c r="O237" s="449">
        <v>87.18</v>
      </c>
      <c r="P237" s="106">
        <v>18863708</v>
      </c>
      <c r="Q237" s="617">
        <f t="shared" si="17"/>
        <v>97.641798127633635</v>
      </c>
      <c r="R237" s="435"/>
    </row>
    <row r="238" spans="1:18" ht="15">
      <c r="A238" s="684" t="s">
        <v>1215</v>
      </c>
      <c r="B238" s="527"/>
      <c r="C238" s="449">
        <v>107</v>
      </c>
      <c r="D238" s="336">
        <v>54833874</v>
      </c>
      <c r="E238" s="613">
        <f t="shared" si="15"/>
        <v>100.47648103926717</v>
      </c>
      <c r="F238" s="264"/>
      <c r="G238" s="625" t="s">
        <v>1420</v>
      </c>
      <c r="H238" s="459" t="s">
        <v>41</v>
      </c>
      <c r="I238" s="448">
        <v>73.125</v>
      </c>
      <c r="J238" s="336">
        <v>237189392</v>
      </c>
      <c r="K238" s="613">
        <f t="shared" si="16"/>
        <v>69.139166635233948</v>
      </c>
      <c r="L238" s="264"/>
      <c r="M238" s="625" t="s">
        <v>1420</v>
      </c>
      <c r="N238" s="459" t="s">
        <v>41</v>
      </c>
      <c r="O238" s="449">
        <v>5.56</v>
      </c>
      <c r="P238" s="334">
        <v>18887835</v>
      </c>
      <c r="Q238" s="617">
        <f t="shared" si="17"/>
        <v>97.766683630707874</v>
      </c>
      <c r="R238" s="435"/>
    </row>
    <row r="239" spans="1:18" ht="15">
      <c r="A239" s="670" t="s">
        <v>1487</v>
      </c>
      <c r="B239" s="527"/>
      <c r="C239" s="449"/>
      <c r="D239" s="392" t="s">
        <v>752</v>
      </c>
      <c r="E239" s="460"/>
      <c r="F239" s="264"/>
      <c r="G239" s="333" t="s">
        <v>1416</v>
      </c>
      <c r="H239" s="527"/>
      <c r="I239" s="487">
        <v>14</v>
      </c>
      <c r="J239" s="106">
        <v>241470498</v>
      </c>
      <c r="K239" s="613">
        <f t="shared" si="16"/>
        <v>70.38708121784353</v>
      </c>
      <c r="L239" s="264"/>
      <c r="M239" s="89" t="s">
        <v>600</v>
      </c>
      <c r="N239" s="527"/>
      <c r="O239" s="448"/>
      <c r="P239" s="334">
        <v>19319296</v>
      </c>
      <c r="Q239" s="617">
        <f t="shared" si="17"/>
        <v>100</v>
      </c>
      <c r="R239" s="435"/>
    </row>
    <row r="240" spans="1:18" ht="15">
      <c r="A240" s="685" t="s">
        <v>747</v>
      </c>
      <c r="B240" s="348"/>
      <c r="C240" s="449"/>
      <c r="D240" s="377" t="s">
        <v>548</v>
      </c>
      <c r="E240" s="443"/>
      <c r="F240" s="264"/>
      <c r="G240" s="89" t="s">
        <v>1487</v>
      </c>
      <c r="H240" s="347"/>
      <c r="I240" s="487"/>
      <c r="J240" s="106">
        <v>343060820</v>
      </c>
      <c r="K240" s="613">
        <f t="shared" si="16"/>
        <v>100</v>
      </c>
      <c r="L240" s="264"/>
      <c r="M240" s="89" t="s">
        <v>1486</v>
      </c>
      <c r="N240" s="347"/>
      <c r="O240" s="487"/>
      <c r="P240" s="377" t="s">
        <v>752</v>
      </c>
      <c r="Q240" s="447"/>
      <c r="R240" s="435"/>
    </row>
    <row r="241" spans="1:18" ht="15">
      <c r="A241" s="812"/>
      <c r="B241" s="464"/>
      <c r="C241" s="533"/>
      <c r="D241" s="415"/>
      <c r="E241" s="813"/>
      <c r="F241" s="264"/>
      <c r="G241" s="54"/>
      <c r="H241" s="805"/>
      <c r="I241" s="532"/>
      <c r="J241" s="53"/>
      <c r="K241" s="814"/>
      <c r="L241" s="264"/>
      <c r="M241" s="54"/>
      <c r="N241" s="805"/>
      <c r="O241" s="532"/>
      <c r="P241" s="415"/>
      <c r="Q241" s="474"/>
      <c r="R241" s="435"/>
    </row>
    <row r="242" spans="1:18" ht="15">
      <c r="A242" s="273"/>
      <c r="B242" s="273"/>
      <c r="C242" s="273"/>
      <c r="D242" s="475"/>
      <c r="E242" s="473"/>
      <c r="F242" s="264"/>
      <c r="G242" s="805"/>
      <c r="H242" s="805"/>
      <c r="I242" s="805"/>
      <c r="J242" s="267"/>
      <c r="K242" s="473"/>
      <c r="L242" s="264"/>
      <c r="M242" s="273"/>
      <c r="N242" s="273"/>
      <c r="O242" s="273"/>
      <c r="P242" s="476"/>
      <c r="Q242" s="474"/>
      <c r="R242" s="435"/>
    </row>
    <row r="243" spans="1:18" ht="15">
      <c r="A243" s="509" t="s">
        <v>750</v>
      </c>
      <c r="B243" s="273"/>
      <c r="C243" s="273"/>
      <c r="D243" s="475"/>
      <c r="E243" s="473"/>
      <c r="F243" s="264"/>
      <c r="G243" s="509" t="s">
        <v>765</v>
      </c>
      <c r="H243" s="522"/>
      <c r="I243" s="528"/>
      <c r="J243" s="267"/>
      <c r="K243" s="473"/>
      <c r="L243" s="264"/>
      <c r="M243" s="273"/>
      <c r="N243" s="273"/>
      <c r="O243" s="273"/>
      <c r="P243" s="476"/>
      <c r="Q243" s="474"/>
      <c r="R243" s="435"/>
    </row>
    <row r="244" spans="1:18" ht="15">
      <c r="A244" s="364" t="s">
        <v>751</v>
      </c>
      <c r="B244" s="436"/>
      <c r="C244" s="436"/>
      <c r="D244" s="3166" t="s">
        <v>714</v>
      </c>
      <c r="E244" s="3167"/>
      <c r="F244" s="264"/>
      <c r="G244" s="365" t="s">
        <v>766</v>
      </c>
      <c r="H244" s="259"/>
      <c r="I244" s="259"/>
      <c r="J244" s="3166" t="s">
        <v>696</v>
      </c>
      <c r="K244" s="3167"/>
      <c r="L244" s="264"/>
      <c r="M244" s="259"/>
      <c r="N244" s="259"/>
      <c r="O244" s="259"/>
      <c r="P244" s="3176"/>
      <c r="Q244" s="3176"/>
      <c r="R244" s="435"/>
    </row>
    <row r="245" spans="1:18" ht="15">
      <c r="A245" s="681" t="s">
        <v>694</v>
      </c>
      <c r="B245" s="345"/>
      <c r="C245" s="529">
        <v>500.71</v>
      </c>
      <c r="D245" s="401">
        <v>69545546</v>
      </c>
      <c r="E245" s="613">
        <f t="shared" ref="E245:E269" si="18">(D245*100/107213014)</f>
        <v>64.866701723356087</v>
      </c>
      <c r="F245" s="264"/>
      <c r="G245" s="666" t="s">
        <v>694</v>
      </c>
      <c r="H245" s="530"/>
      <c r="I245" s="531">
        <v>455.4</v>
      </c>
      <c r="J245" s="330">
        <v>37373949</v>
      </c>
      <c r="K245" s="617">
        <f t="shared" ref="K245:K269" si="19">(J245*100/68404936)</f>
        <v>54.636333553473392</v>
      </c>
      <c r="L245" s="264"/>
      <c r="M245" s="264"/>
      <c r="N245" s="273"/>
      <c r="O245" s="532"/>
      <c r="P245" s="278"/>
      <c r="Q245" s="474"/>
      <c r="R245" s="435"/>
    </row>
    <row r="246" spans="1:18" ht="15">
      <c r="A246" s="1935" t="s">
        <v>2047</v>
      </c>
      <c r="B246" s="465" t="s">
        <v>41</v>
      </c>
      <c r="C246" s="449">
        <v>13181.72</v>
      </c>
      <c r="D246" s="106">
        <v>100955030</v>
      </c>
      <c r="E246" s="613">
        <f t="shared" si="18"/>
        <v>94.163036961165929</v>
      </c>
      <c r="F246" s="264"/>
      <c r="G246" s="608" t="s">
        <v>1426</v>
      </c>
      <c r="H246" s="826"/>
      <c r="I246" s="1942">
        <v>127.9</v>
      </c>
      <c r="J246" s="849">
        <v>53663564</v>
      </c>
      <c r="K246" s="617">
        <f t="shared" si="19"/>
        <v>78.449841689786837</v>
      </c>
      <c r="L246" s="264"/>
      <c r="M246" s="264"/>
      <c r="N246" s="464"/>
      <c r="O246" s="532"/>
      <c r="P246" s="53"/>
      <c r="Q246" s="474"/>
      <c r="R246" s="435"/>
    </row>
    <row r="247" spans="1:18" ht="15">
      <c r="A247" s="1932" t="s">
        <v>1430</v>
      </c>
      <c r="B247" s="768" t="s">
        <v>41</v>
      </c>
      <c r="C247" s="449">
        <v>13173.65</v>
      </c>
      <c r="D247" s="1893">
        <v>100983129</v>
      </c>
      <c r="E247" s="613">
        <f t="shared" si="18"/>
        <v>94.189245533196186</v>
      </c>
      <c r="F247" s="264"/>
      <c r="G247" s="1935" t="s">
        <v>2047</v>
      </c>
      <c r="H247" s="768" t="s">
        <v>41</v>
      </c>
      <c r="I247" s="1278">
        <v>8484.8700000000008</v>
      </c>
      <c r="J247" s="1279">
        <v>53737625</v>
      </c>
      <c r="K247" s="617">
        <f t="shared" si="19"/>
        <v>78.558110192515926</v>
      </c>
      <c r="L247" s="264"/>
      <c r="M247" s="264"/>
      <c r="N247" s="464"/>
      <c r="O247" s="532"/>
      <c r="P247" s="53"/>
      <c r="Q247" s="474"/>
      <c r="R247" s="435"/>
    </row>
    <row r="248" spans="1:18" ht="15">
      <c r="A248" s="662" t="s">
        <v>1426</v>
      </c>
      <c r="B248" s="456"/>
      <c r="C248" s="449">
        <v>263.3</v>
      </c>
      <c r="D248" s="106">
        <v>101105819</v>
      </c>
      <c r="E248" s="613">
        <f t="shared" si="18"/>
        <v>94.303681267649097</v>
      </c>
      <c r="F248" s="264"/>
      <c r="G248" s="850" t="s">
        <v>927</v>
      </c>
      <c r="H248" s="348" t="s">
        <v>41</v>
      </c>
      <c r="I248" s="487">
        <v>870.03</v>
      </c>
      <c r="J248" s="106">
        <v>53741882</v>
      </c>
      <c r="K248" s="617">
        <f t="shared" si="19"/>
        <v>78.564333427634523</v>
      </c>
      <c r="L248" s="264"/>
      <c r="M248" s="54"/>
      <c r="N248" s="54"/>
      <c r="O248" s="533"/>
      <c r="P248" s="53"/>
      <c r="Q248" s="474"/>
      <c r="R248" s="435"/>
    </row>
    <row r="249" spans="1:18" ht="15">
      <c r="A249" s="676" t="s">
        <v>557</v>
      </c>
      <c r="B249" s="526"/>
      <c r="C249" s="449">
        <v>68.14</v>
      </c>
      <c r="D249" s="106">
        <v>101205426</v>
      </c>
      <c r="E249" s="613">
        <f t="shared" si="18"/>
        <v>94.396586966578511</v>
      </c>
      <c r="F249" s="264"/>
      <c r="G249" s="1932" t="s">
        <v>1430</v>
      </c>
      <c r="H249" s="348" t="s">
        <v>41</v>
      </c>
      <c r="I249" s="487">
        <v>7493.01</v>
      </c>
      <c r="J249" s="106">
        <v>53743251</v>
      </c>
      <c r="K249" s="617">
        <f t="shared" si="19"/>
        <v>78.566334745200265</v>
      </c>
      <c r="L249" s="264"/>
      <c r="M249" s="264"/>
      <c r="N249" s="464"/>
      <c r="O249" s="533"/>
      <c r="P249" s="267"/>
      <c r="Q249" s="474"/>
      <c r="R249" s="435"/>
    </row>
    <row r="250" spans="1:18" ht="15">
      <c r="A250" s="666" t="s">
        <v>927</v>
      </c>
      <c r="B250" s="348" t="s">
        <v>41</v>
      </c>
      <c r="C250" s="534">
        <v>1351.22</v>
      </c>
      <c r="D250" s="334">
        <v>101412307</v>
      </c>
      <c r="E250" s="613">
        <f t="shared" si="18"/>
        <v>94.589549548527756</v>
      </c>
      <c r="F250" s="264"/>
      <c r="G250" s="647" t="s">
        <v>1412</v>
      </c>
      <c r="H250" s="348"/>
      <c r="I250" s="449">
        <v>34</v>
      </c>
      <c r="J250" s="331">
        <v>53912885</v>
      </c>
      <c r="K250" s="617">
        <f t="shared" si="19"/>
        <v>78.814319773649089</v>
      </c>
      <c r="L250" s="264"/>
      <c r="M250" s="264"/>
      <c r="N250" s="273"/>
      <c r="O250" s="532"/>
      <c r="P250" s="53"/>
      <c r="Q250" s="474"/>
      <c r="R250" s="435"/>
    </row>
    <row r="251" spans="1:18" ht="15">
      <c r="A251" s="736" t="s">
        <v>2045</v>
      </c>
      <c r="B251" s="350"/>
      <c r="C251" s="536">
        <v>10</v>
      </c>
      <c r="D251" s="336">
        <v>101460195</v>
      </c>
      <c r="E251" s="613">
        <f t="shared" si="18"/>
        <v>94.634215767873101</v>
      </c>
      <c r="F251" s="264"/>
      <c r="G251" s="333" t="s">
        <v>557</v>
      </c>
      <c r="H251" s="526"/>
      <c r="I251" s="449">
        <v>44.3</v>
      </c>
      <c r="J251" s="334">
        <v>53971499</v>
      </c>
      <c r="K251" s="617">
        <f t="shared" si="19"/>
        <v>78.900006572625117</v>
      </c>
      <c r="L251" s="264"/>
      <c r="M251" s="264"/>
      <c r="N251" s="273"/>
      <c r="O251" s="532"/>
      <c r="P251" s="53"/>
      <c r="Q251" s="474"/>
      <c r="R251" s="435"/>
    </row>
    <row r="252" spans="1:18" ht="15">
      <c r="A252" s="662" t="s">
        <v>1419</v>
      </c>
      <c r="B252" s="348" t="s">
        <v>41</v>
      </c>
      <c r="C252" s="535">
        <v>116.23</v>
      </c>
      <c r="D252" s="335">
        <v>101908257</v>
      </c>
      <c r="E252" s="615">
        <f t="shared" si="18"/>
        <v>95.052133316576658</v>
      </c>
      <c r="F252" s="264"/>
      <c r="G252" s="645" t="s">
        <v>1456</v>
      </c>
      <c r="H252" s="348" t="s">
        <v>41</v>
      </c>
      <c r="I252" s="492">
        <v>15</v>
      </c>
      <c r="J252" s="335">
        <v>54082810</v>
      </c>
      <c r="K252" s="619">
        <f t="shared" si="19"/>
        <v>79.062730209995365</v>
      </c>
      <c r="L252" s="264"/>
      <c r="M252" s="264"/>
      <c r="N252" s="273"/>
      <c r="O252" s="532"/>
      <c r="P252" s="53"/>
      <c r="Q252" s="474"/>
      <c r="R252" s="435"/>
    </row>
    <row r="253" spans="1:18" ht="15">
      <c r="A253" s="669" t="s">
        <v>1412</v>
      </c>
      <c r="B253" s="459"/>
      <c r="C253" s="536">
        <v>44.9</v>
      </c>
      <c r="D253" s="334">
        <v>101977579</v>
      </c>
      <c r="E253" s="614">
        <f t="shared" si="18"/>
        <v>95.116791511896125</v>
      </c>
      <c r="F253" s="264"/>
      <c r="G253" s="662" t="s">
        <v>1419</v>
      </c>
      <c r="H253" s="348" t="s">
        <v>41</v>
      </c>
      <c r="I253" s="448">
        <v>226.83</v>
      </c>
      <c r="J253" s="334">
        <v>54096452</v>
      </c>
      <c r="K253" s="618">
        <f t="shared" si="19"/>
        <v>79.082673215277921</v>
      </c>
      <c r="L253" s="264"/>
      <c r="M253" s="264"/>
      <c r="N253" s="273"/>
      <c r="O253" s="532"/>
      <c r="P253" s="53"/>
      <c r="Q253" s="474"/>
      <c r="R253" s="435"/>
    </row>
    <row r="254" spans="1:18" ht="15">
      <c r="A254" s="662" t="s">
        <v>1456</v>
      </c>
      <c r="B254" s="355" t="s">
        <v>41</v>
      </c>
      <c r="C254" s="449">
        <v>34</v>
      </c>
      <c r="D254" s="331">
        <v>102018432</v>
      </c>
      <c r="E254" s="613">
        <f t="shared" si="18"/>
        <v>95.154896027827363</v>
      </c>
      <c r="F254" s="264"/>
      <c r="G254" s="647" t="s">
        <v>2045</v>
      </c>
      <c r="H254" s="348"/>
      <c r="I254" s="487">
        <v>3</v>
      </c>
      <c r="J254" s="106">
        <v>54137309</v>
      </c>
      <c r="K254" s="617">
        <f t="shared" si="19"/>
        <v>79.142401361211711</v>
      </c>
      <c r="L254" s="264"/>
      <c r="M254" s="54"/>
      <c r="N254" s="537"/>
      <c r="O254" s="533"/>
      <c r="P254" s="53"/>
      <c r="Q254" s="474"/>
      <c r="R254" s="435"/>
    </row>
    <row r="255" spans="1:18" ht="15">
      <c r="A255" s="784" t="s">
        <v>1427</v>
      </c>
      <c r="B255" s="348" t="s">
        <v>41</v>
      </c>
      <c r="C255" s="457">
        <v>5</v>
      </c>
      <c r="D255" s="332">
        <v>102795167</v>
      </c>
      <c r="E255" s="613">
        <f t="shared" si="18"/>
        <v>95.879374308048085</v>
      </c>
      <c r="F255" s="264"/>
      <c r="G255" s="845" t="s">
        <v>1215</v>
      </c>
      <c r="H255" s="347"/>
      <c r="I255" s="492">
        <v>124</v>
      </c>
      <c r="J255" s="370">
        <v>54257029</v>
      </c>
      <c r="K255" s="617">
        <f t="shared" si="19"/>
        <v>79.317417971124186</v>
      </c>
      <c r="L255" s="264"/>
      <c r="M255" s="54"/>
      <c r="N255" s="537"/>
      <c r="O255" s="533"/>
      <c r="P255" s="53"/>
      <c r="Q255" s="474"/>
      <c r="R255" s="435"/>
    </row>
    <row r="256" spans="1:18" ht="15">
      <c r="A256" s="662" t="s">
        <v>122</v>
      </c>
      <c r="B256" s="517"/>
      <c r="C256" s="448">
        <v>3485.3</v>
      </c>
      <c r="D256" s="106">
        <v>103619769</v>
      </c>
      <c r="E256" s="613">
        <f t="shared" si="18"/>
        <v>96.648499220439788</v>
      </c>
      <c r="F256" s="264"/>
      <c r="G256" s="645" t="s">
        <v>1424</v>
      </c>
      <c r="H256" s="589"/>
      <c r="I256" s="487">
        <v>34.26</v>
      </c>
      <c r="J256" s="106">
        <v>54257029</v>
      </c>
      <c r="K256" s="617">
        <f t="shared" si="19"/>
        <v>79.317417971124186</v>
      </c>
      <c r="L256" s="264"/>
      <c r="M256" s="403"/>
      <c r="N256" s="403"/>
      <c r="O256" s="538"/>
      <c r="P256" s="53"/>
      <c r="Q256" s="474"/>
      <c r="R256" s="435"/>
    </row>
    <row r="257" spans="1:18" ht="15">
      <c r="A257" s="662" t="s">
        <v>1425</v>
      </c>
      <c r="B257" s="350"/>
      <c r="C257" s="449">
        <v>1273.78</v>
      </c>
      <c r="D257" s="331">
        <v>103757277</v>
      </c>
      <c r="E257" s="613">
        <f t="shared" si="18"/>
        <v>96.776756038217528</v>
      </c>
      <c r="F257" s="264"/>
      <c r="G257" s="715" t="s">
        <v>1427</v>
      </c>
      <c r="H257" s="354" t="s">
        <v>41</v>
      </c>
      <c r="I257" s="487">
        <v>2</v>
      </c>
      <c r="J257" s="106">
        <v>54284641</v>
      </c>
      <c r="K257" s="617">
        <f t="shared" si="19"/>
        <v>79.357783479250685</v>
      </c>
      <c r="L257" s="264"/>
      <c r="M257" s="54"/>
      <c r="N257" s="464"/>
      <c r="O257" s="532"/>
      <c r="P257" s="53"/>
      <c r="Q257" s="474"/>
      <c r="R257" s="435"/>
    </row>
    <row r="258" spans="1:18" ht="15">
      <c r="A258" s="686" t="s">
        <v>1215</v>
      </c>
      <c r="B258" s="347"/>
      <c r="C258" s="449">
        <v>320</v>
      </c>
      <c r="D258" s="331">
        <v>103804011</v>
      </c>
      <c r="E258" s="613">
        <f t="shared" si="18"/>
        <v>96.820345895695084</v>
      </c>
      <c r="F258" s="264"/>
      <c r="G258" s="650" t="s">
        <v>1418</v>
      </c>
      <c r="H258" s="348" t="s">
        <v>41</v>
      </c>
      <c r="I258" s="448">
        <v>35.270000000000003</v>
      </c>
      <c r="J258" s="106">
        <v>54810235</v>
      </c>
      <c r="K258" s="617">
        <f t="shared" si="19"/>
        <v>80.126140312447632</v>
      </c>
      <c r="L258" s="264"/>
      <c r="M258" s="264"/>
      <c r="N258" s="464"/>
      <c r="O258" s="539"/>
      <c r="P258" s="53"/>
      <c r="Q258" s="474"/>
      <c r="R258" s="435"/>
    </row>
    <row r="259" spans="1:18" ht="15">
      <c r="A259" s="662" t="s">
        <v>1429</v>
      </c>
      <c r="B259" s="454"/>
      <c r="C259" s="449">
        <v>327.3</v>
      </c>
      <c r="D259" s="331">
        <v>104187553</v>
      </c>
      <c r="E259" s="613">
        <f t="shared" si="18"/>
        <v>97.178084182951892</v>
      </c>
      <c r="F259" s="264"/>
      <c r="G259" s="662" t="s">
        <v>2049</v>
      </c>
      <c r="H259" s="357"/>
      <c r="I259" s="487">
        <v>14</v>
      </c>
      <c r="J259" s="106">
        <v>55475926</v>
      </c>
      <c r="K259" s="617">
        <f t="shared" si="19"/>
        <v>81.099302541559283</v>
      </c>
      <c r="L259" s="264"/>
      <c r="M259" s="264"/>
      <c r="N259" s="264"/>
      <c r="O259" s="540"/>
      <c r="P259" s="53"/>
      <c r="Q259" s="474"/>
      <c r="R259" s="435"/>
    </row>
    <row r="260" spans="1:18" ht="15">
      <c r="A260" s="662" t="s">
        <v>1423</v>
      </c>
      <c r="B260" s="1270"/>
      <c r="C260" s="448">
        <v>30</v>
      </c>
      <c r="D260" s="1269">
        <v>104786602</v>
      </c>
      <c r="E260" s="613">
        <f t="shared" si="18"/>
        <v>97.736830717211248</v>
      </c>
      <c r="F260" s="264"/>
      <c r="G260" s="663" t="s">
        <v>700</v>
      </c>
      <c r="H260" s="497" t="s">
        <v>41</v>
      </c>
      <c r="I260" s="487">
        <v>87.44</v>
      </c>
      <c r="J260" s="1272">
        <v>59293724</v>
      </c>
      <c r="K260" s="617">
        <f t="shared" si="19"/>
        <v>86.680475806599688</v>
      </c>
      <c r="L260" s="264"/>
      <c r="M260" s="264"/>
      <c r="N260" s="264"/>
      <c r="O260" s="540"/>
      <c r="P260" s="53"/>
      <c r="Q260" s="474"/>
      <c r="R260" s="435"/>
    </row>
    <row r="261" spans="1:18" ht="15">
      <c r="A261" s="666" t="s">
        <v>1418</v>
      </c>
      <c r="B261" s="354" t="s">
        <v>41</v>
      </c>
      <c r="C261" s="449">
        <v>116.22</v>
      </c>
      <c r="D261" s="331">
        <v>105309611</v>
      </c>
      <c r="E261" s="613">
        <f t="shared" si="18"/>
        <v>98.224653025797778</v>
      </c>
      <c r="F261" s="264"/>
      <c r="G261" s="651" t="s">
        <v>1425</v>
      </c>
      <c r="H261" s="350"/>
      <c r="I261" s="448">
        <v>627.66999999999996</v>
      </c>
      <c r="J261" s="106">
        <v>60564488</v>
      </c>
      <c r="K261" s="617">
        <f t="shared" si="19"/>
        <v>88.538183852697415</v>
      </c>
      <c r="L261" s="264"/>
      <c r="M261" s="264"/>
      <c r="N261" s="264"/>
      <c r="O261" s="540"/>
      <c r="P261" s="53"/>
      <c r="Q261" s="474"/>
      <c r="R261" s="435"/>
    </row>
    <row r="262" spans="1:18" ht="15">
      <c r="A262" s="670" t="s">
        <v>1416</v>
      </c>
      <c r="B262" s="1951"/>
      <c r="C262" s="449">
        <v>2</v>
      </c>
      <c r="D262" s="331">
        <v>105648300</v>
      </c>
      <c r="E262" s="613">
        <f t="shared" si="18"/>
        <v>98.540555906767068</v>
      </c>
      <c r="F262" s="264"/>
      <c r="G262" s="645" t="s">
        <v>1429</v>
      </c>
      <c r="H262" s="403"/>
      <c r="I262" s="449">
        <v>138.80000000000001</v>
      </c>
      <c r="J262" s="106">
        <v>64422806</v>
      </c>
      <c r="K262" s="617">
        <f t="shared" si="19"/>
        <v>94.178592609164923</v>
      </c>
      <c r="L262" s="264"/>
      <c r="M262" s="54"/>
      <c r="N262" s="273"/>
      <c r="O262" s="532"/>
      <c r="P262" s="53"/>
      <c r="Q262" s="474"/>
      <c r="R262" s="435"/>
    </row>
    <row r="263" spans="1:18" ht="15">
      <c r="A263" s="674" t="s">
        <v>700</v>
      </c>
      <c r="B263" s="360" t="s">
        <v>41</v>
      </c>
      <c r="C263" s="449">
        <v>98.31</v>
      </c>
      <c r="D263" s="331">
        <v>105764814</v>
      </c>
      <c r="E263" s="613">
        <f t="shared" si="18"/>
        <v>98.649231146509877</v>
      </c>
      <c r="F263" s="264"/>
      <c r="G263" s="645" t="s">
        <v>1423</v>
      </c>
      <c r="H263" s="350"/>
      <c r="I263" s="448">
        <v>13</v>
      </c>
      <c r="J263" s="106">
        <v>64428975</v>
      </c>
      <c r="K263" s="617">
        <f t="shared" si="19"/>
        <v>94.187610964214628</v>
      </c>
      <c r="L263" s="264"/>
      <c r="M263" s="54"/>
      <c r="N263" s="273"/>
      <c r="O263" s="532"/>
      <c r="P263" s="53"/>
      <c r="Q263" s="474"/>
      <c r="R263" s="435"/>
    </row>
    <row r="264" spans="1:18" ht="15">
      <c r="A264" s="662" t="s">
        <v>1428</v>
      </c>
      <c r="B264" s="350"/>
      <c r="C264" s="448">
        <v>94</v>
      </c>
      <c r="D264" s="106">
        <v>105783388</v>
      </c>
      <c r="E264" s="613">
        <f t="shared" si="18"/>
        <v>98.666555535879255</v>
      </c>
      <c r="F264" s="264"/>
      <c r="G264" s="612" t="s">
        <v>1428</v>
      </c>
      <c r="H264" s="350"/>
      <c r="I264" s="448">
        <v>45</v>
      </c>
      <c r="J264" s="106">
        <v>64594349</v>
      </c>
      <c r="K264" s="617">
        <f t="shared" si="19"/>
        <v>94.429368371896445</v>
      </c>
      <c r="L264" s="264"/>
      <c r="M264" s="273"/>
      <c r="N264" s="464"/>
      <c r="O264" s="532"/>
      <c r="P264" s="53"/>
      <c r="Q264" s="474"/>
      <c r="R264" s="435"/>
    </row>
    <row r="265" spans="1:18" ht="15">
      <c r="A265" s="662" t="s">
        <v>2049</v>
      </c>
      <c r="B265" s="347"/>
      <c r="C265" s="449">
        <v>29</v>
      </c>
      <c r="D265" s="331">
        <v>105945365</v>
      </c>
      <c r="E265" s="613">
        <f t="shared" si="18"/>
        <v>98.817635142688928</v>
      </c>
      <c r="F265" s="264"/>
      <c r="G265" s="840" t="s">
        <v>122</v>
      </c>
      <c r="H265" s="347"/>
      <c r="I265" s="487">
        <v>1897.3</v>
      </c>
      <c r="J265" s="106">
        <v>64789081</v>
      </c>
      <c r="K265" s="617">
        <f t="shared" si="19"/>
        <v>94.714043735089533</v>
      </c>
      <c r="L265" s="264"/>
      <c r="M265" s="264"/>
      <c r="N265" s="464"/>
      <c r="O265" s="532"/>
      <c r="P265" s="53"/>
      <c r="Q265" s="474"/>
      <c r="R265" s="435"/>
    </row>
    <row r="266" spans="1:18" ht="15">
      <c r="A266" s="662" t="s">
        <v>1424</v>
      </c>
      <c r="B266" s="347"/>
      <c r="C266" s="449">
        <v>53.52</v>
      </c>
      <c r="D266" s="331">
        <v>106420864</v>
      </c>
      <c r="E266" s="613">
        <f t="shared" si="18"/>
        <v>99.261143801068783</v>
      </c>
      <c r="F266" s="264"/>
      <c r="G266" s="397" t="s">
        <v>1416</v>
      </c>
      <c r="H266" s="347"/>
      <c r="I266" s="487">
        <v>1</v>
      </c>
      <c r="J266" s="106">
        <v>67021352</v>
      </c>
      <c r="K266" s="617">
        <f t="shared" si="19"/>
        <v>97.977362335372987</v>
      </c>
      <c r="L266" s="264"/>
      <c r="M266" s="54"/>
      <c r="N266" s="273"/>
      <c r="O266" s="532"/>
      <c r="P266" s="53"/>
      <c r="Q266" s="474"/>
      <c r="R266" s="435"/>
    </row>
    <row r="267" spans="1:18" ht="15">
      <c r="A267" s="666" t="s">
        <v>1169</v>
      </c>
      <c r="B267" s="527"/>
      <c r="C267" s="449">
        <v>47.45</v>
      </c>
      <c r="D267" s="336">
        <v>106837861</v>
      </c>
      <c r="E267" s="613">
        <f t="shared" si="18"/>
        <v>99.65008632254289</v>
      </c>
      <c r="F267" s="264"/>
      <c r="G267" s="626" t="s">
        <v>1420</v>
      </c>
      <c r="H267" s="459" t="s">
        <v>41</v>
      </c>
      <c r="I267" s="449">
        <v>19.7</v>
      </c>
      <c r="J267" s="334">
        <v>67771285</v>
      </c>
      <c r="K267" s="617">
        <f t="shared" si="19"/>
        <v>99.073676496093796</v>
      </c>
      <c r="L267" s="264"/>
      <c r="M267" s="54"/>
      <c r="N267" s="273"/>
      <c r="O267" s="532"/>
      <c r="P267" s="53"/>
      <c r="Q267" s="474"/>
      <c r="R267" s="435"/>
    </row>
    <row r="268" spans="1:18" ht="15">
      <c r="A268" s="662" t="s">
        <v>1420</v>
      </c>
      <c r="B268" s="459" t="s">
        <v>41</v>
      </c>
      <c r="C268" s="449">
        <v>31.4</v>
      </c>
      <c r="D268" s="334">
        <v>106839872</v>
      </c>
      <c r="E268" s="613">
        <f t="shared" si="18"/>
        <v>99.651962027669512</v>
      </c>
      <c r="F268" s="264"/>
      <c r="G268" s="666" t="s">
        <v>1169</v>
      </c>
      <c r="H268" s="527"/>
      <c r="I268" s="487">
        <v>31.63</v>
      </c>
      <c r="J268" s="334">
        <v>67813849</v>
      </c>
      <c r="K268" s="617">
        <f t="shared" si="19"/>
        <v>99.135900075982818</v>
      </c>
      <c r="L268" s="264"/>
      <c r="M268" s="54"/>
      <c r="N268" s="273"/>
      <c r="O268" s="532"/>
      <c r="P268" s="53"/>
      <c r="Q268" s="474"/>
      <c r="R268" s="435"/>
    </row>
    <row r="269" spans="1:18" ht="15">
      <c r="A269" s="670" t="s">
        <v>600</v>
      </c>
      <c r="B269" s="347"/>
      <c r="C269" s="449"/>
      <c r="D269" s="331">
        <v>107213014</v>
      </c>
      <c r="E269" s="613">
        <f t="shared" si="18"/>
        <v>100</v>
      </c>
      <c r="F269" s="264"/>
      <c r="G269" s="89" t="s">
        <v>600</v>
      </c>
      <c r="H269" s="347"/>
      <c r="I269" s="487"/>
      <c r="J269" s="106">
        <v>68404936</v>
      </c>
      <c r="K269" s="617">
        <f t="shared" si="19"/>
        <v>100</v>
      </c>
      <c r="L269" s="264"/>
      <c r="M269" s="273"/>
      <c r="N269" s="273"/>
      <c r="O269" s="532"/>
      <c r="P269" s="53"/>
      <c r="Q269" s="474"/>
      <c r="R269" s="435"/>
    </row>
    <row r="270" spans="1:18" ht="15">
      <c r="A270" s="423"/>
      <c r="B270" s="423"/>
      <c r="C270" s="423"/>
      <c r="D270" s="423"/>
      <c r="E270" s="434"/>
      <c r="F270" s="423"/>
      <c r="G270" s="54"/>
      <c r="H270" s="54"/>
      <c r="I270" s="54"/>
      <c r="J270" s="475"/>
      <c r="K270" s="473"/>
      <c r="L270" s="423"/>
      <c r="M270" s="423"/>
      <c r="N270" s="423"/>
      <c r="O270" s="423"/>
      <c r="P270" s="423"/>
      <c r="Q270" s="434"/>
      <c r="R270" s="435"/>
    </row>
    <row r="271" spans="1:18" ht="17.25">
      <c r="A271" s="423"/>
      <c r="B271" s="713" t="s">
        <v>1432</v>
      </c>
      <c r="C271" s="423"/>
      <c r="D271" s="423"/>
      <c r="E271" s="434"/>
      <c r="F271" s="423"/>
      <c r="G271" s="54"/>
      <c r="H271" s="54"/>
      <c r="I271" s="54"/>
      <c r="J271" s="475"/>
      <c r="K271" s="473"/>
      <c r="L271" s="423"/>
      <c r="M271" s="423"/>
      <c r="N271" s="423"/>
      <c r="O271" s="423"/>
      <c r="P271" s="423"/>
      <c r="Q271" s="434"/>
      <c r="R271" s="435"/>
    </row>
    <row r="272" spans="1:18" ht="17.25">
      <c r="A272" s="264"/>
      <c r="B272" s="283" t="s">
        <v>1271</v>
      </c>
      <c r="C272" s="264"/>
      <c r="D272" s="53"/>
      <c r="E272" s="473"/>
      <c r="F272" s="423"/>
      <c r="G272" s="714"/>
      <c r="H272" s="714"/>
      <c r="I272" s="714"/>
      <c r="J272" s="714"/>
      <c r="K272" s="714"/>
      <c r="L272" s="714"/>
      <c r="M272" s="714"/>
      <c r="N272" s="273"/>
      <c r="O272" s="273"/>
      <c r="P272" s="476"/>
      <c r="Q272" s="474"/>
      <c r="R272" s="435"/>
    </row>
    <row r="273" spans="1:18" ht="17.25">
      <c r="A273" s="264"/>
      <c r="B273" s="55" t="s">
        <v>1465</v>
      </c>
      <c r="C273" s="264"/>
      <c r="D273" s="53"/>
      <c r="E273" s="473"/>
      <c r="F273" s="423"/>
      <c r="G273" s="380"/>
      <c r="H273" s="380"/>
      <c r="I273" s="380"/>
      <c r="J273" s="380"/>
      <c r="K273" s="380"/>
      <c r="L273" s="380"/>
      <c r="M273" s="380"/>
      <c r="N273" s="273"/>
      <c r="O273" s="273"/>
      <c r="P273" s="476"/>
      <c r="Q273" s="474"/>
      <c r="R273" s="435"/>
    </row>
    <row r="274" spans="1:18" ht="17.25">
      <c r="A274" s="264"/>
      <c r="B274" s="55"/>
      <c r="C274" s="264"/>
      <c r="D274" s="53"/>
      <c r="E274" s="473"/>
      <c r="F274" s="423"/>
      <c r="G274" s="380"/>
      <c r="H274" s="380"/>
      <c r="I274" s="380"/>
      <c r="J274" s="380"/>
      <c r="K274" s="380"/>
      <c r="L274" s="380"/>
      <c r="M274" s="380"/>
      <c r="N274" s="727"/>
      <c r="O274" s="727"/>
      <c r="P274" s="476"/>
      <c r="Q274" s="474"/>
      <c r="R274" s="435"/>
    </row>
    <row r="275" spans="1:18" ht="17.25">
      <c r="A275" s="264"/>
      <c r="B275" s="55"/>
      <c r="C275" s="264"/>
      <c r="D275" s="53"/>
      <c r="E275" s="473"/>
      <c r="F275" s="423"/>
      <c r="G275" s="380"/>
      <c r="H275" s="380"/>
      <c r="I275" s="380"/>
      <c r="J275" s="380"/>
      <c r="K275" s="380"/>
      <c r="L275" s="380"/>
      <c r="M275" s="380"/>
      <c r="N275" s="727"/>
      <c r="O275" s="727"/>
      <c r="P275" s="476"/>
      <c r="Q275" s="474"/>
      <c r="R275" s="435"/>
    </row>
    <row r="276" spans="1:18" ht="20.25">
      <c r="A276" s="816" t="s">
        <v>1443</v>
      </c>
      <c r="B276" s="423"/>
      <c r="C276" s="423"/>
      <c r="D276" s="423"/>
      <c r="E276" s="434"/>
      <c r="F276" s="423"/>
      <c r="G276" s="380"/>
      <c r="H276" s="380"/>
      <c r="I276" s="380"/>
      <c r="J276" s="380"/>
      <c r="K276" s="380"/>
      <c r="L276" s="380"/>
      <c r="M276" s="380"/>
      <c r="N276" s="423"/>
      <c r="O276" s="423"/>
      <c r="P276" s="423"/>
      <c r="Q276" s="434"/>
      <c r="R276" s="435"/>
    </row>
    <row r="277" spans="1:18" ht="15.75" thickBot="1">
      <c r="A277" s="477"/>
      <c r="B277" s="477"/>
      <c r="C277" s="477"/>
      <c r="D277" s="477"/>
      <c r="E277" s="478"/>
      <c r="F277" s="477"/>
      <c r="G277" s="381"/>
      <c r="H277" s="381"/>
      <c r="I277" s="381"/>
      <c r="J277" s="381"/>
      <c r="K277" s="381"/>
      <c r="L277" s="381"/>
      <c r="M277" s="381"/>
      <c r="N277" s="477"/>
      <c r="O277" s="477"/>
      <c r="P277" s="477"/>
      <c r="Q277" s="478"/>
      <c r="R277" s="435"/>
    </row>
    <row r="278" spans="1:18" ht="15.75" thickTop="1">
      <c r="A278" s="805"/>
      <c r="B278" s="805"/>
      <c r="C278" s="805"/>
      <c r="D278" s="805"/>
      <c r="E278" s="596"/>
      <c r="F278" s="805"/>
      <c r="G278" s="380"/>
      <c r="H278" s="380"/>
      <c r="I278" s="380"/>
      <c r="J278" s="380"/>
      <c r="K278" s="380"/>
      <c r="L278" s="380"/>
      <c r="M278" s="380"/>
      <c r="N278" s="805"/>
      <c r="O278" s="805"/>
      <c r="P278" s="805"/>
      <c r="Q278" s="596"/>
      <c r="R278" s="435"/>
    </row>
    <row r="279" spans="1:18" ht="15">
      <c r="A279" s="724" t="s">
        <v>1457</v>
      </c>
      <c r="B279" s="264"/>
      <c r="C279" s="264"/>
      <c r="D279" s="53"/>
      <c r="E279" s="473"/>
      <c r="F279" s="423"/>
      <c r="G279" s="724" t="s">
        <v>1450</v>
      </c>
      <c r="H279" s="495"/>
      <c r="I279" s="264"/>
      <c r="J279" s="53"/>
      <c r="K279" s="473"/>
      <c r="L279" s="423"/>
      <c r="M279" s="731" t="s">
        <v>1444</v>
      </c>
      <c r="N279" s="522"/>
      <c r="O279" s="727"/>
      <c r="P279" s="476"/>
      <c r="Q279" s="474"/>
      <c r="R279" s="435"/>
    </row>
    <row r="280" spans="1:18" ht="15">
      <c r="A280" s="404" t="s">
        <v>1453</v>
      </c>
      <c r="B280" s="541"/>
      <c r="C280" s="542"/>
      <c r="D280" s="726"/>
      <c r="E280" s="726"/>
      <c r="F280" s="423"/>
      <c r="G280" s="366" t="s">
        <v>1449</v>
      </c>
      <c r="H280" s="440"/>
      <c r="I280" s="543"/>
      <c r="J280" s="725"/>
      <c r="K280" s="725"/>
      <c r="L280" s="380"/>
      <c r="M280" s="366" t="s">
        <v>1445</v>
      </c>
      <c r="N280" s="440"/>
      <c r="O280" s="543"/>
      <c r="P280" s="725"/>
      <c r="Q280" s="725"/>
      <c r="R280" s="435"/>
    </row>
    <row r="281" spans="1:18" ht="15">
      <c r="A281" s="756" t="s">
        <v>1426</v>
      </c>
      <c r="B281" s="757"/>
      <c r="C281" s="545">
        <v>8.73</v>
      </c>
      <c r="D281" s="405">
        <v>5692994</v>
      </c>
      <c r="E281" s="627">
        <f t="shared" ref="E281:E309" si="20">(D281*100/10014985)</f>
        <v>56.844758129942278</v>
      </c>
      <c r="F281" s="264"/>
      <c r="G281" s="756" t="s">
        <v>1426</v>
      </c>
      <c r="H281" s="757"/>
      <c r="I281" s="442">
        <v>21.95</v>
      </c>
      <c r="J281" s="399">
        <v>14478940</v>
      </c>
      <c r="K281" s="617">
        <f t="shared" ref="K281:K309" si="21">(J281*100/28849939)</f>
        <v>50.187073185839317</v>
      </c>
      <c r="L281" s="264"/>
      <c r="M281" s="1935" t="s">
        <v>2047</v>
      </c>
      <c r="N281" s="544" t="s">
        <v>41</v>
      </c>
      <c r="O281" s="759">
        <v>1702.13</v>
      </c>
      <c r="P281" s="760">
        <v>7270155</v>
      </c>
      <c r="Q281" s="617">
        <f t="shared" ref="Q281:Q309" si="22">(P281*100/15421279)</f>
        <v>47.143657799071008</v>
      </c>
      <c r="R281" s="435"/>
    </row>
    <row r="282" spans="1:18" ht="15">
      <c r="A282" s="739" t="s">
        <v>122</v>
      </c>
      <c r="B282" s="742"/>
      <c r="C282" s="457">
        <v>122.4</v>
      </c>
      <c r="D282" s="755">
        <v>5915140</v>
      </c>
      <c r="E282" s="627">
        <f t="shared" si="20"/>
        <v>59.062894252961939</v>
      </c>
      <c r="F282" s="264"/>
      <c r="G282" s="684" t="s">
        <v>1454</v>
      </c>
      <c r="H282" s="732"/>
      <c r="I282" s="457">
        <v>5</v>
      </c>
      <c r="J282" s="729">
        <v>14622822</v>
      </c>
      <c r="K282" s="617">
        <f t="shared" si="21"/>
        <v>50.685798677078658</v>
      </c>
      <c r="L282" s="264"/>
      <c r="M282" s="1936" t="s">
        <v>1430</v>
      </c>
      <c r="N282" s="732" t="s">
        <v>41</v>
      </c>
      <c r="O282" s="745">
        <v>1542.5</v>
      </c>
      <c r="P282" s="729">
        <v>7279096</v>
      </c>
      <c r="Q282" s="617">
        <f t="shared" si="22"/>
        <v>47.20163612888399</v>
      </c>
      <c r="R282" s="435"/>
    </row>
    <row r="283" spans="1:18" ht="15">
      <c r="A283" s="739" t="s">
        <v>1429</v>
      </c>
      <c r="B283" s="749"/>
      <c r="C283" s="457">
        <v>18.600000000000001</v>
      </c>
      <c r="D283" s="729">
        <v>6278402</v>
      </c>
      <c r="E283" s="627">
        <f t="shared" si="20"/>
        <v>62.690078916743261</v>
      </c>
      <c r="F283" s="264"/>
      <c r="G283" s="735" t="s">
        <v>1446</v>
      </c>
      <c r="H283" s="732"/>
      <c r="I283" s="699"/>
      <c r="J283" s="729">
        <v>14819738</v>
      </c>
      <c r="K283" s="617">
        <f t="shared" si="21"/>
        <v>51.368351246773869</v>
      </c>
      <c r="L283" s="264"/>
      <c r="M283" s="740" t="s">
        <v>927</v>
      </c>
      <c r="N283" s="732" t="s">
        <v>41</v>
      </c>
      <c r="O283" s="745">
        <v>205.9</v>
      </c>
      <c r="P283" s="729">
        <v>7529877</v>
      </c>
      <c r="Q283" s="617">
        <f t="shared" si="22"/>
        <v>48.827837172260487</v>
      </c>
      <c r="R283" s="435"/>
    </row>
    <row r="284" spans="1:18" ht="15">
      <c r="A284" s="739" t="s">
        <v>1428</v>
      </c>
      <c r="B284" s="750"/>
      <c r="C284" s="458">
        <v>3</v>
      </c>
      <c r="D284" s="729">
        <v>6352404</v>
      </c>
      <c r="E284" s="627">
        <f t="shared" si="20"/>
        <v>63.428991656003475</v>
      </c>
      <c r="F284" s="264"/>
      <c r="G284" s="1935" t="s">
        <v>2047</v>
      </c>
      <c r="H284" s="732" t="s">
        <v>41</v>
      </c>
      <c r="I284" s="457">
        <v>3172.92</v>
      </c>
      <c r="J284" s="729">
        <v>15042217</v>
      </c>
      <c r="K284" s="617">
        <f t="shared" si="21"/>
        <v>52.139510589606445</v>
      </c>
      <c r="L284" s="264"/>
      <c r="M284" s="739" t="s">
        <v>122</v>
      </c>
      <c r="N284" s="742"/>
      <c r="O284" s="730">
        <v>198.7</v>
      </c>
      <c r="P284" s="729">
        <v>7735396</v>
      </c>
      <c r="Q284" s="617">
        <f t="shared" si="22"/>
        <v>50.160534674199205</v>
      </c>
      <c r="R284" s="435"/>
    </row>
    <row r="285" spans="1:18" ht="15">
      <c r="A285" s="1935" t="s">
        <v>2047</v>
      </c>
      <c r="B285" s="732" t="s">
        <v>41</v>
      </c>
      <c r="C285" s="457">
        <v>1195.96</v>
      </c>
      <c r="D285" s="729">
        <v>6359556</v>
      </c>
      <c r="E285" s="627">
        <f t="shared" si="20"/>
        <v>63.500404643641502</v>
      </c>
      <c r="F285" s="264"/>
      <c r="G285" s="1936" t="s">
        <v>1430</v>
      </c>
      <c r="H285" s="732" t="s">
        <v>41</v>
      </c>
      <c r="I285" s="457">
        <v>3108.58</v>
      </c>
      <c r="J285" s="729">
        <v>15086746</v>
      </c>
      <c r="K285" s="617">
        <f t="shared" si="21"/>
        <v>52.293857536405881</v>
      </c>
      <c r="L285" s="264"/>
      <c r="M285" s="735" t="s">
        <v>1451</v>
      </c>
      <c r="N285" s="733"/>
      <c r="O285" s="734"/>
      <c r="P285" s="729">
        <v>7813711</v>
      </c>
      <c r="Q285" s="617">
        <f t="shared" si="22"/>
        <v>50.668371929461884</v>
      </c>
      <c r="R285" s="435"/>
    </row>
    <row r="286" spans="1:18" ht="15">
      <c r="A286" s="1932" t="s">
        <v>1430</v>
      </c>
      <c r="B286" s="768" t="s">
        <v>41</v>
      </c>
      <c r="C286" s="449">
        <v>1068.3800000000001</v>
      </c>
      <c r="D286" s="1893">
        <v>6380820</v>
      </c>
      <c r="E286" s="627">
        <f t="shared" si="20"/>
        <v>63.712726479370666</v>
      </c>
      <c r="F286" s="264"/>
      <c r="G286" s="664" t="s">
        <v>927</v>
      </c>
      <c r="H286" s="768" t="s">
        <v>41</v>
      </c>
      <c r="I286" s="449">
        <v>395.98</v>
      </c>
      <c r="J286" s="1893">
        <v>15647331</v>
      </c>
      <c r="K286" s="1927">
        <f t="shared" si="21"/>
        <v>54.23696389791327</v>
      </c>
      <c r="L286" s="264"/>
      <c r="M286" s="1943" t="s">
        <v>557</v>
      </c>
      <c r="N286" s="1945"/>
      <c r="O286" s="730">
        <v>7.2</v>
      </c>
      <c r="P286" s="1893">
        <v>7900729</v>
      </c>
      <c r="Q286" s="617">
        <f t="shared" si="22"/>
        <v>51.232644192482347</v>
      </c>
      <c r="R286" s="435"/>
    </row>
    <row r="287" spans="1:18" ht="15">
      <c r="A287" s="670" t="s">
        <v>557</v>
      </c>
      <c r="B287" s="752"/>
      <c r="C287" s="457">
        <v>5.2</v>
      </c>
      <c r="D287" s="406">
        <v>6382363</v>
      </c>
      <c r="E287" s="627">
        <f t="shared" si="20"/>
        <v>63.728133392111921</v>
      </c>
      <c r="F287" s="423"/>
      <c r="G287" s="670" t="s">
        <v>557</v>
      </c>
      <c r="H287" s="752"/>
      <c r="I287" s="449">
        <v>14</v>
      </c>
      <c r="J287" s="106">
        <v>15841168</v>
      </c>
      <c r="K287" s="617">
        <f t="shared" si="21"/>
        <v>54.9088440013686</v>
      </c>
      <c r="L287" s="380"/>
      <c r="M287" s="741" t="s">
        <v>1446</v>
      </c>
      <c r="N287" s="743"/>
      <c r="O287" s="734"/>
      <c r="P287" s="729">
        <v>7917749</v>
      </c>
      <c r="Q287" s="617">
        <f t="shared" si="22"/>
        <v>51.343011173068071</v>
      </c>
      <c r="R287" s="435"/>
    </row>
    <row r="288" spans="1:18" ht="15">
      <c r="A288" s="741" t="s">
        <v>1446</v>
      </c>
      <c r="B288" s="748"/>
      <c r="C288" s="457"/>
      <c r="D288" s="406">
        <v>6413836</v>
      </c>
      <c r="E288" s="627">
        <f t="shared" si="20"/>
        <v>64.042392474876394</v>
      </c>
      <c r="F288" s="423"/>
      <c r="G288" s="662" t="s">
        <v>1429</v>
      </c>
      <c r="H288" s="454"/>
      <c r="I288" s="449">
        <v>50.6</v>
      </c>
      <c r="J288" s="106">
        <v>15965668</v>
      </c>
      <c r="K288" s="617">
        <f t="shared" si="21"/>
        <v>55.340387374822527</v>
      </c>
      <c r="L288" s="380"/>
      <c r="M288" s="662" t="s">
        <v>1426</v>
      </c>
      <c r="N288" s="547"/>
      <c r="O288" s="730">
        <v>22.08</v>
      </c>
      <c r="P288" s="729">
        <v>7948518</v>
      </c>
      <c r="Q288" s="617">
        <f t="shared" si="22"/>
        <v>51.542534182800274</v>
      </c>
      <c r="R288" s="435"/>
    </row>
    <row r="289" spans="1:18" ht="15">
      <c r="A289" s="672" t="s">
        <v>1424</v>
      </c>
      <c r="B289" s="564"/>
      <c r="C289" s="457">
        <v>2.2389999999999999</v>
      </c>
      <c r="D289" s="406">
        <v>6478512</v>
      </c>
      <c r="E289" s="627">
        <f t="shared" si="20"/>
        <v>64.68818475514442</v>
      </c>
      <c r="F289" s="423"/>
      <c r="G289" s="672" t="s">
        <v>1424</v>
      </c>
      <c r="H289" s="564"/>
      <c r="I289" s="549">
        <v>7.5</v>
      </c>
      <c r="J289" s="408">
        <v>16235088</v>
      </c>
      <c r="K289" s="617">
        <f t="shared" si="21"/>
        <v>56.274254167400493</v>
      </c>
      <c r="L289" s="380"/>
      <c r="M289" s="686" t="s">
        <v>1454</v>
      </c>
      <c r="N289" s="546"/>
      <c r="O289" s="730">
        <v>3.7</v>
      </c>
      <c r="P289" s="729">
        <v>8081027</v>
      </c>
      <c r="Q289" s="617">
        <f t="shared" si="22"/>
        <v>52.401794948395654</v>
      </c>
      <c r="R289" s="435"/>
    </row>
    <row r="290" spans="1:18" ht="15">
      <c r="A290" s="666" t="s">
        <v>927</v>
      </c>
      <c r="B290" s="354" t="s">
        <v>41</v>
      </c>
      <c r="C290" s="730">
        <v>140.38</v>
      </c>
      <c r="D290" s="335">
        <v>6582268</v>
      </c>
      <c r="E290" s="627">
        <f t="shared" si="20"/>
        <v>65.724192297841682</v>
      </c>
      <c r="F290" s="423"/>
      <c r="G290" s="662" t="s">
        <v>1428</v>
      </c>
      <c r="H290" s="453"/>
      <c r="I290" s="553">
        <v>9</v>
      </c>
      <c r="J290" s="409">
        <v>16598574</v>
      </c>
      <c r="K290" s="617">
        <f t="shared" si="21"/>
        <v>57.534173642446866</v>
      </c>
      <c r="L290" s="380"/>
      <c r="M290" s="662" t="s">
        <v>1429</v>
      </c>
      <c r="N290" s="352"/>
      <c r="O290" s="553">
        <v>23.5</v>
      </c>
      <c r="P290" s="738">
        <v>8096818</v>
      </c>
      <c r="Q290" s="617">
        <f t="shared" si="22"/>
        <v>52.504192421393839</v>
      </c>
      <c r="R290" s="435"/>
    </row>
    <row r="291" spans="1:18" ht="15">
      <c r="A291" s="668" t="s">
        <v>1423</v>
      </c>
      <c r="B291" s="753"/>
      <c r="C291" s="754">
        <v>1</v>
      </c>
      <c r="D291" s="410">
        <v>6632147</v>
      </c>
      <c r="E291" s="627">
        <f t="shared" si="20"/>
        <v>66.222235979384891</v>
      </c>
      <c r="F291" s="423"/>
      <c r="G291" s="668" t="s">
        <v>122</v>
      </c>
      <c r="H291" s="357"/>
      <c r="I291" s="457">
        <v>370.9</v>
      </c>
      <c r="J291" s="408">
        <v>16856563</v>
      </c>
      <c r="K291" s="617">
        <f t="shared" si="21"/>
        <v>58.428418167539277</v>
      </c>
      <c r="L291" s="380"/>
      <c r="M291" s="736" t="s">
        <v>1412</v>
      </c>
      <c r="N291" s="360"/>
      <c r="O291" s="549">
        <v>12.5</v>
      </c>
      <c r="P291" s="408">
        <v>8183390</v>
      </c>
      <c r="Q291" s="617">
        <f t="shared" si="22"/>
        <v>53.065572576697434</v>
      </c>
      <c r="R291" s="435"/>
    </row>
    <row r="292" spans="1:18" ht="15">
      <c r="A292" s="741" t="s">
        <v>1451</v>
      </c>
      <c r="B292" s="1295"/>
      <c r="C292" s="1278"/>
      <c r="D292" s="1272">
        <v>6673536</v>
      </c>
      <c r="E292" s="627">
        <f t="shared" si="20"/>
        <v>66.635506693220208</v>
      </c>
      <c r="F292" s="423"/>
      <c r="G292" s="741" t="s">
        <v>1451</v>
      </c>
      <c r="H292" s="497"/>
      <c r="I292" s="1297"/>
      <c r="J292" s="1272">
        <v>16940400</v>
      </c>
      <c r="K292" s="617">
        <f t="shared" si="21"/>
        <v>58.719014969147771</v>
      </c>
      <c r="L292" s="380"/>
      <c r="M292" s="666" t="s">
        <v>1440</v>
      </c>
      <c r="N292" s="497" t="s">
        <v>41</v>
      </c>
      <c r="O292" s="1278">
        <v>26.72</v>
      </c>
      <c r="P292" s="1279">
        <v>8329015</v>
      </c>
      <c r="Q292" s="617">
        <f t="shared" si="22"/>
        <v>54.009884653536197</v>
      </c>
      <c r="R292" s="435"/>
    </row>
    <row r="293" spans="1:18" ht="15">
      <c r="A293" s="1294" t="s">
        <v>1454</v>
      </c>
      <c r="B293" s="348"/>
      <c r="C293" s="457">
        <v>1.1000000000000001</v>
      </c>
      <c r="D293" s="370">
        <v>6752093</v>
      </c>
      <c r="E293" s="627">
        <f t="shared" si="20"/>
        <v>67.419901277935011</v>
      </c>
      <c r="F293" s="423"/>
      <c r="G293" s="668" t="s">
        <v>1423</v>
      </c>
      <c r="H293" s="350"/>
      <c r="I293" s="554">
        <v>2</v>
      </c>
      <c r="J293" s="370">
        <v>17339337</v>
      </c>
      <c r="K293" s="617">
        <f t="shared" si="21"/>
        <v>60.10181511995571</v>
      </c>
      <c r="L293" s="380"/>
      <c r="M293" s="668" t="s">
        <v>1425</v>
      </c>
      <c r="N293" s="350"/>
      <c r="O293" s="457">
        <v>48</v>
      </c>
      <c r="P293" s="411">
        <v>8552090</v>
      </c>
      <c r="Q293" s="617">
        <f t="shared" si="22"/>
        <v>55.456424852958044</v>
      </c>
      <c r="R293" s="435"/>
    </row>
    <row r="294" spans="1:18" ht="15">
      <c r="A294" s="669" t="s">
        <v>2045</v>
      </c>
      <c r="B294" s="560"/>
      <c r="C294" s="632">
        <v>1</v>
      </c>
      <c r="D294" s="633">
        <v>7138213</v>
      </c>
      <c r="E294" s="627">
        <f t="shared" si="20"/>
        <v>71.275323927095243</v>
      </c>
      <c r="F294" s="423"/>
      <c r="G294" s="669" t="s">
        <v>1412</v>
      </c>
      <c r="H294" s="546"/>
      <c r="I294" s="346">
        <v>25</v>
      </c>
      <c r="J294" s="106">
        <v>17667012</v>
      </c>
      <c r="K294" s="617">
        <f t="shared" si="21"/>
        <v>61.23760608297993</v>
      </c>
      <c r="L294" s="380"/>
      <c r="M294" s="672" t="s">
        <v>1424</v>
      </c>
      <c r="N294" s="564"/>
      <c r="O294" s="555">
        <v>6.5</v>
      </c>
      <c r="P294" s="408">
        <v>8697648</v>
      </c>
      <c r="Q294" s="617">
        <f t="shared" si="22"/>
        <v>56.40030246518463</v>
      </c>
      <c r="R294" s="435"/>
    </row>
    <row r="295" spans="1:18" ht="15">
      <c r="A295" s="669" t="s">
        <v>1412</v>
      </c>
      <c r="B295" s="630"/>
      <c r="C295" s="346">
        <v>8.9</v>
      </c>
      <c r="D295" s="406">
        <v>7373207</v>
      </c>
      <c r="E295" s="627">
        <f t="shared" si="20"/>
        <v>73.621747810905362</v>
      </c>
      <c r="F295" s="423"/>
      <c r="G295" s="669" t="s">
        <v>2045</v>
      </c>
      <c r="H295" s="1296"/>
      <c r="I295" s="449">
        <v>2</v>
      </c>
      <c r="J295" s="106">
        <v>18187416</v>
      </c>
      <c r="K295" s="617">
        <f t="shared" si="21"/>
        <v>63.041436586746336</v>
      </c>
      <c r="L295" s="380"/>
      <c r="M295" s="673" t="s">
        <v>1427</v>
      </c>
      <c r="N295" s="630" t="s">
        <v>41</v>
      </c>
      <c r="O295" s="448">
        <v>5</v>
      </c>
      <c r="P295" s="106">
        <v>8714839</v>
      </c>
      <c r="Q295" s="617">
        <f t="shared" si="22"/>
        <v>56.511778303213369</v>
      </c>
      <c r="R295" s="435"/>
    </row>
    <row r="296" spans="1:18" ht="15">
      <c r="A296" s="673" t="s">
        <v>1427</v>
      </c>
      <c r="B296" s="546" t="s">
        <v>41</v>
      </c>
      <c r="C296" s="457">
        <v>2</v>
      </c>
      <c r="D296" s="406">
        <v>7476082</v>
      </c>
      <c r="E296" s="627">
        <f t="shared" si="20"/>
        <v>74.64895853563435</v>
      </c>
      <c r="F296" s="423"/>
      <c r="G296" s="673" t="s">
        <v>1427</v>
      </c>
      <c r="H296" s="546" t="s">
        <v>41</v>
      </c>
      <c r="I296" s="449">
        <v>10</v>
      </c>
      <c r="J296" s="106">
        <v>18282406</v>
      </c>
      <c r="K296" s="617">
        <f t="shared" si="21"/>
        <v>63.370692048950261</v>
      </c>
      <c r="L296" s="380"/>
      <c r="M296" s="663" t="s">
        <v>700</v>
      </c>
      <c r="N296" s="546" t="s">
        <v>41</v>
      </c>
      <c r="O296" s="449">
        <v>2.2650000000000001</v>
      </c>
      <c r="P296" s="106">
        <v>8785292</v>
      </c>
      <c r="Q296" s="617">
        <f t="shared" si="22"/>
        <v>56.968634054283044</v>
      </c>
      <c r="R296" s="435"/>
    </row>
    <row r="297" spans="1:18" ht="15">
      <c r="A297" s="667" t="s">
        <v>1440</v>
      </c>
      <c r="B297" s="497" t="s">
        <v>41</v>
      </c>
      <c r="C297" s="457">
        <v>19.54</v>
      </c>
      <c r="D297" s="406">
        <v>7634076</v>
      </c>
      <c r="E297" s="627">
        <f t="shared" si="20"/>
        <v>76.226534537994809</v>
      </c>
      <c r="F297" s="556"/>
      <c r="G297" s="667" t="s">
        <v>1440</v>
      </c>
      <c r="H297" s="497" t="s">
        <v>41</v>
      </c>
      <c r="I297" s="449">
        <v>32.450000000000003</v>
      </c>
      <c r="J297" s="106">
        <v>18332259</v>
      </c>
      <c r="K297" s="617">
        <f t="shared" si="21"/>
        <v>63.543493107559087</v>
      </c>
      <c r="L297" s="557"/>
      <c r="M297" s="667" t="s">
        <v>694</v>
      </c>
      <c r="N297" s="620"/>
      <c r="O297" s="449">
        <v>11</v>
      </c>
      <c r="P297" s="106">
        <v>8833194</v>
      </c>
      <c r="Q297" s="617">
        <f t="shared" si="22"/>
        <v>57.279256798349863</v>
      </c>
      <c r="R297" s="435"/>
    </row>
    <row r="298" spans="1:18" ht="15">
      <c r="A298" s="662" t="s">
        <v>1425</v>
      </c>
      <c r="B298" s="560"/>
      <c r="C298" s="458">
        <v>44.9</v>
      </c>
      <c r="D298" s="406">
        <v>7820207</v>
      </c>
      <c r="E298" s="627">
        <f t="shared" si="20"/>
        <v>78.085059538281882</v>
      </c>
      <c r="F298" s="423"/>
      <c r="G298" s="662" t="s">
        <v>1425</v>
      </c>
      <c r="H298" s="560"/>
      <c r="I298" s="346">
        <v>107.3</v>
      </c>
      <c r="J298" s="98">
        <v>18792960</v>
      </c>
      <c r="K298" s="617">
        <f t="shared" si="21"/>
        <v>65.140380366142196</v>
      </c>
      <c r="L298" s="380"/>
      <c r="M298" s="662" t="s">
        <v>1419</v>
      </c>
      <c r="N298" s="546" t="s">
        <v>41</v>
      </c>
      <c r="O298" s="449">
        <v>24.1</v>
      </c>
      <c r="P298" s="106">
        <v>8859694</v>
      </c>
      <c r="Q298" s="617">
        <f t="shared" si="22"/>
        <v>57.451097279285328</v>
      </c>
      <c r="R298" s="435"/>
    </row>
    <row r="299" spans="1:18" ht="15">
      <c r="A299" s="674" t="s">
        <v>1455</v>
      </c>
      <c r="B299" s="348" t="s">
        <v>41</v>
      </c>
      <c r="C299" s="457">
        <v>2.875</v>
      </c>
      <c r="D299" s="406">
        <v>7865354</v>
      </c>
      <c r="E299" s="627">
        <f t="shared" si="20"/>
        <v>78.535854022746918</v>
      </c>
      <c r="F299" s="423"/>
      <c r="G299" s="674" t="s">
        <v>700</v>
      </c>
      <c r="H299" s="348" t="s">
        <v>41</v>
      </c>
      <c r="I299" s="449">
        <v>4.266</v>
      </c>
      <c r="J299" s="106">
        <v>19072740</v>
      </c>
      <c r="K299" s="617">
        <f t="shared" si="21"/>
        <v>66.110157113330459</v>
      </c>
      <c r="L299" s="380"/>
      <c r="M299" s="668" t="s">
        <v>2049</v>
      </c>
      <c r="N299" s="456"/>
      <c r="O299" s="449">
        <v>4</v>
      </c>
      <c r="P299" s="106">
        <v>8894967</v>
      </c>
      <c r="Q299" s="617">
        <f t="shared" si="22"/>
        <v>57.679826686230108</v>
      </c>
      <c r="R299" s="435"/>
    </row>
    <row r="300" spans="1:18" ht="15">
      <c r="A300" s="741" t="s">
        <v>1448</v>
      </c>
      <c r="B300" s="751"/>
      <c r="C300" s="457"/>
      <c r="D300" s="406">
        <v>7958726</v>
      </c>
      <c r="E300" s="627">
        <f t="shared" si="20"/>
        <v>79.468176936860118</v>
      </c>
      <c r="F300" s="423"/>
      <c r="G300" s="662" t="s">
        <v>1419</v>
      </c>
      <c r="H300" s="737" t="s">
        <v>41</v>
      </c>
      <c r="I300" s="449">
        <v>19.66</v>
      </c>
      <c r="J300" s="106">
        <v>20107880</v>
      </c>
      <c r="K300" s="617">
        <f t="shared" si="21"/>
        <v>69.69817163218265</v>
      </c>
      <c r="L300" s="380"/>
      <c r="M300" s="662" t="s">
        <v>1456</v>
      </c>
      <c r="N300" s="737" t="s">
        <v>41</v>
      </c>
      <c r="O300" s="449">
        <v>4</v>
      </c>
      <c r="P300" s="98">
        <v>8899895</v>
      </c>
      <c r="Q300" s="617">
        <f t="shared" si="22"/>
        <v>57.711782531137658</v>
      </c>
      <c r="R300" s="435"/>
    </row>
    <row r="301" spans="1:18" ht="15">
      <c r="A301" s="662" t="s">
        <v>1419</v>
      </c>
      <c r="B301" s="630" t="s">
        <v>41</v>
      </c>
      <c r="C301" s="346">
        <v>4.9000000000000004</v>
      </c>
      <c r="D301" s="406">
        <v>8045997</v>
      </c>
      <c r="E301" s="627">
        <f t="shared" si="20"/>
        <v>80.339581137665206</v>
      </c>
      <c r="F301" s="423"/>
      <c r="G301" s="741" t="s">
        <v>1448</v>
      </c>
      <c r="H301" s="630"/>
      <c r="I301" s="697"/>
      <c r="J301" s="106">
        <v>20132609</v>
      </c>
      <c r="K301" s="617">
        <f t="shared" si="21"/>
        <v>69.783887584649662</v>
      </c>
      <c r="L301" s="380"/>
      <c r="M301" s="662" t="s">
        <v>1420</v>
      </c>
      <c r="N301" s="630" t="s">
        <v>41</v>
      </c>
      <c r="O301" s="448">
        <v>2.6</v>
      </c>
      <c r="P301" s="106">
        <v>9052303</v>
      </c>
      <c r="Q301" s="617">
        <f t="shared" si="22"/>
        <v>58.700079286549446</v>
      </c>
      <c r="R301" s="435"/>
    </row>
    <row r="302" spans="1:18" ht="15">
      <c r="A302" s="662" t="s">
        <v>1420</v>
      </c>
      <c r="B302" s="737" t="s">
        <v>41</v>
      </c>
      <c r="C302" s="457">
        <v>2</v>
      </c>
      <c r="D302" s="406">
        <v>8198206</v>
      </c>
      <c r="E302" s="627">
        <f t="shared" si="20"/>
        <v>81.859393698542732</v>
      </c>
      <c r="F302" s="423"/>
      <c r="G302" s="662" t="s">
        <v>1420</v>
      </c>
      <c r="H302" s="737" t="s">
        <v>41</v>
      </c>
      <c r="I302" s="449">
        <v>5</v>
      </c>
      <c r="J302" s="106">
        <v>20194326</v>
      </c>
      <c r="K302" s="617">
        <f t="shared" si="21"/>
        <v>69.997811780468581</v>
      </c>
      <c r="L302" s="380"/>
      <c r="M302" s="662" t="s">
        <v>1428</v>
      </c>
      <c r="N302" s="631"/>
      <c r="O302" s="449">
        <v>11</v>
      </c>
      <c r="P302" s="106">
        <v>9086677</v>
      </c>
      <c r="Q302" s="617">
        <f t="shared" si="22"/>
        <v>58.922979086235323</v>
      </c>
      <c r="R302" s="435"/>
    </row>
    <row r="303" spans="1:18" ht="15">
      <c r="A303" s="666" t="s">
        <v>694</v>
      </c>
      <c r="B303" s="558"/>
      <c r="C303" s="457">
        <v>9</v>
      </c>
      <c r="D303" s="406">
        <v>8344772</v>
      </c>
      <c r="E303" s="627">
        <f t="shared" si="20"/>
        <v>83.322860693251158</v>
      </c>
      <c r="F303" s="423"/>
      <c r="G303" s="666" t="s">
        <v>694</v>
      </c>
      <c r="H303" s="558"/>
      <c r="I303" s="449">
        <v>23</v>
      </c>
      <c r="J303" s="106">
        <v>20451599</v>
      </c>
      <c r="K303" s="617">
        <f t="shared" si="21"/>
        <v>70.889574497887153</v>
      </c>
      <c r="L303" s="380"/>
      <c r="M303" s="669" t="s">
        <v>2045</v>
      </c>
      <c r="N303" s="546"/>
      <c r="O303" s="449">
        <v>1</v>
      </c>
      <c r="P303" s="106">
        <v>9090045</v>
      </c>
      <c r="Q303" s="617">
        <f t="shared" si="22"/>
        <v>58.944819038680258</v>
      </c>
      <c r="R303" s="435"/>
    </row>
    <row r="304" spans="1:18" ht="15">
      <c r="A304" s="662" t="s">
        <v>2049</v>
      </c>
      <c r="B304" s="562"/>
      <c r="C304" s="457">
        <v>2</v>
      </c>
      <c r="D304" s="406">
        <v>8425461</v>
      </c>
      <c r="E304" s="627">
        <f t="shared" si="20"/>
        <v>84.128543377748443</v>
      </c>
      <c r="F304" s="423"/>
      <c r="G304" s="662" t="s">
        <v>1456</v>
      </c>
      <c r="H304" s="737" t="s">
        <v>41</v>
      </c>
      <c r="I304" s="449">
        <v>6</v>
      </c>
      <c r="J304" s="106">
        <v>20754731</v>
      </c>
      <c r="K304" s="617">
        <f t="shared" si="21"/>
        <v>71.940294223845669</v>
      </c>
      <c r="L304" s="380"/>
      <c r="M304" s="662" t="s">
        <v>1423</v>
      </c>
      <c r="N304" s="631"/>
      <c r="O304" s="449">
        <v>1</v>
      </c>
      <c r="P304" s="106">
        <v>9093866</v>
      </c>
      <c r="Q304" s="617">
        <f t="shared" si="22"/>
        <v>58.969596490667215</v>
      </c>
      <c r="R304" s="435"/>
    </row>
    <row r="305" spans="1:18" ht="15">
      <c r="A305" s="662" t="s">
        <v>1456</v>
      </c>
      <c r="B305" s="546" t="s">
        <v>41</v>
      </c>
      <c r="C305" s="457">
        <v>1</v>
      </c>
      <c r="D305" s="412">
        <v>8429353</v>
      </c>
      <c r="E305" s="627">
        <f t="shared" si="20"/>
        <v>84.167405143392628</v>
      </c>
      <c r="F305" s="423"/>
      <c r="G305" s="662" t="s">
        <v>2049</v>
      </c>
      <c r="H305" s="564"/>
      <c r="I305" s="346">
        <v>9</v>
      </c>
      <c r="J305" s="98">
        <v>20760229</v>
      </c>
      <c r="K305" s="617">
        <f t="shared" si="21"/>
        <v>71.959351456514341</v>
      </c>
      <c r="L305" s="380"/>
      <c r="M305" s="670" t="s">
        <v>1416</v>
      </c>
      <c r="N305" s="564"/>
      <c r="O305" s="449">
        <v>1</v>
      </c>
      <c r="P305" s="106">
        <v>10819810</v>
      </c>
      <c r="Q305" s="617">
        <f t="shared" si="22"/>
        <v>70.161560529447655</v>
      </c>
      <c r="R305" s="435"/>
    </row>
    <row r="306" spans="1:18" ht="15">
      <c r="A306" s="670" t="s">
        <v>1416</v>
      </c>
      <c r="B306" s="564"/>
      <c r="C306" s="346">
        <v>1</v>
      </c>
      <c r="D306" s="406">
        <v>9047585</v>
      </c>
      <c r="E306" s="627">
        <f t="shared" si="20"/>
        <v>90.340474798514421</v>
      </c>
      <c r="F306" s="556"/>
      <c r="G306" s="670" t="s">
        <v>1416</v>
      </c>
      <c r="H306" s="564"/>
      <c r="I306" s="449">
        <v>1</v>
      </c>
      <c r="J306" s="106">
        <v>24065860</v>
      </c>
      <c r="K306" s="617">
        <f t="shared" si="21"/>
        <v>83.41736875076235</v>
      </c>
      <c r="L306" s="557"/>
      <c r="M306" s="741" t="s">
        <v>1448</v>
      </c>
      <c r="N306" s="550"/>
      <c r="O306" s="487"/>
      <c r="P306" s="98">
        <v>10985157</v>
      </c>
      <c r="Q306" s="617">
        <f t="shared" si="22"/>
        <v>71.233760831381105</v>
      </c>
      <c r="R306" s="435"/>
    </row>
    <row r="307" spans="1:18" ht="15">
      <c r="A307" s="670" t="s">
        <v>600</v>
      </c>
      <c r="B307" s="591"/>
      <c r="C307" s="457"/>
      <c r="D307" s="406">
        <v>10014985</v>
      </c>
      <c r="E307" s="627">
        <f t="shared" si="20"/>
        <v>100</v>
      </c>
      <c r="F307" s="423"/>
      <c r="G307" s="741" t="s">
        <v>1447</v>
      </c>
      <c r="H307" s="355"/>
      <c r="I307" s="697"/>
      <c r="J307" s="106">
        <v>28849939</v>
      </c>
      <c r="K307" s="617">
        <f t="shared" si="21"/>
        <v>100</v>
      </c>
      <c r="L307" s="380"/>
      <c r="M307" s="741" t="s">
        <v>1447</v>
      </c>
      <c r="N307" s="758"/>
      <c r="O307" s="487"/>
      <c r="P307" s="106">
        <v>15367336</v>
      </c>
      <c r="Q307" s="617">
        <f t="shared" si="22"/>
        <v>99.650204110826351</v>
      </c>
      <c r="R307" s="435"/>
    </row>
    <row r="308" spans="1:18" ht="15">
      <c r="A308" s="735" t="s">
        <v>1447</v>
      </c>
      <c r="B308" s="747"/>
      <c r="C308" s="457"/>
      <c r="D308" s="406">
        <v>10015245</v>
      </c>
      <c r="E308" s="627">
        <f t="shared" si="20"/>
        <v>100.00259610972957</v>
      </c>
      <c r="F308" s="423"/>
      <c r="G308" s="683" t="s">
        <v>600</v>
      </c>
      <c r="H308" s="564"/>
      <c r="I308" s="561"/>
      <c r="J308" s="106">
        <v>28849939</v>
      </c>
      <c r="K308" s="617">
        <f t="shared" si="21"/>
        <v>100</v>
      </c>
      <c r="L308" s="380"/>
      <c r="M308" s="683" t="s">
        <v>600</v>
      </c>
      <c r="N308" s="564"/>
      <c r="O308" s="449"/>
      <c r="P308" s="106">
        <v>15421279</v>
      </c>
      <c r="Q308" s="617">
        <f t="shared" si="22"/>
        <v>100</v>
      </c>
      <c r="R308" s="435"/>
    </row>
    <row r="309" spans="1:18" ht="15">
      <c r="A309" s="735" t="s">
        <v>1452</v>
      </c>
      <c r="B309" s="747"/>
      <c r="C309" s="457"/>
      <c r="D309" s="406">
        <v>10217022</v>
      </c>
      <c r="E309" s="627">
        <f t="shared" si="20"/>
        <v>102.01734700551224</v>
      </c>
      <c r="F309" s="423"/>
      <c r="G309" s="735" t="s">
        <v>1452</v>
      </c>
      <c r="H309" s="546"/>
      <c r="I309" s="697"/>
      <c r="J309" s="106">
        <v>28929341</v>
      </c>
      <c r="K309" s="617">
        <f t="shared" si="21"/>
        <v>100.27522415212039</v>
      </c>
      <c r="L309" s="380"/>
      <c r="M309" s="735" t="s">
        <v>1452</v>
      </c>
      <c r="N309" s="550"/>
      <c r="O309" s="492"/>
      <c r="P309" s="728">
        <v>15423063</v>
      </c>
      <c r="Q309" s="617">
        <f t="shared" si="22"/>
        <v>100.0115684308675</v>
      </c>
      <c r="R309" s="435"/>
    </row>
    <row r="310" spans="1:18" ht="15">
      <c r="A310" s="264"/>
      <c r="B310" s="264"/>
      <c r="C310" s="264"/>
      <c r="D310" s="53"/>
      <c r="E310" s="473"/>
      <c r="F310" s="423"/>
      <c r="G310" s="380"/>
      <c r="H310" s="380"/>
      <c r="I310" s="380"/>
      <c r="J310" s="380"/>
      <c r="K310" s="380"/>
      <c r="L310" s="380"/>
      <c r="M310" s="380"/>
      <c r="N310" s="727"/>
      <c r="O310" s="727"/>
      <c r="P310" s="476"/>
      <c r="Q310" s="474"/>
      <c r="R310" s="435"/>
    </row>
    <row r="311" spans="1:18" ht="17.25">
      <c r="A311" s="264"/>
      <c r="B311" s="713" t="s">
        <v>1432</v>
      </c>
      <c r="C311" s="264"/>
      <c r="D311" s="53"/>
      <c r="E311" s="473"/>
      <c r="F311" s="423"/>
      <c r="G311" s="380"/>
      <c r="H311" s="380"/>
      <c r="I311" s="380"/>
      <c r="J311" s="380"/>
      <c r="K311" s="380"/>
      <c r="L311" s="380"/>
      <c r="M311" s="380"/>
      <c r="N311" s="761"/>
      <c r="O311" s="761"/>
      <c r="P311" s="476"/>
      <c r="Q311" s="474"/>
      <c r="R311" s="435"/>
    </row>
    <row r="312" spans="1:18" ht="17.25">
      <c r="A312" s="264"/>
      <c r="B312" s="283" t="s">
        <v>1271</v>
      </c>
      <c r="C312" s="264"/>
      <c r="D312" s="53"/>
      <c r="E312" s="473"/>
      <c r="F312" s="423"/>
      <c r="G312" s="380"/>
      <c r="H312" s="380"/>
      <c r="I312" s="380"/>
      <c r="J312" s="380"/>
      <c r="K312" s="380"/>
      <c r="L312" s="380"/>
      <c r="M312" s="380"/>
      <c r="N312" s="761"/>
      <c r="O312" s="761"/>
      <c r="P312" s="476"/>
      <c r="Q312" s="474"/>
      <c r="R312" s="435"/>
    </row>
    <row r="313" spans="1:18" ht="17.25">
      <c r="A313" s="264"/>
      <c r="B313" s="55" t="s">
        <v>1465</v>
      </c>
      <c r="C313" s="264"/>
      <c r="D313" s="53"/>
      <c r="E313" s="473"/>
      <c r="F313" s="423"/>
      <c r="G313" s="380"/>
      <c r="H313" s="380"/>
      <c r="I313" s="380"/>
      <c r="J313" s="380"/>
      <c r="K313" s="380"/>
      <c r="L313" s="380"/>
      <c r="M313" s="380"/>
      <c r="N313" s="727"/>
      <c r="O313" s="727"/>
      <c r="P313" s="476"/>
      <c r="Q313" s="474"/>
      <c r="R313" s="435"/>
    </row>
    <row r="314" spans="1:18" ht="15">
      <c r="A314" s="264"/>
      <c r="B314" s="264"/>
      <c r="C314" s="264"/>
      <c r="D314" s="53"/>
      <c r="E314" s="473"/>
      <c r="F314" s="423"/>
      <c r="G314" s="380"/>
      <c r="H314" s="380"/>
      <c r="I314" s="380"/>
      <c r="J314" s="380"/>
      <c r="K314" s="380"/>
      <c r="L314" s="380"/>
      <c r="M314" s="380"/>
      <c r="N314" s="727"/>
      <c r="O314" s="727"/>
      <c r="P314" s="476"/>
      <c r="Q314" s="474"/>
      <c r="R314" s="435"/>
    </row>
    <row r="315" spans="1:18" ht="15">
      <c r="A315" s="264"/>
      <c r="B315" s="264"/>
      <c r="C315" s="264"/>
      <c r="D315" s="53"/>
      <c r="E315" s="473"/>
      <c r="F315" s="423"/>
      <c r="G315" s="380"/>
      <c r="H315" s="380"/>
      <c r="I315" s="380"/>
      <c r="J315" s="380"/>
      <c r="K315" s="380"/>
      <c r="L315" s="380"/>
      <c r="M315" s="380"/>
      <c r="N315" s="273"/>
      <c r="O315" s="273"/>
      <c r="P315" s="476"/>
      <c r="Q315" s="474"/>
      <c r="R315" s="435"/>
    </row>
    <row r="316" spans="1:18" ht="20.25">
      <c r="A316" s="816" t="s">
        <v>575</v>
      </c>
      <c r="B316" s="423"/>
      <c r="C316" s="423"/>
      <c r="D316" s="423"/>
      <c r="E316" s="434"/>
      <c r="F316" s="423"/>
      <c r="G316" s="380"/>
      <c r="H316" s="380"/>
      <c r="I316" s="380"/>
      <c r="J316" s="380"/>
      <c r="K316" s="380"/>
      <c r="L316" s="380"/>
      <c r="M316" s="380"/>
      <c r="N316" s="423"/>
      <c r="O316" s="423"/>
      <c r="P316" s="423"/>
      <c r="Q316" s="434"/>
      <c r="R316" s="435"/>
    </row>
    <row r="317" spans="1:18" ht="15.75" thickBot="1">
      <c r="A317" s="477"/>
      <c r="B317" s="477"/>
      <c r="C317" s="477"/>
      <c r="D317" s="477"/>
      <c r="E317" s="478"/>
      <c r="F317" s="477"/>
      <c r="G317" s="381"/>
      <c r="H317" s="381"/>
      <c r="I317" s="381"/>
      <c r="J317" s="381"/>
      <c r="K317" s="381"/>
      <c r="L317" s="381"/>
      <c r="M317" s="381"/>
      <c r="N317" s="477"/>
      <c r="O317" s="477"/>
      <c r="P317" s="477"/>
      <c r="Q317" s="478"/>
      <c r="R317" s="435"/>
    </row>
    <row r="318" spans="1:18" ht="15.75" thickTop="1">
      <c r="A318" s="805"/>
      <c r="B318" s="805"/>
      <c r="C318" s="805"/>
      <c r="D318" s="805"/>
      <c r="E318" s="596"/>
      <c r="F318" s="805"/>
      <c r="G318" s="380"/>
      <c r="H318" s="380"/>
      <c r="I318" s="380"/>
      <c r="J318" s="380"/>
      <c r="K318" s="380"/>
      <c r="L318" s="380"/>
      <c r="M318" s="380"/>
      <c r="N318" s="805"/>
      <c r="O318" s="805"/>
      <c r="P318" s="805"/>
      <c r="Q318" s="596"/>
      <c r="R318" s="435"/>
    </row>
    <row r="319" spans="1:18" ht="15">
      <c r="A319" s="429" t="s">
        <v>1413</v>
      </c>
      <c r="B319" s="264"/>
      <c r="C319" s="264"/>
      <c r="D319" s="53"/>
      <c r="E319" s="473"/>
      <c r="F319" s="423"/>
      <c r="G319" s="429" t="s">
        <v>731</v>
      </c>
      <c r="H319" s="495"/>
      <c r="I319" s="264"/>
      <c r="J319" s="53"/>
      <c r="K319" s="473"/>
      <c r="L319" s="423"/>
      <c r="M319" s="509" t="s">
        <v>757</v>
      </c>
      <c r="N319" s="522"/>
      <c r="O319" s="273"/>
      <c r="P319" s="476"/>
      <c r="Q319" s="474"/>
      <c r="R319" s="435"/>
    </row>
    <row r="320" spans="1:18" ht="15">
      <c r="A320" s="404" t="s">
        <v>1414</v>
      </c>
      <c r="B320" s="541"/>
      <c r="C320" s="542"/>
      <c r="D320" s="3175" t="s">
        <v>1415</v>
      </c>
      <c r="E320" s="3175"/>
      <c r="F320" s="423"/>
      <c r="G320" s="366" t="s">
        <v>721</v>
      </c>
      <c r="H320" s="440"/>
      <c r="I320" s="543"/>
      <c r="J320" s="3168" t="s">
        <v>576</v>
      </c>
      <c r="K320" s="3168"/>
      <c r="L320" s="380"/>
      <c r="M320" s="366" t="s">
        <v>759</v>
      </c>
      <c r="N320" s="440"/>
      <c r="O320" s="543"/>
      <c r="P320" s="3168" t="s">
        <v>758</v>
      </c>
      <c r="Q320" s="3168"/>
      <c r="R320" s="435"/>
    </row>
    <row r="321" spans="1:18" ht="15">
      <c r="A321" s="687" t="s">
        <v>942</v>
      </c>
      <c r="B321" s="544"/>
      <c r="C321" s="545">
        <v>21.077999999999999</v>
      </c>
      <c r="D321" s="405">
        <v>18658071</v>
      </c>
      <c r="E321" s="627">
        <f t="shared" ref="E321:E346" si="23">(D321*100/19900650)</f>
        <v>93.756088368972868</v>
      </c>
      <c r="F321" s="264"/>
      <c r="G321" s="1935" t="s">
        <v>2047</v>
      </c>
      <c r="H321" s="441" t="s">
        <v>41</v>
      </c>
      <c r="I321" s="442">
        <v>2164.13</v>
      </c>
      <c r="J321" s="399">
        <v>18384315</v>
      </c>
      <c r="K321" s="617">
        <f>(J321*100/19475456)</f>
        <v>94.397353263512798</v>
      </c>
      <c r="L321" s="264"/>
      <c r="M321" s="1935" t="s">
        <v>2047</v>
      </c>
      <c r="N321" s="441" t="s">
        <v>41</v>
      </c>
      <c r="O321" s="1948">
        <v>4125.1899999999996</v>
      </c>
      <c r="P321" s="848">
        <v>36405056</v>
      </c>
      <c r="Q321" s="617">
        <f t="shared" ref="Q321:Q346" si="24">(P321*100/37018568)</f>
        <v>98.342691159744476</v>
      </c>
      <c r="R321" s="435"/>
    </row>
    <row r="322" spans="1:18" ht="15">
      <c r="A322" s="1946" t="s">
        <v>1426</v>
      </c>
      <c r="B322" s="743"/>
      <c r="C322" s="457">
        <v>44.44</v>
      </c>
      <c r="D322" s="406">
        <v>19274477</v>
      </c>
      <c r="E322" s="627">
        <f t="shared" si="23"/>
        <v>96.853504785019581</v>
      </c>
      <c r="F322" s="423"/>
      <c r="G322" s="1944" t="s">
        <v>1430</v>
      </c>
      <c r="H322" s="348" t="s">
        <v>41</v>
      </c>
      <c r="I322" s="449">
        <v>2193.0300000000002</v>
      </c>
      <c r="J322" s="106">
        <v>18403927</v>
      </c>
      <c r="K322" s="617">
        <f>(J322*100/19475456)</f>
        <v>94.498054371615225</v>
      </c>
      <c r="L322" s="380"/>
      <c r="M322" s="646" t="s">
        <v>927</v>
      </c>
      <c r="N322" s="348" t="s">
        <v>41</v>
      </c>
      <c r="O322" s="449">
        <v>471.84</v>
      </c>
      <c r="P322" s="106">
        <v>36405844</v>
      </c>
      <c r="Q322" s="617">
        <f t="shared" si="24"/>
        <v>98.34481982123134</v>
      </c>
      <c r="R322" s="435"/>
    </row>
    <row r="323" spans="1:18" ht="15">
      <c r="A323" s="664" t="s">
        <v>927</v>
      </c>
      <c r="B323" s="768" t="s">
        <v>41</v>
      </c>
      <c r="C323" s="457">
        <v>336.68</v>
      </c>
      <c r="D323" s="1893">
        <v>19283705</v>
      </c>
      <c r="E323" s="627">
        <f t="shared" si="23"/>
        <v>96.899875129706814</v>
      </c>
      <c r="F323" s="423"/>
      <c r="G323" s="664" t="s">
        <v>927</v>
      </c>
      <c r="H323" s="768" t="s">
        <v>41</v>
      </c>
      <c r="I323" s="457">
        <v>247.3</v>
      </c>
      <c r="J323" s="1893">
        <v>18453858</v>
      </c>
      <c r="K323" s="617">
        <f>(J323*100/19475456)</f>
        <v>94.754433477706499</v>
      </c>
      <c r="L323" s="380"/>
      <c r="M323" s="1932" t="s">
        <v>1430</v>
      </c>
      <c r="N323" s="768" t="s">
        <v>41</v>
      </c>
      <c r="O323" s="1947">
        <v>4352.0200000000004</v>
      </c>
      <c r="P323" s="1279">
        <v>36407758</v>
      </c>
      <c r="Q323" s="617">
        <f t="shared" si="24"/>
        <v>98.349990199512845</v>
      </c>
      <c r="R323" s="435"/>
    </row>
    <row r="324" spans="1:18" ht="15">
      <c r="A324" s="669" t="s">
        <v>2047</v>
      </c>
      <c r="B324" s="348" t="s">
        <v>41</v>
      </c>
      <c r="C324" s="457">
        <v>2155.67</v>
      </c>
      <c r="D324" s="406">
        <v>19290166</v>
      </c>
      <c r="E324" s="627">
        <f t="shared" si="23"/>
        <v>96.932341405933983</v>
      </c>
      <c r="F324" s="423"/>
      <c r="G324" s="651" t="s">
        <v>1426</v>
      </c>
      <c r="H324" s="547"/>
      <c r="I324" s="449">
        <v>33.020000000000003</v>
      </c>
      <c r="J324" s="106">
        <v>18455861</v>
      </c>
      <c r="K324" s="617">
        <f>(J324*100/19475456)</f>
        <v>94.764718217637622</v>
      </c>
      <c r="L324" s="380"/>
      <c r="M324" s="651" t="s">
        <v>1426</v>
      </c>
      <c r="N324" s="548"/>
      <c r="O324" s="549">
        <v>67.58</v>
      </c>
      <c r="P324" s="407">
        <v>36410087</v>
      </c>
      <c r="Q324" s="617">
        <f t="shared" si="24"/>
        <v>98.356281636826139</v>
      </c>
      <c r="R324" s="435"/>
    </row>
    <row r="325" spans="1:18" ht="15">
      <c r="A325" s="1938" t="s">
        <v>1430</v>
      </c>
      <c r="B325" s="546" t="s">
        <v>41</v>
      </c>
      <c r="C325" s="457">
        <v>2275.31</v>
      </c>
      <c r="D325" s="406">
        <v>19291837</v>
      </c>
      <c r="E325" s="627">
        <f t="shared" si="23"/>
        <v>96.940738116594176</v>
      </c>
      <c r="F325" s="423"/>
      <c r="G325" s="662" t="s">
        <v>122</v>
      </c>
      <c r="H325" s="347"/>
      <c r="I325" s="549">
        <v>629.29999999999995</v>
      </c>
      <c r="J325" s="408">
        <v>18540604</v>
      </c>
      <c r="K325" s="617">
        <f t="shared" ref="K325:K345" si="25">(J325*100/19475456)</f>
        <v>95.199845384878273</v>
      </c>
      <c r="L325" s="380"/>
      <c r="M325" s="551" t="s">
        <v>943</v>
      </c>
      <c r="N325" s="348"/>
      <c r="O325" s="552">
        <v>11</v>
      </c>
      <c r="P325" s="106">
        <v>36450525</v>
      </c>
      <c r="Q325" s="617">
        <f t="shared" si="24"/>
        <v>98.465518709421715</v>
      </c>
      <c r="R325" s="435"/>
    </row>
    <row r="326" spans="1:18" ht="15">
      <c r="A326" s="666" t="s">
        <v>1418</v>
      </c>
      <c r="B326" s="354" t="s">
        <v>41</v>
      </c>
      <c r="C326" s="553">
        <v>31.3</v>
      </c>
      <c r="D326" s="1279">
        <v>19326838</v>
      </c>
      <c r="E326" s="619">
        <f t="shared" si="23"/>
        <v>97.116616793923811</v>
      </c>
      <c r="F326" s="423"/>
      <c r="G326" s="651" t="s">
        <v>1425</v>
      </c>
      <c r="H326" s="350"/>
      <c r="I326" s="553">
        <v>151.30000000000001</v>
      </c>
      <c r="J326" s="409">
        <v>18575467</v>
      </c>
      <c r="K326" s="619">
        <f t="shared" si="25"/>
        <v>95.378855314093798</v>
      </c>
      <c r="L326" s="380"/>
      <c r="M326" s="662" t="s">
        <v>122</v>
      </c>
      <c r="N326" s="347"/>
      <c r="O326" s="553">
        <v>1114.5999999999999</v>
      </c>
      <c r="P326" s="335">
        <v>36483762</v>
      </c>
      <c r="Q326" s="619">
        <f t="shared" si="24"/>
        <v>98.555303381805587</v>
      </c>
      <c r="R326" s="435"/>
    </row>
    <row r="327" spans="1:18" ht="15">
      <c r="A327" s="674" t="s">
        <v>700</v>
      </c>
      <c r="B327" s="360" t="s">
        <v>41</v>
      </c>
      <c r="C327" s="553">
        <v>17.015999999999998</v>
      </c>
      <c r="D327" s="410">
        <v>19328252</v>
      </c>
      <c r="E327" s="627">
        <f t="shared" si="23"/>
        <v>97.123722089479486</v>
      </c>
      <c r="F327" s="423"/>
      <c r="G327" s="646" t="s">
        <v>1418</v>
      </c>
      <c r="H327" s="354" t="s">
        <v>41</v>
      </c>
      <c r="I327" s="457">
        <v>30.59</v>
      </c>
      <c r="J327" s="408">
        <v>18636447</v>
      </c>
      <c r="K327" s="617">
        <f t="shared" si="25"/>
        <v>95.691967366515058</v>
      </c>
      <c r="L327" s="380"/>
      <c r="M327" s="646" t="s">
        <v>1418</v>
      </c>
      <c r="N327" s="354" t="s">
        <v>41</v>
      </c>
      <c r="O327" s="549">
        <v>35.159999999999997</v>
      </c>
      <c r="P327" s="408">
        <v>36507223</v>
      </c>
      <c r="Q327" s="617">
        <f t="shared" si="24"/>
        <v>98.61867968528658</v>
      </c>
      <c r="R327" s="435"/>
    </row>
    <row r="328" spans="1:18" ht="15">
      <c r="A328" s="668" t="s">
        <v>122</v>
      </c>
      <c r="B328" s="347"/>
      <c r="C328" s="457">
        <v>590.9</v>
      </c>
      <c r="D328" s="332">
        <v>19333829</v>
      </c>
      <c r="E328" s="627">
        <f t="shared" si="23"/>
        <v>97.151746299743976</v>
      </c>
      <c r="F328" s="423"/>
      <c r="G328" s="402" t="s">
        <v>1215</v>
      </c>
      <c r="H328" s="348"/>
      <c r="I328" s="554">
        <v>15.6</v>
      </c>
      <c r="J328" s="370">
        <v>18715310</v>
      </c>
      <c r="K328" s="617">
        <f t="shared" si="25"/>
        <v>96.096902686129667</v>
      </c>
      <c r="L328" s="380"/>
      <c r="M328" s="651" t="s">
        <v>1425</v>
      </c>
      <c r="N328" s="350"/>
      <c r="O328" s="457">
        <v>302.64</v>
      </c>
      <c r="P328" s="411">
        <v>36509475</v>
      </c>
      <c r="Q328" s="617">
        <f t="shared" si="24"/>
        <v>98.624763118875904</v>
      </c>
      <c r="R328" s="435"/>
    </row>
    <row r="329" spans="1:18" ht="15">
      <c r="A329" s="662" t="s">
        <v>1425</v>
      </c>
      <c r="B329" s="560"/>
      <c r="C329" s="632">
        <v>158</v>
      </c>
      <c r="D329" s="633">
        <v>19342593</v>
      </c>
      <c r="E329" s="627">
        <f t="shared" si="23"/>
        <v>97.195785062296963</v>
      </c>
      <c r="F329" s="423"/>
      <c r="G329" s="688" t="s">
        <v>700</v>
      </c>
      <c r="H329" s="360" t="s">
        <v>41</v>
      </c>
      <c r="I329" s="346">
        <v>53.3</v>
      </c>
      <c r="J329" s="106">
        <v>18725156</v>
      </c>
      <c r="K329" s="617">
        <f t="shared" si="25"/>
        <v>96.147458626899422</v>
      </c>
      <c r="L329" s="380"/>
      <c r="M329" s="666" t="s">
        <v>694</v>
      </c>
      <c r="N329" s="490"/>
      <c r="O329" s="555">
        <v>42.37</v>
      </c>
      <c r="P329" s="408">
        <v>36550114</v>
      </c>
      <c r="Q329" s="617">
        <f t="shared" si="24"/>
        <v>98.734543162231446</v>
      </c>
      <c r="R329" s="435"/>
    </row>
    <row r="330" spans="1:18" ht="15">
      <c r="A330" s="670" t="s">
        <v>557</v>
      </c>
      <c r="B330" s="629"/>
      <c r="C330" s="346">
        <v>11</v>
      </c>
      <c r="D330" s="406">
        <v>19377320</v>
      </c>
      <c r="E330" s="627">
        <f t="shared" si="23"/>
        <v>97.370286900176623</v>
      </c>
      <c r="F330" s="423"/>
      <c r="G330" s="645" t="s">
        <v>1424</v>
      </c>
      <c r="H330" s="456"/>
      <c r="I330" s="449">
        <v>8.74</v>
      </c>
      <c r="J330" s="106">
        <v>18762560</v>
      </c>
      <c r="K330" s="617">
        <f t="shared" si="25"/>
        <v>96.339515747410488</v>
      </c>
      <c r="L330" s="380"/>
      <c r="M330" s="645" t="s">
        <v>1424</v>
      </c>
      <c r="N330" s="348"/>
      <c r="O330" s="449">
        <v>16.96</v>
      </c>
      <c r="P330" s="106">
        <v>36565712</v>
      </c>
      <c r="Q330" s="617">
        <f t="shared" si="24"/>
        <v>98.776678773744024</v>
      </c>
      <c r="R330" s="435"/>
    </row>
    <row r="331" spans="1:18" ht="15">
      <c r="A331" s="672" t="s">
        <v>1424</v>
      </c>
      <c r="B331" s="564"/>
      <c r="C331" s="457">
        <v>9.18</v>
      </c>
      <c r="D331" s="406">
        <v>19386496</v>
      </c>
      <c r="E331" s="627">
        <f t="shared" si="23"/>
        <v>97.416395946866061</v>
      </c>
      <c r="F331" s="423"/>
      <c r="G331" s="666" t="s">
        <v>694</v>
      </c>
      <c r="H331" s="496"/>
      <c r="I331" s="449">
        <v>25.3</v>
      </c>
      <c r="J331" s="106">
        <v>18774700</v>
      </c>
      <c r="K331" s="628">
        <f t="shared" si="25"/>
        <v>96.401850616488773</v>
      </c>
      <c r="L331" s="380"/>
      <c r="M331" s="89" t="s">
        <v>557</v>
      </c>
      <c r="N331" s="634"/>
      <c r="O331" s="449">
        <v>23.22</v>
      </c>
      <c r="P331" s="106">
        <v>36605043</v>
      </c>
      <c r="Q331" s="617">
        <f t="shared" si="24"/>
        <v>98.882925455139159</v>
      </c>
      <c r="R331" s="435"/>
    </row>
    <row r="332" spans="1:18" ht="15">
      <c r="A332" s="667" t="s">
        <v>694</v>
      </c>
      <c r="B332" s="620"/>
      <c r="C332" s="457">
        <v>22</v>
      </c>
      <c r="D332" s="406">
        <v>19403976</v>
      </c>
      <c r="E332" s="627">
        <f t="shared" si="23"/>
        <v>97.504232273820207</v>
      </c>
      <c r="F332" s="556"/>
      <c r="G332" s="89" t="s">
        <v>557</v>
      </c>
      <c r="H332" s="634"/>
      <c r="I332" s="449">
        <v>26.41</v>
      </c>
      <c r="J332" s="106">
        <v>18775535</v>
      </c>
      <c r="K332" s="617">
        <f t="shared" si="25"/>
        <v>96.406138064238391</v>
      </c>
      <c r="L332" s="557"/>
      <c r="M332" s="663" t="s">
        <v>700</v>
      </c>
      <c r="N332" s="360" t="s">
        <v>41</v>
      </c>
      <c r="O332" s="449">
        <v>85.18</v>
      </c>
      <c r="P332" s="106">
        <v>36638392</v>
      </c>
      <c r="Q332" s="617">
        <f t="shared" si="24"/>
        <v>98.973012678394255</v>
      </c>
      <c r="R332" s="435"/>
    </row>
    <row r="333" spans="1:18" ht="15">
      <c r="A333" s="662" t="s">
        <v>1429</v>
      </c>
      <c r="B333" s="558"/>
      <c r="C333" s="457">
        <v>42.4</v>
      </c>
      <c r="D333" s="406">
        <v>19408422</v>
      </c>
      <c r="E333" s="627">
        <f t="shared" si="23"/>
        <v>97.526573252632446</v>
      </c>
      <c r="F333" s="423"/>
      <c r="G333" s="662" t="s">
        <v>1419</v>
      </c>
      <c r="H333" s="348" t="s">
        <v>41</v>
      </c>
      <c r="I333" s="346">
        <v>10.029999999999999</v>
      </c>
      <c r="J333" s="98">
        <v>18841816</v>
      </c>
      <c r="K333" s="617">
        <f t="shared" si="25"/>
        <v>96.746468991534783</v>
      </c>
      <c r="L333" s="380"/>
      <c r="M333" s="647" t="s">
        <v>1412</v>
      </c>
      <c r="N333" s="348"/>
      <c r="O333" s="449">
        <v>16.100000000000001</v>
      </c>
      <c r="P333" s="106">
        <v>36650136</v>
      </c>
      <c r="Q333" s="617">
        <f t="shared" si="24"/>
        <v>99.004737298320123</v>
      </c>
      <c r="R333" s="435"/>
    </row>
    <row r="334" spans="1:18" ht="15">
      <c r="A334" s="668" t="s">
        <v>1419</v>
      </c>
      <c r="B334" s="348" t="s">
        <v>41</v>
      </c>
      <c r="C334" s="457">
        <v>16.55</v>
      </c>
      <c r="D334" s="406">
        <v>19439342</v>
      </c>
      <c r="E334" s="627">
        <f t="shared" si="23"/>
        <v>97.681945062095963</v>
      </c>
      <c r="F334" s="423"/>
      <c r="G334" s="645" t="s">
        <v>1429</v>
      </c>
      <c r="H334" s="559"/>
      <c r="I334" s="449" t="s">
        <v>501</v>
      </c>
      <c r="J334" s="106">
        <v>18880615</v>
      </c>
      <c r="K334" s="618">
        <f t="shared" si="25"/>
        <v>96.945688973855098</v>
      </c>
      <c r="L334" s="380"/>
      <c r="M334" s="662" t="s">
        <v>1419</v>
      </c>
      <c r="N334" s="348" t="s">
        <v>41</v>
      </c>
      <c r="O334" s="449">
        <v>20.61</v>
      </c>
      <c r="P334" s="106">
        <v>36704140</v>
      </c>
      <c r="Q334" s="617">
        <f t="shared" si="24"/>
        <v>99.150620845193146</v>
      </c>
      <c r="R334" s="435"/>
    </row>
    <row r="335" spans="1:18" ht="15">
      <c r="A335" s="669" t="s">
        <v>2045</v>
      </c>
      <c r="B335" s="631"/>
      <c r="C335" s="458">
        <v>1</v>
      </c>
      <c r="D335" s="406">
        <v>19483412</v>
      </c>
      <c r="E335" s="627">
        <f t="shared" si="23"/>
        <v>97.903395115234929</v>
      </c>
      <c r="F335" s="423"/>
      <c r="G335" s="645" t="s">
        <v>2049</v>
      </c>
      <c r="H335" s="496"/>
      <c r="I335" s="449">
        <v>5</v>
      </c>
      <c r="J335" s="106">
        <v>18965833</v>
      </c>
      <c r="K335" s="617">
        <f t="shared" si="25"/>
        <v>97.383255108378464</v>
      </c>
      <c r="L335" s="380"/>
      <c r="M335" s="645" t="s">
        <v>1429</v>
      </c>
      <c r="N335" s="352"/>
      <c r="O335" s="449">
        <v>95.2</v>
      </c>
      <c r="P335" s="98">
        <v>36738431</v>
      </c>
      <c r="Q335" s="617">
        <f t="shared" si="24"/>
        <v>99.243252737383031</v>
      </c>
      <c r="R335" s="435"/>
    </row>
    <row r="336" spans="1:18" ht="15">
      <c r="A336" s="670" t="s">
        <v>1416</v>
      </c>
      <c r="B336" s="744"/>
      <c r="C336" s="346">
        <v>1</v>
      </c>
      <c r="D336" s="406">
        <v>19493317</v>
      </c>
      <c r="E336" s="627">
        <f t="shared" si="23"/>
        <v>97.953167358855112</v>
      </c>
      <c r="F336" s="423"/>
      <c r="G336" s="612" t="s">
        <v>1420</v>
      </c>
      <c r="H336" s="496" t="s">
        <v>41</v>
      </c>
      <c r="I336" s="449">
        <v>5.12</v>
      </c>
      <c r="J336" s="106">
        <v>18973202</v>
      </c>
      <c r="K336" s="617">
        <f t="shared" si="25"/>
        <v>97.42109247660234</v>
      </c>
      <c r="L336" s="380"/>
      <c r="M336" s="89" t="s">
        <v>1416</v>
      </c>
      <c r="N336" s="635"/>
      <c r="O336" s="449">
        <v>1</v>
      </c>
      <c r="P336" s="106">
        <v>36804926</v>
      </c>
      <c r="Q336" s="617">
        <f t="shared" si="24"/>
        <v>99.42287881043913</v>
      </c>
      <c r="R336" s="435"/>
    </row>
    <row r="337" spans="1:18" ht="15">
      <c r="A337" s="669" t="s">
        <v>1412</v>
      </c>
      <c r="B337" s="823"/>
      <c r="C337" s="457">
        <v>2.64</v>
      </c>
      <c r="D337" s="406">
        <v>19495410</v>
      </c>
      <c r="E337" s="627">
        <f t="shared" si="23"/>
        <v>97.963684603266728</v>
      </c>
      <c r="F337" s="423"/>
      <c r="G337" s="666" t="s">
        <v>1169</v>
      </c>
      <c r="H337" s="350"/>
      <c r="I337" s="449">
        <v>6.26</v>
      </c>
      <c r="J337" s="106">
        <v>18973219</v>
      </c>
      <c r="K337" s="617">
        <f t="shared" si="25"/>
        <v>97.421179765957731</v>
      </c>
      <c r="L337" s="380"/>
      <c r="M337" s="1288" t="s">
        <v>2045</v>
      </c>
      <c r="N337" s="348"/>
      <c r="O337" s="449">
        <v>2</v>
      </c>
      <c r="P337" s="106">
        <v>36858152</v>
      </c>
      <c r="Q337" s="617">
        <f t="shared" si="24"/>
        <v>99.566660709295945</v>
      </c>
      <c r="R337" s="435"/>
    </row>
    <row r="338" spans="1:18" ht="15">
      <c r="A338" s="662" t="s">
        <v>1423</v>
      </c>
      <c r="B338" s="495"/>
      <c r="C338" s="1276">
        <v>1</v>
      </c>
      <c r="D338" s="1272">
        <v>19502172</v>
      </c>
      <c r="E338" s="627">
        <f t="shared" si="23"/>
        <v>97.997663392904258</v>
      </c>
      <c r="F338" s="423"/>
      <c r="G338" s="669" t="s">
        <v>2045</v>
      </c>
      <c r="H338" s="522"/>
      <c r="I338" s="1277">
        <v>1</v>
      </c>
      <c r="J338" s="1272">
        <v>18982656</v>
      </c>
      <c r="K338" s="617">
        <f t="shared" si="25"/>
        <v>97.469635627530366</v>
      </c>
      <c r="L338" s="380"/>
      <c r="M338" s="662" t="s">
        <v>1423</v>
      </c>
      <c r="N338" s="1275"/>
      <c r="O338" s="449">
        <v>5</v>
      </c>
      <c r="P338" s="1272">
        <v>36878113</v>
      </c>
      <c r="Q338" s="617">
        <f t="shared" si="24"/>
        <v>99.620582298051076</v>
      </c>
      <c r="R338" s="435"/>
    </row>
    <row r="339" spans="1:18" ht="15">
      <c r="A339" s="662" t="s">
        <v>1420</v>
      </c>
      <c r="B339" s="546" t="s">
        <v>41</v>
      </c>
      <c r="C339" s="457">
        <v>5.4</v>
      </c>
      <c r="D339" s="406">
        <v>19515558</v>
      </c>
      <c r="E339" s="627">
        <f t="shared" si="23"/>
        <v>98.064927527492827</v>
      </c>
      <c r="F339" s="423"/>
      <c r="G339" s="645" t="s">
        <v>1423</v>
      </c>
      <c r="H339" s="350"/>
      <c r="I339" s="561"/>
      <c r="J339" s="106">
        <v>19006450</v>
      </c>
      <c r="K339" s="617">
        <f t="shared" si="25"/>
        <v>97.591809917056622</v>
      </c>
      <c r="L339" s="380"/>
      <c r="M339" s="666" t="s">
        <v>1169</v>
      </c>
      <c r="N339" s="573"/>
      <c r="O339" s="448">
        <v>12.76</v>
      </c>
      <c r="P339" s="106">
        <v>36888771</v>
      </c>
      <c r="Q339" s="617">
        <f t="shared" si="24"/>
        <v>99.649373255064859</v>
      </c>
      <c r="R339" s="435"/>
    </row>
    <row r="340" spans="1:18" ht="15">
      <c r="A340" s="666" t="s">
        <v>1169</v>
      </c>
      <c r="B340" s="560"/>
      <c r="C340" s="458">
        <v>6.4690000000000003</v>
      </c>
      <c r="D340" s="406">
        <v>19515576</v>
      </c>
      <c r="E340" s="627">
        <f t="shared" si="23"/>
        <v>98.065017976799751</v>
      </c>
      <c r="F340" s="423"/>
      <c r="G340" s="645" t="s">
        <v>1456</v>
      </c>
      <c r="H340" s="348" t="s">
        <v>41</v>
      </c>
      <c r="I340" s="449">
        <v>3</v>
      </c>
      <c r="J340" s="106">
        <v>19010545</v>
      </c>
      <c r="K340" s="617">
        <f t="shared" si="25"/>
        <v>97.612836382367632</v>
      </c>
      <c r="L340" s="380"/>
      <c r="M340" s="612" t="s">
        <v>1420</v>
      </c>
      <c r="N340" s="348" t="s">
        <v>41</v>
      </c>
      <c r="O340" s="449">
        <v>10</v>
      </c>
      <c r="P340" s="106">
        <v>36889639</v>
      </c>
      <c r="Q340" s="617">
        <f t="shared" si="24"/>
        <v>99.651718024316878</v>
      </c>
      <c r="R340" s="435"/>
    </row>
    <row r="341" spans="1:18" ht="15">
      <c r="A341" s="662" t="s">
        <v>2049</v>
      </c>
      <c r="B341" s="562"/>
      <c r="C341" s="457">
        <v>4</v>
      </c>
      <c r="D341" s="406">
        <v>19515706</v>
      </c>
      <c r="E341" s="627">
        <f t="shared" si="23"/>
        <v>98.065671221794261</v>
      </c>
      <c r="F341" s="423"/>
      <c r="G341" s="612" t="s">
        <v>1428</v>
      </c>
      <c r="H341" s="461"/>
      <c r="I341" s="561"/>
      <c r="J341" s="106">
        <v>19043441</v>
      </c>
      <c r="K341" s="617">
        <f t="shared" si="25"/>
        <v>97.78174641969872</v>
      </c>
      <c r="L341" s="380"/>
      <c r="M341" s="645" t="s">
        <v>1456</v>
      </c>
      <c r="N341" s="496" t="s">
        <v>41</v>
      </c>
      <c r="O341" s="449">
        <v>6</v>
      </c>
      <c r="P341" s="106">
        <v>36908005</v>
      </c>
      <c r="Q341" s="617">
        <f t="shared" si="24"/>
        <v>99.701330964504081</v>
      </c>
      <c r="R341" s="435"/>
    </row>
    <row r="342" spans="1:18" ht="15">
      <c r="A342" s="662" t="s">
        <v>1428</v>
      </c>
      <c r="B342" s="560"/>
      <c r="C342" s="458">
        <v>9</v>
      </c>
      <c r="D342" s="406">
        <v>19543055</v>
      </c>
      <c r="E342" s="627">
        <f t="shared" si="23"/>
        <v>98.203098893754728</v>
      </c>
      <c r="F342" s="423"/>
      <c r="G342" s="89" t="s">
        <v>1416</v>
      </c>
      <c r="H342" s="456"/>
      <c r="I342" s="563"/>
      <c r="J342" s="98">
        <v>19060839</v>
      </c>
      <c r="K342" s="616">
        <f t="shared" si="25"/>
        <v>97.8710793729297</v>
      </c>
      <c r="L342" s="380"/>
      <c r="M342" s="612" t="s">
        <v>1428</v>
      </c>
      <c r="N342" s="459" t="s">
        <v>41</v>
      </c>
      <c r="O342" s="449">
        <v>23</v>
      </c>
      <c r="P342" s="106">
        <v>36948003</v>
      </c>
      <c r="Q342" s="617">
        <f t="shared" si="24"/>
        <v>99.809379444391254</v>
      </c>
      <c r="R342" s="435"/>
    </row>
    <row r="343" spans="1:18" ht="15">
      <c r="A343" s="662" t="s">
        <v>1456</v>
      </c>
      <c r="B343" s="546" t="s">
        <v>41</v>
      </c>
      <c r="C343" s="346">
        <v>3</v>
      </c>
      <c r="D343" s="412">
        <v>19550163</v>
      </c>
      <c r="E343" s="627">
        <f t="shared" si="23"/>
        <v>98.238816320069944</v>
      </c>
      <c r="F343" s="556"/>
      <c r="G343" s="647" t="s">
        <v>1412</v>
      </c>
      <c r="H343" s="517"/>
      <c r="I343" s="449">
        <v>5.46</v>
      </c>
      <c r="J343" s="106">
        <v>19105333</v>
      </c>
      <c r="K343" s="617">
        <f t="shared" si="25"/>
        <v>98.099541289302806</v>
      </c>
      <c r="L343" s="557"/>
      <c r="M343" s="653" t="s">
        <v>1427</v>
      </c>
      <c r="N343" s="355" t="s">
        <v>41</v>
      </c>
      <c r="O343" s="449">
        <v>1</v>
      </c>
      <c r="P343" s="98">
        <v>36949658</v>
      </c>
      <c r="Q343" s="617">
        <f t="shared" si="24"/>
        <v>99.813850173783052</v>
      </c>
      <c r="R343" s="435"/>
    </row>
    <row r="344" spans="1:18" ht="15">
      <c r="A344" s="673" t="s">
        <v>1427</v>
      </c>
      <c r="B344" s="355" t="s">
        <v>41</v>
      </c>
      <c r="C344" s="457">
        <v>4</v>
      </c>
      <c r="D344" s="406">
        <v>19615184</v>
      </c>
      <c r="E344" s="627">
        <f t="shared" si="23"/>
        <v>98.565544341516485</v>
      </c>
      <c r="F344" s="423"/>
      <c r="G344" s="653" t="s">
        <v>1427</v>
      </c>
      <c r="H344" s="355" t="s">
        <v>41</v>
      </c>
      <c r="I344" s="449">
        <v>1</v>
      </c>
      <c r="J344" s="106">
        <v>19106376</v>
      </c>
      <c r="K344" s="617">
        <f t="shared" si="25"/>
        <v>98.10489674798886</v>
      </c>
      <c r="L344" s="380"/>
      <c r="M344" s="337" t="s">
        <v>600</v>
      </c>
      <c r="N344" s="518"/>
      <c r="O344" s="448"/>
      <c r="P344" s="106">
        <v>37018568</v>
      </c>
      <c r="Q344" s="617">
        <f t="shared" si="24"/>
        <v>100</v>
      </c>
      <c r="R344" s="435"/>
    </row>
    <row r="345" spans="1:18" ht="15">
      <c r="A345" s="684" t="s">
        <v>1215</v>
      </c>
      <c r="B345" s="546"/>
      <c r="C345" s="457">
        <v>31.6</v>
      </c>
      <c r="D345" s="406">
        <v>19603653</v>
      </c>
      <c r="E345" s="627">
        <f t="shared" si="23"/>
        <v>98.50760151050342</v>
      </c>
      <c r="F345" s="423"/>
      <c r="G345" s="388" t="s">
        <v>600</v>
      </c>
      <c r="H345" s="456"/>
      <c r="I345" s="561"/>
      <c r="J345" s="106">
        <v>19475456</v>
      </c>
      <c r="K345" s="617">
        <f t="shared" si="25"/>
        <v>100</v>
      </c>
      <c r="L345" s="380"/>
      <c r="M345" s="645" t="s">
        <v>2049</v>
      </c>
      <c r="N345" s="454"/>
      <c r="O345" s="449">
        <v>1</v>
      </c>
      <c r="P345" s="106">
        <v>37018716</v>
      </c>
      <c r="Q345" s="617">
        <f t="shared" si="24"/>
        <v>100.00039979936555</v>
      </c>
      <c r="R345" s="435"/>
    </row>
    <row r="346" spans="1:18" ht="15">
      <c r="A346" s="683" t="s">
        <v>600</v>
      </c>
      <c r="B346" s="564"/>
      <c r="C346" s="457"/>
      <c r="D346" s="406">
        <v>19900650</v>
      </c>
      <c r="E346" s="627">
        <f t="shared" si="23"/>
        <v>100</v>
      </c>
      <c r="F346" s="423"/>
      <c r="G346" s="388"/>
      <c r="H346" s="456"/>
      <c r="I346" s="561"/>
      <c r="J346" s="106"/>
      <c r="K346" s="447"/>
      <c r="L346" s="380"/>
      <c r="M346" s="413" t="s">
        <v>1215</v>
      </c>
      <c r="N346" s="348"/>
      <c r="O346" s="535">
        <v>62</v>
      </c>
      <c r="P346" s="414">
        <v>37237551</v>
      </c>
      <c r="Q346" s="617">
        <f t="shared" si="24"/>
        <v>100.59154908423254</v>
      </c>
      <c r="R346" s="435"/>
    </row>
    <row r="347" spans="1:18" s="5" customFormat="1" ht="15">
      <c r="A347" s="273"/>
      <c r="B347" s="464"/>
      <c r="C347" s="565"/>
      <c r="D347" s="415"/>
      <c r="E347" s="566"/>
      <c r="F347" s="423"/>
      <c r="G347" s="273"/>
      <c r="H347" s="464"/>
      <c r="I347" s="567"/>
      <c r="J347" s="415"/>
      <c r="K347" s="566"/>
      <c r="L347" s="380"/>
      <c r="M347" s="416"/>
      <c r="N347" s="488"/>
      <c r="O347" s="568"/>
      <c r="P347" s="417"/>
      <c r="Q347" s="569"/>
      <c r="R347" s="556"/>
    </row>
    <row r="348" spans="1:18" s="5" customFormat="1" ht="15">
      <c r="A348" s="805"/>
      <c r="B348" s="464"/>
      <c r="C348" s="565"/>
      <c r="D348" s="415"/>
      <c r="E348" s="566"/>
      <c r="F348" s="423"/>
      <c r="G348" s="805"/>
      <c r="H348" s="464"/>
      <c r="I348" s="567"/>
      <c r="J348" s="415"/>
      <c r="K348" s="566"/>
      <c r="L348" s="380"/>
      <c r="M348" s="805"/>
      <c r="N348" s="464"/>
      <c r="O348" s="565"/>
      <c r="P348" s="415"/>
      <c r="Q348" s="474"/>
      <c r="R348" s="556"/>
    </row>
    <row r="349" spans="1:18" s="5" customFormat="1" ht="15">
      <c r="A349" s="509" t="s">
        <v>718</v>
      </c>
      <c r="B349" s="464"/>
      <c r="C349" s="565"/>
      <c r="D349" s="415"/>
      <c r="E349" s="566"/>
      <c r="F349" s="423"/>
      <c r="G349" s="509" t="s">
        <v>741</v>
      </c>
      <c r="H349" s="464"/>
      <c r="I349" s="565"/>
      <c r="J349" s="415"/>
      <c r="K349" s="566"/>
      <c r="L349" s="380"/>
      <c r="M349" s="509"/>
      <c r="N349" s="464"/>
      <c r="O349" s="565"/>
      <c r="P349" s="415"/>
      <c r="Q349" s="566"/>
      <c r="R349" s="556"/>
    </row>
    <row r="350" spans="1:18" s="5" customFormat="1" ht="15">
      <c r="A350" s="366" t="s">
        <v>712</v>
      </c>
      <c r="B350" s="440"/>
      <c r="C350" s="440"/>
      <c r="D350" s="3168" t="s">
        <v>715</v>
      </c>
      <c r="E350" s="3168"/>
      <c r="F350" s="423"/>
      <c r="G350" s="366" t="s">
        <v>742</v>
      </c>
      <c r="H350" s="440"/>
      <c r="I350" s="543"/>
      <c r="J350" s="3168" t="s">
        <v>743</v>
      </c>
      <c r="K350" s="3168"/>
      <c r="L350" s="380"/>
      <c r="M350" s="418"/>
      <c r="N350" s="418"/>
      <c r="O350" s="418"/>
      <c r="P350" s="3172"/>
      <c r="Q350" s="3172"/>
      <c r="R350" s="556"/>
    </row>
    <row r="351" spans="1:18" s="5" customFormat="1" ht="15">
      <c r="A351" s="1904" t="s">
        <v>579</v>
      </c>
      <c r="B351" s="570"/>
      <c r="C351" s="571">
        <v>85.734999999999999</v>
      </c>
      <c r="D351" s="419">
        <v>115366235</v>
      </c>
      <c r="E351" s="617">
        <f t="shared" ref="E351:E379" si="26">(D351*100/131430398)</f>
        <v>87.777437149661523</v>
      </c>
      <c r="F351" s="423"/>
      <c r="G351" s="652" t="s">
        <v>1426</v>
      </c>
      <c r="H351" s="572"/>
      <c r="I351" s="442">
        <v>31.08</v>
      </c>
      <c r="J351" s="330">
        <v>16501679</v>
      </c>
      <c r="K351" s="617">
        <f>(J351*100/17277593)</f>
        <v>95.509131393475926</v>
      </c>
      <c r="L351" s="380"/>
      <c r="M351" s="54"/>
      <c r="N351" s="54"/>
      <c r="O351" s="533"/>
      <c r="P351" s="278"/>
      <c r="Q351" s="474"/>
      <c r="R351" s="556"/>
    </row>
    <row r="352" spans="1:18" s="5" customFormat="1" ht="15">
      <c r="A352" s="1903" t="s">
        <v>2010</v>
      </c>
      <c r="B352" s="1892"/>
      <c r="C352" s="449">
        <v>121</v>
      </c>
      <c r="D352" s="1893">
        <v>115477276</v>
      </c>
      <c r="E352" s="617">
        <f t="shared" si="26"/>
        <v>87.861923692873546</v>
      </c>
      <c r="F352" s="423"/>
      <c r="G352" s="1932" t="s">
        <v>1430</v>
      </c>
      <c r="H352" s="465" t="s">
        <v>41</v>
      </c>
      <c r="I352" s="449">
        <v>1988.92</v>
      </c>
      <c r="J352" s="98">
        <v>16528616</v>
      </c>
      <c r="K352" s="617">
        <f t="shared" ref="K352:K375" si="27">(J352*100/17277593)</f>
        <v>95.665038527067978</v>
      </c>
      <c r="L352" s="380"/>
      <c r="M352" s="54"/>
      <c r="N352" s="54"/>
      <c r="O352" s="533"/>
      <c r="P352" s="278"/>
      <c r="Q352" s="474"/>
      <c r="R352" s="556"/>
    </row>
    <row r="353" spans="1:18" s="5" customFormat="1" ht="15">
      <c r="A353" s="741" t="s">
        <v>930</v>
      </c>
      <c r="B353" s="573"/>
      <c r="C353" s="448">
        <v>101.74</v>
      </c>
      <c r="D353" s="106">
        <v>116431200</v>
      </c>
      <c r="E353" s="617">
        <f t="shared" si="26"/>
        <v>88.587725344938846</v>
      </c>
      <c r="F353" s="423"/>
      <c r="G353" s="647" t="s">
        <v>2047</v>
      </c>
      <c r="H353" s="348" t="s">
        <v>41</v>
      </c>
      <c r="I353" s="449">
        <v>2126.63</v>
      </c>
      <c r="J353" s="334">
        <v>16543149</v>
      </c>
      <c r="K353" s="617">
        <f t="shared" si="27"/>
        <v>95.749153253002319</v>
      </c>
      <c r="L353" s="380"/>
      <c r="M353" s="264"/>
      <c r="N353" s="464"/>
      <c r="O353" s="533"/>
      <c r="P353" s="53"/>
      <c r="Q353" s="474"/>
      <c r="R353" s="556"/>
    </row>
    <row r="354" spans="1:18" s="5" customFormat="1" ht="15">
      <c r="A354" s="686" t="s">
        <v>1215</v>
      </c>
      <c r="B354" s="456"/>
      <c r="C354" s="449">
        <v>55.03</v>
      </c>
      <c r="D354" s="106">
        <v>120000797</v>
      </c>
      <c r="E354" s="617">
        <f t="shared" si="26"/>
        <v>91.303685316390812</v>
      </c>
      <c r="F354" s="423"/>
      <c r="G354" s="551" t="s">
        <v>927</v>
      </c>
      <c r="H354" s="354" t="s">
        <v>41</v>
      </c>
      <c r="I354" s="449">
        <v>220.55</v>
      </c>
      <c r="J354" s="106">
        <v>16552555</v>
      </c>
      <c r="K354" s="617">
        <f t="shared" si="27"/>
        <v>95.803593706600225</v>
      </c>
      <c r="L354" s="380"/>
      <c r="M354" s="264"/>
      <c r="N354" s="464"/>
      <c r="O354" s="533"/>
      <c r="P354" s="53"/>
      <c r="Q354" s="474"/>
      <c r="R354" s="556"/>
    </row>
    <row r="355" spans="1:18" s="5" customFormat="1" ht="15">
      <c r="A355" s="1935" t="s">
        <v>2047</v>
      </c>
      <c r="B355" s="465" t="s">
        <v>41</v>
      </c>
      <c r="C355" s="449">
        <v>14381.18</v>
      </c>
      <c r="D355" s="106">
        <v>127809574</v>
      </c>
      <c r="E355" s="617">
        <f t="shared" si="26"/>
        <v>97.245063505019587</v>
      </c>
      <c r="F355" s="423"/>
      <c r="G355" s="741" t="s">
        <v>1418</v>
      </c>
      <c r="H355" s="497" t="s">
        <v>41</v>
      </c>
      <c r="I355" s="449">
        <v>31.03</v>
      </c>
      <c r="J355" s="106">
        <v>16578638</v>
      </c>
      <c r="K355" s="617">
        <f t="shared" si="27"/>
        <v>95.954558022057824</v>
      </c>
      <c r="L355" s="264"/>
      <c r="M355" s="264"/>
      <c r="N355" s="464"/>
      <c r="O355" s="533"/>
      <c r="P355" s="53"/>
      <c r="Q355" s="474"/>
      <c r="R355" s="556"/>
    </row>
    <row r="356" spans="1:18" s="5" customFormat="1" ht="15">
      <c r="A356" s="1932" t="s">
        <v>1430</v>
      </c>
      <c r="B356" s="768" t="s">
        <v>41</v>
      </c>
      <c r="C356" s="457">
        <v>14379.29</v>
      </c>
      <c r="D356" s="1893">
        <v>127876404</v>
      </c>
      <c r="E356" s="617">
        <f t="shared" si="26"/>
        <v>97.295911711383539</v>
      </c>
      <c r="F356" s="423"/>
      <c r="G356" s="1946" t="s">
        <v>122</v>
      </c>
      <c r="H356" s="811"/>
      <c r="I356" s="457">
        <v>491.4</v>
      </c>
      <c r="J356" s="1893">
        <v>16593272</v>
      </c>
      <c r="K356" s="1927">
        <f t="shared" si="27"/>
        <v>96.039257320160274</v>
      </c>
      <c r="L356" s="264"/>
      <c r="M356" s="264"/>
      <c r="N356" s="464"/>
      <c r="O356" s="533"/>
      <c r="P356" s="53"/>
      <c r="Q356" s="474"/>
      <c r="R356" s="556"/>
    </row>
    <row r="357" spans="1:18" s="5" customFormat="1" ht="15">
      <c r="A357" s="741" t="s">
        <v>927</v>
      </c>
      <c r="B357" s="348" t="s">
        <v>41</v>
      </c>
      <c r="C357" s="448">
        <v>1681.7</v>
      </c>
      <c r="D357" s="106">
        <v>128212446</v>
      </c>
      <c r="E357" s="617">
        <f t="shared" si="26"/>
        <v>97.551592288414128</v>
      </c>
      <c r="F357" s="556"/>
      <c r="G357" s="651" t="s">
        <v>1425</v>
      </c>
      <c r="H357" s="348"/>
      <c r="I357" s="457">
        <v>159.80000000000001</v>
      </c>
      <c r="J357" s="370">
        <v>16611118</v>
      </c>
      <c r="K357" s="617">
        <f t="shared" si="27"/>
        <v>96.142547170777775</v>
      </c>
      <c r="L357" s="380"/>
      <c r="M357" s="264"/>
      <c r="N357" s="432"/>
      <c r="O357" s="533"/>
      <c r="P357" s="53"/>
      <c r="Q357" s="474"/>
      <c r="R357" s="556"/>
    </row>
    <row r="358" spans="1:18" s="5" customFormat="1" ht="15">
      <c r="A358" s="662" t="s">
        <v>1426</v>
      </c>
      <c r="B358" s="462"/>
      <c r="C358" s="457">
        <v>218.12</v>
      </c>
      <c r="D358" s="370">
        <v>128515426</v>
      </c>
      <c r="E358" s="617">
        <f t="shared" si="26"/>
        <v>97.78211734548654</v>
      </c>
      <c r="F358" s="556"/>
      <c r="G358" s="611" t="s">
        <v>557</v>
      </c>
      <c r="H358" s="347"/>
      <c r="I358" s="457">
        <v>9.968</v>
      </c>
      <c r="J358" s="335">
        <v>16685151</v>
      </c>
      <c r="K358" s="619">
        <f t="shared" si="27"/>
        <v>96.571038570013769</v>
      </c>
      <c r="L358" s="380"/>
      <c r="M358" s="264"/>
      <c r="N358" s="432"/>
      <c r="O358" s="533"/>
      <c r="P358" s="53"/>
      <c r="Q358" s="474"/>
      <c r="R358" s="556"/>
    </row>
    <row r="359" spans="1:18" s="5" customFormat="1" ht="15">
      <c r="A359" s="668" t="s">
        <v>122</v>
      </c>
      <c r="B359" s="462"/>
      <c r="C359" s="457">
        <v>3856.1</v>
      </c>
      <c r="D359" s="335">
        <v>129015212</v>
      </c>
      <c r="E359" s="619">
        <f t="shared" si="26"/>
        <v>98.162384017128218</v>
      </c>
      <c r="F359" s="556"/>
      <c r="G359" s="1896" t="s">
        <v>700</v>
      </c>
      <c r="H359" s="360" t="s">
        <v>41</v>
      </c>
      <c r="I359" s="449">
        <v>88.4</v>
      </c>
      <c r="J359" s="334">
        <v>16703150</v>
      </c>
      <c r="K359" s="617">
        <f t="shared" si="27"/>
        <v>96.675213960648335</v>
      </c>
      <c r="L359" s="380"/>
      <c r="M359" s="264"/>
      <c r="N359" s="432"/>
      <c r="O359" s="533"/>
      <c r="P359" s="53"/>
      <c r="Q359" s="474"/>
      <c r="R359" s="556"/>
    </row>
    <row r="360" spans="1:18" s="5" customFormat="1" ht="15">
      <c r="A360" s="662" t="s">
        <v>1425</v>
      </c>
      <c r="B360" s="350"/>
      <c r="C360" s="448">
        <v>1164.5899999999999</v>
      </c>
      <c r="D360" s="334">
        <v>129210060</v>
      </c>
      <c r="E360" s="617">
        <f t="shared" si="26"/>
        <v>98.310635869793231</v>
      </c>
      <c r="F360" s="556"/>
      <c r="G360" s="1895" t="s">
        <v>694</v>
      </c>
      <c r="H360" s="350"/>
      <c r="I360" s="448">
        <v>19.260000000000002</v>
      </c>
      <c r="J360" s="106">
        <v>16703833</v>
      </c>
      <c r="K360" s="617">
        <f t="shared" si="27"/>
        <v>96.67916705758725</v>
      </c>
      <c r="L360" s="380"/>
      <c r="M360" s="264"/>
      <c r="N360" s="432"/>
      <c r="O360" s="533"/>
      <c r="P360" s="53"/>
      <c r="Q360" s="474"/>
      <c r="R360" s="556"/>
    </row>
    <row r="361" spans="1:18" s="5" customFormat="1" ht="15">
      <c r="A361" s="662" t="s">
        <v>1424</v>
      </c>
      <c r="B361" s="471"/>
      <c r="C361" s="448">
        <v>71.597999999999999</v>
      </c>
      <c r="D361" s="106">
        <v>129520576</v>
      </c>
      <c r="E361" s="617">
        <f t="shared" si="26"/>
        <v>98.546894760221306</v>
      </c>
      <c r="F361" s="423"/>
      <c r="G361" s="645" t="s">
        <v>1424</v>
      </c>
      <c r="H361" s="575" t="s">
        <v>41</v>
      </c>
      <c r="I361" s="449">
        <v>7.53</v>
      </c>
      <c r="J361" s="334">
        <v>16714576</v>
      </c>
      <c r="K361" s="618">
        <f t="shared" si="27"/>
        <v>96.741345857608749</v>
      </c>
      <c r="L361" s="380"/>
      <c r="M361" s="54"/>
      <c r="N361" s="273"/>
      <c r="O361" s="533"/>
      <c r="P361" s="53"/>
      <c r="Q361" s="474"/>
      <c r="R361" s="556"/>
    </row>
    <row r="362" spans="1:18" s="5" customFormat="1" ht="15">
      <c r="A362" s="746" t="s">
        <v>694</v>
      </c>
      <c r="B362" s="574"/>
      <c r="C362" s="448">
        <v>179</v>
      </c>
      <c r="D362" s="334">
        <v>129559539</v>
      </c>
      <c r="E362" s="618">
        <f t="shared" si="26"/>
        <v>98.576540109084959</v>
      </c>
      <c r="F362" s="423"/>
      <c r="G362" s="645" t="s">
        <v>1429</v>
      </c>
      <c r="H362" s="638"/>
      <c r="I362" s="449">
        <v>31.7</v>
      </c>
      <c r="J362" s="106">
        <v>16780057</v>
      </c>
      <c r="K362" s="617">
        <f t="shared" si="27"/>
        <v>97.120339621381291</v>
      </c>
      <c r="L362" s="380"/>
      <c r="M362" s="54"/>
      <c r="N362" s="273"/>
      <c r="O362" s="533"/>
      <c r="P362" s="53"/>
      <c r="Q362" s="474"/>
      <c r="R362" s="556"/>
    </row>
    <row r="363" spans="1:18" s="5" customFormat="1" ht="15">
      <c r="A363" s="771" t="s">
        <v>700</v>
      </c>
      <c r="B363" s="360" t="s">
        <v>41</v>
      </c>
      <c r="C363" s="448">
        <v>85.85</v>
      </c>
      <c r="D363" s="334">
        <v>129608624</v>
      </c>
      <c r="E363" s="617">
        <f t="shared" si="26"/>
        <v>98.613886872654831</v>
      </c>
      <c r="F363" s="423"/>
      <c r="G363" s="647" t="s">
        <v>1412</v>
      </c>
      <c r="H363" s="496"/>
      <c r="I363" s="449">
        <v>4.7</v>
      </c>
      <c r="J363" s="106">
        <v>16781527</v>
      </c>
      <c r="K363" s="617">
        <f t="shared" si="27"/>
        <v>97.128847750956979</v>
      </c>
      <c r="L363" s="380"/>
      <c r="M363" s="264"/>
      <c r="N363" s="464"/>
      <c r="O363" s="533"/>
      <c r="P363" s="53"/>
      <c r="Q363" s="474"/>
      <c r="R363" s="556"/>
    </row>
    <row r="364" spans="1:18" s="5" customFormat="1" ht="15">
      <c r="A364" s="670" t="s">
        <v>557</v>
      </c>
      <c r="B364" s="637"/>
      <c r="C364" s="449">
        <v>78.73</v>
      </c>
      <c r="D364" s="334">
        <v>129617273</v>
      </c>
      <c r="E364" s="617">
        <f t="shared" si="26"/>
        <v>98.620467542067402</v>
      </c>
      <c r="F364" s="423"/>
      <c r="G364" s="662" t="s">
        <v>1419</v>
      </c>
      <c r="H364" s="348" t="s">
        <v>41</v>
      </c>
      <c r="I364" s="449">
        <v>9.8699999999999992</v>
      </c>
      <c r="J364" s="336">
        <v>16783792</v>
      </c>
      <c r="K364" s="617">
        <f t="shared" si="27"/>
        <v>97.14195721591544</v>
      </c>
      <c r="L364" s="380"/>
      <c r="M364" s="264"/>
      <c r="N364" s="264"/>
      <c r="O364" s="539"/>
      <c r="P364" s="53"/>
      <c r="Q364" s="474"/>
      <c r="R364" s="556"/>
    </row>
    <row r="365" spans="1:18" s="5" customFormat="1" ht="15">
      <c r="A365" s="669" t="s">
        <v>1412</v>
      </c>
      <c r="B365" s="577"/>
      <c r="C365" s="448">
        <v>31.4</v>
      </c>
      <c r="D365" s="334">
        <v>129744885</v>
      </c>
      <c r="E365" s="617">
        <f t="shared" si="26"/>
        <v>98.71756227961815</v>
      </c>
      <c r="F365" s="423"/>
      <c r="G365" s="1288" t="s">
        <v>2045</v>
      </c>
      <c r="H365" s="348"/>
      <c r="I365" s="449">
        <v>1</v>
      </c>
      <c r="J365" s="106">
        <v>16874822</v>
      </c>
      <c r="K365" s="617">
        <f t="shared" si="27"/>
        <v>97.668824586850732</v>
      </c>
      <c r="L365" s="380"/>
      <c r="M365" s="54"/>
      <c r="N365" s="576"/>
      <c r="O365" s="533"/>
      <c r="P365" s="53"/>
      <c r="Q365" s="474"/>
      <c r="R365" s="556"/>
    </row>
    <row r="366" spans="1:18" s="5" customFormat="1" ht="15">
      <c r="A366" s="668" t="s">
        <v>1419</v>
      </c>
      <c r="B366" s="348" t="s">
        <v>41</v>
      </c>
      <c r="C366" s="448">
        <v>87.42</v>
      </c>
      <c r="D366" s="334">
        <v>129873612</v>
      </c>
      <c r="E366" s="617">
        <f t="shared" si="26"/>
        <v>98.815505374943783</v>
      </c>
      <c r="F366" s="423"/>
      <c r="G366" s="645" t="s">
        <v>1423</v>
      </c>
      <c r="H366" s="453"/>
      <c r="I366" s="448">
        <v>1</v>
      </c>
      <c r="J366" s="98">
        <v>16877426</v>
      </c>
      <c r="K366" s="617">
        <f t="shared" si="27"/>
        <v>97.683896130670519</v>
      </c>
      <c r="L366" s="380"/>
      <c r="M366" s="403"/>
      <c r="N366" s="403"/>
      <c r="O366" s="533"/>
      <c r="P366" s="53"/>
      <c r="Q366" s="474"/>
      <c r="R366" s="556"/>
    </row>
    <row r="367" spans="1:18" s="5" customFormat="1" ht="15">
      <c r="A367" s="741" t="s">
        <v>1418</v>
      </c>
      <c r="B367" s="354" t="s">
        <v>41</v>
      </c>
      <c r="C367" s="448">
        <v>115.13</v>
      </c>
      <c r="D367" s="334">
        <v>130043880</v>
      </c>
      <c r="E367" s="617">
        <f t="shared" si="26"/>
        <v>98.945055313611689</v>
      </c>
      <c r="F367" s="423"/>
      <c r="G367" s="645" t="s">
        <v>2049</v>
      </c>
      <c r="H367" s="559"/>
      <c r="I367" s="449">
        <v>3</v>
      </c>
      <c r="J367" s="106">
        <v>16896558</v>
      </c>
      <c r="K367" s="617">
        <f t="shared" si="27"/>
        <v>97.794629147705933</v>
      </c>
      <c r="L367" s="380"/>
      <c r="M367" s="264"/>
      <c r="N367" s="464"/>
      <c r="O367" s="533"/>
      <c r="P367" s="267"/>
      <c r="Q367" s="474"/>
      <c r="R367" s="556"/>
    </row>
    <row r="368" spans="1:18" s="5" customFormat="1" ht="15">
      <c r="A368" s="662" t="s">
        <v>1429</v>
      </c>
      <c r="B368" s="579"/>
      <c r="C368" s="449">
        <v>257.89999999999998</v>
      </c>
      <c r="D368" s="334">
        <v>130496371</v>
      </c>
      <c r="E368" s="617">
        <f t="shared" si="26"/>
        <v>99.289337159277267</v>
      </c>
      <c r="F368" s="423"/>
      <c r="G368" s="612" t="s">
        <v>1456</v>
      </c>
      <c r="H368" s="496" t="s">
        <v>41</v>
      </c>
      <c r="I368" s="449">
        <v>3</v>
      </c>
      <c r="J368" s="106">
        <v>16901467</v>
      </c>
      <c r="K368" s="617">
        <f t="shared" si="27"/>
        <v>97.823041670214138</v>
      </c>
      <c r="L368" s="380"/>
      <c r="M368" s="264"/>
      <c r="N368" s="264"/>
      <c r="O368" s="539"/>
      <c r="P368" s="53"/>
      <c r="Q368" s="474"/>
      <c r="R368" s="556"/>
    </row>
    <row r="369" spans="1:18" s="5" customFormat="1" ht="15">
      <c r="A369" s="669" t="s">
        <v>2045</v>
      </c>
      <c r="B369" s="817"/>
      <c r="C369" s="448">
        <v>18</v>
      </c>
      <c r="D369" s="334">
        <v>130603496</v>
      </c>
      <c r="E369" s="617">
        <f t="shared" si="26"/>
        <v>99.370844178680798</v>
      </c>
      <c r="F369" s="423"/>
      <c r="G369" s="391" t="s">
        <v>1215</v>
      </c>
      <c r="H369" s="348"/>
      <c r="I369" s="449">
        <v>25</v>
      </c>
      <c r="J369" s="106">
        <v>16904624</v>
      </c>
      <c r="K369" s="617">
        <f t="shared" si="27"/>
        <v>97.841313891350495</v>
      </c>
      <c r="L369" s="380"/>
      <c r="M369" s="54"/>
      <c r="N369" s="403"/>
      <c r="O369" s="533"/>
      <c r="P369" s="53"/>
      <c r="Q369" s="474"/>
      <c r="R369" s="556"/>
    </row>
    <row r="370" spans="1:18" s="5" customFormat="1" ht="15">
      <c r="A370" s="662" t="s">
        <v>1456</v>
      </c>
      <c r="B370" s="577" t="s">
        <v>41</v>
      </c>
      <c r="C370" s="449">
        <v>30</v>
      </c>
      <c r="D370" s="336">
        <v>130715460</v>
      </c>
      <c r="E370" s="617">
        <f t="shared" si="26"/>
        <v>99.456032994741449</v>
      </c>
      <c r="F370" s="423"/>
      <c r="G370" s="645" t="s">
        <v>1428</v>
      </c>
      <c r="H370" s="722"/>
      <c r="I370" s="448">
        <v>11</v>
      </c>
      <c r="J370" s="106">
        <v>16909328</v>
      </c>
      <c r="K370" s="617">
        <f t="shared" si="27"/>
        <v>97.868539905992691</v>
      </c>
      <c r="L370" s="380"/>
      <c r="M370" s="54"/>
      <c r="N370" s="464"/>
      <c r="O370" s="533"/>
      <c r="P370" s="53"/>
      <c r="Q370" s="474"/>
      <c r="R370" s="556"/>
    </row>
    <row r="371" spans="1:18" s="5" customFormat="1" ht="15">
      <c r="A371" s="1894" t="s">
        <v>1169</v>
      </c>
      <c r="B371" s="519"/>
      <c r="C371" s="448">
        <v>43.9</v>
      </c>
      <c r="D371" s="334">
        <v>130747250</v>
      </c>
      <c r="E371" s="617">
        <f t="shared" si="26"/>
        <v>99.48022070206315</v>
      </c>
      <c r="F371" s="423"/>
      <c r="G371" s="715" t="s">
        <v>1427</v>
      </c>
      <c r="H371" s="348" t="s">
        <v>41</v>
      </c>
      <c r="I371" s="449">
        <v>1</v>
      </c>
      <c r="J371" s="106">
        <v>16926033</v>
      </c>
      <c r="K371" s="617">
        <f t="shared" si="27"/>
        <v>97.965225827463357</v>
      </c>
      <c r="L371" s="380"/>
      <c r="M371" s="54"/>
      <c r="N371" s="464"/>
      <c r="O371" s="533"/>
      <c r="P371" s="53"/>
      <c r="Q371" s="474"/>
      <c r="R371" s="556"/>
    </row>
    <row r="372" spans="1:18" s="5" customFormat="1" ht="15">
      <c r="A372" s="676" t="s">
        <v>1416</v>
      </c>
      <c r="B372" s="495"/>
      <c r="C372" s="448">
        <v>3</v>
      </c>
      <c r="D372" s="106">
        <v>130816020</v>
      </c>
      <c r="E372" s="617">
        <f t="shared" si="26"/>
        <v>99.532544974869509</v>
      </c>
      <c r="F372" s="423"/>
      <c r="G372" s="662" t="s">
        <v>1420</v>
      </c>
      <c r="H372" s="348" t="s">
        <v>41</v>
      </c>
      <c r="I372" s="449">
        <v>4.8499999999999996</v>
      </c>
      <c r="J372" s="106">
        <v>16928151</v>
      </c>
      <c r="K372" s="617">
        <f t="shared" si="27"/>
        <v>97.977484479464238</v>
      </c>
      <c r="L372" s="380"/>
      <c r="M372" s="264"/>
      <c r="N372" s="264"/>
      <c r="O372" s="539"/>
      <c r="P372" s="53"/>
      <c r="Q372" s="474"/>
      <c r="R372" s="556"/>
    </row>
    <row r="373" spans="1:18" s="5" customFormat="1" ht="15">
      <c r="A373" s="662" t="s">
        <v>1420</v>
      </c>
      <c r="B373" s="496" t="s">
        <v>41</v>
      </c>
      <c r="C373" s="449">
        <v>37</v>
      </c>
      <c r="D373" s="106">
        <v>130844157</v>
      </c>
      <c r="E373" s="617">
        <f t="shared" si="26"/>
        <v>99.553953264297348</v>
      </c>
      <c r="F373" s="423"/>
      <c r="G373" s="741" t="s">
        <v>1169</v>
      </c>
      <c r="H373" s="1275"/>
      <c r="I373" s="449">
        <v>5.51</v>
      </c>
      <c r="J373" s="1272">
        <v>16928635</v>
      </c>
      <c r="K373" s="617">
        <f t="shared" si="27"/>
        <v>97.980285795596643</v>
      </c>
      <c r="L373" s="380"/>
      <c r="M373" s="273"/>
      <c r="N373" s="464"/>
      <c r="O373" s="533"/>
      <c r="P373" s="53"/>
      <c r="Q373" s="474"/>
      <c r="R373" s="556"/>
    </row>
    <row r="374" spans="1:18" s="5" customFormat="1" ht="15">
      <c r="A374" s="662" t="s">
        <v>1423</v>
      </c>
      <c r="B374" s="1280"/>
      <c r="C374" s="448">
        <v>22</v>
      </c>
      <c r="D374" s="1272">
        <v>130859451</v>
      </c>
      <c r="E374" s="617">
        <f t="shared" si="26"/>
        <v>99.56558984170465</v>
      </c>
      <c r="F374" s="423"/>
      <c r="G374" s="337" t="s">
        <v>1416</v>
      </c>
      <c r="H374" s="578"/>
      <c r="I374" s="449">
        <v>1</v>
      </c>
      <c r="J374" s="106">
        <v>17001003</v>
      </c>
      <c r="K374" s="617">
        <f t="shared" si="27"/>
        <v>98.39914043582344</v>
      </c>
      <c r="L374" s="380"/>
      <c r="M374" s="1267"/>
      <c r="N374" s="464"/>
      <c r="O374" s="533"/>
      <c r="P374" s="53"/>
      <c r="Q374" s="474"/>
      <c r="R374" s="556"/>
    </row>
    <row r="375" spans="1:18" s="5" customFormat="1" ht="15">
      <c r="A375" s="662" t="s">
        <v>2049</v>
      </c>
      <c r="B375" s="350"/>
      <c r="C375" s="448">
        <v>9</v>
      </c>
      <c r="D375" s="106">
        <v>131060611</v>
      </c>
      <c r="E375" s="617">
        <f t="shared" si="26"/>
        <v>99.718644236320429</v>
      </c>
      <c r="F375" s="423"/>
      <c r="G375" s="388" t="s">
        <v>600</v>
      </c>
      <c r="H375" s="456"/>
      <c r="I375" s="449"/>
      <c r="J375" s="106">
        <v>17277593</v>
      </c>
      <c r="K375" s="617">
        <f t="shared" si="27"/>
        <v>100</v>
      </c>
      <c r="L375" s="380"/>
      <c r="M375" s="54"/>
      <c r="N375" s="54"/>
      <c r="O375" s="533"/>
      <c r="P375" s="53"/>
      <c r="Q375" s="474"/>
      <c r="R375" s="556"/>
    </row>
    <row r="376" spans="1:18" s="5" customFormat="1" ht="15">
      <c r="A376" s="662" t="s">
        <v>1428</v>
      </c>
      <c r="B376" s="350"/>
      <c r="C376" s="448">
        <v>94</v>
      </c>
      <c r="D376" s="106">
        <v>131082737</v>
      </c>
      <c r="E376" s="617">
        <f t="shared" si="26"/>
        <v>99.735479002353784</v>
      </c>
      <c r="F376" s="423"/>
      <c r="G376" s="420" t="s">
        <v>716</v>
      </c>
      <c r="H376" s="579"/>
      <c r="I376" s="449"/>
      <c r="J376" s="377" t="s">
        <v>548</v>
      </c>
      <c r="K376" s="447"/>
      <c r="L376" s="380"/>
      <c r="M376" s="54"/>
      <c r="N376" s="54"/>
      <c r="O376" s="533"/>
      <c r="P376" s="53"/>
      <c r="Q376" s="474"/>
      <c r="R376" s="556"/>
    </row>
    <row r="377" spans="1:18" s="5" customFormat="1" ht="15">
      <c r="A377" s="673" t="s">
        <v>1427</v>
      </c>
      <c r="B377" s="355" t="s">
        <v>41</v>
      </c>
      <c r="C377" s="449">
        <v>44</v>
      </c>
      <c r="D377" s="106">
        <v>131092311</v>
      </c>
      <c r="E377" s="617">
        <f t="shared" si="26"/>
        <v>99.74276346633296</v>
      </c>
      <c r="F377" s="423"/>
      <c r="G377" s="374" t="s">
        <v>577</v>
      </c>
      <c r="H377" s="348"/>
      <c r="I377" s="469"/>
      <c r="J377" s="377" t="s">
        <v>548</v>
      </c>
      <c r="K377" s="447"/>
      <c r="L377" s="380"/>
      <c r="M377" s="403"/>
      <c r="N377" s="403"/>
      <c r="O377" s="533"/>
      <c r="P377" s="415"/>
      <c r="Q377" s="474"/>
      <c r="R377" s="556"/>
    </row>
    <row r="378" spans="1:18" s="5" customFormat="1" ht="15">
      <c r="A378" s="690" t="s">
        <v>717</v>
      </c>
      <c r="B378" s="462" t="s">
        <v>41</v>
      </c>
      <c r="C378" s="449">
        <f>5.8+15.6+10.3+14.5+12.8+14.1+18.2+17+29.7+21.7+19.6+19.7+23+25.4+24.3+19.9+27.2+21.1+26.2+24.2+27.5+26.8+36.3+35.4</f>
        <v>516.29999999999995</v>
      </c>
      <c r="D378" s="106">
        <v>131231214</v>
      </c>
      <c r="E378" s="617">
        <f t="shared" si="26"/>
        <v>99.848449062750305</v>
      </c>
      <c r="F378" s="423"/>
      <c r="G378" s="421" t="s">
        <v>578</v>
      </c>
      <c r="H378" s="348" t="s">
        <v>41</v>
      </c>
      <c r="I378" s="469"/>
      <c r="J378" s="377" t="s">
        <v>548</v>
      </c>
      <c r="K378" s="447"/>
      <c r="L378" s="380"/>
      <c r="M378" s="273"/>
      <c r="N378" s="464"/>
      <c r="O378" s="565"/>
      <c r="P378" s="415"/>
      <c r="Q378" s="474"/>
      <c r="R378" s="556"/>
    </row>
    <row r="379" spans="1:18" s="5" customFormat="1" ht="15">
      <c r="A379" s="683" t="s">
        <v>600</v>
      </c>
      <c r="B379" s="452"/>
      <c r="C379" s="468"/>
      <c r="D379" s="106">
        <v>131430398</v>
      </c>
      <c r="E379" s="617">
        <f t="shared" si="26"/>
        <v>100</v>
      </c>
      <c r="F379" s="423"/>
      <c r="G379" s="421"/>
      <c r="H379" s="348"/>
      <c r="I379" s="469"/>
      <c r="J379" s="377"/>
      <c r="K379" s="447"/>
      <c r="L379" s="380"/>
      <c r="M379" s="422"/>
      <c r="N379" s="464"/>
      <c r="O379" s="565"/>
      <c r="P379" s="415"/>
      <c r="Q379" s="474"/>
      <c r="R379" s="556"/>
    </row>
    <row r="380" spans="1:18" s="5" customFormat="1" ht="15">
      <c r="A380" s="273"/>
      <c r="B380" s="464"/>
      <c r="C380" s="565"/>
      <c r="D380" s="415"/>
      <c r="E380" s="566"/>
      <c r="F380" s="423"/>
      <c r="G380" s="273"/>
      <c r="H380" s="464"/>
      <c r="I380" s="567"/>
      <c r="J380" s="415"/>
      <c r="K380" s="566"/>
      <c r="L380" s="380"/>
      <c r="M380" s="273"/>
      <c r="N380" s="464"/>
      <c r="O380" s="565"/>
      <c r="P380" s="415"/>
      <c r="Q380" s="566"/>
      <c r="R380" s="556"/>
    </row>
    <row r="381" spans="1:18" ht="17.25">
      <c r="A381" s="423"/>
      <c r="B381" s="713" t="s">
        <v>1432</v>
      </c>
      <c r="C381" s="423"/>
      <c r="D381" s="423"/>
      <c r="E381" s="434"/>
      <c r="F381" s="423"/>
      <c r="G381" s="380"/>
      <c r="H381" s="380"/>
      <c r="I381" s="380"/>
      <c r="J381" s="380"/>
      <c r="K381" s="380"/>
      <c r="L381" s="380"/>
      <c r="M381" s="380"/>
      <c r="N381" s="423"/>
      <c r="O381" s="423"/>
      <c r="P381" s="423"/>
      <c r="Q381" s="434"/>
      <c r="R381" s="435"/>
    </row>
    <row r="382" spans="1:18" ht="17.25">
      <c r="A382" s="264"/>
      <c r="B382" s="283" t="s">
        <v>1271</v>
      </c>
      <c r="C382" s="264"/>
      <c r="D382" s="53"/>
      <c r="E382" s="473"/>
      <c r="F382" s="423"/>
      <c r="G382" s="714"/>
      <c r="H382" s="714"/>
      <c r="I382" s="714"/>
      <c r="J382" s="714"/>
      <c r="K382" s="714"/>
      <c r="L382" s="714"/>
      <c r="M382" s="714"/>
      <c r="N382" s="423"/>
      <c r="O382" s="423"/>
      <c r="P382" s="423"/>
      <c r="Q382" s="434"/>
      <c r="R382" s="435"/>
    </row>
    <row r="383" spans="1:18" ht="17.25">
      <c r="A383" s="264"/>
      <c r="B383" s="55" t="s">
        <v>1465</v>
      </c>
      <c r="C383" s="264"/>
      <c r="D383" s="53"/>
      <c r="E383" s="473"/>
      <c r="F383" s="423"/>
      <c r="G383" s="380"/>
      <c r="H383" s="380"/>
      <c r="I383" s="380"/>
      <c r="J383" s="380"/>
      <c r="K383" s="380"/>
      <c r="L383" s="380"/>
      <c r="M383" s="380"/>
      <c r="N383" s="423"/>
      <c r="O383" s="423"/>
      <c r="P383" s="423"/>
      <c r="Q383" s="434"/>
      <c r="R383" s="435"/>
    </row>
    <row r="384" spans="1:18" ht="15">
      <c r="A384" s="264"/>
      <c r="B384" s="264"/>
      <c r="C384" s="264"/>
      <c r="D384" s="53"/>
      <c r="E384" s="473"/>
      <c r="F384" s="423"/>
      <c r="G384" s="380"/>
      <c r="H384" s="380"/>
      <c r="I384" s="380"/>
      <c r="J384" s="380"/>
      <c r="K384" s="380"/>
      <c r="L384" s="380"/>
      <c r="M384" s="380"/>
      <c r="N384" s="423"/>
      <c r="O384" s="423"/>
      <c r="P384" s="423"/>
      <c r="Q384" s="434"/>
      <c r="R384" s="435"/>
    </row>
    <row r="385" spans="1:18" ht="15">
      <c r="A385" s="423"/>
      <c r="B385" s="423"/>
      <c r="C385" s="423"/>
      <c r="D385" s="423"/>
      <c r="E385" s="434"/>
      <c r="F385" s="423"/>
      <c r="G385" s="380"/>
      <c r="H385" s="380"/>
      <c r="I385" s="380"/>
      <c r="J385" s="380"/>
      <c r="K385" s="380"/>
      <c r="L385" s="380"/>
      <c r="M385" s="380"/>
      <c r="N385" s="423"/>
      <c r="O385" s="423"/>
      <c r="P385" s="423"/>
      <c r="Q385" s="434"/>
      <c r="R385" s="435"/>
    </row>
    <row r="386" spans="1:18" ht="20.25">
      <c r="A386" s="816" t="s">
        <v>580</v>
      </c>
      <c r="B386" s="423"/>
      <c r="C386" s="423"/>
      <c r="D386" s="423"/>
      <c r="E386" s="434"/>
      <c r="F386" s="423"/>
      <c r="G386" s="380"/>
      <c r="H386" s="380"/>
      <c r="I386" s="380"/>
      <c r="J386" s="380"/>
      <c r="K386" s="380"/>
      <c r="L386" s="380"/>
      <c r="M386" s="380"/>
      <c r="N386" s="423"/>
      <c r="O386" s="423"/>
      <c r="P386" s="423"/>
      <c r="Q386" s="434"/>
      <c r="R386" s="435"/>
    </row>
    <row r="387" spans="1:18" ht="15.75" thickBot="1">
      <c r="A387" s="477"/>
      <c r="B387" s="477"/>
      <c r="C387" s="477"/>
      <c r="D387" s="477"/>
      <c r="E387" s="478"/>
      <c r="F387" s="477"/>
      <c r="G387" s="381"/>
      <c r="H387" s="381"/>
      <c r="I387" s="381"/>
      <c r="J387" s="381"/>
      <c r="K387" s="381"/>
      <c r="L387" s="381"/>
      <c r="M387" s="381"/>
      <c r="N387" s="477"/>
      <c r="O387" s="477"/>
      <c r="P387" s="477"/>
      <c r="Q387" s="478"/>
      <c r="R387" s="435"/>
    </row>
    <row r="388" spans="1:18" ht="15.75" thickTop="1">
      <c r="A388" s="805"/>
      <c r="B388" s="805"/>
      <c r="C388" s="805"/>
      <c r="D388" s="805"/>
      <c r="E388" s="596"/>
      <c r="F388" s="805"/>
      <c r="G388" s="380"/>
      <c r="H388" s="380"/>
      <c r="I388" s="380"/>
      <c r="J388" s="380"/>
      <c r="K388" s="380"/>
      <c r="L388" s="380"/>
      <c r="M388" s="380"/>
      <c r="N388" s="805"/>
      <c r="O388" s="805"/>
      <c r="P388" s="805"/>
      <c r="Q388" s="596"/>
      <c r="R388" s="435"/>
    </row>
    <row r="389" spans="1:18" ht="14.25">
      <c r="A389" s="580" t="s">
        <v>726</v>
      </c>
      <c r="B389" s="423"/>
      <c r="C389" s="423"/>
      <c r="D389" s="423"/>
      <c r="E389" s="434"/>
      <c r="F389" s="423"/>
      <c r="G389" s="580" t="s">
        <v>582</v>
      </c>
      <c r="H389" s="423"/>
      <c r="I389" s="423"/>
      <c r="J389" s="423"/>
      <c r="K389" s="434"/>
      <c r="L389" s="423"/>
      <c r="M389" s="580" t="s">
        <v>722</v>
      </c>
      <c r="N389" s="423"/>
      <c r="O389" s="423"/>
      <c r="P389" s="423"/>
      <c r="Q389" s="434"/>
      <c r="R389" s="435"/>
    </row>
    <row r="390" spans="1:18" ht="15">
      <c r="A390" s="382" t="s">
        <v>728</v>
      </c>
      <c r="B390" s="481"/>
      <c r="C390" s="481"/>
      <c r="D390" s="3171" t="s">
        <v>729</v>
      </c>
      <c r="E390" s="3171"/>
      <c r="F390" s="423"/>
      <c r="G390" s="382" t="s">
        <v>585</v>
      </c>
      <c r="H390" s="481"/>
      <c r="I390" s="481"/>
      <c r="J390" s="3171" t="s">
        <v>586</v>
      </c>
      <c r="K390" s="3171"/>
      <c r="L390" s="423"/>
      <c r="M390" s="382" t="s">
        <v>593</v>
      </c>
      <c r="N390" s="481"/>
      <c r="O390" s="481"/>
      <c r="P390" s="424" t="s">
        <v>594</v>
      </c>
      <c r="Q390" s="424"/>
      <c r="R390" s="435"/>
    </row>
    <row r="391" spans="1:18" ht="15">
      <c r="A391" s="327" t="s">
        <v>727</v>
      </c>
      <c r="B391" s="581"/>
      <c r="C391" s="581"/>
      <c r="D391" s="85">
        <v>1220000</v>
      </c>
      <c r="E391" s="613">
        <f t="shared" ref="E391:E417" si="28">(D391*100/15328307)</f>
        <v>7.9591307768039874</v>
      </c>
      <c r="F391" s="423"/>
      <c r="G391" s="327" t="s">
        <v>588</v>
      </c>
      <c r="H391" s="581"/>
      <c r="I391" s="581"/>
      <c r="J391" s="85">
        <f>32299256-28096441</f>
        <v>4202815</v>
      </c>
      <c r="K391" s="613">
        <f t="shared" ref="K391:K417" si="29">(J391*100/32299256)</f>
        <v>13.012110867197684</v>
      </c>
      <c r="L391" s="423"/>
      <c r="M391" s="327" t="s">
        <v>596</v>
      </c>
      <c r="N391" s="581"/>
      <c r="O391" s="581"/>
      <c r="P391" s="85">
        <v>157544</v>
      </c>
      <c r="Q391" s="613">
        <f t="shared" ref="Q391:Q417" si="30">(P391*100/34259350)</f>
        <v>0.45985694416268841</v>
      </c>
      <c r="R391" s="435"/>
    </row>
    <row r="392" spans="1:18" ht="15">
      <c r="A392" s="425" t="s">
        <v>730</v>
      </c>
      <c r="B392" s="581"/>
      <c r="C392" s="582"/>
      <c r="D392" s="85">
        <v>14108307</v>
      </c>
      <c r="E392" s="613">
        <f t="shared" si="28"/>
        <v>92.040869223196012</v>
      </c>
      <c r="F392" s="423"/>
      <c r="G392" s="425" t="s">
        <v>590</v>
      </c>
      <c r="H392" s="581"/>
      <c r="I392" s="582"/>
      <c r="J392" s="85">
        <v>28096441</v>
      </c>
      <c r="K392" s="613">
        <f t="shared" si="29"/>
        <v>86.987889132802323</v>
      </c>
      <c r="L392" s="423"/>
      <c r="M392" s="425" t="s">
        <v>598</v>
      </c>
      <c r="N392" s="581"/>
      <c r="O392" s="583"/>
      <c r="P392" s="85">
        <f>34259350-P391</f>
        <v>34101806</v>
      </c>
      <c r="Q392" s="613">
        <f t="shared" si="30"/>
        <v>99.540143055837305</v>
      </c>
      <c r="R392" s="435"/>
    </row>
    <row r="393" spans="1:18" ht="15">
      <c r="A393" s="1935" t="s">
        <v>2047</v>
      </c>
      <c r="B393" s="441" t="s">
        <v>41</v>
      </c>
      <c r="C393" s="706">
        <v>1999.18</v>
      </c>
      <c r="D393" s="1949">
        <v>15146091</v>
      </c>
      <c r="E393" s="613">
        <f t="shared" si="28"/>
        <v>98.811245103585151</v>
      </c>
      <c r="F393" s="423"/>
      <c r="G393" s="649" t="s">
        <v>1429</v>
      </c>
      <c r="H393" s="702"/>
      <c r="I393" s="706">
        <v>162.1</v>
      </c>
      <c r="J393" s="330">
        <v>32171161</v>
      </c>
      <c r="K393" s="613">
        <f t="shared" si="29"/>
        <v>99.603411917599587</v>
      </c>
      <c r="L393" s="423"/>
      <c r="M393" s="741" t="s">
        <v>1169</v>
      </c>
      <c r="N393" s="345"/>
      <c r="O393" s="585">
        <v>47.21</v>
      </c>
      <c r="P393" s="86">
        <v>26097504</v>
      </c>
      <c r="Q393" s="613">
        <f t="shared" si="30"/>
        <v>76.176296397917653</v>
      </c>
      <c r="R393" s="435"/>
    </row>
    <row r="394" spans="1:18" ht="15">
      <c r="A394" s="1932" t="s">
        <v>1430</v>
      </c>
      <c r="B394" s="768" t="s">
        <v>41</v>
      </c>
      <c r="C394" s="661">
        <v>1740.14</v>
      </c>
      <c r="D394" s="1893">
        <v>15148312</v>
      </c>
      <c r="E394" s="613">
        <f t="shared" si="28"/>
        <v>98.825734635925542</v>
      </c>
      <c r="F394" s="423"/>
      <c r="G394" s="1935" t="s">
        <v>2047</v>
      </c>
      <c r="H394" s="768" t="s">
        <v>41</v>
      </c>
      <c r="I394" s="661">
        <v>3981.06</v>
      </c>
      <c r="J394" s="1893">
        <v>32174999</v>
      </c>
      <c r="K394" s="613">
        <f t="shared" si="29"/>
        <v>99.615294544245856</v>
      </c>
      <c r="L394" s="423"/>
      <c r="M394" s="1946" t="s">
        <v>1426</v>
      </c>
      <c r="N394" s="1950"/>
      <c r="O394" s="837">
        <v>57.09</v>
      </c>
      <c r="P394" s="1284">
        <v>31680777</v>
      </c>
      <c r="Q394" s="613">
        <f t="shared" si="30"/>
        <v>92.473374421873146</v>
      </c>
      <c r="R394" s="435"/>
    </row>
    <row r="395" spans="1:18" ht="15">
      <c r="A395" s="741" t="s">
        <v>927</v>
      </c>
      <c r="B395" s="348" t="s">
        <v>41</v>
      </c>
      <c r="C395" s="655">
        <v>193.67</v>
      </c>
      <c r="D395" s="106">
        <v>15170434</v>
      </c>
      <c r="E395" s="613">
        <f t="shared" si="28"/>
        <v>98.970055858093133</v>
      </c>
      <c r="F395" s="423"/>
      <c r="G395" s="1932" t="s">
        <v>1430</v>
      </c>
      <c r="H395" s="704" t="s">
        <v>41</v>
      </c>
      <c r="I395" s="655">
        <v>4219.29</v>
      </c>
      <c r="J395" s="106">
        <v>32176010</v>
      </c>
      <c r="K395" s="613">
        <f t="shared" si="29"/>
        <v>99.618424647304565</v>
      </c>
      <c r="L395" s="423"/>
      <c r="M395" s="828" t="s">
        <v>2047</v>
      </c>
      <c r="N395" s="348" t="s">
        <v>41</v>
      </c>
      <c r="O395" s="487">
        <v>4463.41</v>
      </c>
      <c r="P395" s="87">
        <v>32002007</v>
      </c>
      <c r="Q395" s="613">
        <f t="shared" si="30"/>
        <v>93.411016262713687</v>
      </c>
      <c r="R395" s="435"/>
    </row>
    <row r="396" spans="1:18" ht="15">
      <c r="A396" s="662" t="s">
        <v>1426</v>
      </c>
      <c r="B396" s="347"/>
      <c r="C396" s="587">
        <v>25.55</v>
      </c>
      <c r="D396" s="334">
        <v>15177001</v>
      </c>
      <c r="E396" s="613">
        <f t="shared" si="28"/>
        <v>99.012898162856473</v>
      </c>
      <c r="F396" s="423"/>
      <c r="G396" s="612" t="s">
        <v>1426</v>
      </c>
      <c r="H396" s="703"/>
      <c r="I396" s="655">
        <v>53.83</v>
      </c>
      <c r="J396" s="334">
        <v>32176161</v>
      </c>
      <c r="K396" s="613">
        <f t="shared" si="29"/>
        <v>99.618892150333124</v>
      </c>
      <c r="L396" s="423"/>
      <c r="M396" s="1900" t="s">
        <v>927</v>
      </c>
      <c r="N396" s="465" t="s">
        <v>41</v>
      </c>
      <c r="O396" s="588">
        <v>436.64</v>
      </c>
      <c r="P396" s="105">
        <v>32006151</v>
      </c>
      <c r="Q396" s="613">
        <f t="shared" si="30"/>
        <v>93.423112230675713</v>
      </c>
      <c r="R396" s="435"/>
    </row>
    <row r="397" spans="1:18" ht="15">
      <c r="A397" s="668" t="s">
        <v>122</v>
      </c>
      <c r="B397" s="348"/>
      <c r="C397" s="587">
        <v>466.8</v>
      </c>
      <c r="D397" s="106">
        <v>15204323</v>
      </c>
      <c r="E397" s="613">
        <f t="shared" si="28"/>
        <v>99.191143548990766</v>
      </c>
      <c r="F397" s="423"/>
      <c r="G397" s="551" t="s">
        <v>927</v>
      </c>
      <c r="H397" s="704" t="s">
        <v>41</v>
      </c>
      <c r="I397" s="655">
        <v>411.85</v>
      </c>
      <c r="J397" s="106">
        <v>32180631</v>
      </c>
      <c r="K397" s="613">
        <f t="shared" si="29"/>
        <v>99.632731478396906</v>
      </c>
      <c r="L397" s="423"/>
      <c r="M397" s="1932" t="s">
        <v>1430</v>
      </c>
      <c r="N397" s="348" t="s">
        <v>41</v>
      </c>
      <c r="O397" s="487">
        <v>3941.49</v>
      </c>
      <c r="P397" s="87">
        <v>32056293</v>
      </c>
      <c r="Q397" s="613">
        <f t="shared" si="30"/>
        <v>93.569472275451815</v>
      </c>
      <c r="R397" s="435"/>
    </row>
    <row r="398" spans="1:18" ht="15">
      <c r="A398" s="662" t="s">
        <v>1425</v>
      </c>
      <c r="B398" s="348"/>
      <c r="C398" s="654">
        <v>120.2</v>
      </c>
      <c r="D398" s="335">
        <v>15207033</v>
      </c>
      <c r="E398" s="615">
        <f t="shared" si="28"/>
        <v>99.208823257519569</v>
      </c>
      <c r="F398" s="423"/>
      <c r="G398" s="846" t="s">
        <v>1412</v>
      </c>
      <c r="H398" s="704"/>
      <c r="I398" s="655">
        <v>7.57</v>
      </c>
      <c r="J398" s="335">
        <v>32186982</v>
      </c>
      <c r="K398" s="615">
        <f t="shared" si="29"/>
        <v>99.652394470015039</v>
      </c>
      <c r="L398" s="423"/>
      <c r="M398" s="662" t="s">
        <v>122</v>
      </c>
      <c r="N398" s="348"/>
      <c r="O398" s="492">
        <v>987.4</v>
      </c>
      <c r="P398" s="324">
        <v>32074348</v>
      </c>
      <c r="Q398" s="615">
        <f t="shared" si="30"/>
        <v>93.622173216946621</v>
      </c>
      <c r="R398" s="435"/>
    </row>
    <row r="399" spans="1:18" ht="15">
      <c r="A399" s="662" t="s">
        <v>1429</v>
      </c>
      <c r="B399" s="348"/>
      <c r="C399" s="654">
        <v>29</v>
      </c>
      <c r="D399" s="370">
        <v>15224691</v>
      </c>
      <c r="E399" s="613">
        <f t="shared" si="28"/>
        <v>99.324021889697278</v>
      </c>
      <c r="F399" s="423"/>
      <c r="G399" s="716" t="s">
        <v>557</v>
      </c>
      <c r="H399" s="703"/>
      <c r="I399" s="655">
        <v>44.148000000000003</v>
      </c>
      <c r="J399" s="370">
        <v>32210631</v>
      </c>
      <c r="K399" s="613">
        <f t="shared" si="29"/>
        <v>99.725612874798102</v>
      </c>
      <c r="L399" s="423"/>
      <c r="M399" s="651" t="s">
        <v>1425</v>
      </c>
      <c r="N399" s="348"/>
      <c r="O399" s="492">
        <v>274.79000000000002</v>
      </c>
      <c r="P399" s="321">
        <v>32102967</v>
      </c>
      <c r="Q399" s="613">
        <f t="shared" si="30"/>
        <v>93.705709536228795</v>
      </c>
      <c r="R399" s="435"/>
    </row>
    <row r="400" spans="1:18" ht="15">
      <c r="A400" s="670" t="s">
        <v>557</v>
      </c>
      <c r="B400" s="359"/>
      <c r="C400" s="586">
        <v>8.75</v>
      </c>
      <c r="D400" s="106">
        <v>15232176</v>
      </c>
      <c r="E400" s="613">
        <f t="shared" si="28"/>
        <v>99.37285311417628</v>
      </c>
      <c r="F400" s="423"/>
      <c r="G400" s="612" t="s">
        <v>2049</v>
      </c>
      <c r="H400" s="704"/>
      <c r="I400" s="655">
        <v>1</v>
      </c>
      <c r="J400" s="106">
        <v>32212785</v>
      </c>
      <c r="K400" s="613">
        <f t="shared" si="29"/>
        <v>99.732281759059717</v>
      </c>
      <c r="L400" s="423"/>
      <c r="M400" s="825" t="s">
        <v>700</v>
      </c>
      <c r="N400" s="360" t="s">
        <v>41</v>
      </c>
      <c r="O400" s="487">
        <v>16.420999999999999</v>
      </c>
      <c r="P400" s="87">
        <v>32290804</v>
      </c>
      <c r="Q400" s="613">
        <f t="shared" si="30"/>
        <v>94.253989057001959</v>
      </c>
      <c r="R400" s="435"/>
    </row>
    <row r="401" spans="1:18" ht="15">
      <c r="A401" s="771" t="s">
        <v>700</v>
      </c>
      <c r="B401" s="360" t="s">
        <v>41</v>
      </c>
      <c r="C401" s="590">
        <v>5.68</v>
      </c>
      <c r="D401" s="334">
        <v>15251132</v>
      </c>
      <c r="E401" s="614">
        <f t="shared" si="28"/>
        <v>99.496519739590283</v>
      </c>
      <c r="F401" s="423"/>
      <c r="G401" s="676" t="s">
        <v>1416</v>
      </c>
      <c r="H401" s="705"/>
      <c r="I401" s="655">
        <v>1</v>
      </c>
      <c r="J401" s="334">
        <v>32213966</v>
      </c>
      <c r="K401" s="614">
        <f t="shared" si="29"/>
        <v>99.735938190031376</v>
      </c>
      <c r="L401" s="423"/>
      <c r="M401" s="551" t="s">
        <v>1418</v>
      </c>
      <c r="N401" s="354" t="s">
        <v>41</v>
      </c>
      <c r="O401" s="487">
        <v>34.049999999999997</v>
      </c>
      <c r="P401" s="105">
        <v>32381825</v>
      </c>
      <c r="Q401" s="614">
        <f t="shared" si="30"/>
        <v>94.519671272222041</v>
      </c>
      <c r="R401" s="435"/>
    </row>
    <row r="402" spans="1:18" ht="15">
      <c r="A402" s="662" t="s">
        <v>1419</v>
      </c>
      <c r="B402" s="348" t="s">
        <v>41</v>
      </c>
      <c r="C402" s="661">
        <v>5.96</v>
      </c>
      <c r="D402" s="106">
        <v>15254228</v>
      </c>
      <c r="E402" s="613">
        <f t="shared" si="28"/>
        <v>99.516717664905855</v>
      </c>
      <c r="F402" s="423"/>
      <c r="G402" s="662" t="s">
        <v>122</v>
      </c>
      <c r="H402" s="703"/>
      <c r="I402" s="655">
        <v>1044</v>
      </c>
      <c r="J402" s="106">
        <v>32244697</v>
      </c>
      <c r="K402" s="613">
        <f t="shared" si="29"/>
        <v>99.831082796458219</v>
      </c>
      <c r="L402" s="423"/>
      <c r="M402" s="645" t="s">
        <v>1424</v>
      </c>
      <c r="N402" s="641"/>
      <c r="O402" s="487">
        <v>23.425999999999998</v>
      </c>
      <c r="P402" s="87">
        <v>32543280</v>
      </c>
      <c r="Q402" s="613">
        <f t="shared" si="30"/>
        <v>94.990944078040016</v>
      </c>
      <c r="R402" s="435"/>
    </row>
    <row r="403" spans="1:18" ht="15">
      <c r="A403" s="662" t="s">
        <v>1424</v>
      </c>
      <c r="B403" s="589"/>
      <c r="C403" s="590">
        <v>6.81</v>
      </c>
      <c r="D403" s="334">
        <v>15260064</v>
      </c>
      <c r="E403" s="613">
        <f t="shared" si="28"/>
        <v>99.554791015080795</v>
      </c>
      <c r="F403" s="423"/>
      <c r="G403" s="651" t="s">
        <v>1419</v>
      </c>
      <c r="H403" s="704" t="s">
        <v>41</v>
      </c>
      <c r="I403" s="655">
        <v>20.53</v>
      </c>
      <c r="J403" s="334">
        <v>32245021</v>
      </c>
      <c r="K403" s="613">
        <f t="shared" si="29"/>
        <v>99.832085915539352</v>
      </c>
      <c r="L403" s="423"/>
      <c r="M403" s="89" t="s">
        <v>599</v>
      </c>
      <c r="N403" s="357"/>
      <c r="O403" s="487">
        <v>43.1</v>
      </c>
      <c r="P403" s="87">
        <v>32685459</v>
      </c>
      <c r="Q403" s="614">
        <f t="shared" si="30"/>
        <v>95.405951951802933</v>
      </c>
      <c r="R403" s="435"/>
    </row>
    <row r="404" spans="1:18" ht="15">
      <c r="A404" s="746" t="s">
        <v>694</v>
      </c>
      <c r="B404" s="358"/>
      <c r="C404" s="586">
        <v>18.04</v>
      </c>
      <c r="D404" s="106">
        <v>15262238</v>
      </c>
      <c r="E404" s="613">
        <f t="shared" si="28"/>
        <v>99.568973925169942</v>
      </c>
      <c r="F404" s="423"/>
      <c r="G404" s="1288" t="s">
        <v>2045</v>
      </c>
      <c r="H404" s="705"/>
      <c r="I404" s="655">
        <v>1</v>
      </c>
      <c r="J404" s="106">
        <v>32245599</v>
      </c>
      <c r="K404" s="613">
        <f t="shared" si="29"/>
        <v>99.833875430443356</v>
      </c>
      <c r="L404" s="423"/>
      <c r="M404" s="741" t="s">
        <v>694</v>
      </c>
      <c r="N404" s="350"/>
      <c r="O404" s="487">
        <v>44.96</v>
      </c>
      <c r="P404" s="87">
        <v>32751885</v>
      </c>
      <c r="Q404" s="613">
        <f t="shared" si="30"/>
        <v>95.599843546360333</v>
      </c>
      <c r="R404" s="435"/>
    </row>
    <row r="405" spans="1:18" ht="15">
      <c r="A405" s="669" t="s">
        <v>1412</v>
      </c>
      <c r="B405" s="354"/>
      <c r="C405" s="586">
        <v>3.6</v>
      </c>
      <c r="D405" s="106">
        <v>15286036</v>
      </c>
      <c r="E405" s="613">
        <f t="shared" si="28"/>
        <v>99.724229166339114</v>
      </c>
      <c r="F405" s="423"/>
      <c r="G405" s="660" t="s">
        <v>1425</v>
      </c>
      <c r="H405" s="497"/>
      <c r="I405" s="655">
        <v>266.98</v>
      </c>
      <c r="J405" s="106">
        <v>32247146</v>
      </c>
      <c r="K405" s="613">
        <f t="shared" si="29"/>
        <v>99.838665014451109</v>
      </c>
      <c r="L405" s="423"/>
      <c r="M405" s="391" t="s">
        <v>1215</v>
      </c>
      <c r="N405" s="357"/>
      <c r="O405" s="487">
        <v>5</v>
      </c>
      <c r="P405" s="87">
        <v>33160936</v>
      </c>
      <c r="Q405" s="613">
        <f t="shared" si="30"/>
        <v>96.793827086620155</v>
      </c>
      <c r="R405" s="435"/>
    </row>
    <row r="406" spans="1:18" ht="15">
      <c r="A406" s="670" t="s">
        <v>1416</v>
      </c>
      <c r="B406" s="362"/>
      <c r="C406" s="592">
        <v>1</v>
      </c>
      <c r="D406" s="106">
        <v>15295196</v>
      </c>
      <c r="E406" s="613">
        <f t="shared" si="28"/>
        <v>99.783987885941997</v>
      </c>
      <c r="F406" s="423"/>
      <c r="G406" s="656" t="s">
        <v>1424</v>
      </c>
      <c r="H406" s="522"/>
      <c r="I406" s="707">
        <v>30.382999999999999</v>
      </c>
      <c r="J406" s="106">
        <v>32257600</v>
      </c>
      <c r="K406" s="613">
        <f t="shared" si="29"/>
        <v>99.871031085050376</v>
      </c>
      <c r="L406" s="423"/>
      <c r="M406" s="612" t="s">
        <v>1420</v>
      </c>
      <c r="N406" s="360" t="s">
        <v>41</v>
      </c>
      <c r="O406" s="487">
        <v>8.9</v>
      </c>
      <c r="P406" s="87">
        <v>33303416</v>
      </c>
      <c r="Q406" s="613">
        <f t="shared" si="30"/>
        <v>97.209713552650584</v>
      </c>
      <c r="R406" s="435"/>
    </row>
    <row r="407" spans="1:18" ht="15">
      <c r="A407" s="669" t="s">
        <v>2045</v>
      </c>
      <c r="B407" s="354"/>
      <c r="C407" s="586">
        <v>1</v>
      </c>
      <c r="D407" s="106">
        <v>15291446</v>
      </c>
      <c r="E407" s="613">
        <f t="shared" si="28"/>
        <v>99.759523344619865</v>
      </c>
      <c r="F407" s="423"/>
      <c r="G407" s="1899" t="s">
        <v>700</v>
      </c>
      <c r="H407" s="704" t="s">
        <v>41</v>
      </c>
      <c r="I407" s="655">
        <v>162.98500000000001</v>
      </c>
      <c r="J407" s="106">
        <v>32259158</v>
      </c>
      <c r="K407" s="613">
        <f t="shared" si="29"/>
        <v>99.87585472557015</v>
      </c>
      <c r="L407" s="423"/>
      <c r="M407" s="647" t="s">
        <v>1412</v>
      </c>
      <c r="N407" s="360"/>
      <c r="O407" s="487">
        <v>10.6</v>
      </c>
      <c r="P407" s="87">
        <v>33335637</v>
      </c>
      <c r="Q407" s="613">
        <f t="shared" si="30"/>
        <v>97.303763790031041</v>
      </c>
      <c r="R407" s="435"/>
    </row>
    <row r="408" spans="1:18" ht="15">
      <c r="A408" s="662" t="s">
        <v>1423</v>
      </c>
      <c r="B408" s="1281"/>
      <c r="C408" s="592">
        <v>2</v>
      </c>
      <c r="D408" s="1272">
        <v>15306655</v>
      </c>
      <c r="E408" s="613">
        <f t="shared" si="28"/>
        <v>99.858745000344783</v>
      </c>
      <c r="F408" s="423"/>
      <c r="G408" s="741" t="s">
        <v>694</v>
      </c>
      <c r="H408" s="1282"/>
      <c r="I408" s="1283">
        <v>43</v>
      </c>
      <c r="J408" s="1272">
        <v>32266047</v>
      </c>
      <c r="K408" s="613">
        <f t="shared" si="29"/>
        <v>99.89718339023041</v>
      </c>
      <c r="L408" s="423"/>
      <c r="M408" s="662" t="s">
        <v>1419</v>
      </c>
      <c r="N408" s="497" t="s">
        <v>41</v>
      </c>
      <c r="O408" s="487">
        <v>40.24</v>
      </c>
      <c r="P408" s="1284">
        <v>33383391</v>
      </c>
      <c r="Q408" s="613">
        <f t="shared" si="30"/>
        <v>97.443153474890792</v>
      </c>
      <c r="R408" s="435"/>
    </row>
    <row r="409" spans="1:18" ht="15">
      <c r="A409" s="662" t="s">
        <v>1456</v>
      </c>
      <c r="B409" s="354" t="s">
        <v>41</v>
      </c>
      <c r="C409" s="592">
        <v>2</v>
      </c>
      <c r="D409" s="98">
        <v>15319278</v>
      </c>
      <c r="E409" s="613">
        <f t="shared" si="28"/>
        <v>99.941095908373967</v>
      </c>
      <c r="F409" s="423"/>
      <c r="G409" s="645" t="s">
        <v>1423</v>
      </c>
      <c r="H409" s="704"/>
      <c r="I409" s="707">
        <v>30</v>
      </c>
      <c r="J409" s="98">
        <v>32270358</v>
      </c>
      <c r="K409" s="613">
        <f t="shared" si="29"/>
        <v>99.910530446893262</v>
      </c>
      <c r="L409" s="423"/>
      <c r="M409" s="662" t="s">
        <v>1429</v>
      </c>
      <c r="N409" s="348"/>
      <c r="O409" s="487">
        <v>146.80000000000001</v>
      </c>
      <c r="P409" s="87">
        <v>33436955</v>
      </c>
      <c r="Q409" s="613">
        <f t="shared" si="30"/>
        <v>97.599502033751364</v>
      </c>
      <c r="R409" s="435"/>
    </row>
    <row r="410" spans="1:18" ht="15">
      <c r="A410" s="662" t="s">
        <v>1420</v>
      </c>
      <c r="B410" s="360" t="s">
        <v>41</v>
      </c>
      <c r="C410" s="592">
        <v>4.5</v>
      </c>
      <c r="D410" s="106">
        <v>15321345</v>
      </c>
      <c r="E410" s="613">
        <f t="shared" si="28"/>
        <v>99.954580763550723</v>
      </c>
      <c r="F410" s="423"/>
      <c r="G410" s="612" t="s">
        <v>1456</v>
      </c>
      <c r="H410" s="497" t="s">
        <v>41</v>
      </c>
      <c r="I410" s="707">
        <v>5</v>
      </c>
      <c r="J410" s="106">
        <v>32284510</v>
      </c>
      <c r="K410" s="613">
        <f t="shared" si="29"/>
        <v>99.954345697622259</v>
      </c>
      <c r="L410" s="423"/>
      <c r="M410" s="645" t="s">
        <v>2049</v>
      </c>
      <c r="N410" s="358"/>
      <c r="O410" s="593">
        <v>7</v>
      </c>
      <c r="P410" s="98">
        <v>33470158</v>
      </c>
      <c r="Q410" s="613">
        <f t="shared" si="30"/>
        <v>97.696418641918186</v>
      </c>
      <c r="R410" s="435"/>
    </row>
    <row r="411" spans="1:18" ht="15">
      <c r="A411" s="741" t="s">
        <v>1169</v>
      </c>
      <c r="B411" s="360"/>
      <c r="C411" s="592">
        <v>5.31</v>
      </c>
      <c r="D411" s="106">
        <v>15322158</v>
      </c>
      <c r="E411" s="613">
        <f t="shared" si="28"/>
        <v>99.959884676109368</v>
      </c>
      <c r="F411" s="556"/>
      <c r="G411" s="845" t="s">
        <v>1215</v>
      </c>
      <c r="H411" s="704"/>
      <c r="I411" s="707">
        <v>1.125</v>
      </c>
      <c r="J411" s="106">
        <v>32294386</v>
      </c>
      <c r="K411" s="613">
        <f t="shared" si="29"/>
        <v>99.984922253317535</v>
      </c>
      <c r="L411" s="556"/>
      <c r="M411" s="645" t="s">
        <v>1456</v>
      </c>
      <c r="N411" s="360" t="s">
        <v>41</v>
      </c>
      <c r="O411" s="449">
        <v>5</v>
      </c>
      <c r="P411" s="87">
        <v>33474307</v>
      </c>
      <c r="Q411" s="613">
        <f t="shared" si="30"/>
        <v>97.708529204436161</v>
      </c>
      <c r="R411" s="435"/>
    </row>
    <row r="412" spans="1:18" ht="15">
      <c r="A412" s="670" t="s">
        <v>600</v>
      </c>
      <c r="B412" s="348"/>
      <c r="C412" s="594"/>
      <c r="D412" s="106">
        <v>15328307</v>
      </c>
      <c r="E412" s="613">
        <f t="shared" si="28"/>
        <v>100</v>
      </c>
      <c r="F412" s="423"/>
      <c r="G412" s="844" t="s">
        <v>1427</v>
      </c>
      <c r="H412" s="348" t="s">
        <v>41</v>
      </c>
      <c r="I412" s="594">
        <v>1</v>
      </c>
      <c r="J412" s="331">
        <v>32294634</v>
      </c>
      <c r="K412" s="613">
        <f t="shared" si="29"/>
        <v>99.985690072861118</v>
      </c>
      <c r="L412" s="423"/>
      <c r="M412" s="1288" t="s">
        <v>2045</v>
      </c>
      <c r="N412" s="354"/>
      <c r="O412" s="487">
        <v>1</v>
      </c>
      <c r="P412" s="106">
        <v>33536890</v>
      </c>
      <c r="Q412" s="613">
        <f t="shared" si="30"/>
        <v>97.891203423299046</v>
      </c>
      <c r="R412" s="435"/>
    </row>
    <row r="413" spans="1:18" ht="15">
      <c r="A413" s="662" t="s">
        <v>2049</v>
      </c>
      <c r="B413" s="354"/>
      <c r="C413" s="592">
        <v>4</v>
      </c>
      <c r="D413" s="98">
        <v>15328455</v>
      </c>
      <c r="E413" s="613">
        <f t="shared" si="28"/>
        <v>100.00096553389751</v>
      </c>
      <c r="F413" s="556"/>
      <c r="G413" s="89" t="s">
        <v>600</v>
      </c>
      <c r="H413" s="354"/>
      <c r="I413" s="592"/>
      <c r="J413" s="98">
        <v>32299256</v>
      </c>
      <c r="K413" s="639">
        <f t="shared" si="29"/>
        <v>100</v>
      </c>
      <c r="L413" s="556"/>
      <c r="M413" s="645" t="s">
        <v>1423</v>
      </c>
      <c r="N413" s="354"/>
      <c r="O413" s="487">
        <v>57</v>
      </c>
      <c r="P413" s="87">
        <v>33582149</v>
      </c>
      <c r="Q413" s="613">
        <f t="shared" si="30"/>
        <v>98.023310424745361</v>
      </c>
      <c r="R413" s="435"/>
    </row>
    <row r="414" spans="1:18" ht="15">
      <c r="A414" s="662" t="s">
        <v>1428</v>
      </c>
      <c r="B414" s="595"/>
      <c r="C414" s="592">
        <v>9</v>
      </c>
      <c r="D414" s="106">
        <v>15335755</v>
      </c>
      <c r="E414" s="613">
        <f t="shared" si="28"/>
        <v>100.04858984100461</v>
      </c>
      <c r="F414" s="423"/>
      <c r="G414" s="1898" t="s">
        <v>1418</v>
      </c>
      <c r="H414" s="360" t="s">
        <v>41</v>
      </c>
      <c r="I414" s="592">
        <v>1.45</v>
      </c>
      <c r="J414" s="106">
        <v>32315792</v>
      </c>
      <c r="K414" s="613">
        <f t="shared" si="29"/>
        <v>100.05119622569634</v>
      </c>
      <c r="L414" s="423"/>
      <c r="M414" s="653" t="s">
        <v>1427</v>
      </c>
      <c r="N414" s="355" t="s">
        <v>41</v>
      </c>
      <c r="O414" s="487">
        <v>2</v>
      </c>
      <c r="P414" s="87">
        <v>33610980</v>
      </c>
      <c r="Q414" s="613">
        <f t="shared" si="30"/>
        <v>98.107465553199347</v>
      </c>
      <c r="R414" s="435"/>
    </row>
    <row r="415" spans="1:18" ht="15">
      <c r="A415" s="741" t="s">
        <v>1418</v>
      </c>
      <c r="B415" s="354" t="s">
        <v>41</v>
      </c>
      <c r="C415" s="592">
        <v>1.0900000000000001</v>
      </c>
      <c r="D415" s="106">
        <v>15336968</v>
      </c>
      <c r="E415" s="613">
        <f t="shared" si="28"/>
        <v>100.05650330463762</v>
      </c>
      <c r="F415" s="423"/>
      <c r="G415" s="662" t="s">
        <v>1420</v>
      </c>
      <c r="H415" s="354" t="s">
        <v>41</v>
      </c>
      <c r="I415" s="592">
        <v>9.57</v>
      </c>
      <c r="J415" s="106">
        <v>32332091</v>
      </c>
      <c r="K415" s="613">
        <f t="shared" si="29"/>
        <v>100.10165868836111</v>
      </c>
      <c r="L415" s="423"/>
      <c r="M415" s="612" t="s">
        <v>1428</v>
      </c>
      <c r="N415" s="352"/>
      <c r="O415" s="487">
        <v>35</v>
      </c>
      <c r="P415" s="87">
        <v>33659646</v>
      </c>
      <c r="Q415" s="613">
        <f t="shared" si="30"/>
        <v>98.249517285062325</v>
      </c>
      <c r="R415" s="435"/>
    </row>
    <row r="416" spans="1:18" ht="15">
      <c r="A416" s="686" t="s">
        <v>1215</v>
      </c>
      <c r="B416" s="354"/>
      <c r="C416" s="592">
        <v>19</v>
      </c>
      <c r="D416" s="106">
        <v>15416174</v>
      </c>
      <c r="E416" s="613">
        <f t="shared" si="28"/>
        <v>100.5732335606274</v>
      </c>
      <c r="F416" s="423"/>
      <c r="G416" s="551" t="s">
        <v>1169</v>
      </c>
      <c r="H416" s="354"/>
      <c r="I416" s="592">
        <v>11.984999999999999</v>
      </c>
      <c r="J416" s="106">
        <v>32334509</v>
      </c>
      <c r="K416" s="613">
        <f t="shared" si="29"/>
        <v>100.10914492891105</v>
      </c>
      <c r="L416" s="423"/>
      <c r="M416" s="341" t="s">
        <v>1416</v>
      </c>
      <c r="N416" s="352"/>
      <c r="O416" s="487">
        <v>1</v>
      </c>
      <c r="P416" s="87">
        <v>33791961</v>
      </c>
      <c r="Q416" s="613">
        <f t="shared" si="30"/>
        <v>98.635733018869303</v>
      </c>
      <c r="R416" s="435"/>
    </row>
    <row r="417" spans="1:18" ht="15">
      <c r="A417" s="673" t="s">
        <v>1427</v>
      </c>
      <c r="B417" s="355" t="s">
        <v>41</v>
      </c>
      <c r="C417" s="592">
        <v>3</v>
      </c>
      <c r="D417" s="331">
        <v>15418344</v>
      </c>
      <c r="E417" s="613">
        <f t="shared" si="28"/>
        <v>100.58739037520581</v>
      </c>
      <c r="F417" s="423"/>
      <c r="G417" s="608" t="s">
        <v>1428</v>
      </c>
      <c r="H417" s="847"/>
      <c r="I417" s="655">
        <v>43</v>
      </c>
      <c r="J417" s="106">
        <v>32348115</v>
      </c>
      <c r="K417" s="613">
        <f t="shared" si="29"/>
        <v>100.15126973822555</v>
      </c>
      <c r="L417" s="423"/>
      <c r="M417" s="388" t="s">
        <v>600</v>
      </c>
      <c r="N417" s="358"/>
      <c r="O417" s="487"/>
      <c r="P417" s="87">
        <v>34259350</v>
      </c>
      <c r="Q417" s="613">
        <f t="shared" si="30"/>
        <v>100</v>
      </c>
      <c r="R417" s="435"/>
    </row>
    <row r="418" spans="1:18" ht="15">
      <c r="A418" s="689" t="s">
        <v>651</v>
      </c>
      <c r="B418" s="360"/>
      <c r="C418" s="586"/>
      <c r="D418" s="377" t="s">
        <v>548</v>
      </c>
      <c r="E418" s="443"/>
      <c r="F418" s="423"/>
      <c r="G418" s="1897" t="s">
        <v>651</v>
      </c>
      <c r="H418" s="360"/>
      <c r="I418" s="586"/>
      <c r="J418" s="377" t="s">
        <v>548</v>
      </c>
      <c r="K418" s="443"/>
      <c r="L418" s="423"/>
      <c r="M418" s="88" t="s">
        <v>651</v>
      </c>
      <c r="N418" s="360"/>
      <c r="O418" s="487"/>
      <c r="P418" s="426" t="s">
        <v>548</v>
      </c>
      <c r="Q418" s="443"/>
      <c r="R418" s="435"/>
    </row>
    <row r="419" spans="1:18" ht="15">
      <c r="A419" s="423"/>
      <c r="B419" s="423"/>
      <c r="C419" s="423"/>
      <c r="D419" s="423"/>
      <c r="E419" s="434"/>
      <c r="F419" s="423"/>
      <c r="G419" s="54"/>
      <c r="H419" s="54"/>
      <c r="I419" s="54"/>
      <c r="J419" s="475"/>
      <c r="K419" s="473"/>
      <c r="L419" s="423"/>
      <c r="M419" s="423"/>
      <c r="N419" s="423"/>
      <c r="O419" s="423"/>
      <c r="P419" s="423"/>
      <c r="Q419" s="434"/>
      <c r="R419" s="435"/>
    </row>
    <row r="420" spans="1:18" ht="15">
      <c r="A420" s="423"/>
      <c r="B420" s="423"/>
      <c r="C420" s="423"/>
      <c r="D420" s="423"/>
      <c r="E420" s="434"/>
      <c r="F420" s="423"/>
      <c r="G420" s="54"/>
      <c r="H420" s="54"/>
      <c r="I420" s="54"/>
      <c r="J420" s="475"/>
      <c r="K420" s="473"/>
      <c r="L420" s="423"/>
      <c r="M420" s="423"/>
      <c r="N420" s="423"/>
      <c r="O420" s="423"/>
      <c r="P420" s="423"/>
      <c r="Q420" s="434"/>
      <c r="R420" s="435"/>
    </row>
    <row r="421" spans="1:18" ht="14.25">
      <c r="A421" s="580" t="s">
        <v>591</v>
      </c>
      <c r="B421" s="423"/>
      <c r="C421" s="423"/>
      <c r="D421" s="423"/>
      <c r="E421" s="434"/>
      <c r="F421" s="423"/>
      <c r="G421" s="580" t="s">
        <v>581</v>
      </c>
      <c r="H421" s="423"/>
      <c r="I421" s="423"/>
      <c r="J421" s="423"/>
      <c r="K421" s="434"/>
      <c r="L421" s="423"/>
      <c r="M421" s="509"/>
      <c r="N421" s="273"/>
      <c r="O421" s="273"/>
      <c r="P421" s="273"/>
      <c r="Q421" s="596"/>
      <c r="R421" s="435"/>
    </row>
    <row r="422" spans="1:18" ht="15">
      <c r="A422" s="382" t="s">
        <v>592</v>
      </c>
      <c r="B422" s="481"/>
      <c r="C422" s="481"/>
      <c r="D422" s="3171" t="s">
        <v>584</v>
      </c>
      <c r="E422" s="3171"/>
      <c r="F422" s="423"/>
      <c r="G422" s="365" t="s">
        <v>583</v>
      </c>
      <c r="H422" s="597"/>
      <c r="I422" s="597"/>
      <c r="J422" s="3182" t="s">
        <v>584</v>
      </c>
      <c r="K422" s="3182"/>
      <c r="L422" s="423"/>
      <c r="M422" s="259"/>
      <c r="N422" s="259"/>
      <c r="O422" s="259"/>
      <c r="P422" s="3172"/>
      <c r="Q422" s="3172"/>
      <c r="R422" s="435"/>
    </row>
    <row r="423" spans="1:18" ht="15">
      <c r="A423" s="327" t="s">
        <v>595</v>
      </c>
      <c r="B423" s="581"/>
      <c r="C423" s="581"/>
      <c r="D423" s="85">
        <v>1652570</v>
      </c>
      <c r="E423" s="613">
        <f t="shared" ref="E423:E449" si="31">(D423*100/166745987)</f>
        <v>0.99107032782743976</v>
      </c>
      <c r="F423" s="423"/>
      <c r="G423" s="327" t="s">
        <v>587</v>
      </c>
      <c r="H423" s="581"/>
      <c r="I423" s="581"/>
      <c r="J423" s="326">
        <v>4133376</v>
      </c>
      <c r="K423" s="642">
        <f t="shared" ref="K423:K450" si="32">(J423*100/117465972)</f>
        <v>3.5187858488924775</v>
      </c>
      <c r="L423" s="423"/>
      <c r="M423" s="259"/>
      <c r="N423" s="259"/>
      <c r="O423" s="259"/>
      <c r="P423" s="262"/>
      <c r="Q423" s="473"/>
      <c r="R423" s="435"/>
    </row>
    <row r="424" spans="1:18" ht="15">
      <c r="A424" s="425" t="s">
        <v>597</v>
      </c>
      <c r="B424" s="581"/>
      <c r="C424" s="583"/>
      <c r="D424" s="85">
        <f>166745987-1652570</f>
        <v>165093417</v>
      </c>
      <c r="E424" s="613">
        <f t="shared" si="31"/>
        <v>99.008929672172556</v>
      </c>
      <c r="F424" s="423"/>
      <c r="G424" s="425" t="s">
        <v>589</v>
      </c>
      <c r="H424" s="581"/>
      <c r="I424" s="581"/>
      <c r="J424" s="85">
        <f>117465972-4133376</f>
        <v>113332596</v>
      </c>
      <c r="K424" s="642">
        <f t="shared" si="32"/>
        <v>96.481214151107523</v>
      </c>
      <c r="L424" s="423"/>
      <c r="M424" s="259"/>
      <c r="N424" s="259"/>
      <c r="O424" s="259"/>
      <c r="P424" s="262"/>
      <c r="Q424" s="473"/>
      <c r="R424" s="435"/>
    </row>
    <row r="425" spans="1:18" ht="15">
      <c r="A425" s="665" t="s">
        <v>1426</v>
      </c>
      <c r="B425" s="598"/>
      <c r="C425" s="585">
        <v>274.07</v>
      </c>
      <c r="D425" s="86">
        <v>162743521</v>
      </c>
      <c r="E425" s="613">
        <f t="shared" si="31"/>
        <v>97.599662773293602</v>
      </c>
      <c r="F425" s="423"/>
      <c r="G425" s="329" t="s">
        <v>651</v>
      </c>
      <c r="H425" s="599"/>
      <c r="I425" s="584">
        <v>568.67999999999995</v>
      </c>
      <c r="J425" s="330">
        <v>76876944</v>
      </c>
      <c r="K425" s="642">
        <f t="shared" si="32"/>
        <v>65.446139585002541</v>
      </c>
      <c r="L425" s="423"/>
      <c r="M425" s="264"/>
      <c r="N425" s="273"/>
      <c r="O425" s="533"/>
      <c r="P425" s="278"/>
      <c r="Q425" s="473"/>
      <c r="R425" s="435"/>
    </row>
    <row r="426" spans="1:18" ht="15">
      <c r="A426" s="1935" t="s">
        <v>2047</v>
      </c>
      <c r="B426" s="465" t="s">
        <v>41</v>
      </c>
      <c r="C426" s="487">
        <v>18817.650000000001</v>
      </c>
      <c r="D426" s="87">
        <v>163842890</v>
      </c>
      <c r="E426" s="613">
        <f t="shared" si="31"/>
        <v>98.258970394292007</v>
      </c>
      <c r="F426" s="423"/>
      <c r="G426" s="1935" t="s">
        <v>2047</v>
      </c>
      <c r="H426" s="465" t="s">
        <v>41</v>
      </c>
      <c r="I426" s="841">
        <v>12279.53</v>
      </c>
      <c r="J426" s="842">
        <v>95384412</v>
      </c>
      <c r="K426" s="642">
        <f>(J426*100/117465972)</f>
        <v>81.201739002338485</v>
      </c>
      <c r="L426" s="423"/>
      <c r="M426" s="264"/>
      <c r="N426" s="264"/>
      <c r="O426" s="533"/>
      <c r="P426" s="53"/>
      <c r="Q426" s="473"/>
      <c r="R426" s="435"/>
    </row>
    <row r="427" spans="1:18" ht="15">
      <c r="A427" s="1932" t="s">
        <v>1430</v>
      </c>
      <c r="B427" s="768" t="s">
        <v>41</v>
      </c>
      <c r="C427" s="492">
        <v>21583.72</v>
      </c>
      <c r="D427" s="1284">
        <v>163884790</v>
      </c>
      <c r="E427" s="613">
        <f t="shared" si="31"/>
        <v>98.284098435304472</v>
      </c>
      <c r="F427" s="423"/>
      <c r="G427" s="1932" t="s">
        <v>1430</v>
      </c>
      <c r="H427" s="768" t="s">
        <v>41</v>
      </c>
      <c r="I427" s="1928">
        <v>15556.48</v>
      </c>
      <c r="J427" s="1929">
        <v>95674938</v>
      </c>
      <c r="K427" s="642">
        <f>(J427*100/117465972)</f>
        <v>81.449066798681073</v>
      </c>
      <c r="L427" s="423"/>
      <c r="M427" s="264"/>
      <c r="N427" s="264"/>
      <c r="O427" s="533"/>
      <c r="P427" s="53"/>
      <c r="Q427" s="473"/>
      <c r="R427" s="435"/>
    </row>
    <row r="428" spans="1:18" ht="15">
      <c r="A428" s="741" t="s">
        <v>927</v>
      </c>
      <c r="B428" s="348" t="s">
        <v>41</v>
      </c>
      <c r="C428" s="487">
        <v>2132.36</v>
      </c>
      <c r="D428" s="105">
        <v>163550830</v>
      </c>
      <c r="E428" s="613">
        <f t="shared" si="31"/>
        <v>98.083817753287221</v>
      </c>
      <c r="F428" s="423"/>
      <c r="G428" s="651" t="s">
        <v>1426</v>
      </c>
      <c r="H428" s="359"/>
      <c r="I428" s="586">
        <v>201.51</v>
      </c>
      <c r="J428" s="106">
        <v>95825775</v>
      </c>
      <c r="K428" s="642">
        <f>(J428*100/117465972)</f>
        <v>81.577475900850672</v>
      </c>
      <c r="L428" s="423"/>
      <c r="M428" s="54"/>
      <c r="N428" s="273"/>
      <c r="O428" s="533"/>
      <c r="P428" s="53"/>
      <c r="Q428" s="473"/>
      <c r="R428" s="435"/>
    </row>
    <row r="429" spans="1:18" ht="15">
      <c r="A429" s="668" t="s">
        <v>122</v>
      </c>
      <c r="B429" s="347"/>
      <c r="C429" s="487">
        <v>4503</v>
      </c>
      <c r="D429" s="105">
        <v>164353859</v>
      </c>
      <c r="E429" s="613">
        <f t="shared" si="31"/>
        <v>98.565405954867146</v>
      </c>
      <c r="F429" s="423"/>
      <c r="G429" s="551" t="s">
        <v>927</v>
      </c>
      <c r="H429" s="348" t="s">
        <v>41</v>
      </c>
      <c r="I429" s="587">
        <v>1490.77</v>
      </c>
      <c r="J429" s="334">
        <v>96623612</v>
      </c>
      <c r="K429" s="642">
        <f t="shared" si="32"/>
        <v>82.256682811938077</v>
      </c>
      <c r="L429" s="423"/>
      <c r="M429" s="264"/>
      <c r="N429" s="464"/>
      <c r="O429" s="533"/>
      <c r="P429" s="267"/>
      <c r="Q429" s="473"/>
      <c r="R429" s="435"/>
    </row>
    <row r="430" spans="1:18" ht="15">
      <c r="A430" s="669" t="s">
        <v>1412</v>
      </c>
      <c r="B430" s="348"/>
      <c r="C430" s="492">
        <v>89.8</v>
      </c>
      <c r="D430" s="324">
        <v>164601097</v>
      </c>
      <c r="E430" s="615">
        <f t="shared" si="31"/>
        <v>98.713678188849002</v>
      </c>
      <c r="F430" s="423"/>
      <c r="G430" s="662" t="s">
        <v>122</v>
      </c>
      <c r="H430" s="347"/>
      <c r="I430" s="600">
        <v>2387.14</v>
      </c>
      <c r="J430" s="335">
        <v>98307050</v>
      </c>
      <c r="K430" s="642">
        <f t="shared" si="32"/>
        <v>83.689811037361522</v>
      </c>
      <c r="L430" s="423"/>
      <c r="M430" s="264"/>
      <c r="N430" s="464"/>
      <c r="O430" s="533"/>
      <c r="P430" s="267"/>
      <c r="Q430" s="473"/>
      <c r="R430" s="435"/>
    </row>
    <row r="431" spans="1:18" ht="15">
      <c r="A431" s="662" t="s">
        <v>1425</v>
      </c>
      <c r="B431" s="459"/>
      <c r="C431" s="487">
        <v>1595.96</v>
      </c>
      <c r="D431" s="105">
        <v>164722995</v>
      </c>
      <c r="E431" s="613">
        <f t="shared" si="31"/>
        <v>98.786782197043223</v>
      </c>
      <c r="F431" s="423"/>
      <c r="G431" s="647" t="s">
        <v>1412</v>
      </c>
      <c r="H431" s="459"/>
      <c r="I431" s="587">
        <v>115.6</v>
      </c>
      <c r="J431" s="336">
        <v>98332287</v>
      </c>
      <c r="K431" s="642">
        <f t="shared" si="32"/>
        <v>83.711295557150791</v>
      </c>
      <c r="L431" s="423"/>
      <c r="M431" s="264"/>
      <c r="N431" s="464"/>
      <c r="O431" s="533"/>
      <c r="P431" s="53"/>
      <c r="Q431" s="473"/>
      <c r="R431" s="435"/>
    </row>
    <row r="432" spans="1:18" ht="15">
      <c r="A432" s="771" t="s">
        <v>700</v>
      </c>
      <c r="B432" s="360" t="s">
        <v>41</v>
      </c>
      <c r="C432" s="492">
        <v>101.88</v>
      </c>
      <c r="D432" s="321">
        <v>164872502</v>
      </c>
      <c r="E432" s="613">
        <f t="shared" si="31"/>
        <v>98.876443725149443</v>
      </c>
      <c r="F432" s="423"/>
      <c r="G432" s="651" t="s">
        <v>1425</v>
      </c>
      <c r="H432" s="348"/>
      <c r="I432" s="601">
        <v>819.71</v>
      </c>
      <c r="J432" s="332">
        <v>98682040</v>
      </c>
      <c r="K432" s="642">
        <f t="shared" si="32"/>
        <v>84.009043912734143</v>
      </c>
      <c r="L432" s="423"/>
      <c r="M432" s="264"/>
      <c r="N432" s="464"/>
      <c r="O432" s="533"/>
      <c r="P432" s="53"/>
      <c r="Q432" s="473"/>
      <c r="R432" s="435"/>
    </row>
    <row r="433" spans="1:18" ht="15">
      <c r="A433" s="746" t="s">
        <v>694</v>
      </c>
      <c r="B433" s="453"/>
      <c r="C433" s="487">
        <v>227</v>
      </c>
      <c r="D433" s="87">
        <v>164932610</v>
      </c>
      <c r="E433" s="613">
        <f t="shared" si="31"/>
        <v>98.912491369282549</v>
      </c>
      <c r="F433" s="423"/>
      <c r="G433" s="551" t="s">
        <v>1418</v>
      </c>
      <c r="H433" s="354" t="s">
        <v>41</v>
      </c>
      <c r="I433" s="587">
        <v>127.91</v>
      </c>
      <c r="J433" s="106">
        <v>99369061</v>
      </c>
      <c r="K433" s="642">
        <f t="shared" si="32"/>
        <v>84.593912013940511</v>
      </c>
      <c r="L433" s="423"/>
      <c r="M433" s="264"/>
      <c r="N433" s="464"/>
      <c r="O433" s="533"/>
      <c r="P433" s="267"/>
      <c r="Q433" s="473"/>
      <c r="R433" s="435"/>
    </row>
    <row r="434" spans="1:18" ht="15">
      <c r="A434" s="662" t="s">
        <v>1424</v>
      </c>
      <c r="B434" s="359"/>
      <c r="C434" s="487">
        <v>160.34800000000001</v>
      </c>
      <c r="D434" s="87">
        <v>164934832</v>
      </c>
      <c r="E434" s="613">
        <f t="shared" si="31"/>
        <v>98.913823935085162</v>
      </c>
      <c r="F434" s="423"/>
      <c r="G434" s="825" t="s">
        <v>700</v>
      </c>
      <c r="H434" s="360" t="s">
        <v>41</v>
      </c>
      <c r="I434" s="590">
        <v>107.828</v>
      </c>
      <c r="J434" s="334">
        <v>100473896</v>
      </c>
      <c r="K434" s="642">
        <f t="shared" si="32"/>
        <v>85.534469505773131</v>
      </c>
      <c r="L434" s="423"/>
      <c r="M434" s="264"/>
      <c r="N434" s="273"/>
      <c r="O434" s="533"/>
      <c r="P434" s="53"/>
      <c r="Q434" s="473"/>
      <c r="R434" s="435"/>
    </row>
    <row r="435" spans="1:18" ht="15">
      <c r="A435" s="676" t="s">
        <v>599</v>
      </c>
      <c r="B435" s="347"/>
      <c r="C435" s="487">
        <v>227.6</v>
      </c>
      <c r="D435" s="87">
        <v>165072013</v>
      </c>
      <c r="E435" s="614">
        <f t="shared" si="31"/>
        <v>98.996093381245814</v>
      </c>
      <c r="F435" s="423"/>
      <c r="G435" s="89" t="s">
        <v>557</v>
      </c>
      <c r="H435" s="359"/>
      <c r="I435" s="586">
        <v>165.57900000000001</v>
      </c>
      <c r="J435" s="106">
        <v>100960622</v>
      </c>
      <c r="K435" s="642">
        <f t="shared" si="32"/>
        <v>85.948824396566522</v>
      </c>
      <c r="L435" s="423"/>
      <c r="M435" s="264"/>
      <c r="N435" s="273"/>
      <c r="O435" s="533"/>
      <c r="P435" s="53"/>
      <c r="Q435" s="473"/>
      <c r="R435" s="435"/>
    </row>
    <row r="436" spans="1:18" ht="15">
      <c r="A436" s="741" t="s">
        <v>1418</v>
      </c>
      <c r="B436" s="354" t="s">
        <v>41</v>
      </c>
      <c r="C436" s="487">
        <v>70.569999999999993</v>
      </c>
      <c r="D436" s="87">
        <v>165366941</v>
      </c>
      <c r="E436" s="613">
        <f t="shared" si="31"/>
        <v>99.172966003673594</v>
      </c>
      <c r="F436" s="423"/>
      <c r="G436" s="391" t="s">
        <v>1215</v>
      </c>
      <c r="H436" s="360"/>
      <c r="I436" s="592">
        <v>55.24</v>
      </c>
      <c r="J436" s="87">
        <v>101224982</v>
      </c>
      <c r="K436" s="643">
        <f t="shared" si="32"/>
        <v>86.17387680578679</v>
      </c>
      <c r="L436" s="423"/>
      <c r="M436" s="264"/>
      <c r="N436" s="464"/>
      <c r="O436" s="533"/>
      <c r="P436" s="53"/>
      <c r="Q436" s="473"/>
      <c r="R436" s="435"/>
    </row>
    <row r="437" spans="1:18" ht="15">
      <c r="A437" s="662" t="s">
        <v>1429</v>
      </c>
      <c r="B437" s="354"/>
      <c r="C437" s="487">
        <v>893</v>
      </c>
      <c r="D437" s="87">
        <v>165788589</v>
      </c>
      <c r="E437" s="613">
        <f t="shared" si="31"/>
        <v>99.425834458013071</v>
      </c>
      <c r="F437" s="423"/>
      <c r="G437" s="741" t="s">
        <v>694</v>
      </c>
      <c r="H437" s="359"/>
      <c r="I437" s="586">
        <v>159.1</v>
      </c>
      <c r="J437" s="106">
        <v>102969333</v>
      </c>
      <c r="K437" s="642">
        <f t="shared" si="32"/>
        <v>87.658860899733583</v>
      </c>
      <c r="L437" s="423"/>
      <c r="M437" s="54"/>
      <c r="N437" s="273"/>
      <c r="O437" s="533"/>
      <c r="P437" s="53"/>
      <c r="Q437" s="473"/>
      <c r="R437" s="435"/>
    </row>
    <row r="438" spans="1:18" ht="15">
      <c r="A438" s="662" t="s">
        <v>1419</v>
      </c>
      <c r="B438" s="348" t="s">
        <v>41</v>
      </c>
      <c r="C438" s="487">
        <v>140.68</v>
      </c>
      <c r="D438" s="87">
        <v>165969520</v>
      </c>
      <c r="E438" s="613">
        <f t="shared" si="31"/>
        <v>99.534341417164057</v>
      </c>
      <c r="F438" s="423"/>
      <c r="G438" s="645" t="s">
        <v>1424</v>
      </c>
      <c r="H438" s="357"/>
      <c r="I438" s="592">
        <v>101.86199999999999</v>
      </c>
      <c r="J438" s="331">
        <v>103498464</v>
      </c>
      <c r="K438" s="642">
        <f t="shared" si="32"/>
        <v>88.109315606735876</v>
      </c>
      <c r="L438" s="423"/>
      <c r="M438" s="54"/>
      <c r="N438" s="464"/>
      <c r="O438" s="533"/>
      <c r="P438" s="53"/>
      <c r="Q438" s="473"/>
      <c r="R438" s="435"/>
    </row>
    <row r="439" spans="1:18" ht="15">
      <c r="A439" s="662" t="s">
        <v>1456</v>
      </c>
      <c r="B439" s="360" t="s">
        <v>41</v>
      </c>
      <c r="C439" s="449">
        <v>39</v>
      </c>
      <c r="D439" s="338">
        <v>166049798</v>
      </c>
      <c r="E439" s="613">
        <f t="shared" si="31"/>
        <v>99.582485304428943</v>
      </c>
      <c r="F439" s="423"/>
      <c r="G439" s="645" t="s">
        <v>1429</v>
      </c>
      <c r="H439" s="360"/>
      <c r="I439" s="592">
        <v>605.1</v>
      </c>
      <c r="J439" s="331">
        <v>104739663</v>
      </c>
      <c r="K439" s="642">
        <f t="shared" si="32"/>
        <v>89.165961185763649</v>
      </c>
      <c r="L439" s="423"/>
      <c r="M439" s="264"/>
      <c r="N439" s="273"/>
      <c r="O439" s="533"/>
      <c r="P439" s="53"/>
      <c r="Q439" s="473"/>
      <c r="R439" s="435"/>
    </row>
    <row r="440" spans="1:18" ht="15">
      <c r="A440" s="670" t="s">
        <v>1416</v>
      </c>
      <c r="B440" s="357"/>
      <c r="C440" s="487">
        <v>4</v>
      </c>
      <c r="D440" s="87">
        <v>166112292</v>
      </c>
      <c r="E440" s="613">
        <f t="shared" si="31"/>
        <v>99.619963867556223</v>
      </c>
      <c r="F440" s="423"/>
      <c r="G440" s="645" t="s">
        <v>1456</v>
      </c>
      <c r="H440" s="354" t="s">
        <v>41</v>
      </c>
      <c r="I440" s="586">
        <v>31</v>
      </c>
      <c r="J440" s="331">
        <v>105455434</v>
      </c>
      <c r="K440" s="642">
        <f t="shared" si="32"/>
        <v>89.775304460086531</v>
      </c>
      <c r="L440" s="423"/>
      <c r="M440" s="54"/>
      <c r="N440" s="273"/>
      <c r="O440" s="533"/>
      <c r="P440" s="267"/>
      <c r="Q440" s="473"/>
      <c r="R440" s="435"/>
    </row>
    <row r="441" spans="1:18" ht="15">
      <c r="A441" s="669" t="s">
        <v>2045</v>
      </c>
      <c r="B441" s="360"/>
      <c r="C441" s="487">
        <v>17</v>
      </c>
      <c r="D441" s="87">
        <v>166236444</v>
      </c>
      <c r="E441" s="613">
        <f t="shared" si="31"/>
        <v>99.694419632419695</v>
      </c>
      <c r="F441" s="423"/>
      <c r="G441" s="662" t="s">
        <v>1419</v>
      </c>
      <c r="H441" s="348" t="s">
        <v>41</v>
      </c>
      <c r="I441" s="661">
        <v>111.1</v>
      </c>
      <c r="J441" s="331">
        <v>105519854</v>
      </c>
      <c r="K441" s="642">
        <f t="shared" si="32"/>
        <v>89.830145874074915</v>
      </c>
      <c r="L441" s="423"/>
      <c r="M441" s="403"/>
      <c r="N441" s="464"/>
      <c r="O441" s="533"/>
      <c r="P441" s="267"/>
      <c r="Q441" s="473"/>
      <c r="R441" s="435"/>
    </row>
    <row r="442" spans="1:18" ht="15">
      <c r="A442" s="662" t="s">
        <v>1423</v>
      </c>
      <c r="B442" s="360"/>
      <c r="C442" s="487">
        <v>378</v>
      </c>
      <c r="D442" s="1284">
        <v>166267182</v>
      </c>
      <c r="E442" s="613">
        <f t="shared" si="31"/>
        <v>99.712853659260773</v>
      </c>
      <c r="F442" s="423"/>
      <c r="G442" s="662" t="s">
        <v>2049</v>
      </c>
      <c r="H442" s="1274"/>
      <c r="I442" s="1285">
        <v>24</v>
      </c>
      <c r="J442" s="1272">
        <v>105779473</v>
      </c>
      <c r="K442" s="642">
        <f t="shared" si="32"/>
        <v>90.05116222083447</v>
      </c>
      <c r="L442" s="423"/>
      <c r="M442" s="403"/>
      <c r="N442" s="464"/>
      <c r="O442" s="533"/>
      <c r="P442" s="267"/>
      <c r="Q442" s="473"/>
      <c r="R442" s="435"/>
    </row>
    <row r="443" spans="1:18" ht="15">
      <c r="A443" s="673" t="s">
        <v>1427</v>
      </c>
      <c r="B443" s="355" t="s">
        <v>41</v>
      </c>
      <c r="C443" s="487">
        <v>4</v>
      </c>
      <c r="D443" s="87">
        <v>166391182</v>
      </c>
      <c r="E443" s="613">
        <f t="shared" si="31"/>
        <v>99.787218267507697</v>
      </c>
      <c r="F443" s="423"/>
      <c r="G443" s="1901" t="s">
        <v>1169</v>
      </c>
      <c r="H443" s="354"/>
      <c r="I443" s="586">
        <v>33.28</v>
      </c>
      <c r="J443" s="106">
        <v>106556750</v>
      </c>
      <c r="K443" s="642">
        <f t="shared" si="32"/>
        <v>90.712866190729684</v>
      </c>
      <c r="L443" s="423"/>
      <c r="M443" s="264"/>
      <c r="N443" s="464"/>
      <c r="O443" s="533"/>
      <c r="P443" s="267"/>
      <c r="Q443" s="473"/>
      <c r="R443" s="435"/>
    </row>
    <row r="444" spans="1:18" ht="15">
      <c r="A444" s="662" t="s">
        <v>1420</v>
      </c>
      <c r="B444" s="354" t="s">
        <v>41</v>
      </c>
      <c r="C444" s="487">
        <v>47.8</v>
      </c>
      <c r="D444" s="106">
        <v>166570992</v>
      </c>
      <c r="E444" s="613">
        <f t="shared" si="31"/>
        <v>99.895052946611543</v>
      </c>
      <c r="F444" s="423"/>
      <c r="G444" s="662" t="s">
        <v>1420</v>
      </c>
      <c r="H444" s="348" t="s">
        <v>41</v>
      </c>
      <c r="I444" s="449">
        <v>27.3</v>
      </c>
      <c r="J444" s="427">
        <v>106557596</v>
      </c>
      <c r="K444" s="642">
        <f t="shared" si="32"/>
        <v>90.713586399302088</v>
      </c>
      <c r="L444" s="423"/>
      <c r="M444" s="54"/>
      <c r="N444" s="464"/>
      <c r="O444" s="533"/>
      <c r="P444" s="53"/>
      <c r="Q444" s="473"/>
      <c r="R444" s="435"/>
    </row>
    <row r="445" spans="1:18" ht="15">
      <c r="A445" s="741" t="s">
        <v>1169</v>
      </c>
      <c r="B445" s="354"/>
      <c r="C445" s="487">
        <v>57.53</v>
      </c>
      <c r="D445" s="87">
        <v>166571085</v>
      </c>
      <c r="E445" s="613">
        <f t="shared" si="31"/>
        <v>99.895108720067725</v>
      </c>
      <c r="F445" s="423"/>
      <c r="G445" s="715" t="s">
        <v>1427</v>
      </c>
      <c r="H445" s="354" t="s">
        <v>41</v>
      </c>
      <c r="I445" s="602">
        <v>7</v>
      </c>
      <c r="J445" s="373">
        <v>107064856</v>
      </c>
      <c r="K445" s="616">
        <f t="shared" si="32"/>
        <v>91.145422097218074</v>
      </c>
      <c r="L445" s="423"/>
      <c r="M445" s="273"/>
      <c r="N445" s="464"/>
      <c r="O445" s="533"/>
      <c r="P445" s="53"/>
      <c r="Q445" s="473"/>
      <c r="R445" s="435"/>
    </row>
    <row r="446" spans="1:18" ht="15">
      <c r="A446" s="662" t="s">
        <v>1428</v>
      </c>
      <c r="B446" s="595"/>
      <c r="C446" s="487">
        <v>258</v>
      </c>
      <c r="D446" s="87">
        <v>166684227</v>
      </c>
      <c r="E446" s="613">
        <f t="shared" si="31"/>
        <v>99.962961627376373</v>
      </c>
      <c r="F446" s="423"/>
      <c r="G446" s="1288" t="s">
        <v>2045</v>
      </c>
      <c r="H446" s="355"/>
      <c r="I446" s="592">
        <v>12</v>
      </c>
      <c r="J446" s="331">
        <v>107348831</v>
      </c>
      <c r="K446" s="642">
        <f t="shared" si="32"/>
        <v>91.387172959331579</v>
      </c>
      <c r="L446" s="423"/>
      <c r="M446" s="273"/>
      <c r="N446" s="464"/>
      <c r="O446" s="533"/>
      <c r="P446" s="267"/>
      <c r="Q446" s="473"/>
      <c r="R446" s="435"/>
    </row>
    <row r="447" spans="1:18" ht="15">
      <c r="A447" s="683" t="s">
        <v>600</v>
      </c>
      <c r="B447" s="358"/>
      <c r="C447" s="487"/>
      <c r="D447" s="87">
        <v>166745987</v>
      </c>
      <c r="E447" s="613">
        <f t="shared" si="31"/>
        <v>100</v>
      </c>
      <c r="F447" s="423"/>
      <c r="G447" s="645" t="s">
        <v>1423</v>
      </c>
      <c r="H447" s="354"/>
      <c r="I447" s="592">
        <v>103</v>
      </c>
      <c r="J447" s="106">
        <v>107934008</v>
      </c>
      <c r="K447" s="642">
        <f t="shared" si="32"/>
        <v>91.885340207289985</v>
      </c>
      <c r="L447" s="423"/>
      <c r="M447" s="264"/>
      <c r="N447" s="464"/>
      <c r="O447" s="533"/>
      <c r="P447" s="53"/>
      <c r="Q447" s="473"/>
      <c r="R447" s="435"/>
    </row>
    <row r="448" spans="1:18" ht="15">
      <c r="A448" s="662" t="s">
        <v>2049</v>
      </c>
      <c r="B448" s="358"/>
      <c r="C448" s="487">
        <v>31</v>
      </c>
      <c r="D448" s="87">
        <v>166746137</v>
      </c>
      <c r="E448" s="613">
        <f t="shared" si="31"/>
        <v>100.0000899571874</v>
      </c>
      <c r="F448" s="423"/>
      <c r="G448" s="612" t="s">
        <v>1428</v>
      </c>
      <c r="H448" s="352"/>
      <c r="I448" s="592">
        <v>203</v>
      </c>
      <c r="J448" s="106">
        <v>108228241</v>
      </c>
      <c r="K448" s="642">
        <f t="shared" si="32"/>
        <v>92.135823811171463</v>
      </c>
      <c r="L448" s="423"/>
      <c r="M448" s="264"/>
      <c r="N448" s="403"/>
      <c r="O448" s="533"/>
      <c r="P448" s="53"/>
      <c r="Q448" s="473"/>
      <c r="R448" s="435"/>
    </row>
    <row r="449" spans="1:18" ht="15">
      <c r="A449" s="682" t="s">
        <v>1215</v>
      </c>
      <c r="B449" s="359"/>
      <c r="C449" s="487">
        <v>43.3</v>
      </c>
      <c r="D449" s="87">
        <v>167187700</v>
      </c>
      <c r="E449" s="613">
        <f t="shared" si="31"/>
        <v>100.26490172744008</v>
      </c>
      <c r="F449" s="423"/>
      <c r="G449" s="320" t="s">
        <v>1416</v>
      </c>
      <c r="H449" s="358"/>
      <c r="I449" s="586">
        <v>23</v>
      </c>
      <c r="J449" s="331">
        <v>109325166</v>
      </c>
      <c r="K449" s="642">
        <f t="shared" si="32"/>
        <v>93.06964743798315</v>
      </c>
      <c r="L449" s="423"/>
      <c r="M449" s="54"/>
      <c r="N449" s="54"/>
      <c r="O449" s="533"/>
      <c r="P449" s="267"/>
      <c r="Q449" s="473"/>
      <c r="R449" s="435"/>
    </row>
    <row r="450" spans="1:18" s="5" customFormat="1" ht="15">
      <c r="A450" s="679" t="s">
        <v>651</v>
      </c>
      <c r="B450" s="360"/>
      <c r="C450" s="487"/>
      <c r="D450" s="426" t="s">
        <v>548</v>
      </c>
      <c r="E450" s="443"/>
      <c r="F450" s="556"/>
      <c r="G450" s="388" t="s">
        <v>600</v>
      </c>
      <c r="H450" s="360"/>
      <c r="I450" s="592"/>
      <c r="J450" s="106">
        <v>117465972</v>
      </c>
      <c r="K450" s="642">
        <f t="shared" si="32"/>
        <v>100</v>
      </c>
      <c r="L450" s="557"/>
      <c r="M450" s="54"/>
      <c r="N450" s="464"/>
      <c r="O450" s="533"/>
      <c r="P450" s="53"/>
      <c r="Q450" s="473"/>
      <c r="R450" s="556"/>
    </row>
    <row r="451" spans="1:18" s="5" customFormat="1" ht="15">
      <c r="A451" s="264"/>
      <c r="B451" s="54"/>
      <c r="C451" s="54"/>
      <c r="D451" s="53"/>
      <c r="E451" s="473"/>
      <c r="F451" s="556"/>
      <c r="G451" s="603"/>
      <c r="H451" s="378"/>
      <c r="I451" s="378"/>
      <c r="J451" s="96"/>
      <c r="K451" s="473"/>
      <c r="L451" s="557"/>
      <c r="M451" s="54"/>
      <c r="N451" s="54"/>
      <c r="O451" s="54"/>
      <c r="P451" s="53"/>
      <c r="Q451" s="473"/>
      <c r="R451" s="556"/>
    </row>
    <row r="452" spans="1:18" s="5" customFormat="1" ht="17.25">
      <c r="A452" s="264"/>
      <c r="B452" s="713" t="s">
        <v>1432</v>
      </c>
      <c r="C452" s="54"/>
      <c r="D452" s="53"/>
      <c r="E452" s="473"/>
      <c r="F452" s="556"/>
      <c r="G452" s="603"/>
      <c r="H452" s="378"/>
      <c r="I452" s="378"/>
      <c r="J452" s="96"/>
      <c r="K452" s="473"/>
      <c r="L452" s="557"/>
      <c r="M452" s="54"/>
      <c r="N452" s="54"/>
      <c r="O452" s="54"/>
      <c r="P452" s="53"/>
      <c r="Q452" s="473"/>
      <c r="R452" s="556"/>
    </row>
    <row r="453" spans="1:18" s="5" customFormat="1" ht="17.25">
      <c r="A453" s="90"/>
      <c r="B453" s="283" t="s">
        <v>1271</v>
      </c>
      <c r="C453" s="90"/>
      <c r="D453" s="604"/>
      <c r="E453" s="473"/>
      <c r="F453" s="556"/>
      <c r="G453" s="54"/>
      <c r="H453" s="54"/>
      <c r="I453" s="54"/>
      <c r="J453" s="53"/>
      <c r="K453" s="473"/>
      <c r="L453" s="557"/>
      <c r="M453" s="94"/>
      <c r="N453" s="94"/>
      <c r="O453" s="94"/>
      <c r="P453" s="96"/>
      <c r="Q453" s="473"/>
      <c r="R453" s="556"/>
    </row>
    <row r="454" spans="1:18" s="5" customFormat="1" ht="17.25">
      <c r="A454" s="90"/>
      <c r="B454" s="55" t="s">
        <v>1465</v>
      </c>
      <c r="C454" s="90"/>
      <c r="D454" s="604"/>
      <c r="E454" s="473"/>
      <c r="F454" s="556"/>
      <c r="G454" s="54"/>
      <c r="H454" s="54"/>
      <c r="I454" s="54"/>
      <c r="J454" s="53"/>
      <c r="K454" s="473"/>
      <c r="L454" s="557"/>
      <c r="M454" s="94"/>
      <c r="N454" s="94"/>
      <c r="O454" s="94"/>
      <c r="P454" s="96"/>
      <c r="Q454" s="473"/>
      <c r="R454" s="556"/>
    </row>
    <row r="455" spans="1:18" s="5" customFormat="1" ht="17.25">
      <c r="A455" s="90"/>
      <c r="B455" s="55"/>
      <c r="C455" s="90"/>
      <c r="D455" s="604"/>
      <c r="E455" s="473"/>
      <c r="F455" s="556"/>
      <c r="G455" s="54"/>
      <c r="H455" s="54"/>
      <c r="I455" s="54"/>
      <c r="J455" s="53"/>
      <c r="K455" s="473"/>
      <c r="L455" s="557"/>
      <c r="M455" s="94"/>
      <c r="N455" s="94"/>
      <c r="O455" s="94"/>
      <c r="P455" s="96"/>
      <c r="Q455" s="473"/>
      <c r="R455" s="556"/>
    </row>
    <row r="456" spans="1:18" s="5" customFormat="1" ht="15">
      <c r="A456" s="90"/>
      <c r="B456" s="90"/>
      <c r="C456" s="90"/>
      <c r="D456" s="604"/>
      <c r="E456" s="473"/>
      <c r="F456" s="556"/>
      <c r="G456" s="54"/>
      <c r="H456" s="54"/>
      <c r="I456" s="54"/>
      <c r="J456" s="53"/>
      <c r="K456" s="473"/>
      <c r="L456" s="557"/>
      <c r="M456" s="94"/>
      <c r="N456" s="94"/>
      <c r="O456" s="94"/>
      <c r="P456" s="96"/>
      <c r="Q456" s="473"/>
      <c r="R456" s="556"/>
    </row>
    <row r="457" spans="1:18" s="5" customFormat="1" ht="20.25">
      <c r="A457" s="816" t="s">
        <v>1422</v>
      </c>
      <c r="B457" s="423"/>
      <c r="C457" s="423"/>
      <c r="D457" s="423"/>
      <c r="E457" s="434"/>
      <c r="F457" s="423"/>
      <c r="G457" s="380"/>
      <c r="H457" s="380"/>
      <c r="I457" s="380"/>
      <c r="J457" s="380"/>
      <c r="K457" s="380"/>
      <c r="L457" s="380"/>
      <c r="M457" s="380"/>
      <c r="N457" s="423"/>
      <c r="O457" s="423"/>
      <c r="P457" s="423"/>
      <c r="Q457" s="434"/>
      <c r="R457" s="556"/>
    </row>
    <row r="458" spans="1:18" s="5" customFormat="1" ht="15.75" thickBot="1">
      <c r="A458" s="605"/>
      <c r="B458" s="477"/>
      <c r="C458" s="477"/>
      <c r="D458" s="477"/>
      <c r="E458" s="478"/>
      <c r="F458" s="477"/>
      <c r="G458" s="606"/>
      <c r="H458" s="381"/>
      <c r="I458" s="381"/>
      <c r="J458" s="381"/>
      <c r="K458" s="381"/>
      <c r="L458" s="381"/>
      <c r="M458" s="381"/>
      <c r="N458" s="477"/>
      <c r="O458" s="477"/>
      <c r="P458" s="477"/>
      <c r="Q458" s="478"/>
      <c r="R458" s="556"/>
    </row>
    <row r="459" spans="1:18" s="5" customFormat="1" ht="15.75" thickTop="1">
      <c r="A459" s="509"/>
      <c r="B459" s="805"/>
      <c r="C459" s="805"/>
      <c r="D459" s="805"/>
      <c r="E459" s="596"/>
      <c r="F459" s="805"/>
      <c r="G459" s="429"/>
      <c r="H459" s="380"/>
      <c r="I459" s="380"/>
      <c r="J459" s="380"/>
      <c r="K459" s="380"/>
      <c r="L459" s="380"/>
      <c r="M459" s="380"/>
      <c r="N459" s="805"/>
      <c r="O459" s="805"/>
      <c r="P459" s="805"/>
      <c r="Q459" s="596"/>
      <c r="R459" s="556"/>
    </row>
    <row r="460" spans="1:18" s="5" customFormat="1" ht="15">
      <c r="A460" s="815" t="s">
        <v>601</v>
      </c>
      <c r="B460" s="90"/>
      <c r="C460" s="90"/>
      <c r="D460" s="604"/>
      <c r="E460" s="473"/>
      <c r="F460" s="556"/>
      <c r="G460" s="54"/>
      <c r="H460" s="54"/>
      <c r="I460" s="54"/>
      <c r="J460" s="53"/>
      <c r="K460" s="473"/>
      <c r="L460" s="557"/>
      <c r="M460" s="94"/>
      <c r="N460" s="94"/>
      <c r="O460" s="94"/>
      <c r="P460" s="96"/>
      <c r="Q460" s="473"/>
      <c r="R460" s="556"/>
    </row>
    <row r="461" spans="1:18" s="5" customFormat="1" ht="15">
      <c r="A461" s="3183" t="s">
        <v>602</v>
      </c>
      <c r="B461" s="3178"/>
      <c r="C461" s="3178"/>
      <c r="D461" s="3178"/>
      <c r="E461" s="3179"/>
      <c r="F461" s="556"/>
      <c r="G461" s="3177" t="s">
        <v>602</v>
      </c>
      <c r="H461" s="3178"/>
      <c r="I461" s="3178"/>
      <c r="J461" s="3178"/>
      <c r="K461" s="3179"/>
      <c r="L461" s="557"/>
      <c r="M461" s="3177" t="s">
        <v>602</v>
      </c>
      <c r="N461" s="3178"/>
      <c r="O461" s="3178"/>
      <c r="P461" s="3178"/>
      <c r="Q461" s="3179"/>
      <c r="R461" s="556"/>
    </row>
    <row r="462" spans="1:18" s="5" customFormat="1" ht="90">
      <c r="A462" s="325" t="s">
        <v>603</v>
      </c>
      <c r="B462" s="342"/>
      <c r="C462" s="342"/>
      <c r="D462" s="326">
        <v>39934272</v>
      </c>
      <c r="E462" s="628">
        <f t="shared" ref="E462:E486" si="33">(D462*100/39934272)</f>
        <v>100</v>
      </c>
      <c r="F462" s="556"/>
      <c r="G462" s="325" t="s">
        <v>604</v>
      </c>
      <c r="H462" s="342"/>
      <c r="I462" s="342"/>
      <c r="J462" s="326">
        <v>141840000</v>
      </c>
      <c r="K462" s="628">
        <f t="shared" ref="K462:K486" si="34">(J462*100/141840000)</f>
        <v>100</v>
      </c>
      <c r="L462" s="557"/>
      <c r="M462" s="325" t="s">
        <v>605</v>
      </c>
      <c r="N462" s="342"/>
      <c r="O462" s="342"/>
      <c r="P462" s="326">
        <v>194118968</v>
      </c>
      <c r="Q462" s="628">
        <f t="shared" ref="Q462:Q486" si="35">(P462*100/194118968)</f>
        <v>100</v>
      </c>
      <c r="R462" s="556"/>
    </row>
    <row r="463" spans="1:18" s="5" customFormat="1" ht="15">
      <c r="A463" s="1902" t="s">
        <v>927</v>
      </c>
      <c r="B463" s="348" t="s">
        <v>41</v>
      </c>
      <c r="C463" s="607">
        <v>507.62</v>
      </c>
      <c r="D463" s="330">
        <v>34888345</v>
      </c>
      <c r="E463" s="628">
        <f t="shared" si="33"/>
        <v>87.36441971447482</v>
      </c>
      <c r="F463" s="556"/>
      <c r="G463" s="649" t="s">
        <v>1424</v>
      </c>
      <c r="H463" s="599"/>
      <c r="I463" s="607">
        <v>73.826999999999998</v>
      </c>
      <c r="J463" s="367">
        <v>110259136</v>
      </c>
      <c r="K463" s="628">
        <f t="shared" si="34"/>
        <v>77.734867456288782</v>
      </c>
      <c r="L463" s="557"/>
      <c r="M463" s="657" t="s">
        <v>122</v>
      </c>
      <c r="N463" s="599"/>
      <c r="O463" s="607">
        <v>4867.75</v>
      </c>
      <c r="P463" s="330">
        <v>144970494</v>
      </c>
      <c r="Q463" s="628">
        <f t="shared" si="35"/>
        <v>74.681261441694872</v>
      </c>
      <c r="R463" s="556"/>
    </row>
    <row r="464" spans="1:18" s="5" customFormat="1" ht="15">
      <c r="A464" s="662" t="s">
        <v>122</v>
      </c>
      <c r="B464" s="347"/>
      <c r="C464" s="351">
        <v>974.6</v>
      </c>
      <c r="D464" s="334">
        <v>35317296</v>
      </c>
      <c r="E464" s="628">
        <f t="shared" si="33"/>
        <v>88.438562245481776</v>
      </c>
      <c r="F464" s="556"/>
      <c r="G464" s="658" t="s">
        <v>557</v>
      </c>
      <c r="H464" s="347"/>
      <c r="I464" s="351">
        <v>197.078</v>
      </c>
      <c r="J464" s="334">
        <v>110318188</v>
      </c>
      <c r="K464" s="628">
        <f t="shared" si="34"/>
        <v>77.776500282007902</v>
      </c>
      <c r="L464" s="557"/>
      <c r="M464" s="651" t="s">
        <v>1425</v>
      </c>
      <c r="N464" s="348"/>
      <c r="O464" s="351">
        <v>1433.25</v>
      </c>
      <c r="P464" s="334">
        <v>145765069</v>
      </c>
      <c r="Q464" s="628">
        <f t="shared" si="35"/>
        <v>75.090585171460418</v>
      </c>
      <c r="R464" s="556"/>
    </row>
    <row r="465" spans="1:18" s="5" customFormat="1" ht="15">
      <c r="A465" s="662" t="s">
        <v>1424</v>
      </c>
      <c r="B465" s="359"/>
      <c r="C465" s="346">
        <v>22.954999999999998</v>
      </c>
      <c r="D465" s="331">
        <v>35613408</v>
      </c>
      <c r="E465" s="628">
        <f t="shared" si="33"/>
        <v>89.180060675702308</v>
      </c>
      <c r="F465" s="556"/>
      <c r="G465" s="656" t="s">
        <v>122</v>
      </c>
      <c r="H465" s="359"/>
      <c r="I465" s="344">
        <v>3764.4</v>
      </c>
      <c r="J465" s="106">
        <v>112233987</v>
      </c>
      <c r="K465" s="628">
        <f t="shared" si="34"/>
        <v>79.127176395939088</v>
      </c>
      <c r="L465" s="557"/>
      <c r="M465" s="645" t="s">
        <v>1424</v>
      </c>
      <c r="N465" s="359"/>
      <c r="O465" s="346">
        <v>79.028000000000006</v>
      </c>
      <c r="P465" s="331">
        <v>149315056</v>
      </c>
      <c r="Q465" s="628">
        <f t="shared" si="35"/>
        <v>76.91935390878443</v>
      </c>
      <c r="R465" s="556"/>
    </row>
    <row r="466" spans="1:18" s="5" customFormat="1" ht="15">
      <c r="A466" s="662" t="s">
        <v>1425</v>
      </c>
      <c r="B466" s="348" t="s">
        <v>41</v>
      </c>
      <c r="C466" s="349">
        <v>313.89</v>
      </c>
      <c r="D466" s="370">
        <v>35724580</v>
      </c>
      <c r="E466" s="628">
        <f t="shared" si="33"/>
        <v>89.458448121953992</v>
      </c>
      <c r="F466" s="556"/>
      <c r="G466" s="645" t="s">
        <v>1423</v>
      </c>
      <c r="H466" s="348"/>
      <c r="I466" s="349">
        <v>82</v>
      </c>
      <c r="J466" s="370">
        <v>112671801</v>
      </c>
      <c r="K466" s="628">
        <f t="shared" si="34"/>
        <v>79.435843908629437</v>
      </c>
      <c r="L466" s="557"/>
      <c r="M466" s="651" t="s">
        <v>1426</v>
      </c>
      <c r="N466" s="347"/>
      <c r="O466" s="349">
        <v>329.69</v>
      </c>
      <c r="P466" s="332">
        <v>149487889</v>
      </c>
      <c r="Q466" s="628">
        <f t="shared" si="35"/>
        <v>77.008388484735818</v>
      </c>
      <c r="R466" s="556"/>
    </row>
    <row r="467" spans="1:18" s="5" customFormat="1" ht="15">
      <c r="A467" s="662" t="s">
        <v>1426</v>
      </c>
      <c r="B467" s="347"/>
      <c r="C467" s="346">
        <v>66.33</v>
      </c>
      <c r="D467" s="331">
        <v>36022011</v>
      </c>
      <c r="E467" s="628">
        <f t="shared" si="33"/>
        <v>90.203249479544795</v>
      </c>
      <c r="F467" s="556"/>
      <c r="G467" s="651" t="s">
        <v>1425</v>
      </c>
      <c r="H467" s="354"/>
      <c r="I467" s="346">
        <v>1073.57</v>
      </c>
      <c r="J467" s="106">
        <v>113261896</v>
      </c>
      <c r="K467" s="628">
        <f t="shared" si="34"/>
        <v>79.851872532430903</v>
      </c>
      <c r="L467" s="557"/>
      <c r="M467" s="645" t="s">
        <v>2049</v>
      </c>
      <c r="N467" s="359"/>
      <c r="O467" s="346">
        <v>37</v>
      </c>
      <c r="P467" s="331">
        <v>151454478</v>
      </c>
      <c r="Q467" s="628">
        <f t="shared" si="35"/>
        <v>78.021472893880215</v>
      </c>
      <c r="R467" s="556"/>
    </row>
    <row r="468" spans="1:18" s="5" customFormat="1" ht="15">
      <c r="A468" s="662" t="s">
        <v>1456</v>
      </c>
      <c r="B468" s="354" t="s">
        <v>41</v>
      </c>
      <c r="C468" s="344">
        <v>8</v>
      </c>
      <c r="D468" s="331">
        <v>36954342</v>
      </c>
      <c r="E468" s="628">
        <f t="shared" si="33"/>
        <v>92.537913299133137</v>
      </c>
      <c r="F468" s="556"/>
      <c r="G468" s="651" t="s">
        <v>1426</v>
      </c>
      <c r="H468" s="359"/>
      <c r="I468" s="346">
        <v>243.48</v>
      </c>
      <c r="J468" s="106">
        <v>114572726</v>
      </c>
      <c r="K468" s="628">
        <f t="shared" si="34"/>
        <v>80.776033558939645</v>
      </c>
      <c r="L468" s="557"/>
      <c r="M468" s="645" t="s">
        <v>1456</v>
      </c>
      <c r="N468" s="354" t="s">
        <v>41</v>
      </c>
      <c r="O468" s="344">
        <v>49</v>
      </c>
      <c r="P468" s="331">
        <v>152321987</v>
      </c>
      <c r="Q468" s="628">
        <f t="shared" si="35"/>
        <v>78.468368428581385</v>
      </c>
      <c r="R468" s="556"/>
    </row>
    <row r="469" spans="1:18" s="5" customFormat="1" ht="15">
      <c r="A469" s="746" t="s">
        <v>694</v>
      </c>
      <c r="B469" s="359"/>
      <c r="C469" s="346">
        <v>50.4</v>
      </c>
      <c r="D469" s="331">
        <v>36966741</v>
      </c>
      <c r="E469" s="616">
        <f t="shared" si="33"/>
        <v>92.568961818059435</v>
      </c>
      <c r="F469" s="556"/>
      <c r="G469" s="645" t="s">
        <v>1456</v>
      </c>
      <c r="H469" s="354" t="s">
        <v>41</v>
      </c>
      <c r="I469" s="344">
        <v>40</v>
      </c>
      <c r="J469" s="106">
        <v>115505875</v>
      </c>
      <c r="K469" s="628">
        <f t="shared" si="34"/>
        <v>81.433922024816695</v>
      </c>
      <c r="L469" s="557"/>
      <c r="M469" s="653" t="s">
        <v>1427</v>
      </c>
      <c r="N469" s="355" t="s">
        <v>41</v>
      </c>
      <c r="O469" s="346">
        <v>9</v>
      </c>
      <c r="P469" s="331">
        <v>155670346</v>
      </c>
      <c r="Q469" s="616">
        <f t="shared" si="35"/>
        <v>80.193268903016218</v>
      </c>
      <c r="R469" s="556"/>
    </row>
    <row r="470" spans="1:18" s="5" customFormat="1" ht="15">
      <c r="A470" s="662" t="s">
        <v>2049</v>
      </c>
      <c r="B470" s="591"/>
      <c r="C470" s="351">
        <v>8</v>
      </c>
      <c r="D470" s="336">
        <v>37033099</v>
      </c>
      <c r="E470" s="628">
        <f t="shared" si="33"/>
        <v>92.735129865394811</v>
      </c>
      <c r="F470" s="556"/>
      <c r="G470" s="551" t="s">
        <v>927</v>
      </c>
      <c r="H470" s="348" t="s">
        <v>41</v>
      </c>
      <c r="I470" s="346">
        <v>1772.6</v>
      </c>
      <c r="J470" s="331">
        <v>117798172</v>
      </c>
      <c r="K470" s="628">
        <f t="shared" si="34"/>
        <v>83.05003666102651</v>
      </c>
      <c r="L470" s="557"/>
      <c r="M470" s="645" t="s">
        <v>1429</v>
      </c>
      <c r="N470" s="354"/>
      <c r="O470" s="346">
        <v>838.3</v>
      </c>
      <c r="P470" s="331">
        <v>155730049</v>
      </c>
      <c r="Q470" s="628">
        <f t="shared" si="35"/>
        <v>80.2240247846362</v>
      </c>
      <c r="R470" s="556"/>
    </row>
    <row r="471" spans="1:18" s="5" customFormat="1" ht="15">
      <c r="A471" s="662" t="s">
        <v>1419</v>
      </c>
      <c r="B471" s="348" t="s">
        <v>41</v>
      </c>
      <c r="C471" s="346">
        <v>24.96</v>
      </c>
      <c r="D471" s="106">
        <v>37052117</v>
      </c>
      <c r="E471" s="628">
        <f t="shared" si="33"/>
        <v>92.782753119926667</v>
      </c>
      <c r="F471" s="556"/>
      <c r="G471" s="662" t="s">
        <v>1419</v>
      </c>
      <c r="H471" s="348" t="s">
        <v>41</v>
      </c>
      <c r="I471" s="346">
        <v>115.23</v>
      </c>
      <c r="J471" s="106">
        <v>118056831</v>
      </c>
      <c r="K471" s="628">
        <f t="shared" si="34"/>
        <v>83.232396362098143</v>
      </c>
      <c r="L471" s="557"/>
      <c r="M471" s="645" t="s">
        <v>1423</v>
      </c>
      <c r="N471" s="355"/>
      <c r="O471" s="351">
        <v>156</v>
      </c>
      <c r="P471" s="334">
        <v>156562243</v>
      </c>
      <c r="Q471" s="628">
        <f t="shared" si="35"/>
        <v>80.652727867376669</v>
      </c>
      <c r="R471" s="556"/>
    </row>
    <row r="472" spans="1:18" s="5" customFormat="1" ht="15">
      <c r="A472" s="669" t="s">
        <v>1412</v>
      </c>
      <c r="B472" s="354"/>
      <c r="C472" s="344">
        <v>34.700000000000003</v>
      </c>
      <c r="D472" s="106">
        <v>37241935</v>
      </c>
      <c r="E472" s="628">
        <f t="shared" si="33"/>
        <v>93.258079175701511</v>
      </c>
      <c r="F472" s="556"/>
      <c r="G472" s="645" t="s">
        <v>2049</v>
      </c>
      <c r="H472" s="589"/>
      <c r="I472" s="351">
        <v>31</v>
      </c>
      <c r="J472" s="336">
        <v>118536055</v>
      </c>
      <c r="K472" s="628">
        <f t="shared" si="34"/>
        <v>83.570258742244789</v>
      </c>
      <c r="L472" s="557"/>
      <c r="M472" s="741" t="s">
        <v>694</v>
      </c>
      <c r="N472" s="354"/>
      <c r="O472" s="346">
        <v>293.26</v>
      </c>
      <c r="P472" s="331">
        <v>160123152</v>
      </c>
      <c r="Q472" s="628">
        <f t="shared" si="35"/>
        <v>82.487123051262046</v>
      </c>
      <c r="R472" s="556"/>
    </row>
    <row r="473" spans="1:18" s="5" customFormat="1" ht="15">
      <c r="A473" s="686" t="s">
        <v>1215</v>
      </c>
      <c r="B473" s="355"/>
      <c r="C473" s="351">
        <v>34.14</v>
      </c>
      <c r="D473" s="334">
        <v>37386848</v>
      </c>
      <c r="E473" s="616">
        <f t="shared" si="33"/>
        <v>93.620957958116776</v>
      </c>
      <c r="F473" s="556"/>
      <c r="G473" s="659" t="s">
        <v>1429</v>
      </c>
      <c r="H473" s="355"/>
      <c r="I473" s="351">
        <v>524.20000000000005</v>
      </c>
      <c r="J473" s="334">
        <v>118696360</v>
      </c>
      <c r="K473" s="616">
        <f t="shared" si="34"/>
        <v>83.683276931754094</v>
      </c>
      <c r="L473" s="557"/>
      <c r="M473" s="662" t="s">
        <v>1419</v>
      </c>
      <c r="N473" s="348" t="s">
        <v>41</v>
      </c>
      <c r="O473" s="351">
        <v>194.86</v>
      </c>
      <c r="P473" s="334">
        <v>160361751</v>
      </c>
      <c r="Q473" s="616">
        <f t="shared" si="35"/>
        <v>82.610036851215895</v>
      </c>
      <c r="R473" s="556"/>
    </row>
    <row r="474" spans="1:18" s="5" customFormat="1" ht="15">
      <c r="A474" s="741" t="s">
        <v>1418</v>
      </c>
      <c r="B474" s="354" t="s">
        <v>41</v>
      </c>
      <c r="C474" s="346">
        <v>36.090000000000003</v>
      </c>
      <c r="D474" s="331">
        <v>37419871</v>
      </c>
      <c r="E474" s="628">
        <f t="shared" si="33"/>
        <v>93.703651339881688</v>
      </c>
      <c r="F474" s="556"/>
      <c r="G474" s="741" t="s">
        <v>694</v>
      </c>
      <c r="H474" s="354"/>
      <c r="I474" s="346">
        <v>167.8</v>
      </c>
      <c r="J474" s="106">
        <v>118882105</v>
      </c>
      <c r="K474" s="628">
        <f t="shared" si="34"/>
        <v>83.814230823463063</v>
      </c>
      <c r="L474" s="557"/>
      <c r="M474" s="88" t="s">
        <v>606</v>
      </c>
      <c r="N474" s="354" t="s">
        <v>41</v>
      </c>
      <c r="O474" s="344">
        <v>0</v>
      </c>
      <c r="P474" s="106">
        <v>165603777</v>
      </c>
      <c r="Q474" s="628">
        <f t="shared" si="35"/>
        <v>85.310456111635617</v>
      </c>
      <c r="R474" s="556"/>
    </row>
    <row r="475" spans="1:18" s="5" customFormat="1" ht="15">
      <c r="A475" s="771" t="s">
        <v>700</v>
      </c>
      <c r="B475" s="360" t="s">
        <v>41</v>
      </c>
      <c r="C475" s="346">
        <v>114.84</v>
      </c>
      <c r="D475" s="106">
        <v>37470320</v>
      </c>
      <c r="E475" s="628">
        <f t="shared" si="33"/>
        <v>93.829981425478351</v>
      </c>
      <c r="F475" s="556"/>
      <c r="G475" s="653" t="s">
        <v>1427</v>
      </c>
      <c r="H475" s="355" t="s">
        <v>41</v>
      </c>
      <c r="I475" s="344">
        <v>8</v>
      </c>
      <c r="J475" s="331">
        <v>120394722</v>
      </c>
      <c r="K475" s="628">
        <f t="shared" si="34"/>
        <v>84.880655668358713</v>
      </c>
      <c r="L475" s="557"/>
      <c r="M475" s="551" t="s">
        <v>927</v>
      </c>
      <c r="N475" s="348" t="s">
        <v>41</v>
      </c>
      <c r="O475" s="344">
        <v>2439.7199999999998</v>
      </c>
      <c r="P475" s="106">
        <v>165651013</v>
      </c>
      <c r="Q475" s="628">
        <f t="shared" si="35"/>
        <v>85.33478964301932</v>
      </c>
      <c r="R475" s="556"/>
    </row>
    <row r="476" spans="1:18" s="5" customFormat="1" ht="15">
      <c r="A476" s="662" t="s">
        <v>1429</v>
      </c>
      <c r="B476" s="348"/>
      <c r="C476" s="353">
        <v>188</v>
      </c>
      <c r="D476" s="371">
        <v>37669073</v>
      </c>
      <c r="E476" s="644">
        <f t="shared" si="33"/>
        <v>94.327681746646093</v>
      </c>
      <c r="F476" s="556"/>
      <c r="G476" s="846" t="s">
        <v>2045</v>
      </c>
      <c r="H476" s="348"/>
      <c r="I476" s="353">
        <v>12</v>
      </c>
      <c r="J476" s="335">
        <v>121673279</v>
      </c>
      <c r="K476" s="644">
        <f t="shared" si="34"/>
        <v>85.782063592780602</v>
      </c>
      <c r="L476" s="557"/>
      <c r="M476" s="647" t="s">
        <v>2045</v>
      </c>
      <c r="N476" s="348"/>
      <c r="O476" s="600">
        <v>20</v>
      </c>
      <c r="P476" s="335">
        <v>168847203</v>
      </c>
      <c r="Q476" s="644">
        <f t="shared" si="35"/>
        <v>86.98130055997413</v>
      </c>
      <c r="R476" s="556"/>
    </row>
    <row r="477" spans="1:18" s="5" customFormat="1" ht="15">
      <c r="A477" s="679" t="s">
        <v>557</v>
      </c>
      <c r="B477" s="347"/>
      <c r="C477" s="346">
        <v>61.921999999999997</v>
      </c>
      <c r="D477" s="106">
        <v>37781467</v>
      </c>
      <c r="E477" s="628">
        <f t="shared" si="33"/>
        <v>94.609129221136172</v>
      </c>
      <c r="F477" s="556"/>
      <c r="G477" s="88" t="s">
        <v>606</v>
      </c>
      <c r="H477" s="354" t="s">
        <v>41</v>
      </c>
      <c r="I477" s="346">
        <v>0</v>
      </c>
      <c r="J477" s="106">
        <v>121995069</v>
      </c>
      <c r="K477" s="628">
        <f t="shared" si="34"/>
        <v>86.008931895093056</v>
      </c>
      <c r="L477" s="557"/>
      <c r="M477" s="612" t="s">
        <v>1428</v>
      </c>
      <c r="N477" s="352"/>
      <c r="O477" s="344">
        <v>246</v>
      </c>
      <c r="P477" s="106">
        <v>171147620</v>
      </c>
      <c r="Q477" s="628">
        <f t="shared" si="35"/>
        <v>88.166355798883089</v>
      </c>
      <c r="R477" s="556"/>
    </row>
    <row r="478" spans="1:18" s="5" customFormat="1" ht="15">
      <c r="A478" s="669" t="s">
        <v>2045</v>
      </c>
      <c r="B478" s="360"/>
      <c r="C478" s="344">
        <v>2</v>
      </c>
      <c r="D478" s="106">
        <v>38193698</v>
      </c>
      <c r="E478" s="628">
        <f t="shared" si="33"/>
        <v>95.641402953332914</v>
      </c>
      <c r="F478" s="556"/>
      <c r="G478" s="612" t="s">
        <v>1428</v>
      </c>
      <c r="H478" s="352"/>
      <c r="I478" s="346">
        <v>197</v>
      </c>
      <c r="J478" s="106">
        <v>125876403</v>
      </c>
      <c r="K478" s="628">
        <f t="shared" si="34"/>
        <v>88.745348984771567</v>
      </c>
      <c r="L478" s="557"/>
      <c r="M478" s="551" t="s">
        <v>1418</v>
      </c>
      <c r="N478" s="348" t="s">
        <v>41</v>
      </c>
      <c r="O478" s="346">
        <v>196.53</v>
      </c>
      <c r="P478" s="331">
        <v>177085275</v>
      </c>
      <c r="Q478" s="628">
        <f t="shared" si="35"/>
        <v>91.225126954105789</v>
      </c>
      <c r="R478" s="556"/>
    </row>
    <row r="479" spans="1:18" s="5" customFormat="1" ht="15">
      <c r="A479" s="662" t="s">
        <v>1423</v>
      </c>
      <c r="B479" s="360"/>
      <c r="C479" s="661">
        <v>29</v>
      </c>
      <c r="D479" s="1272">
        <v>38524607</v>
      </c>
      <c r="E479" s="628">
        <f t="shared" si="33"/>
        <v>96.470037064905057</v>
      </c>
      <c r="F479" s="556"/>
      <c r="G479" s="669" t="s">
        <v>1412</v>
      </c>
      <c r="H479" s="360"/>
      <c r="I479" s="1286">
        <v>132.69999999999999</v>
      </c>
      <c r="J479" s="1272">
        <v>126738650</v>
      </c>
      <c r="K479" s="628">
        <f t="shared" si="34"/>
        <v>89.353250141003954</v>
      </c>
      <c r="L479" s="557"/>
      <c r="M479" s="669" t="s">
        <v>1412</v>
      </c>
      <c r="N479" s="497"/>
      <c r="O479" s="1286">
        <v>184.8</v>
      </c>
      <c r="P479" s="1272">
        <v>177436221</v>
      </c>
      <c r="Q479" s="628">
        <f t="shared" si="35"/>
        <v>91.405916087499492</v>
      </c>
      <c r="R479" s="556"/>
    </row>
    <row r="480" spans="1:18" s="5" customFormat="1" ht="15">
      <c r="A480" s="670" t="s">
        <v>1416</v>
      </c>
      <c r="B480" s="362"/>
      <c r="C480" s="587">
        <v>4</v>
      </c>
      <c r="D480" s="336">
        <v>38539746</v>
      </c>
      <c r="E480" s="616">
        <f t="shared" si="33"/>
        <v>96.507946858277521</v>
      </c>
      <c r="F480" s="556"/>
      <c r="G480" s="825" t="s">
        <v>700</v>
      </c>
      <c r="H480" s="360" t="s">
        <v>41</v>
      </c>
      <c r="I480" s="351">
        <v>90.9</v>
      </c>
      <c r="J480" s="334">
        <v>127266618</v>
      </c>
      <c r="K480" s="616">
        <f t="shared" si="34"/>
        <v>89.725478003384097</v>
      </c>
      <c r="L480" s="557"/>
      <c r="M480" s="88" t="s">
        <v>557</v>
      </c>
      <c r="N480" s="357"/>
      <c r="O480" s="351">
        <v>307.89100000000002</v>
      </c>
      <c r="P480" s="334">
        <v>178957506</v>
      </c>
      <c r="Q480" s="616">
        <f t="shared" si="35"/>
        <v>92.189603027355886</v>
      </c>
      <c r="R480" s="556"/>
    </row>
    <row r="481" spans="1:18" s="5" customFormat="1" ht="15">
      <c r="A481" s="673" t="s">
        <v>1427</v>
      </c>
      <c r="B481" s="355" t="s">
        <v>41</v>
      </c>
      <c r="C481" s="344">
        <v>2</v>
      </c>
      <c r="D481" s="331">
        <v>38974426</v>
      </c>
      <c r="E481" s="628">
        <f t="shared" si="33"/>
        <v>97.596435462752396</v>
      </c>
      <c r="F481" s="556"/>
      <c r="G481" s="551" t="s">
        <v>1418</v>
      </c>
      <c r="H481" s="354" t="s">
        <v>41</v>
      </c>
      <c r="I481" s="344">
        <v>155.24</v>
      </c>
      <c r="J481" s="106">
        <v>127298664</v>
      </c>
      <c r="K481" s="628">
        <f t="shared" si="34"/>
        <v>89.748071065989848</v>
      </c>
      <c r="L481" s="557"/>
      <c r="M481" s="825" t="s">
        <v>700</v>
      </c>
      <c r="N481" s="360" t="s">
        <v>41</v>
      </c>
      <c r="O481" s="344">
        <v>133.56</v>
      </c>
      <c r="P481" s="106">
        <v>182647362</v>
      </c>
      <c r="Q481" s="628">
        <f t="shared" si="35"/>
        <v>94.090425001641265</v>
      </c>
      <c r="R481" s="556"/>
    </row>
    <row r="482" spans="1:18" s="5" customFormat="1" ht="15">
      <c r="A482" s="741" t="s">
        <v>1169</v>
      </c>
      <c r="B482" s="354"/>
      <c r="C482" s="344">
        <v>12.39</v>
      </c>
      <c r="D482" s="106">
        <v>39015709</v>
      </c>
      <c r="E482" s="628">
        <f t="shared" si="33"/>
        <v>97.69981283244627</v>
      </c>
      <c r="F482" s="556"/>
      <c r="G482" s="400" t="s">
        <v>1215</v>
      </c>
      <c r="H482" s="354"/>
      <c r="I482" s="346">
        <v>120.4</v>
      </c>
      <c r="J482" s="106">
        <v>128194917</v>
      </c>
      <c r="K482" s="628">
        <f t="shared" si="34"/>
        <v>90.379947123519457</v>
      </c>
      <c r="L482" s="557"/>
      <c r="M482" s="400" t="s">
        <v>1215</v>
      </c>
      <c r="N482" s="354"/>
      <c r="O482" s="344">
        <v>182.42</v>
      </c>
      <c r="P482" s="106">
        <v>182873948</v>
      </c>
      <c r="Q482" s="628">
        <f t="shared" si="35"/>
        <v>94.207150328555215</v>
      </c>
      <c r="R482" s="556"/>
    </row>
    <row r="483" spans="1:18" s="5" customFormat="1" ht="15">
      <c r="A483" s="662" t="s">
        <v>1420</v>
      </c>
      <c r="B483" s="354" t="s">
        <v>41</v>
      </c>
      <c r="C483" s="344">
        <v>10.5</v>
      </c>
      <c r="D483" s="106">
        <v>39016625</v>
      </c>
      <c r="E483" s="628">
        <f t="shared" si="33"/>
        <v>97.702106601567692</v>
      </c>
      <c r="F483" s="556"/>
      <c r="G483" s="341" t="s">
        <v>1416</v>
      </c>
      <c r="H483" s="358"/>
      <c r="I483" s="346">
        <v>17</v>
      </c>
      <c r="J483" s="331">
        <v>133261099</v>
      </c>
      <c r="K483" s="628">
        <f t="shared" si="34"/>
        <v>93.951705442752399</v>
      </c>
      <c r="L483" s="557"/>
      <c r="M483" s="341" t="s">
        <v>1416</v>
      </c>
      <c r="N483" s="358"/>
      <c r="O483" s="344">
        <v>23</v>
      </c>
      <c r="P483" s="331">
        <v>183955022</v>
      </c>
      <c r="Q483" s="628">
        <f t="shared" si="35"/>
        <v>94.764063447936735</v>
      </c>
      <c r="R483" s="556"/>
    </row>
    <row r="484" spans="1:18" s="5" customFormat="1" ht="15">
      <c r="A484" s="662" t="s">
        <v>1428</v>
      </c>
      <c r="B484" s="352"/>
      <c r="C484" s="346">
        <v>58</v>
      </c>
      <c r="D484" s="106">
        <v>39021170</v>
      </c>
      <c r="E484" s="628">
        <f t="shared" si="33"/>
        <v>97.713487803158145</v>
      </c>
      <c r="F484" s="556"/>
      <c r="G484" s="640" t="s">
        <v>1420</v>
      </c>
      <c r="H484" s="354" t="s">
        <v>41</v>
      </c>
      <c r="I484" s="344">
        <v>37.75</v>
      </c>
      <c r="J484" s="331">
        <v>136046407</v>
      </c>
      <c r="K484" s="628">
        <f t="shared" si="34"/>
        <v>95.915402566271851</v>
      </c>
      <c r="L484" s="557"/>
      <c r="M484" s="741" t="s">
        <v>1169</v>
      </c>
      <c r="N484" s="354"/>
      <c r="O484" s="346">
        <v>65</v>
      </c>
      <c r="P484" s="331">
        <v>190665038</v>
      </c>
      <c r="Q484" s="628">
        <f t="shared" si="35"/>
        <v>98.220714835038692</v>
      </c>
      <c r="R484" s="556"/>
    </row>
    <row r="485" spans="1:18" s="5" customFormat="1" ht="15">
      <c r="A485" s="691" t="s">
        <v>606</v>
      </c>
      <c r="B485" s="354" t="s">
        <v>41</v>
      </c>
      <c r="C485" s="344">
        <v>0</v>
      </c>
      <c r="D485" s="87">
        <v>39897867</v>
      </c>
      <c r="E485" s="628">
        <f t="shared" si="33"/>
        <v>99.908837702112109</v>
      </c>
      <c r="F485" s="556"/>
      <c r="G485" s="741" t="s">
        <v>1169</v>
      </c>
      <c r="H485" s="354"/>
      <c r="I485" s="346">
        <v>86</v>
      </c>
      <c r="J485" s="331">
        <v>136046896</v>
      </c>
      <c r="K485" s="628">
        <f t="shared" si="34"/>
        <v>95.915747320924993</v>
      </c>
      <c r="L485" s="557"/>
      <c r="M485" s="636" t="s">
        <v>1420</v>
      </c>
      <c r="N485" s="354" t="s">
        <v>41</v>
      </c>
      <c r="O485" s="344">
        <v>52.3</v>
      </c>
      <c r="P485" s="87">
        <v>190669330</v>
      </c>
      <c r="Q485" s="628">
        <f t="shared" si="35"/>
        <v>98.222925850296093</v>
      </c>
      <c r="R485" s="556"/>
    </row>
    <row r="486" spans="1:18" s="5" customFormat="1" ht="15">
      <c r="A486" s="670" t="s">
        <v>600</v>
      </c>
      <c r="B486" s="595"/>
      <c r="C486" s="363"/>
      <c r="D486" s="87">
        <v>39934272</v>
      </c>
      <c r="E486" s="628">
        <f t="shared" si="33"/>
        <v>100</v>
      </c>
      <c r="F486" s="556"/>
      <c r="G486" s="89" t="s">
        <v>600</v>
      </c>
      <c r="H486" s="595"/>
      <c r="I486" s="344"/>
      <c r="J486" s="87">
        <v>141840000</v>
      </c>
      <c r="K486" s="628">
        <f t="shared" si="34"/>
        <v>100</v>
      </c>
      <c r="L486" s="557"/>
      <c r="M486" s="89" t="s">
        <v>600</v>
      </c>
      <c r="N486" s="357"/>
      <c r="O486" s="363"/>
      <c r="P486" s="87">
        <v>194118968</v>
      </c>
      <c r="Q486" s="628">
        <f t="shared" si="35"/>
        <v>100</v>
      </c>
      <c r="R486" s="556"/>
    </row>
    <row r="487" spans="1:18" s="5" customFormat="1" ht="15">
      <c r="A487" s="90"/>
      <c r="B487" s="90"/>
      <c r="C487" s="90"/>
      <c r="D487" s="604"/>
      <c r="E487" s="473"/>
      <c r="F487" s="556"/>
      <c r="G487" s="54"/>
      <c r="H487" s="54"/>
      <c r="I487" s="54"/>
      <c r="J487" s="53"/>
      <c r="K487" s="473"/>
      <c r="L487" s="557"/>
      <c r="M487" s="94"/>
      <c r="N487" s="94"/>
      <c r="O487" s="94"/>
      <c r="P487" s="96"/>
      <c r="Q487" s="473"/>
      <c r="R487" s="556"/>
    </row>
    <row r="488" spans="1:18" s="5" customFormat="1" ht="15">
      <c r="A488" s="90"/>
      <c r="B488" s="90"/>
      <c r="C488" s="90"/>
      <c r="D488" s="604"/>
      <c r="E488" s="473"/>
      <c r="F488" s="556"/>
      <c r="G488" s="54"/>
      <c r="H488" s="54"/>
      <c r="I488" s="54"/>
      <c r="J488" s="53"/>
      <c r="K488" s="473"/>
      <c r="L488" s="557"/>
      <c r="M488" s="94"/>
      <c r="N488" s="94"/>
      <c r="O488" s="94"/>
      <c r="P488" s="96"/>
      <c r="Q488" s="473"/>
      <c r="R488" s="556"/>
    </row>
    <row r="489" spans="1:18" s="5" customFormat="1" ht="15">
      <c r="A489" s="90"/>
      <c r="B489" s="90"/>
      <c r="C489" s="90"/>
      <c r="D489" s="604"/>
      <c r="E489" s="473"/>
      <c r="F489" s="556"/>
      <c r="G489" s="54"/>
      <c r="H489" s="54"/>
      <c r="I489" s="54"/>
      <c r="J489" s="53"/>
      <c r="K489" s="473"/>
      <c r="L489" s="557"/>
      <c r="M489" s="94"/>
      <c r="N489" s="94"/>
      <c r="O489" s="94"/>
      <c r="P489" s="96"/>
      <c r="Q489" s="473"/>
      <c r="R489" s="556"/>
    </row>
    <row r="490" spans="1:18" s="5" customFormat="1" ht="15">
      <c r="A490" s="3177" t="s">
        <v>607</v>
      </c>
      <c r="B490" s="3178"/>
      <c r="C490" s="3178"/>
      <c r="D490" s="3178"/>
      <c r="E490" s="3179"/>
      <c r="F490" s="556"/>
      <c r="G490" s="3180"/>
      <c r="H490" s="3181"/>
      <c r="I490" s="3181"/>
      <c r="J490" s="3181"/>
      <c r="K490" s="3181"/>
      <c r="L490" s="557"/>
      <c r="M490" s="3180"/>
      <c r="N490" s="3181"/>
      <c r="O490" s="3181"/>
      <c r="P490" s="3181"/>
      <c r="Q490" s="3181"/>
      <c r="R490" s="556"/>
    </row>
    <row r="491" spans="1:18" s="5" customFormat="1" ht="45">
      <c r="A491" s="325" t="s">
        <v>608</v>
      </c>
      <c r="B491" s="342"/>
      <c r="C491" s="343" t="s">
        <v>547</v>
      </c>
      <c r="D491" s="326">
        <v>10860886</v>
      </c>
      <c r="E491" s="628">
        <f>(D491*100/10860886)</f>
        <v>100</v>
      </c>
      <c r="F491" s="556"/>
      <c r="G491" s="428"/>
      <c r="H491" s="259"/>
      <c r="I491" s="428"/>
      <c r="J491" s="262"/>
      <c r="K491" s="473"/>
      <c r="L491" s="557"/>
      <c r="M491" s="428"/>
      <c r="N491" s="259"/>
      <c r="O491" s="428"/>
      <c r="P491" s="262"/>
      <c r="Q491" s="473"/>
      <c r="R491" s="556"/>
    </row>
    <row r="492" spans="1:18" s="5" customFormat="1" ht="15">
      <c r="A492" s="327" t="s">
        <v>609</v>
      </c>
      <c r="B492" s="342"/>
      <c r="C492" s="344"/>
      <c r="D492" s="328"/>
      <c r="E492" s="628"/>
      <c r="F492" s="556"/>
      <c r="G492" s="259"/>
      <c r="H492" s="259"/>
      <c r="I492" s="533"/>
      <c r="J492" s="262"/>
      <c r="K492" s="473"/>
      <c r="L492" s="557"/>
      <c r="M492" s="259"/>
      <c r="N492" s="259"/>
      <c r="O492" s="533"/>
      <c r="P492" s="262"/>
      <c r="Q492" s="473"/>
      <c r="R492" s="556"/>
    </row>
    <row r="493" spans="1:18" s="5" customFormat="1" ht="15">
      <c r="A493" s="327" t="s">
        <v>610</v>
      </c>
      <c r="B493" s="342"/>
      <c r="C493" s="344"/>
      <c r="D493" s="328"/>
      <c r="E493" s="628"/>
      <c r="F493" s="556"/>
      <c r="G493" s="259"/>
      <c r="H493" s="259"/>
      <c r="I493" s="533"/>
      <c r="J493" s="262"/>
      <c r="K493" s="473"/>
      <c r="L493" s="557"/>
      <c r="M493" s="259"/>
      <c r="N493" s="259"/>
      <c r="O493" s="533"/>
      <c r="P493" s="262"/>
      <c r="Q493" s="473"/>
      <c r="R493" s="556"/>
    </row>
    <row r="494" spans="1:18" s="5" customFormat="1" ht="15">
      <c r="A494" s="692" t="s">
        <v>1421</v>
      </c>
      <c r="B494" s="345"/>
      <c r="C494" s="346">
        <v>0</v>
      </c>
      <c r="D494" s="330">
        <v>790</v>
      </c>
      <c r="E494" s="628">
        <f t="shared" ref="E494:E519" si="36">(D494*100/10860886)</f>
        <v>7.2738080484409835E-3</v>
      </c>
      <c r="F494" s="556"/>
      <c r="G494" s="264"/>
      <c r="H494" s="464"/>
      <c r="I494" s="533"/>
      <c r="J494" s="278"/>
      <c r="K494" s="473"/>
      <c r="L494" s="557"/>
      <c r="M494" s="264"/>
      <c r="N494" s="464"/>
      <c r="O494" s="533"/>
      <c r="P494" s="278"/>
      <c r="Q494" s="473"/>
      <c r="R494" s="556"/>
    </row>
    <row r="495" spans="1:18" s="5" customFormat="1" ht="15">
      <c r="A495" s="693" t="s">
        <v>611</v>
      </c>
      <c r="B495" s="345"/>
      <c r="C495" s="344">
        <v>0</v>
      </c>
      <c r="D495" s="330">
        <v>97890</v>
      </c>
      <c r="E495" s="628">
        <f t="shared" si="36"/>
        <v>0.90130768336947831</v>
      </c>
      <c r="F495" s="556"/>
      <c r="G495" s="264"/>
      <c r="H495" s="464"/>
      <c r="I495" s="533"/>
      <c r="J495" s="278"/>
      <c r="K495" s="473"/>
      <c r="L495" s="557"/>
      <c r="M495" s="264"/>
      <c r="N495" s="464"/>
      <c r="O495" s="533"/>
      <c r="P495" s="278"/>
      <c r="Q495" s="473"/>
      <c r="R495" s="556"/>
    </row>
    <row r="496" spans="1:18" s="5" customFormat="1" ht="15">
      <c r="A496" s="656" t="s">
        <v>122</v>
      </c>
      <c r="B496" s="347"/>
      <c r="C496" s="346">
        <v>15.2</v>
      </c>
      <c r="D496" s="331">
        <v>104033</v>
      </c>
      <c r="E496" s="628">
        <f t="shared" si="36"/>
        <v>0.95786844646007696</v>
      </c>
      <c r="F496" s="556"/>
      <c r="G496" s="264"/>
      <c r="H496" s="264"/>
      <c r="I496" s="533"/>
      <c r="J496" s="53"/>
      <c r="K496" s="473"/>
      <c r="L496" s="557"/>
      <c r="M496" s="264"/>
      <c r="N496" s="264"/>
      <c r="O496" s="533"/>
      <c r="P496" s="53"/>
      <c r="Q496" s="473"/>
      <c r="R496" s="556"/>
    </row>
    <row r="497" spans="1:18" s="5" customFormat="1" ht="15">
      <c r="A497" s="741" t="s">
        <v>927</v>
      </c>
      <c r="B497" s="348" t="s">
        <v>41</v>
      </c>
      <c r="C497" s="349">
        <v>85.41</v>
      </c>
      <c r="D497" s="332">
        <v>143254</v>
      </c>
      <c r="E497" s="628">
        <f t="shared" si="36"/>
        <v>1.3189899976852717</v>
      </c>
      <c r="F497" s="556"/>
      <c r="G497" s="264"/>
      <c r="H497" s="264"/>
      <c r="I497" s="533"/>
      <c r="J497" s="53"/>
      <c r="K497" s="473"/>
      <c r="L497" s="557"/>
      <c r="M497" s="264"/>
      <c r="N497" s="264"/>
      <c r="O497" s="533"/>
      <c r="P497" s="53"/>
      <c r="Q497" s="473"/>
      <c r="R497" s="556"/>
    </row>
    <row r="498" spans="1:18" s="5" customFormat="1" ht="15">
      <c r="A498" s="662" t="s">
        <v>1426</v>
      </c>
      <c r="B498" s="350"/>
      <c r="C498" s="351">
        <v>17.22</v>
      </c>
      <c r="D498" s="334">
        <v>207493</v>
      </c>
      <c r="E498" s="628">
        <f t="shared" si="36"/>
        <v>1.9104610802470443</v>
      </c>
      <c r="F498" s="556"/>
      <c r="G498" s="264"/>
      <c r="H498" s="264"/>
      <c r="I498" s="533"/>
      <c r="J498" s="53"/>
      <c r="K498" s="473"/>
      <c r="L498" s="557"/>
      <c r="M498" s="264"/>
      <c r="N498" s="264"/>
      <c r="O498" s="533"/>
      <c r="P498" s="53"/>
      <c r="Q498" s="473"/>
      <c r="R498" s="556"/>
    </row>
    <row r="499" spans="1:18" s="5" customFormat="1" ht="15">
      <c r="A499" s="746" t="s">
        <v>694</v>
      </c>
      <c r="B499" s="352"/>
      <c r="C499" s="346">
        <v>15.7</v>
      </c>
      <c r="D499" s="106">
        <v>211537</v>
      </c>
      <c r="E499" s="628">
        <f t="shared" si="36"/>
        <v>1.947695611573494</v>
      </c>
      <c r="F499" s="556"/>
      <c r="G499" s="403"/>
      <c r="H499" s="464"/>
      <c r="I499" s="533"/>
      <c r="J499" s="53"/>
      <c r="K499" s="473"/>
      <c r="L499" s="557"/>
      <c r="M499" s="403"/>
      <c r="N499" s="464"/>
      <c r="O499" s="533"/>
      <c r="P499" s="53"/>
      <c r="Q499" s="473"/>
      <c r="R499" s="556"/>
    </row>
    <row r="500" spans="1:18" s="5" customFormat="1" ht="15">
      <c r="A500" s="662" t="s">
        <v>1425</v>
      </c>
      <c r="B500" s="348"/>
      <c r="C500" s="353">
        <v>6.54</v>
      </c>
      <c r="D500" s="371">
        <v>228793</v>
      </c>
      <c r="E500" s="628">
        <f t="shared" si="36"/>
        <v>2.1065776769961495</v>
      </c>
      <c r="F500" s="556"/>
      <c r="G500" s="403"/>
      <c r="H500" s="464"/>
      <c r="I500" s="533"/>
      <c r="J500" s="53"/>
      <c r="K500" s="473"/>
      <c r="L500" s="557"/>
      <c r="M500" s="403"/>
      <c r="N500" s="464"/>
      <c r="O500" s="533"/>
      <c r="P500" s="53"/>
      <c r="Q500" s="473"/>
      <c r="R500" s="556"/>
    </row>
    <row r="501" spans="1:18" s="5" customFormat="1" ht="15">
      <c r="A501" s="741" t="s">
        <v>1418</v>
      </c>
      <c r="B501" s="354" t="s">
        <v>41</v>
      </c>
      <c r="C501" s="346">
        <v>12.31</v>
      </c>
      <c r="D501" s="331">
        <v>279019</v>
      </c>
      <c r="E501" s="628">
        <f t="shared" si="36"/>
        <v>2.5690261365417149</v>
      </c>
      <c r="F501" s="556"/>
      <c r="G501" s="264"/>
      <c r="H501" s="273"/>
      <c r="I501" s="533"/>
      <c r="J501" s="53"/>
      <c r="K501" s="473"/>
      <c r="L501" s="557"/>
      <c r="M501" s="264"/>
      <c r="N501" s="273"/>
      <c r="O501" s="533"/>
      <c r="P501" s="53"/>
      <c r="Q501" s="473"/>
      <c r="R501" s="556"/>
    </row>
    <row r="502" spans="1:18" s="5" customFormat="1" ht="15">
      <c r="A502" s="662" t="s">
        <v>1428</v>
      </c>
      <c r="B502" s="356"/>
      <c r="C502" s="351">
        <v>7</v>
      </c>
      <c r="D502" s="334">
        <v>280593</v>
      </c>
      <c r="E502" s="628">
        <f t="shared" si="36"/>
        <v>2.5835185085268364</v>
      </c>
      <c r="F502" s="556"/>
      <c r="G502" s="264"/>
      <c r="H502" s="273"/>
      <c r="I502" s="533"/>
      <c r="J502" s="53"/>
      <c r="K502" s="473"/>
      <c r="L502" s="557"/>
      <c r="M502" s="264"/>
      <c r="N502" s="273"/>
      <c r="O502" s="533"/>
      <c r="P502" s="53"/>
      <c r="Q502" s="473"/>
      <c r="R502" s="556"/>
    </row>
    <row r="503" spans="1:18" s="5" customFormat="1" ht="15">
      <c r="A503" s="662" t="s">
        <v>1456</v>
      </c>
      <c r="B503" s="355" t="s">
        <v>41</v>
      </c>
      <c r="C503" s="351">
        <v>5</v>
      </c>
      <c r="D503" s="336">
        <v>282403</v>
      </c>
      <c r="E503" s="628">
        <f t="shared" ref="E503:E508" si="37">(D503*100/10860886)</f>
        <v>2.6001838155745305</v>
      </c>
      <c r="F503" s="556"/>
      <c r="G503" s="264"/>
      <c r="H503" s="273"/>
      <c r="I503" s="533"/>
      <c r="J503" s="53"/>
      <c r="K503" s="473"/>
      <c r="L503" s="557"/>
      <c r="M503" s="264"/>
      <c r="N503" s="273"/>
      <c r="O503" s="533"/>
      <c r="P503" s="53"/>
      <c r="Q503" s="473"/>
      <c r="R503" s="556"/>
    </row>
    <row r="504" spans="1:18" s="5" customFormat="1" ht="15">
      <c r="A504" s="662" t="s">
        <v>1429</v>
      </c>
      <c r="B504" s="354"/>
      <c r="C504" s="346">
        <v>19</v>
      </c>
      <c r="D504" s="106">
        <v>282886</v>
      </c>
      <c r="E504" s="628">
        <f t="shared" si="37"/>
        <v>2.6046309665712357</v>
      </c>
      <c r="F504" s="556"/>
      <c r="G504" s="54"/>
      <c r="H504" s="464"/>
      <c r="I504" s="533"/>
      <c r="J504" s="267"/>
      <c r="K504" s="473"/>
      <c r="L504" s="557"/>
      <c r="M504" s="54"/>
      <c r="N504" s="464"/>
      <c r="O504" s="533"/>
      <c r="P504" s="267"/>
      <c r="Q504" s="473"/>
      <c r="R504" s="556"/>
    </row>
    <row r="505" spans="1:18" s="5" customFormat="1" ht="15">
      <c r="A505" s="679" t="s">
        <v>612</v>
      </c>
      <c r="B505" s="359"/>
      <c r="C505" s="344">
        <v>8</v>
      </c>
      <c r="D505" s="106">
        <v>289123</v>
      </c>
      <c r="E505" s="628">
        <f t="shared" si="37"/>
        <v>2.6620572207460791</v>
      </c>
      <c r="F505" s="556"/>
      <c r="G505" s="264"/>
      <c r="H505" s="264"/>
      <c r="I505" s="533"/>
      <c r="J505" s="267"/>
      <c r="K505" s="473"/>
      <c r="L505" s="557"/>
      <c r="M505" s="264"/>
      <c r="N505" s="264"/>
      <c r="O505" s="533"/>
      <c r="P505" s="267"/>
      <c r="Q505" s="473"/>
      <c r="R505" s="556"/>
    </row>
    <row r="506" spans="1:18" s="5" customFormat="1" ht="15">
      <c r="A506" s="662" t="s">
        <v>2049</v>
      </c>
      <c r="B506" s="362"/>
      <c r="C506" s="346">
        <v>4</v>
      </c>
      <c r="D506" s="331">
        <v>331100</v>
      </c>
      <c r="E506" s="628">
        <f t="shared" si="37"/>
        <v>3.0485542339731766</v>
      </c>
      <c r="F506" s="556"/>
      <c r="G506" s="54"/>
      <c r="H506" s="273"/>
      <c r="I506" s="533"/>
      <c r="J506" s="53"/>
      <c r="K506" s="473"/>
      <c r="L506" s="557"/>
      <c r="M506" s="54"/>
      <c r="N506" s="273"/>
      <c r="O506" s="533"/>
      <c r="P506" s="53"/>
      <c r="Q506" s="473"/>
      <c r="R506" s="556"/>
    </row>
    <row r="507" spans="1:18" s="5" customFormat="1" ht="15">
      <c r="A507" s="669" t="s">
        <v>1412</v>
      </c>
      <c r="B507" s="354"/>
      <c r="C507" s="346">
        <v>2.2000000000000002</v>
      </c>
      <c r="D507" s="338">
        <v>355865</v>
      </c>
      <c r="E507" s="628">
        <f t="shared" si="37"/>
        <v>3.2765743052638614</v>
      </c>
      <c r="F507" s="556"/>
      <c r="G507" s="403"/>
      <c r="H507" s="464"/>
      <c r="I507" s="533"/>
      <c r="J507" s="53"/>
      <c r="K507" s="473"/>
      <c r="L507" s="557"/>
      <c r="M507" s="403"/>
      <c r="N507" s="464"/>
      <c r="O507" s="533"/>
      <c r="P507" s="53"/>
      <c r="Q507" s="473"/>
      <c r="R507" s="556"/>
    </row>
    <row r="508" spans="1:18" s="5" customFormat="1" ht="15">
      <c r="A508" s="673" t="s">
        <v>1427</v>
      </c>
      <c r="B508" s="355" t="s">
        <v>41</v>
      </c>
      <c r="C508" s="346">
        <v>2</v>
      </c>
      <c r="D508" s="106">
        <v>410651</v>
      </c>
      <c r="E508" s="628">
        <f t="shared" si="37"/>
        <v>3.7810082897472639</v>
      </c>
      <c r="F508" s="556"/>
      <c r="G508" s="264"/>
      <c r="H508" s="264"/>
      <c r="I508" s="533"/>
      <c r="J508" s="53"/>
      <c r="K508" s="473"/>
      <c r="L508" s="557"/>
      <c r="M508" s="264"/>
      <c r="N508" s="264"/>
      <c r="O508" s="533"/>
      <c r="P508" s="53"/>
      <c r="Q508" s="473"/>
      <c r="R508" s="556"/>
    </row>
    <row r="509" spans="1:18" s="5" customFormat="1" ht="15">
      <c r="A509" s="662" t="s">
        <v>1419</v>
      </c>
      <c r="B509" s="348" t="s">
        <v>41</v>
      </c>
      <c r="C509" s="344">
        <v>24.4</v>
      </c>
      <c r="D509" s="331">
        <v>413983</v>
      </c>
      <c r="E509" s="628">
        <f t="shared" si="36"/>
        <v>3.8116871864781565</v>
      </c>
      <c r="F509" s="556"/>
      <c r="G509" s="54"/>
      <c r="H509" s="54"/>
      <c r="I509" s="533"/>
      <c r="J509" s="267"/>
      <c r="K509" s="473"/>
      <c r="L509" s="557"/>
      <c r="M509" s="54"/>
      <c r="N509" s="54"/>
      <c r="O509" s="533"/>
      <c r="P509" s="267"/>
      <c r="Q509" s="473"/>
      <c r="R509" s="556"/>
    </row>
    <row r="510" spans="1:18" s="5" customFormat="1" ht="15">
      <c r="A510" s="694" t="s">
        <v>562</v>
      </c>
      <c r="B510" s="360"/>
      <c r="C510" s="344">
        <v>11.9</v>
      </c>
      <c r="D510" s="331">
        <v>604483</v>
      </c>
      <c r="E510" s="628">
        <f t="shared" si="36"/>
        <v>5.5656877348680389</v>
      </c>
      <c r="F510" s="556"/>
      <c r="G510" s="54"/>
      <c r="H510" s="273"/>
      <c r="I510" s="533"/>
      <c r="J510" s="53"/>
      <c r="K510" s="473"/>
      <c r="L510" s="557"/>
      <c r="M510" s="54"/>
      <c r="N510" s="273"/>
      <c r="O510" s="533"/>
      <c r="P510" s="53"/>
      <c r="Q510" s="473"/>
      <c r="R510" s="556"/>
    </row>
    <row r="511" spans="1:18" s="5" customFormat="1" ht="15">
      <c r="A511" s="686" t="s">
        <v>1215</v>
      </c>
      <c r="B511" s="354"/>
      <c r="C511" s="361">
        <v>3.29</v>
      </c>
      <c r="D511" s="334">
        <v>793350</v>
      </c>
      <c r="E511" s="628">
        <f t="shared" si="36"/>
        <v>7.304652677507157</v>
      </c>
      <c r="F511" s="556"/>
      <c r="G511" s="54"/>
      <c r="H511" s="273"/>
      <c r="I511" s="533"/>
      <c r="J511" s="53"/>
      <c r="K511" s="473"/>
      <c r="L511" s="557"/>
      <c r="M511" s="54"/>
      <c r="N511" s="273"/>
      <c r="O511" s="533"/>
      <c r="P511" s="53"/>
      <c r="Q511" s="473"/>
      <c r="R511" s="556"/>
    </row>
    <row r="512" spans="1:18" s="5" customFormat="1" ht="15">
      <c r="A512" s="736" t="s">
        <v>2045</v>
      </c>
      <c r="B512" s="360"/>
      <c r="C512" s="361">
        <v>1</v>
      </c>
      <c r="D512" s="334">
        <v>836382</v>
      </c>
      <c r="E512" s="628">
        <f t="shared" si="36"/>
        <v>7.70086344705211</v>
      </c>
      <c r="F512" s="556"/>
      <c r="G512" s="54"/>
      <c r="H512" s="273"/>
      <c r="I512" s="533"/>
      <c r="J512" s="53"/>
      <c r="K512" s="473"/>
      <c r="L512" s="557"/>
      <c r="M512" s="54"/>
      <c r="N512" s="273"/>
      <c r="O512" s="533"/>
      <c r="P512" s="53"/>
      <c r="Q512" s="473"/>
      <c r="R512" s="556"/>
    </row>
    <row r="513" spans="1:18" s="5" customFormat="1" ht="15">
      <c r="A513" s="825" t="s">
        <v>700</v>
      </c>
      <c r="B513" s="354" t="s">
        <v>41</v>
      </c>
      <c r="C513" s="361">
        <v>1.48</v>
      </c>
      <c r="D513" s="336">
        <v>968498</v>
      </c>
      <c r="E513" s="628">
        <f t="shared" si="36"/>
        <v>8.9173019586063234</v>
      </c>
      <c r="F513" s="556"/>
      <c r="G513" s="54"/>
      <c r="H513" s="273"/>
      <c r="I513" s="533"/>
      <c r="J513" s="53"/>
      <c r="K513" s="473"/>
      <c r="L513" s="557"/>
      <c r="M513" s="54"/>
      <c r="N513" s="273"/>
      <c r="O513" s="533"/>
      <c r="P513" s="53"/>
      <c r="Q513" s="473"/>
      <c r="R513" s="556"/>
    </row>
    <row r="514" spans="1:18" s="5" customFormat="1" ht="15">
      <c r="A514" s="662" t="s">
        <v>1424</v>
      </c>
      <c r="B514" s="359"/>
      <c r="C514" s="361">
        <v>8.1769999999999996</v>
      </c>
      <c r="D514" s="336">
        <v>1025088</v>
      </c>
      <c r="E514" s="628">
        <f t="shared" si="36"/>
        <v>9.4383460060256592</v>
      </c>
      <c r="F514" s="556"/>
      <c r="G514" s="54"/>
      <c r="H514" s="273"/>
      <c r="I514" s="533"/>
      <c r="J514" s="53"/>
      <c r="K514" s="473"/>
      <c r="L514" s="557"/>
      <c r="M514" s="54"/>
      <c r="N514" s="273"/>
      <c r="O514" s="533"/>
      <c r="P514" s="53"/>
      <c r="Q514" s="473"/>
      <c r="R514" s="556"/>
    </row>
    <row r="515" spans="1:18" s="5" customFormat="1" ht="15">
      <c r="A515" s="676" t="s">
        <v>1416</v>
      </c>
      <c r="B515" s="358"/>
      <c r="C515" s="361">
        <v>5</v>
      </c>
      <c r="D515" s="336">
        <v>1179304</v>
      </c>
      <c r="E515" s="628">
        <f t="shared" si="36"/>
        <v>10.85826699589702</v>
      </c>
      <c r="F515" s="556"/>
      <c r="G515" s="54"/>
      <c r="H515" s="273"/>
      <c r="I515" s="533"/>
      <c r="J515" s="53"/>
      <c r="K515" s="473"/>
      <c r="L515" s="557"/>
      <c r="M515" s="54"/>
      <c r="N515" s="273"/>
      <c r="O515" s="533"/>
      <c r="P515" s="53"/>
      <c r="Q515" s="473"/>
      <c r="R515" s="556"/>
    </row>
    <row r="516" spans="1:18" s="5" customFormat="1" ht="15">
      <c r="A516" s="662" t="s">
        <v>1420</v>
      </c>
      <c r="B516" s="360" t="s">
        <v>41</v>
      </c>
      <c r="C516" s="361">
        <v>1.6559999999999999</v>
      </c>
      <c r="D516" s="334">
        <v>1208109</v>
      </c>
      <c r="E516" s="628">
        <f t="shared" si="36"/>
        <v>11.123484769106314</v>
      </c>
      <c r="F516" s="556"/>
      <c r="G516" s="54"/>
      <c r="H516" s="273"/>
      <c r="I516" s="533"/>
      <c r="J516" s="53"/>
      <c r="K516" s="473"/>
      <c r="L516" s="557"/>
      <c r="M516" s="54"/>
      <c r="N516" s="273"/>
      <c r="O516" s="533"/>
      <c r="P516" s="53"/>
      <c r="Q516" s="473"/>
      <c r="R516" s="556"/>
    </row>
    <row r="517" spans="1:18" s="5" customFormat="1" ht="15">
      <c r="A517" s="741" t="s">
        <v>1169</v>
      </c>
      <c r="B517" s="360"/>
      <c r="C517" s="361">
        <v>2.25</v>
      </c>
      <c r="D517" s="336">
        <v>1209047</v>
      </c>
      <c r="E517" s="628">
        <f t="shared" si="36"/>
        <v>11.132121265244843</v>
      </c>
      <c r="F517" s="556"/>
      <c r="G517" s="54"/>
      <c r="H517" s="273"/>
      <c r="I517" s="533"/>
      <c r="J517" s="53"/>
      <c r="K517" s="473"/>
      <c r="L517" s="557"/>
      <c r="M517" s="54"/>
      <c r="N517" s="273"/>
      <c r="O517" s="533"/>
      <c r="P517" s="53"/>
      <c r="Q517" s="473"/>
      <c r="R517" s="556"/>
    </row>
    <row r="518" spans="1:18" s="5" customFormat="1" ht="15">
      <c r="A518" s="662" t="s">
        <v>1423</v>
      </c>
      <c r="B518" s="360"/>
      <c r="C518" s="1287">
        <v>3</v>
      </c>
      <c r="D518" s="1272">
        <v>1316834</v>
      </c>
      <c r="E518" s="628">
        <f t="shared" si="36"/>
        <v>12.124554110962954</v>
      </c>
      <c r="F518" s="556"/>
      <c r="G518" s="54"/>
      <c r="H518" s="1267"/>
      <c r="I518" s="533"/>
      <c r="J518" s="53"/>
      <c r="K518" s="473"/>
      <c r="L518" s="557"/>
      <c r="M518" s="54"/>
      <c r="N518" s="1267"/>
      <c r="O518" s="533"/>
      <c r="P518" s="53"/>
      <c r="Q518" s="473"/>
      <c r="R518" s="556"/>
    </row>
    <row r="519" spans="1:18" s="5" customFormat="1" ht="15">
      <c r="A519" s="670" t="s">
        <v>600</v>
      </c>
      <c r="B519" s="362"/>
      <c r="C519" s="363"/>
      <c r="D519" s="331">
        <v>10860886</v>
      </c>
      <c r="E519" s="628">
        <f t="shared" si="36"/>
        <v>100</v>
      </c>
      <c r="F519" s="556"/>
      <c r="G519" s="54"/>
      <c r="H519" s="273"/>
      <c r="I519" s="533"/>
      <c r="J519" s="53"/>
      <c r="K519" s="473"/>
      <c r="L519" s="557"/>
      <c r="M519" s="54"/>
      <c r="N519" s="273"/>
      <c r="O519" s="533"/>
      <c r="P519" s="53"/>
      <c r="Q519" s="473"/>
      <c r="R519" s="556"/>
    </row>
    <row r="520" spans="1:18" s="5" customFormat="1" ht="18.75">
      <c r="A520" s="90"/>
      <c r="B520" s="91"/>
      <c r="C520" s="91"/>
      <c r="D520" s="92"/>
      <c r="E520" s="58"/>
      <c r="G520" s="54"/>
      <c r="H520" s="93"/>
      <c r="I520" s="93"/>
      <c r="J520" s="53"/>
      <c r="K520" s="58"/>
      <c r="L520" s="7"/>
      <c r="M520" s="94"/>
      <c r="N520" s="95"/>
      <c r="O520" s="95"/>
      <c r="P520" s="96"/>
      <c r="Q520" s="58"/>
    </row>
    <row r="521" spans="1:18" s="5" customFormat="1" ht="18.75">
      <c r="A521" s="90"/>
      <c r="B521" s="713" t="s">
        <v>1432</v>
      </c>
      <c r="C521" s="91"/>
      <c r="D521" s="92"/>
      <c r="E521" s="58"/>
      <c r="G521" s="54"/>
      <c r="H521" s="93"/>
      <c r="I521" s="93"/>
      <c r="J521" s="53"/>
      <c r="K521" s="58"/>
      <c r="L521" s="7"/>
      <c r="M521" s="94"/>
      <c r="N521" s="95"/>
      <c r="O521" s="95"/>
      <c r="P521" s="96"/>
      <c r="Q521" s="58"/>
    </row>
    <row r="522" spans="1:18" s="5" customFormat="1" ht="18.75">
      <c r="A522" s="90"/>
      <c r="B522" s="283" t="s">
        <v>1271</v>
      </c>
      <c r="C522" s="91"/>
      <c r="D522" s="92"/>
      <c r="E522" s="58"/>
      <c r="G522" s="54"/>
      <c r="H522" s="93"/>
      <c r="I522" s="93"/>
      <c r="J522" s="53"/>
      <c r="K522" s="58"/>
      <c r="L522" s="7"/>
      <c r="M522" s="94"/>
      <c r="N522" s="95"/>
      <c r="O522" s="95"/>
      <c r="P522" s="96"/>
      <c r="Q522" s="58"/>
    </row>
    <row r="523" spans="1:18" s="5" customFormat="1" ht="18.75">
      <c r="A523" s="90"/>
      <c r="B523" s="55" t="s">
        <v>1465</v>
      </c>
      <c r="C523" s="91"/>
      <c r="D523" s="92"/>
      <c r="E523" s="58"/>
      <c r="G523" s="54"/>
      <c r="H523" s="93"/>
      <c r="I523" s="93"/>
      <c r="J523" s="53"/>
      <c r="K523" s="58"/>
      <c r="L523" s="7"/>
      <c r="M523" s="94"/>
      <c r="N523" s="95"/>
      <c r="O523" s="95"/>
      <c r="P523" s="96"/>
      <c r="Q523" s="58"/>
    </row>
    <row r="524" spans="1:18">
      <c r="A524" s="97"/>
    </row>
    <row r="525" spans="1:18">
      <c r="A525" s="97"/>
    </row>
  </sheetData>
  <sortState ref="A130:D153">
    <sortCondition ref="D130:D153"/>
  </sortState>
  <mergeCells count="39">
    <mergeCell ref="A490:E490"/>
    <mergeCell ref="G490:K490"/>
    <mergeCell ref="M490:Q490"/>
    <mergeCell ref="D422:E422"/>
    <mergeCell ref="J422:K422"/>
    <mergeCell ref="P422:Q422"/>
    <mergeCell ref="A461:E461"/>
    <mergeCell ref="G461:K461"/>
    <mergeCell ref="M461:Q461"/>
    <mergeCell ref="D390:E390"/>
    <mergeCell ref="J390:K390"/>
    <mergeCell ref="P85:Q85"/>
    <mergeCell ref="D350:E350"/>
    <mergeCell ref="J350:K350"/>
    <mergeCell ref="P350:Q350"/>
    <mergeCell ref="D177:E177"/>
    <mergeCell ref="J177:K177"/>
    <mergeCell ref="P177:Q177"/>
    <mergeCell ref="J213:K213"/>
    <mergeCell ref="D320:E320"/>
    <mergeCell ref="J320:K320"/>
    <mergeCell ref="P213:Q213"/>
    <mergeCell ref="D244:E244"/>
    <mergeCell ref="J244:K244"/>
    <mergeCell ref="P244:Q244"/>
    <mergeCell ref="D213:E213"/>
    <mergeCell ref="P320:Q320"/>
    <mergeCell ref="A2:Q6"/>
    <mergeCell ref="D13:E13"/>
    <mergeCell ref="J13:K13"/>
    <mergeCell ref="P13:Q13"/>
    <mergeCell ref="J128:K128"/>
    <mergeCell ref="P128:Q128"/>
    <mergeCell ref="D128:E128"/>
    <mergeCell ref="D49:E49"/>
    <mergeCell ref="J49:K49"/>
    <mergeCell ref="P49:Q49"/>
    <mergeCell ref="D85:E85"/>
    <mergeCell ref="J85:K85"/>
  </mergeCells>
  <hyperlinks>
    <hyperlink ref="A349" r:id="rId1"/>
    <hyperlink ref="A421" r:id="rId2"/>
    <hyperlink ref="G389" r:id="rId3"/>
    <hyperlink ref="M389" r:id="rId4" display="http://www.apple.com/trailers/paramount/startrek/"/>
    <hyperlink ref="A389" r:id="rId5"/>
    <hyperlink ref="G319" r:id="rId6"/>
    <hyperlink ref="G176" r:id="rId7"/>
    <hyperlink ref="M176" r:id="rId8"/>
    <hyperlink ref="A127" r:id="rId9"/>
    <hyperlink ref="A176" r:id="rId10"/>
    <hyperlink ref="M127" r:id="rId11"/>
    <hyperlink ref="A12" r:id="rId12"/>
    <hyperlink ref="G127" r:id="rId13"/>
    <hyperlink ref="G212" r:id="rId14"/>
    <hyperlink ref="A243" r:id="rId15"/>
    <hyperlink ref="A212" r:id="rId16"/>
    <hyperlink ref="M212" r:id="rId17"/>
    <hyperlink ref="M319" r:id="rId18"/>
    <hyperlink ref="G349" r:id="rId19"/>
    <hyperlink ref="G243" r:id="rId20"/>
    <hyperlink ref="M325" r:id="rId21"/>
    <hyperlink ref="A319" r:id="rId22"/>
    <hyperlink ref="G421" r:id="rId23"/>
    <hyperlink ref="A516" r:id="rId24" display="BZIP2 1.0 (2008) -9 Julian Seward"/>
    <hyperlink ref="A483" r:id="rId25" display="BZIP2 1.0 (2008) -9 Julian Seward"/>
    <hyperlink ref="G484" r:id="rId26" display="BZIP2 1.0 (2008) -9 Julian Seward"/>
    <hyperlink ref="M485" r:id="rId27" display="BZIP2 1.0 (2008) -9 Julian Seward"/>
    <hyperlink ref="A444" r:id="rId28" display="BZIP2 1.0 (2008) -9 Julian Seward"/>
    <hyperlink ref="G444" r:id="rId29" display="BZIP2 1.0 (2008) -9 Julian Seward"/>
    <hyperlink ref="A410" r:id="rId30" display="BZIP2 1.0 (2008) -9 Julian Seward"/>
    <hyperlink ref="G415" r:id="rId31" display="BZIP2 1.0 (2008) -9 Julian Seward"/>
    <hyperlink ref="M406" r:id="rId32" display="BZIP2 1.0 (2008) -9 Julian Seward"/>
    <hyperlink ref="A373" r:id="rId33" display="BZIP2 1.0 (2008) -9 Julian Seward"/>
    <hyperlink ref="A339" r:id="rId34" display="BZIP2 1.0 (2008) -9 Julian Seward"/>
    <hyperlink ref="G336" r:id="rId35" display="BZIP2 1.0 (2008) -9 Julian Seward"/>
    <hyperlink ref="M340" r:id="rId36" display="BZIP2 1.0 (2008) -9 Julian Seward"/>
    <hyperlink ref="A268" r:id="rId37" display="BZIP2 1.0 (2008) -9 Julian Seward"/>
    <hyperlink ref="G267" r:id="rId38" display="BZIP2 1.0 (2008) -9 Julian Seward"/>
    <hyperlink ref="A237" r:id="rId39" display="BZIP2 1.0 (2008) -9 Julian Seward"/>
    <hyperlink ref="G238" r:id="rId40" display="BZIP2 1.0 (2008) -9 Julian Seward"/>
    <hyperlink ref="M238" r:id="rId41" display="BZIP2 1.0 (2008) -9 Julian Seward"/>
    <hyperlink ref="A200" r:id="rId42" display="BZIP2 1.0 (2008) -9 Julian Seward"/>
    <hyperlink ref="G196" r:id="rId43" display="BZIP2 1.0 (2008) -9 Julian Seward"/>
    <hyperlink ref="M198" r:id="rId44" display="BZIP2 1.0 (2008) -9 Julian Seward"/>
    <hyperlink ref="A153" r:id="rId45" display="BZIP2 1.0 (2008) -9 Julian Seward"/>
    <hyperlink ref="G154" r:id="rId46" display="BZIP2 1.0 (2008) -9 Julian Seward"/>
    <hyperlink ref="M155" r:id="rId47" display="BZIP2 1.0 (2008) -9 Julian Seward"/>
    <hyperlink ref="A36" r:id="rId48" display="BZIP2 1.0 (2008) -9 Julian Seward"/>
    <hyperlink ref="G36" r:id="rId49" display="BZIP2 1.0 (2008) -9 Julian Seward"/>
    <hyperlink ref="M35" r:id="rId50" display="BZIP2 1.0 (2008) -9 Julian Seward"/>
    <hyperlink ref="A29" r:id="rId51" display="WinZip 16.5.10095 (ZIPX) best method"/>
    <hyperlink ref="G28" r:id="rId52" display="WinZip 16.5.10095 (ZIPX) best method"/>
    <hyperlink ref="M31" r:id="rId53" display="WinZip 16.5.10095 (ZIPX) best method"/>
    <hyperlink ref="M150" r:id="rId54" display="WinZip 16.5.10095 (ZIPX) best method"/>
    <hyperlink ref="G135" r:id="rId55" display="WinZip 16.5.10095 (ZIPX) best method"/>
    <hyperlink ref="A145" r:id="rId56" display="WinZip 16.5.10095 (ZIPX) best method"/>
    <hyperlink ref="A189" r:id="rId57" display="WinZip 16.5.10095 (ZIPX) best method"/>
    <hyperlink ref="G194" r:id="rId58" display="WinZip 16.5.10095 (ZIPX) best method"/>
    <hyperlink ref="M202" r:id="rId59" display="WinZip 16.5.10095 (ZIPX) best method"/>
    <hyperlink ref="M236" r:id="rId60" display="WinZip 16.5.10095 (ZIPX) best method"/>
    <hyperlink ref="G231" r:id="rId61" display="WinZip 16.5.10095 (ZIPX) best method"/>
    <hyperlink ref="A235" r:id="rId62" display="WinZip 16.5.10095 (ZIPX) best method"/>
    <hyperlink ref="A265" r:id="rId63" display="WinZip 16.5.10095 (ZIPX) best method"/>
    <hyperlink ref="G259" r:id="rId64" display="WinZip 16.5.10095 (ZIPX) best method"/>
    <hyperlink ref="M345" r:id="rId65" display="WinZip 16.5.10095 (ZIPX) best method"/>
    <hyperlink ref="G335" r:id="rId66" display="WinZip 16.5.10095 (ZIPX) best method"/>
    <hyperlink ref="A341" r:id="rId67" display="WinZip 16.5.10095 (ZIPX) best method"/>
    <hyperlink ref="A375" r:id="rId68" display="WinZip 16.5.10095 (ZIPX) best method"/>
    <hyperlink ref="M410" r:id="rId69" display="WinZip 16.5.10095 (ZIPX) best method"/>
    <hyperlink ref="G400" r:id="rId70" display="WinZip 16.5.10095 (ZIPX) best method"/>
    <hyperlink ref="A413" r:id="rId71" display="WinZip 16.5.10095 (ZIPX) best method"/>
    <hyperlink ref="A448" r:id="rId72" display="WinZip 16.5.10095 (ZIPX) best method"/>
    <hyperlink ref="G442" r:id="rId73" display="WinZip 16.5.10095 (ZIPX) best method"/>
    <hyperlink ref="M467" r:id="rId74" display="WinZip 16.5.10095 (ZIPX) best method"/>
    <hyperlink ref="G472" r:id="rId75" display="WinZip 16.5.10095 (ZIPX) best method"/>
    <hyperlink ref="A470" r:id="rId76" display="WinZip 16.5.10095 (ZIPX) best method"/>
    <hyperlink ref="A506" r:id="rId77" display="WinZip 16.5.10095 (ZIPX) best method"/>
    <hyperlink ref="A472" r:id="rId78" display="ZCM 0.60d -m7 -r -s (2012) N.F. Antonio"/>
    <hyperlink ref="G479" r:id="rId79" display="ZCM 0.60d -m7 -r -s (2012) N.F. Antonio"/>
    <hyperlink ref="M479" r:id="rId80" display="ZCM 0.60d -m7 -r -s (2012) N.F. Antonio"/>
    <hyperlink ref="A507" r:id="rId81" display="ZCM 0.60d -m7 -r -s (2012) N.F. Antonio"/>
    <hyperlink ref="A430" r:id="rId82" display="ZCM 0.60d -m7 -r -s (2012) N.F. Antonio"/>
    <hyperlink ref="G431" r:id="rId83" display="ZCM 0.60d -m7 -r -s (2012) N.F. Antonio"/>
    <hyperlink ref="A405" r:id="rId84" display="ZCM 0.60d -m7 -r -s (2012) N.F. Antonio"/>
    <hyperlink ref="G398" r:id="rId85" display="ZCM 0.60d -m7 -r -s (2012) N.F. Antonio"/>
    <hyperlink ref="M407" r:id="rId86" display="ZCM 0.60d -m7 -r -s (2012) N.F. Antonio"/>
    <hyperlink ref="A365" r:id="rId87" display="ZCM 0.60d -m7 -r -s (2012) N.F. Antonio"/>
    <hyperlink ref="G343" r:id="rId88" display="ZCM 0.60d -m7 -r -s (2012) N.F. Antonio"/>
    <hyperlink ref="M333" r:id="rId89" display="ZCM 0.60d -m7 -r -s (2012) N.F. Antonio"/>
    <hyperlink ref="A337" r:id="rId90" display="ZCM 0.60d -m7 -r -s (2012) N.F. Antonio"/>
    <hyperlink ref="A253" r:id="rId91" display="ZCM 0.60d -m7 -r -s (2012) N.F. Antonio"/>
    <hyperlink ref="G250" r:id="rId92" display="ZCM 0.60d -m7 -r -s (2012) N.F. Antonio"/>
    <hyperlink ref="M221" r:id="rId93" display="ZCM 0.60d -m7 -r -s (2012) N.F. Antonio"/>
    <hyperlink ref="G223" r:id="rId94" display="ZCM 0.60d -m7 -r -s (2012) N.F. Antonio"/>
    <hyperlink ref="A220" r:id="rId95" display="ZCM 0.60d -m7 -r -s (2012) N.F. Antonio"/>
    <hyperlink ref="A186" r:id="rId96" display="ZCM 0.60d -m7 -r -s (2012) N.F. Antonio"/>
    <hyperlink ref="G186" r:id="rId97" display="ZCM 0.60d -m7 -r -s (2012) N.F. Antonio"/>
    <hyperlink ref="M185" r:id="rId98" display="ZCM 0.60d -m7 -r -s (2012) N.F. Antonio"/>
    <hyperlink ref="M149" r:id="rId99" display="ZCM 0.60d -m7 -r -s (2012) N.F. Antonio"/>
    <hyperlink ref="G149" r:id="rId100" display="ZCM 0.60d -m7 -r -s (2012) N.F. Antonio"/>
    <hyperlink ref="A140" r:id="rId101" display="ZCM 0.60d -m7 -r -s (2012) N.F. Antonio"/>
    <hyperlink ref="M22" r:id="rId102" display="ZCM 0.60d -m7 -r -s (2012) N.F. Antonio"/>
    <hyperlink ref="G24" r:id="rId103" display="ZCM 0.60d -m7 -r -s (2012) N.F. Antonio"/>
    <hyperlink ref="A22" r:id="rId104" display="ZCM 0.60d -m7 -r -s (2012) N.F. Antonio"/>
    <hyperlink ref="A30" r:id="rId105" display="WinRar x64 v3.92 (4096 KB dictionary + Delta) Eugene Roshal"/>
    <hyperlink ref="G30" r:id="rId106" display="WinRar x64 v3.92 (4096 KB dictionary + Delta) Eugene Roshal"/>
    <hyperlink ref="M38" r:id="rId107" display="WinRar x64 v3.92 (4096 KB dictionary + Delta) Eugene Roshal"/>
    <hyperlink ref="M157" r:id="rId108" display="WinRar x64 v3.92 (4096 KB dictionary + Delta) Eugene Roshal"/>
    <hyperlink ref="G159" r:id="rId109" display="WinRar x64 v3.92 (4096 KB dictionary + Delta) Eugene Roshal"/>
    <hyperlink ref="A155" r:id="rId110" display="WinRar x64 v3.92 (4096 KB dictionary + Delta) Eugene Roshal"/>
    <hyperlink ref="A196" r:id="rId111" display="WinRar x64 v3.92 (4096 KB dictionary + Delta) Eugene Roshal"/>
    <hyperlink ref="G198" r:id="rId112" display="WinRar x64 v3.92 (4096 KB dictionary + Delta) Eugene Roshal"/>
    <hyperlink ref="M192" r:id="rId113" display="WinRar x64 v3.92 (4096 KB dictionary + Delta) Eugene Roshal"/>
    <hyperlink ref="M229" r:id="rId114" display="WinRar x64 v3.92 (4096 KB dictionary + Delta) Eugene Roshal"/>
    <hyperlink ref="G232" r:id="rId115" display="WinRar x64 v3.92 (4096 KB dictionary + Delta) Eugene Roshal"/>
    <hyperlink ref="A231" r:id="rId116" display="WinRar x64 v3.92 (4096 KB dictionary + Delta) Eugene Roshal"/>
    <hyperlink ref="G263" r:id="rId117" display="WinRar x64 v3.92 (4096 KB dictionary + Delta) Eugene Roshal"/>
    <hyperlink ref="A260" r:id="rId118" display="WinRar x64 v3.92 (4096 KB dictionary + Delta) Eugene Roshal"/>
    <hyperlink ref="A338" r:id="rId119" display="WinRar x64 v3.92 (4096 KB dictionary + Delta) Eugene Roshal"/>
    <hyperlink ref="G339" r:id="rId120" display="WinRar x64 v3.92 (4096 KB dictionary + Delta) Eugene Roshal"/>
    <hyperlink ref="M338" r:id="rId121" display="WinRar x64 v3.92 (4096 KB dictionary + Delta) Eugene Roshal"/>
    <hyperlink ref="A374" r:id="rId122" display="WinRar x64 v3.92 (4096 KB dictionary + Delta) Eugene Roshal"/>
    <hyperlink ref="A408" r:id="rId123" display="WinRar x64 v3.92 (4096 KB dictionary + Delta) Eugene Roshal"/>
    <hyperlink ref="G409" r:id="rId124" display="WinRar x64 v3.92 (4096 KB dictionary + Delta) Eugene Roshal"/>
    <hyperlink ref="M413" r:id="rId125" display="WinRar x64 v3.92 (4096 KB dictionary + Delta) Eugene Roshal"/>
    <hyperlink ref="G447" r:id="rId126" display="WinRar x64 v3.92 (4096 KB dictionary + Delta) Eugene Roshal"/>
    <hyperlink ref="A442" r:id="rId127" display="WinRar x64 v3.92 (4096 KB dictionary + Delta) Eugene Roshal"/>
    <hyperlink ref="A479" r:id="rId128" display="WinRar x64 v3.92 (4096 KB dictionary + Delta) Eugene Roshal"/>
    <hyperlink ref="G466" r:id="rId129" display="WinRar x64 v3.92 (4096 KB dictionary + Delta) Eugene Roshal"/>
    <hyperlink ref="M471" r:id="rId130" display="WinRar x64 v3.92 (4096 KB dictionary + Delta) Eugene Roshal"/>
    <hyperlink ref="A518" r:id="rId131" display="WinRar x64 v3.92 (4096 KB dictionary + Delta) Eugene Roshal"/>
    <hyperlink ref="A32" r:id="rId132" display="DGCA 1.00 - 1.10e (2004-2006) Shin-ichi Tsuruta"/>
    <hyperlink ref="G34" r:id="rId133" display="DGCA 1.00 - 1.10e (2004-2006) Shin-ichi Tsuruta"/>
    <hyperlink ref="M32" r:id="rId134" display="DGCA 1.00 - 1.10e (2004-2006) Shin-ichi Tsuruta"/>
    <hyperlink ref="M141" r:id="rId135" display="DGCA 1.00 - 1.10e (2004-2006) Shin-ichi Tsuruta"/>
    <hyperlink ref="G147" r:id="rId136" display="DGCA 1.00 - 1.10e (2004-2006) Shin-ichi Tsuruta"/>
    <hyperlink ref="A141" r:id="rId137" display="DGCA 1.00 - 1.10e (2004-2006) Shin-ichi Tsuruta"/>
    <hyperlink ref="A195" r:id="rId138" display="DGCA 1.00 - 1.10e (2004-2006) Shin-ichi Tsuruta"/>
    <hyperlink ref="G197" r:id="rId139" display="DGCA 1.00 - 1.10e (2004-2006) Shin-ichi Tsuruta"/>
    <hyperlink ref="M194" r:id="rId140" display="DGCA 1.00 - 1.10e (2004-2006) Shin-ichi Tsuruta"/>
    <hyperlink ref="M232" r:id="rId141" display="DGCA 1.00 - 1.10e (2004-2006) Shin-ichi Tsuruta"/>
    <hyperlink ref="G236" r:id="rId142" display="DGCA 1.00 - 1.10e (2004-2006) Shin-ichi Tsuruta"/>
    <hyperlink ref="A229" r:id="rId143" display="DGCA 1.00 - 1.10e (2004-2006) Shin-ichi Tsuruta"/>
    <hyperlink ref="A266" r:id="rId144" display="DGCA 1.00 - 1.10e (2004-2006) Shin-ichi Tsuruta"/>
    <hyperlink ref="G256" r:id="rId145" display="DGCA 1.00 - 1.10e (2004-2006) Shin-ichi Tsuruta"/>
    <hyperlink ref="M330" r:id="rId146" display="DGCA 1.00 - 1.10e (2004-2006) Shin-ichi Tsuruta"/>
    <hyperlink ref="G330" r:id="rId147" display="DGCA 1.00 - 1.10e (2004-2006) Shin-ichi Tsuruta"/>
    <hyperlink ref="A331" r:id="rId148" display="DGCA 1.00 - 1.10e (2004-2006) Shin-ichi Tsuruta"/>
    <hyperlink ref="A361" r:id="rId149" display="DGCA 1.00 - 1.10e (2004-2006) Shin-ichi Tsuruta"/>
    <hyperlink ref="M402" r:id="rId150" display="DGCA 1.00 - 1.10e (2004-2006) Shin-ichi Tsuruta"/>
    <hyperlink ref="G406" r:id="rId151" display="DGCA 1.00 - 1.10e (2004-2006) Shin-ichi Tsuruta"/>
    <hyperlink ref="A403" r:id="rId152" display="DGCA 1.00 - 1.10e (2004-2006) Shin-ichi Tsuruta"/>
    <hyperlink ref="A434" r:id="rId153" display="DGCA 1.00 - 1.10e (2004-2006) Shin-ichi Tsuruta"/>
    <hyperlink ref="G438" r:id="rId154" display="DGCA 1.00 - 1.10e (2004-2006) Shin-ichi Tsuruta"/>
    <hyperlink ref="M465" r:id="rId155" display="DGCA 1.00 - 1.10e (2004-2006) Shin-ichi Tsuruta"/>
    <hyperlink ref="A465" r:id="rId156" display="DGCA 1.00 - 1.10e (2004-2006) Shin-ichi Tsuruta"/>
    <hyperlink ref="G463" r:id="rId157" display="DGCA 1.00 - 1.10e (2004-2006) Shin-ichi Tsuruta"/>
    <hyperlink ref="A514" r:id="rId158" display="DGCA 1.00 - 1.10e (2004-2006) Shin-ichi Tsuruta"/>
    <hyperlink ref="A27" r:id="rId159" display="7-Zip x64 9.1.7 (0=delta:4 1=lzma:lp1:d96:fb273) Igor Pavlov"/>
    <hyperlink ref="G26" r:id="rId160" display="7-Zip x64 9.1.7 (0=delta:4 1=lzma:lp1:d96:fb273) Igor Pavlov"/>
    <hyperlink ref="M28" r:id="rId161" display="7-Zip x64 9.1.7 (0=delta:4 1=lzma:lp1:d96:fb273) Igor Pavlov"/>
    <hyperlink ref="M152" r:id="rId162" display="7-Zip x64 9.1.7 (0=delta:4 1=lzma:lp1:d96:fb273) Igor Pavlov"/>
    <hyperlink ref="G158" r:id="rId163" display="7-Zip x64 9.1.7 (0=delta:4 1=lzma:lp1:d96:fb273) Igor Pavlov"/>
    <hyperlink ref="A146" r:id="rId164" display="7-Zip x64 9.1.7 (0=delta:4 1=lzma:lp1:d96:fb273) Igor Pavlov"/>
    <hyperlink ref="A191" r:id="rId165" display="7-Zip x64 9.1.7 (0=delta:4 1=lzma:lp1:d96:fb273) Igor Pavlov"/>
    <hyperlink ref="G193" r:id="rId166" display="7-Zip x64 9.1.7 (0=delta:4 1=lzma:lp1:d96:fb273) Igor Pavlov"/>
    <hyperlink ref="M189" r:id="rId167" display="7-Zip x64 9.1.7 (0=delta:4 1=lzma:lp1:d96:fb273) Igor Pavlov"/>
    <hyperlink ref="M225" r:id="rId168" display="7-Zip x64 9.1.7 (0=delta:4 1=lzma:lp1:d96:fb273) Igor Pavlov"/>
    <hyperlink ref="G220" r:id="rId169" display="7-Zip x64 9.1.7 (0=delta:4 1=lzma:lp1:d96:fb273) Igor Pavlov"/>
    <hyperlink ref="A226" r:id="rId170" display="7-Zip x64 9.1.7 (0=delta:4 1=lzma:lp1:d96:fb273) Igor Pavlov"/>
    <hyperlink ref="A254" r:id="rId171" display="7-Zip x64 9.1.7 (0=delta:4 1=lzma:lp1:d96:fb273) Igor Pavlov"/>
    <hyperlink ref="G252" r:id="rId172" display="7-Zip x64 9.1.7 (0=delta:4 1=lzma:lp1:d96:fb273) Igor Pavlov"/>
    <hyperlink ref="M341" r:id="rId173" display="7-Zip x64 9.1.7 (0=delta:4 1=lzma:lp1:d96:fb273) Igor Pavlov"/>
    <hyperlink ref="G340" r:id="rId174" display="7-Zip x64 9.1.7 (0=delta:4 1=lzma:lp1:d96:fb273) Igor Pavlov"/>
    <hyperlink ref="A343" r:id="rId175" display="7-Zip x64 9.1.7 (0=delta:4 1=lzma:lp1:d96:fb273) Igor Pavlov"/>
    <hyperlink ref="A370" r:id="rId176" display="7-Zip x64 9.1.7 (0=delta:4 1=lzma:lp1:d96:fb273) Igor Pavlov"/>
    <hyperlink ref="M411" r:id="rId177" display="7-Zip x64 9.1.7 (0=delta:4 1=lzma:lp1:d96:fb273) Igor Pavlov"/>
    <hyperlink ref="G410" r:id="rId178" display="7-Zip x64 9.1.7 (0=delta:4 1=lzma:lp1:d96:fb273) Igor Pavlov"/>
    <hyperlink ref="A409" r:id="rId179" display="7-Zip x64 9.1.7 (0=delta:4 1=lzma:lp1:d96:fb273) Igor Pavlov"/>
    <hyperlink ref="A439" r:id="rId180" display="7-Zip x64 9.1.7 (0=delta:4 1=lzma:lp1:d96:fb273) Igor Pavlov"/>
    <hyperlink ref="G440" r:id="rId181" display="7-Zip x64 9.1.7 (0=delta:4 1=lzma:lp1:d96:fb273) Igor Pavlov"/>
    <hyperlink ref="M468" r:id="rId182" display="7-Zip x64 9.1.7 (0=delta:4 1=lzma:lp1:d96:fb273) Igor Pavlov"/>
    <hyperlink ref="G469" r:id="rId183" display="7-Zip x64 9.1.7 (0=delta:4 1=lzma:lp1:d96:fb273) Igor Pavlov"/>
    <hyperlink ref="A468" r:id="rId184" display="7-Zip x64 9.1.7 (0=delta:4 1=lzma:lp1:d96:fb273) Igor Pavlov"/>
    <hyperlink ref="A503" r:id="rId185" display="7-Zip x64 9.1.7 (0=delta:4 1=lzma:lp1:d96:fb273) Igor Pavlov"/>
    <hyperlink ref="A18" r:id="rId186" display="NanoZip 0.09α -cc -m2g (04.11.2011) Sami Runsas"/>
    <hyperlink ref="G20" r:id="rId187" display="NanoZip 0.09α -cc -m2g (04.11.2011) Sami Runsas"/>
    <hyperlink ref="M18" r:id="rId188" display="NanoZip 0.09α -cc -m2g (04.11.2011) Sami Runsas"/>
    <hyperlink ref="M138" r:id="rId189" display="NanoZip 0.09α -cc -m2g (04.11.2011) Sami Runsas"/>
    <hyperlink ref="G142" r:id="rId190" display="NanoZip 0.09α -cc -m2g (04.11.2011) Sami Runsas"/>
    <hyperlink ref="A136" r:id="rId191" display="NanoZip 0.09α -cc -m2g (04.11.2011) Sami Runsas"/>
    <hyperlink ref="A184" r:id="rId192" display="NanoZip 0.09α -cc -m2g (04.11.2011) Sami Runsas"/>
    <hyperlink ref="G184" r:id="rId193" display="NanoZip 0.09α -cc -m2g (04.11.2011) Sami Runsas"/>
    <hyperlink ref="M181" r:id="rId194" display="NanoZip 0.09α -cc -m2g (04.11.2011) Sami Runsas"/>
    <hyperlink ref="M219" r:id="rId195" display="NanoZip 0.09α -cc -m2g (04.11.2011) Sami Runsas"/>
    <hyperlink ref="G215" r:id="rId196" display="NanoZip 0.09α -cc -m2g (04.11.2011) Sami Runsas"/>
    <hyperlink ref="A218" r:id="rId197" display="NanoZip 0.09α -cc -m2g (04.11.2011) Sami Runsas"/>
    <hyperlink ref="A248" r:id="rId198" display="NanoZip 0.09α -cc -m2g (04.11.2011) Sami Runsas"/>
    <hyperlink ref="G246" r:id="rId199" display="NanoZip 0.09α -cc -m2g (04.11.2011) Sami Runsas"/>
    <hyperlink ref="M324" r:id="rId200" display="NanoZip 0.09α -cc -m2g (04.11.2011) Sami Runsas"/>
    <hyperlink ref="G324" r:id="rId201" display="NanoZip 0.09α -cc -m2g (04.11.2011) Sami Runsas"/>
    <hyperlink ref="A322" r:id="rId202" display="NanoZip 0.09α -cc -m2g (04.11.2011) Sami Runsas"/>
    <hyperlink ref="G351" r:id="rId203" display="NanoZip 0.09α -cc -m2g (04.11.2011) Sami Runsas"/>
    <hyperlink ref="A358" r:id="rId204" display="NanoZip 0.09α -cc -m2g (04.11.2011) Sami Runsas"/>
    <hyperlink ref="G396" r:id="rId205" display="NanoZip 0.09α -cc -m2g (04.11.2011) Sami Runsas"/>
    <hyperlink ref="A396" r:id="rId206" display="NanoZip 0.09α -cc -m2g (04.11.2011) Sami Runsas"/>
    <hyperlink ref="M394" r:id="rId207" display="NanoZip 0.09α -cc -m2g (04.11.2011) Sami Runsas"/>
    <hyperlink ref="G428" r:id="rId208" display="NanoZip 0.09α -cc -m2g (04.11.2011) Sami Runsas"/>
    <hyperlink ref="A425" r:id="rId209" display="NanoZip 0.09α -cc -m2g (04.11.2011) Sami Runsas"/>
    <hyperlink ref="M466" r:id="rId210" display="NanoZip 0.09α -cc -m2g (04.11.2011) Sami Runsas"/>
    <hyperlink ref="G468" r:id="rId211" display="NanoZip 0.09α -cc -m2g (04.11.2011) Sami Runsas"/>
    <hyperlink ref="A467" r:id="rId212" display="NanoZip 0.09α -cc -m2g (04.11.2011) Sami Runsas"/>
    <hyperlink ref="A498" r:id="rId213" display="NanoZip 0.09α -cc -m2g (04.11.2011) Sami Runsas"/>
    <hyperlink ref="A508" r:id="rId214" display="FreeARC 0.67 ultra (2012) Bulat Ziganshin"/>
    <hyperlink ref="A481" r:id="rId215" display="FreeARC 0.67 ultra (2012) Bulat Ziganshin"/>
    <hyperlink ref="G475" r:id="rId216" display="FreeARC 0.67 ultra (2012) Bulat Ziganshin"/>
    <hyperlink ref="M469" r:id="rId217" display="FreeARC 0.67 ultra (2012) Bulat Ziganshin"/>
    <hyperlink ref="G445" r:id="rId218" display="FreeARC 0.67 ultra (2012) Bulat Ziganshin"/>
    <hyperlink ref="A443" r:id="rId219" display="FreeARC 0.67 ultra (2012) Bulat Ziganshin"/>
    <hyperlink ref="M414" r:id="rId220" display="FreeARC 0.67 ultra (2012) Bulat Ziganshin"/>
    <hyperlink ref="G412" r:id="rId221" display="FreeARC 0.67 ultra (2012) Bulat Ziganshin"/>
    <hyperlink ref="A417" r:id="rId222" display="FreeARC 0.67 ultra (2012) Bulat Ziganshin"/>
    <hyperlink ref="A377" r:id="rId223" display="FreeARC 0.67 ultra (2012) Bulat Ziganshin"/>
    <hyperlink ref="A344" r:id="rId224" display="FreeARC 0.67 ultra (2012) Bulat Ziganshin"/>
    <hyperlink ref="G344" r:id="rId225" display="FreeARC 0.67 ultra (2012) Bulat Ziganshin"/>
    <hyperlink ref="M343" r:id="rId226" display="FreeARC 0.67 ultra (2012) Bulat Ziganshin"/>
    <hyperlink ref="G257" r:id="rId227" display="FreeARC 0.67 ultra (2012) Bulat Ziganshin"/>
    <hyperlink ref="A255" r:id="rId228" display="FreeARC 0.67 ultra (2012) Bulat Ziganshin"/>
    <hyperlink ref="M231" r:id="rId229" display="FreeARC 0.67 ultra (2012) Bulat Ziganshin"/>
    <hyperlink ref="G227" r:id="rId230" display="FreeARC 0.67 ultra (2012) Bulat Ziganshin"/>
    <hyperlink ref="A232" r:id="rId231" display="FreeARC 0.67 ultra (2012) Bulat Ziganshin"/>
    <hyperlink ref="M196" r:id="rId232" display="FreeARC 0.67 ultra (2012) Bulat Ziganshin"/>
    <hyperlink ref="G195" r:id="rId233" display="FreeARC 0.67 ultra (2012) Bulat Ziganshin"/>
    <hyperlink ref="A194" r:id="rId234" display="FreeARC 0.67 ultra (2012) Bulat Ziganshin"/>
    <hyperlink ref="G161" r:id="rId235" display="FreeARC 0.67 ultra (2012) Bulat Ziganshin"/>
    <hyperlink ref="M151" r:id="rId236" display="FreeARC 0.67 ultra (2012) Bulat Ziganshin"/>
    <hyperlink ref="A151" r:id="rId237" display="FreeARC 0.67 ultra (2012) Bulat Ziganshin"/>
    <hyperlink ref="M29" r:id="rId238" display="FreeARC 0.67 ultra (2012) Bulat Ziganshin"/>
    <hyperlink ref="G33" r:id="rId239" display="FreeARC 0.67 ultra (2012) Bulat Ziganshin"/>
    <hyperlink ref="A33" r:id="rId240" display="FreeARC 0.67 ultra (2012) Bulat Ziganshin"/>
    <hyperlink ref="A34" r:id="rId241" display="WinAce v2.69 Final (4096 KB dict + Delta) Marcel Lemke"/>
    <hyperlink ref="G32" r:id="rId242" display="WinAce v2.69 Final (4096 KB dict + Delta) Marcel Lemke"/>
    <hyperlink ref="M33" r:id="rId243" display="WinAce v2.69 Final (4096 KB dict + Delta) Marcel Lemke"/>
    <hyperlink ref="M156" r:id="rId244" display="WinAce v2.69 Final (4096 KB dict + Delta) Marcel Lemke"/>
    <hyperlink ref="G162" r:id="rId245" display="WinAce v2.69 Final (4096 KB dict + Delta) Marcel Lemke"/>
    <hyperlink ref="A152" r:id="rId246" display="WinAce v2.69 Final (4096 KB dict + Delta) Marcel Lemke"/>
    <hyperlink ref="A199" r:id="rId247" display="WinAce v2.69 Final (4096 KB dict + Delta) Marcel Lemke"/>
    <hyperlink ref="G201" r:id="rId248" display="WinAce v2.69 Final (4096 KB dict + Delta) Marcel Lemke"/>
    <hyperlink ref="M193" r:id="rId249" display="WinAce v2.69 Final (4096 KB dict + Delta) Marcel Lemke"/>
    <hyperlink ref="M230" r:id="rId250" display="WinAce v2.69 Final (4096 KB dict + Delta) Marcel Lemke"/>
    <hyperlink ref="G233" r:id="rId251" display="WinAce v2.69 Final (4096 KB dict + Delta) Marcel Lemke"/>
    <hyperlink ref="A236" r:id="rId252" display="WinAce v2.69 Final (4096 KB dict + Delta) Marcel Lemke"/>
    <hyperlink ref="A264" r:id="rId253" display="WinAce v2.69 Final (4096 KB dict + Delta) Marcel Lemke"/>
    <hyperlink ref="G264" r:id="rId254" display="WinAce v2.69 Final (4096 KB dict + Delta) Marcel Lemke"/>
    <hyperlink ref="M342" r:id="rId255" display="WinAce v2.69 Final (4096 KB dict + Delta) Marcel Lemke"/>
    <hyperlink ref="G341" r:id="rId256" display="WinAce v2.69 Final (4096 KB dict + Delta) Marcel Lemke"/>
    <hyperlink ref="A342" r:id="rId257" display="WinAce v2.69 Final (4096 KB dict + Delta) Marcel Lemke"/>
    <hyperlink ref="A376" r:id="rId258" display="WinAce v2.69 Final (4096 KB dict + Delta) Marcel Lemke"/>
    <hyperlink ref="M415" r:id="rId259" display="WinAce v2.69 Final (4096 KB dict + Delta) Marcel Lemke"/>
    <hyperlink ref="G417" r:id="rId260" display="WinAce v2.69 Final (4096 KB dict + Delta) Marcel Lemke"/>
    <hyperlink ref="A414" r:id="rId261" display="WinAce v2.69 Final (4096 KB dict + Delta) Marcel Lemke"/>
    <hyperlink ref="G448" r:id="rId262" display="WinAce v2.69 Final (4096 KB dict + Delta) Marcel Lemke"/>
    <hyperlink ref="A446" r:id="rId263" display="WinAce v2.69 Final (4096 KB dict + Delta) Marcel Lemke"/>
    <hyperlink ref="A484" r:id="rId264" display="WinAce v2.69 Final (4096 KB dict + Delta) Marcel Lemke"/>
    <hyperlink ref="G478" r:id="rId265" display="WinAce v2.69 Final (4096 KB dict + Delta) Marcel Lemke"/>
    <hyperlink ref="M477" r:id="rId266" display="WinAce v2.69 Final (4096 KB dict + Delta) Marcel Lemke"/>
    <hyperlink ref="A502" r:id="rId267" display="WinAce v2.69 Final (4096 KB dict + Delta) Marcel Lemke"/>
    <hyperlink ref="A504" r:id="rId268" display="UHARC v0.6b (PPM, 32MB dict., Multimedia ) U. Herklotz"/>
    <hyperlink ref="M470" r:id="rId269" display="UHARC v0.6b (PPM, 32MB dict., Multimedia ) U. Herklotz"/>
    <hyperlink ref="A476" r:id="rId270" display="UHARC v0.6b (PPM, 32MB dict., Multimedia ) U. Herklotz"/>
    <hyperlink ref="A437" r:id="rId271" display="UHARC v0.6b (PPM, 32MB dict., Multimedia ) U. Herklotz"/>
    <hyperlink ref="G439" r:id="rId272" display="UHARC v0.6b (PPM, 32MB dict., Multimedia ) U. Herklotz"/>
    <hyperlink ref="M409" r:id="rId273" display="UHARC v0.6b (PPM, 32MB dict., Multimedia ) U. Herklotz"/>
    <hyperlink ref="G393" r:id="rId274" display="UHARC v0.6b (PPM, 32MB dict., Multimedia ) U. Herklotz"/>
    <hyperlink ref="A399" r:id="rId275" display="UHARC v0.6b (PPM, 32MB dict., Multimedia ) U. Herklotz"/>
    <hyperlink ref="A368" r:id="rId276" display="UHARC v0.6b (PPM, 32MB dict., Multimedia ) U. Herklotz"/>
    <hyperlink ref="M335" r:id="rId277" display="UHARC v0.6b (PPM, 32MB dict., Multimedia ) U. Herklotz"/>
    <hyperlink ref="G334" r:id="rId278" display="UHARC v0.6b (PPM, 32MB dict., Multimedia ) U. Herklotz"/>
    <hyperlink ref="A333" r:id="rId279" display="UHARC v0.6b (PPM, 32MB dict., Multimedia ) U. Herklotz"/>
    <hyperlink ref="G262" r:id="rId280" display="UHARC v0.6b (PPM, 32MB dict., Multimedia ) U. Herklotz"/>
    <hyperlink ref="A259" r:id="rId281" display="UHARC v0.6b (PPM, 32MB dict., Multimedia ) U. Herklotz"/>
    <hyperlink ref="G229" r:id="rId282" display="UHARC v0.6b (PPM, 32MB dict., Multimedia ) U. Herklotz"/>
    <hyperlink ref="M220" r:id="rId283" display="UHARC v0.6b (PPM, 32MB dict., Multimedia ) U. Herklotz"/>
    <hyperlink ref="A222" r:id="rId284" display="UHARC v0.6b (PPM, 32MB dict., Multimedia ) U. Herklotz"/>
    <hyperlink ref="G185" r:id="rId285" display="UHARC v0.6b (PPM, 32MB dict., Multimedia ) U. Herklotz"/>
    <hyperlink ref="M184" r:id="rId286" display="UHARC v0.6b (PPM, 32MB dict., Multimedia ) U. Herklotz"/>
    <hyperlink ref="A187" r:id="rId287" display="UHARC v0.6b (PPM, 32MB dict., Multimedia ) U. Herklotz"/>
    <hyperlink ref="A149" r:id="rId288" display="UHARC v0.6b (PPM, 32MB dict., Multimedia ) U. Herklotz"/>
    <hyperlink ref="G155" r:id="rId289" display="UHARC v0.6b (PPM, 32MB dict., Multimedia ) U. Herklotz"/>
    <hyperlink ref="M145" r:id="rId290" display="UHARC v0.6b (PPM, 32MB dict., Multimedia ) U. Herklotz"/>
    <hyperlink ref="M19" r:id="rId291" display="UHARC v0.6b (PPM, 32MB dict., Multimedia ) U. Herklotz"/>
    <hyperlink ref="G29" r:id="rId292" display="UHARC v0.6b (PPM, 32MB dict., Multimedia ) U. Herklotz"/>
    <hyperlink ref="A25" r:id="rId293" display="UHARC v0.6b (PPM, 32MB dict., Multimedia ) U. Herklotz"/>
    <hyperlink ref="A16" r:id="rId294" location="1532"/>
    <hyperlink ref="G17" r:id="rId295" location="1532"/>
    <hyperlink ref="M20" r:id="rId296" location="1532"/>
    <hyperlink ref="M135" r:id="rId297" location="1532"/>
    <hyperlink ref="G131" r:id="rId298" location="1532"/>
    <hyperlink ref="A135" r:id="rId299" location="1532"/>
    <hyperlink ref="A181" r:id="rId300" location="1532"/>
    <hyperlink ref="G181" r:id="rId301" location="1532"/>
    <hyperlink ref="M182" r:id="rId302" location="1532"/>
    <hyperlink ref="M218" r:id="rId303" location="1532"/>
    <hyperlink ref="G218" r:id="rId304" location="1532"/>
    <hyperlink ref="A219" r:id="rId305" location="1532"/>
    <hyperlink ref="A250" r:id="rId306" location="1532"/>
    <hyperlink ref="G248" r:id="rId307" location="1532"/>
    <hyperlink ref="M322" r:id="rId308" location="1532"/>
    <hyperlink ref="G323" r:id="rId309" location="1532"/>
    <hyperlink ref="A323" r:id="rId310" location="1532"/>
    <hyperlink ref="A357" r:id="rId311" location="1532"/>
    <hyperlink ref="M396" r:id="rId312" location="1532"/>
    <hyperlink ref="G397" r:id="rId313" location="1532"/>
    <hyperlink ref="A395" r:id="rId314" location="1532"/>
    <hyperlink ref="A428" r:id="rId315" location="1532"/>
    <hyperlink ref="G429" r:id="rId316" location="1532"/>
    <hyperlink ref="M475" r:id="rId317" location="1532"/>
    <hyperlink ref="G470" r:id="rId318" location="1532"/>
    <hyperlink ref="A463" r:id="rId319" location="1532"/>
    <hyperlink ref="A497" r:id="rId320" location="1532"/>
    <hyperlink ref="A499" r:id="rId321"/>
    <hyperlink ref="M472" r:id="rId322"/>
    <hyperlink ref="G473" r:id="rId323" display="UHARC v0.6b (PPM, 32MB dict., Multimedia ) U. Herklotz"/>
    <hyperlink ref="G474" r:id="rId324"/>
    <hyperlink ref="A469" r:id="rId325"/>
    <hyperlink ref="A433" r:id="rId326"/>
    <hyperlink ref="G437" r:id="rId327"/>
    <hyperlink ref="M404" r:id="rId328"/>
    <hyperlink ref="G408" r:id="rId329"/>
    <hyperlink ref="A404" r:id="rId330"/>
    <hyperlink ref="A362" r:id="rId331"/>
    <hyperlink ref="M329" r:id="rId332"/>
    <hyperlink ref="G331" r:id="rId333"/>
    <hyperlink ref="A332" r:id="rId334"/>
    <hyperlink ref="G245" r:id="rId335"/>
    <hyperlink ref="A245" r:id="rId336"/>
    <hyperlink ref="M226" r:id="rId337"/>
    <hyperlink ref="G216" r:id="rId338"/>
    <hyperlink ref="A214" r:id="rId339"/>
    <hyperlink ref="M178" r:id="rId340"/>
    <hyperlink ref="G188" r:id="rId341"/>
    <hyperlink ref="A185" r:id="rId342"/>
    <hyperlink ref="M132" r:id="rId343"/>
    <hyperlink ref="G150" r:id="rId344"/>
    <hyperlink ref="A142" r:id="rId345"/>
    <hyperlink ref="M15" r:id="rId346"/>
    <hyperlink ref="G19" r:id="rId347"/>
    <hyperlink ref="A19" r:id="rId348"/>
    <hyperlink ref="A21" r:id="rId349"/>
    <hyperlink ref="G21" r:id="rId350"/>
    <hyperlink ref="M24" r:id="rId351"/>
    <hyperlink ref="M139" r:id="rId352"/>
    <hyperlink ref="G143" r:id="rId353"/>
    <hyperlink ref="A137" r:id="rId354"/>
    <hyperlink ref="M187" r:id="rId355"/>
    <hyperlink ref="G182" r:id="rId356"/>
    <hyperlink ref="A182" r:id="rId357"/>
    <hyperlink ref="A221" r:id="rId358"/>
    <hyperlink ref="G219" r:id="rId359"/>
    <hyperlink ref="M222" r:id="rId360"/>
    <hyperlink ref="G265" r:id="rId361"/>
    <hyperlink ref="A256" r:id="rId362"/>
    <hyperlink ref="M326" r:id="rId363"/>
    <hyperlink ref="G325" r:id="rId364"/>
    <hyperlink ref="A328" r:id="rId365"/>
    <hyperlink ref="A359" r:id="rId366"/>
    <hyperlink ref="M398" r:id="rId367"/>
    <hyperlink ref="G402" r:id="rId368"/>
    <hyperlink ref="A397" r:id="rId369"/>
    <hyperlink ref="G430" r:id="rId370"/>
    <hyperlink ref="A429" r:id="rId371"/>
    <hyperlink ref="M463" r:id="rId372"/>
    <hyperlink ref="G465" r:id="rId373"/>
    <hyperlink ref="A464" r:id="rId374"/>
    <hyperlink ref="A496" r:id="rId375"/>
    <hyperlink ref="A28" r:id="rId376" display="LZHAM α7r1 -m4 -d29 -t11 -e -x R. Geldreich, Jr."/>
    <hyperlink ref="G27" r:id="rId377" display="LZHAM α7r1 -m4 -d29 -t11 -e -x R. Geldreich, Jr."/>
    <hyperlink ref="M26" r:id="rId378" display="LZHAM α7r1 -m4 -d29 -t11 -e -x R. Geldreich, Jr."/>
    <hyperlink ref="M148" r:id="rId379" display="LZHAM α7r1 -m4 -d29 -t11 -e -x R. Geldreich, Jr."/>
    <hyperlink ref="G156" r:id="rId380" display="LZHAM α7r1 -m4 -d29 -t11 -e -x R. Geldreich, Jr."/>
    <hyperlink ref="A147" r:id="rId381" display="LZHAM α7r1 -m4 -d29 -t11 -e -x R. Geldreich, Jr."/>
    <hyperlink ref="A192" r:id="rId382" display="LZHAM α7r1 -m4 -d29 -t11 -e -x R. Geldreich, Jr."/>
    <hyperlink ref="G189" r:id="rId383" display="LZHAM α7r1 -m4 -d29 -t11 -e -x R. Geldreich, Jr."/>
    <hyperlink ref="M190" r:id="rId384" display="LZHAM α7r1 -m4 -d29 -t11 -e -x R. Geldreich, Jr."/>
    <hyperlink ref="M228" r:id="rId385" display="LZHAM α7r1 -m4 -d29 -t11 -e -x R. Geldreich, Jr."/>
    <hyperlink ref="G221" r:id="rId386" display="LZHAM α7r1 -m4 -d29 -t11 -e -x R. Geldreich, Jr."/>
    <hyperlink ref="A224" r:id="rId387" display="LZHAM α7r1 -m4 -d29 -t11 -e -x R. Geldreich, Jr."/>
    <hyperlink ref="A252" r:id="rId388" display="LZHAM α7r1 -m4 -d29 -t11 -e -x R. Geldreich, Jr."/>
    <hyperlink ref="G253" r:id="rId389" display="LZHAM α7r1 -m4 -d29 -t11 -e -x R. Geldreich, Jr."/>
    <hyperlink ref="M334" r:id="rId390" display="LZHAM α7r1 -m4 -d29 -t11 -e -x R. Geldreich, Jr."/>
    <hyperlink ref="G333" r:id="rId391" display="LZHAM α7r1 -m4 -d29 -t11 -e -x R. Geldreich, Jr."/>
    <hyperlink ref="A334" r:id="rId392" display="LZHAM α7r1 -m4 -d29 -t11 -e -x R. Geldreich, Jr."/>
    <hyperlink ref="A366" r:id="rId393" display="LZHAM α7r1 -m4 -d29 -t11 -e -x R. Geldreich, Jr."/>
    <hyperlink ref="A402" r:id="rId394" display="LZHAM α7r1 -m4 -d29 -t11 -e -x R. Geldreich, Jr."/>
    <hyperlink ref="G403" r:id="rId395" display="LZHAM α7r1 -m4 -d29 -t11 -e -x R. Geldreich, Jr."/>
    <hyperlink ref="M408" r:id="rId396" display="LZHAM α7r1 -m4 -d29 -t11 -e -x R. Geldreich, Jr."/>
    <hyperlink ref="G441" r:id="rId397" display="LZHAM α7r1 -m4 -d29 -t11 -e -x R. Geldreich, Jr."/>
    <hyperlink ref="A438" r:id="rId398" display="LZHAM α7r1 -m4 -d29 -t11 -e -x R. Geldreich, Jr."/>
    <hyperlink ref="M473" r:id="rId399" display="LZHAM α7r1 -m4 -d29 -t11 -e -x R. Geldreich, Jr."/>
    <hyperlink ref="G471" r:id="rId400" display="LZHAM α7r1 -m4 -d29 -t11 -e -x R. Geldreich, Jr."/>
    <hyperlink ref="A471" r:id="rId401" display="LZHAM α7r1 -m4 -d29 -t11 -e -x R. Geldreich, Jr."/>
    <hyperlink ref="A509" r:id="rId402" display="LZHAM α7r1 -m4 -d29 -t11 -e -x R. Geldreich, Jr."/>
    <hyperlink ref="A513" r:id="rId403"/>
    <hyperlink ref="M481" r:id="rId404"/>
    <hyperlink ref="G480" r:id="rId405"/>
    <hyperlink ref="A475" r:id="rId406"/>
    <hyperlink ref="G434" r:id="rId407"/>
    <hyperlink ref="A432" r:id="rId408"/>
    <hyperlink ref="A401" r:id="rId409"/>
    <hyperlink ref="G407" r:id="rId410"/>
    <hyperlink ref="M400" r:id="rId411"/>
    <hyperlink ref="A363" r:id="rId412"/>
    <hyperlink ref="M332" r:id="rId413"/>
    <hyperlink ref="G329" r:id="rId414"/>
    <hyperlink ref="A327" r:id="rId415"/>
    <hyperlink ref="A263" r:id="rId416"/>
    <hyperlink ref="G260" r:id="rId417"/>
    <hyperlink ref="M237" r:id="rId418"/>
    <hyperlink ref="G234" r:id="rId419"/>
    <hyperlink ref="A233" r:id="rId420"/>
    <hyperlink ref="A198" r:id="rId421"/>
    <hyperlink ref="G192" r:id="rId422"/>
    <hyperlink ref="M195" r:id="rId423"/>
    <hyperlink ref="M142" r:id="rId424"/>
    <hyperlink ref="G148" r:id="rId425"/>
    <hyperlink ref="A144" r:id="rId426"/>
    <hyperlink ref="A35" r:id="rId427"/>
    <hyperlink ref="G35" r:id="rId428"/>
    <hyperlink ref="M30" r:id="rId429"/>
    <hyperlink ref="M131" r:id="rId430" display="PreComp 0.4.3 dev Christian Schneider"/>
    <hyperlink ref="G152" r:id="rId431" display="PreComp 0.4.3 dev Christian Schneider"/>
    <hyperlink ref="A130" r:id="rId432" display="PreComp 0.4.3 dev Christian Schneider"/>
    <hyperlink ref="G178" r:id="rId433" display="PreComp 0.4.3 dev Christian Schneider"/>
    <hyperlink ref="A178" r:id="rId434" display="PreComp 0.4.3 dev Christian Schneider"/>
    <hyperlink ref="A17" r:id="rId435" display="PreComp 0.4.3 dev Christian Schneider"/>
    <hyperlink ref="G18" r:id="rId436" display="PreComp 0.4.3 dev Christian Schneider"/>
    <hyperlink ref="M34" r:id="rId437" display="PreComp 0.4.3 dev Christian Schneider"/>
    <hyperlink ref="M200" r:id="rId438" display="PreComp 0.4.3 dev Christian Schneider"/>
    <hyperlink ref="G237" r:id="rId439" display="PreComp 0.4.3 dev Christian Schneider"/>
    <hyperlink ref="M234" r:id="rId440" display="PreComp 0.4.3 dev Christian Schneider"/>
    <hyperlink ref="A215" r:id="rId441" display="PreComp 0.4.3 dev Christian Schneider"/>
    <hyperlink ref="G268" r:id="rId442" display="PreComp 0.4.3 dev Christian Schneider"/>
    <hyperlink ref="A267" r:id="rId443" display="PreComp 0.4.3 dev Christian Schneider"/>
    <hyperlink ref="M339" r:id="rId444" display="PreComp 0.4.3 dev Christian Schneider"/>
    <hyperlink ref="G337" r:id="rId445" display="PreComp 0.4.3 dev Christian Schneider"/>
    <hyperlink ref="A340" r:id="rId446" display="PreComp 0.4.3 dev Christian Schneider"/>
    <hyperlink ref="A371" r:id="rId447" display="PreComp 0.4.3 dev Christian Schneider"/>
    <hyperlink ref="M393" r:id="rId448" display="PreComp 0.4.3 dev Christian Schneider"/>
    <hyperlink ref="G416" r:id="rId449" display="PreComp 0.4.3 dev Christian Schneider"/>
    <hyperlink ref="A411" r:id="rId450" display="PreComp 0.4.3 dev Christian Schneider"/>
    <hyperlink ref="A445" r:id="rId451" display="PreComp 0.4.3 dev Christian Schneider"/>
    <hyperlink ref="G443" r:id="rId452" display="PreComp 0.4.3 dev Christian Schneider"/>
    <hyperlink ref="M484" r:id="rId453" display="PreComp 0.4.3 dev Christian Schneider"/>
    <hyperlink ref="G485" r:id="rId454" display="PreComp 0.4.3 dev Christian Schneider"/>
    <hyperlink ref="A482" r:id="rId455" display="PreComp 0.4.3 dev Christian Schneider"/>
    <hyperlink ref="A517" r:id="rId456" display="PreComp 0.4.3 dev Christian Schneider"/>
    <hyperlink ref="A302" r:id="rId457" display="BZIP2 1.0 (2008) -9 Julian Seward"/>
    <hyperlink ref="A304" r:id="rId458" display="WinZip 16.5.10095 (ZIPX) best method"/>
    <hyperlink ref="A295" r:id="rId459" display="ZCM 0.60d -m7 -r -s (2012) N.F. Antonio"/>
    <hyperlink ref="A291" r:id="rId460" display="WinRar x64 v3.92 (4096 KB dictionary + Delta) Eugene Roshal"/>
    <hyperlink ref="A289" r:id="rId461" display="DGCA 1.00 - 1.10e (2004-2006) Shin-ichi Tsuruta"/>
    <hyperlink ref="A305" r:id="rId462" display="7-Zip x64 9.1.7 (0=delta:4 1=lzma:lp1:d96:fb273) Igor Pavlov"/>
    <hyperlink ref="A281" r:id="rId463" display="NanoZip 0.09α -cc -m2g (04.11.2011) Sami Runsas"/>
    <hyperlink ref="A296" r:id="rId464" display="FreeARC 0.67 ultra (2012) Bulat Ziganshin"/>
    <hyperlink ref="A284" r:id="rId465" display="WinAce v2.69 Final (4096 KB dict + Delta) Marcel Lemke"/>
    <hyperlink ref="A283" r:id="rId466" display="UHARC v0.6b (PPM, 32MB dict., Multimedia ) U. Herklotz"/>
    <hyperlink ref="A290" r:id="rId467" location="1532"/>
    <hyperlink ref="A303" r:id="rId468"/>
    <hyperlink ref="A282" r:id="rId469"/>
    <hyperlink ref="A301" r:id="rId470" display="LZHAM α7r1 -m4 -d29 -t11 -e -x R. Geldreich, Jr."/>
    <hyperlink ref="A299" r:id="rId471" display="BSC 3.1.0 -b1024rsca -m0 -H28 -M255 I. Grebnov"/>
    <hyperlink ref="G302" r:id="rId472" display="BZIP2 1.0 (2008) -9 Julian Seward"/>
    <hyperlink ref="G305" r:id="rId473" display="WinZip 16.5.10095 (ZIPX) best method"/>
    <hyperlink ref="G294" r:id="rId474" display="ZCM 0.60d -m7 -r -s (2012) N.F. Antonio"/>
    <hyperlink ref="G293" r:id="rId475" display="WinRar x64 v3.92 (4096 KB dictionary + Delta) Eugene Roshal"/>
    <hyperlink ref="G289" r:id="rId476" display="DGCA 1.00 - 1.10e (2004-2006) Shin-ichi Tsuruta"/>
    <hyperlink ref="G304" r:id="rId477" display="7-Zip x64 9.1.7 (0=delta:4 1=lzma:lp1:d96:fb273) Igor Pavlov"/>
    <hyperlink ref="G281" r:id="rId478" display="NanoZip 0.09α -cc -m2g (04.11.2011) Sami Runsas"/>
    <hyperlink ref="G296" r:id="rId479" display="FreeARC 0.67 ultra (2012) Bulat Ziganshin"/>
    <hyperlink ref="G290" r:id="rId480" display="WinAce v2.69 Final (4096 KB dict + Delta) Marcel Lemke"/>
    <hyperlink ref="G288" r:id="rId481" display="UHARC v0.6b (PPM, 32MB dict., Multimedia ) U. Herklotz"/>
    <hyperlink ref="G286" r:id="rId482" location="1532"/>
    <hyperlink ref="G303" r:id="rId483"/>
    <hyperlink ref="G291" r:id="rId484"/>
    <hyperlink ref="G300" r:id="rId485" display="LZHAM α7r1 -m4 -d29 -t11 -e -x R. Geldreich, Jr."/>
    <hyperlink ref="G299" r:id="rId486"/>
    <hyperlink ref="M301" r:id="rId487" display="BZIP2 1.0 (2008) -9 Julian Seward"/>
    <hyperlink ref="M299" r:id="rId488" display="WinZip 16.5.10095 (ZIPX) best method"/>
    <hyperlink ref="M291" r:id="rId489" display="ZCM 0.60d -m7 -r -s (2012) N.F. Antonio"/>
    <hyperlink ref="M304" r:id="rId490" display="WinRar x64 v3.92 (4096 KB dictionary + Delta) Eugene Roshal"/>
    <hyperlink ref="M294" r:id="rId491" display="DGCA 1.00 - 1.10e (2004-2006) Shin-ichi Tsuruta"/>
    <hyperlink ref="M300" r:id="rId492" display="7-Zip x64 9.1.7 (0=delta:4 1=lzma:lp1:d96:fb273) Igor Pavlov"/>
    <hyperlink ref="M288" r:id="rId493" display="NanoZip 0.09α -cc -m2g (04.11.2011) Sami Runsas"/>
    <hyperlink ref="M295" r:id="rId494" display="FreeARC 0.67 ultra (2012) Bulat Ziganshin"/>
    <hyperlink ref="M302" r:id="rId495" display="WinAce v2.69 Final (4096 KB dict + Delta) Marcel Lemke"/>
    <hyperlink ref="M290" r:id="rId496" display="UHARC v0.6b (PPM, 32MB dict., Multimedia ) U. Herklotz"/>
    <hyperlink ref="M283" r:id="rId497" location="1532"/>
    <hyperlink ref="M297" r:id="rId498"/>
    <hyperlink ref="M284" r:id="rId499"/>
    <hyperlink ref="M298" r:id="rId500" display="LZHAM α7r1 -m4 -d29 -t11 -e -x R. Geldreich, Jr."/>
    <hyperlink ref="M296" r:id="rId501"/>
    <hyperlink ref="M279" r:id="rId502" location="radix_-_yuki_satellites.xm"/>
    <hyperlink ref="A288" r:id="rId503"/>
    <hyperlink ref="G283" r:id="rId504"/>
    <hyperlink ref="M287" r:id="rId505"/>
    <hyperlink ref="A300" r:id="rId506"/>
    <hyperlink ref="G301" r:id="rId507"/>
    <hyperlink ref="M306" r:id="rId508"/>
    <hyperlink ref="A308" r:id="rId509"/>
    <hyperlink ref="G307" r:id="rId510"/>
    <hyperlink ref="M307" r:id="rId511"/>
    <hyperlink ref="G279" r:id="rId512"/>
    <hyperlink ref="A309" r:id="rId513"/>
    <hyperlink ref="G309" r:id="rId514"/>
    <hyperlink ref="M309" r:id="rId515"/>
    <hyperlink ref="A292" r:id="rId516"/>
    <hyperlink ref="G292" r:id="rId517"/>
    <hyperlink ref="M285" r:id="rId518"/>
    <hyperlink ref="A279" r:id="rId519"/>
    <hyperlink ref="A75" r:id="rId520" display="BZIP2 1.0 (2008) -9 Julian Seward"/>
    <hyperlink ref="A77" r:id="rId521" display="WinZip 16.5.10095 (ZIPX) best method"/>
    <hyperlink ref="A66" r:id="rId522" display="ZCM 0.60d -m7 -r -s (2012) N.F. Antonio"/>
    <hyperlink ref="A73" r:id="rId523" display="WinRar x64 v3.92 (4096 KB dictionary + Delta) Eugene Roshal"/>
    <hyperlink ref="A69" r:id="rId524" display="DGCA 1.00 - 1.10e (2004-2006) Shin-ichi Tsuruta"/>
    <hyperlink ref="A72" r:id="rId525" display="7-Zip x64 9.1.7 (0=delta:4 1=lzma:lp1:d96:fb273) Igor Pavlov"/>
    <hyperlink ref="A56" r:id="rId526" display="NanoZip 0.09α -cc -m2g (04.11.2011) Sami Runsas"/>
    <hyperlink ref="A78" r:id="rId527" display="FreeARC 0.67 ultra (2012) Bulat Ziganshin"/>
    <hyperlink ref="A76" r:id="rId528" display="WinAce v2.69 Final (4096 KB dict + Delta) Marcel Lemke"/>
    <hyperlink ref="A64" r:id="rId529" display="UHARC v0.6b (PPM, 32MB dict., Multimedia ) U. Herklotz"/>
    <hyperlink ref="A59" r:id="rId530" location="1532"/>
    <hyperlink ref="A67" r:id="rId531"/>
    <hyperlink ref="A61" r:id="rId532"/>
    <hyperlink ref="A71" r:id="rId533" display="LZHAM α7r1 -m4 -d29 -t11 -e -x R. Geldreich, Jr."/>
    <hyperlink ref="A79" r:id="rId534" display="BSC 3.1.0 -b1024rsca -m0 -H28 -M255 I. Grebnov"/>
    <hyperlink ref="A60" r:id="rId535" display="PreComp 0.4.3 dev Christian Schneider"/>
    <hyperlink ref="G66" r:id="rId536" display="BZIP2 1.0 (2008) -9 Julian Seward"/>
    <hyperlink ref="G70" r:id="rId537" display="WinZip 16.5.10095 (ZIPX) best method"/>
    <hyperlink ref="G55" r:id="rId538" display="ZCM 0.60d -m7 -r -s (2012) N.F. Antonio"/>
    <hyperlink ref="G74" r:id="rId539" display="WinRar x64 v3.92 (4096 KB dictionary + Delta) Eugene Roshal"/>
    <hyperlink ref="G57" r:id="rId540" display="DGCA 1.00 - 1.10e (2004-2006) Shin-ichi Tsuruta"/>
    <hyperlink ref="G71" r:id="rId541" display="7-Zip x64 9.1.7 (0=delta:4 1=lzma:lp1:d96:fb273) Igor Pavlov"/>
    <hyperlink ref="G53" r:id="rId542" display="NanoZip 0.09α -cc -m2g (04.11.2011) Sami Runsas"/>
    <hyperlink ref="G72" r:id="rId543" display="FreeARC 0.67 ultra (2012) Bulat Ziganshin"/>
    <hyperlink ref="G76" r:id="rId544" display="WinAce v2.69 Final (4096 KB dict + Delta) Marcel Lemke"/>
    <hyperlink ref="G64" r:id="rId545" display="UHARC v0.6b (PPM, 32MB dict., Multimedia ) U. Herklotz"/>
    <hyperlink ref="G52" r:id="rId546" location="1532"/>
    <hyperlink ref="G69" r:id="rId547"/>
    <hyperlink ref="G54" r:id="rId548"/>
    <hyperlink ref="G68" r:id="rId549" display="LZHAM α7r1 -m4 -d29 -t11 -e -x R. Geldreich, Jr."/>
    <hyperlink ref="G61" r:id="rId550" display="BSC 3.1.0 -b1024rsca -m0 -H28 -M255 I. Grebnov"/>
    <hyperlink ref="G65" r:id="rId551" display="PreComp 0.4.3 dev Christian Schneider"/>
    <hyperlink ref="A54" r:id="rId552" display=".RWZ RAWZOR (lossless) Sachin Garg 2010"/>
    <hyperlink ref="G81" r:id="rId553" display=".RWZ RAWZOR (lossless) Sachin Garg 2010"/>
    <hyperlink ref="G77" r:id="rId554"/>
    <hyperlink ref="A80" r:id="rId555"/>
    <hyperlink ref="A70" r:id="rId556" display="7-Zip x64 9.1.7 (0=delta:4 1=lzma:lp1:d96:fb273) Igor Pavlov"/>
    <hyperlink ref="G62" r:id="rId557" display="7-Zip x64 9.1.7 (0=delta:4 1=lzma:lp1:d96:fb273) Igor Pavlov"/>
    <hyperlink ref="M106" r:id="rId558" display="BZIP2 1.0 (2008) -9 Julian Seward"/>
    <hyperlink ref="M102" r:id="rId559" display="WinZip 16.5.10095 (ZIPX) best method"/>
    <hyperlink ref="M98" r:id="rId560" display="ZCM 0.60d -m7 -r -s (2012) N.F. Antonio"/>
    <hyperlink ref="M108" r:id="rId561" display="WinRar x64 v3.92 (4096 KB dictionary + Delta) Eugene Roshal"/>
    <hyperlink ref="M96" r:id="rId562" display="DGCA 1.00 - 1.10e (2004-2006) Shin-ichi Tsuruta"/>
    <hyperlink ref="M101" r:id="rId563" display="7-Zip x64 9.1.7 (0=delta:4 1=lzma:lp1:d96:fb273) Igor Pavlov"/>
    <hyperlink ref="M89" r:id="rId564" display="NanoZip 0.09α -cc -m2g (04.11.2011) Sami Runsas"/>
    <hyperlink ref="M103" r:id="rId565" display="FreeARC 0.67 ultra (2012) Bulat Ziganshin"/>
    <hyperlink ref="M110" r:id="rId566" display="WinAce v2.69 Final (4096 KB dict + Delta) Marcel Lemke"/>
    <hyperlink ref="M105" r:id="rId567" display="UHARC v0.6b (PPM, 32MB dict., Multimedia ) U. Herklotz"/>
    <hyperlink ref="M88" r:id="rId568" location="1532"/>
    <hyperlink ref="M94" r:id="rId569"/>
    <hyperlink ref="M91" r:id="rId570"/>
    <hyperlink ref="M100" r:id="rId571" display="LZHAM α7r1 -m4 -d29 -t11 -e -x R. Geldreich, Jr."/>
    <hyperlink ref="M95" r:id="rId572" display="BSC 3.1.0 -b1024rsca -m0 -H28 -M255 I. Grebnov"/>
    <hyperlink ref="M104" r:id="rId573" display="PreComp 0.4.3 dev Christian Schneider"/>
    <hyperlink ref="M117" r:id="rId574" display=".RWZ RAWZOR (lossless) Sachin Garg 2010"/>
    <hyperlink ref="M107" r:id="rId575"/>
    <hyperlink ref="M97" r:id="rId576" display="7-Zip x64 9.1.7 (0=delta:4 1=lzma:lp1:d96:fb273) Igor Pavlov"/>
    <hyperlink ref="M77" r:id="rId577" display="BZIP2 1.0 (2008) -9 Julian Seward"/>
    <hyperlink ref="M73" r:id="rId578" display="WinZip 16.5.10095 (ZIPX) best method"/>
    <hyperlink ref="M61" r:id="rId579" display="ZCM 0.60d -m7 -r -s (2012) N.F. Antonio"/>
    <hyperlink ref="M76" r:id="rId580" display="WinRar x64 v3.92 (4096 KB dictionary + Delta) Eugene Roshal"/>
    <hyperlink ref="M60" r:id="rId581" display="DGCA 1.00 - 1.10e (2004-2006) Shin-ichi Tsuruta"/>
    <hyperlink ref="M67" r:id="rId582" display="7-Zip x64 9.1.7 (0=delta:4 1=lzma:lp1:d96:fb273) Igor Pavlov"/>
    <hyperlink ref="M55" r:id="rId583" display="NanoZip 0.09α -cc -m2g (04.11.2011) Sami Runsas"/>
    <hyperlink ref="M79" r:id="rId584" display="FreeARC 0.67 ultra (2012) Bulat Ziganshin"/>
    <hyperlink ref="M78" r:id="rId585" display="WinAce v2.69 Final (4096 KB dict + Delta) Marcel Lemke"/>
    <hyperlink ref="M65" r:id="rId586" display="UHARC v0.6b (PPM, 32MB dict., Multimedia ) U. Herklotz"/>
    <hyperlink ref="M56" r:id="rId587" location="1532"/>
    <hyperlink ref="M63" r:id="rId588"/>
    <hyperlink ref="M59" r:id="rId589"/>
    <hyperlink ref="M69" r:id="rId590" display="LZHAM α7r1 -m4 -d29 -t11 -e -x R. Geldreich, Jr."/>
    <hyperlink ref="M72" r:id="rId591" display="BSC 3.1.0 -b1024rsca -m0 -H28 -M255 I. Grebnov"/>
    <hyperlink ref="M54" r:id="rId592" display="PreComp 0.4.3 dev Christian Schneider"/>
    <hyperlink ref="M52" r:id="rId593" display=".RWZ RAWZOR (lossless) Sachin Garg 2010"/>
    <hyperlink ref="M68" r:id="rId594"/>
    <hyperlink ref="M66" r:id="rId595" display="7-Zip x64 9.1.7 (0=delta:4 1=lzma:lp1:d96:fb273) Igor Pavlov"/>
    <hyperlink ref="M48" r:id="rId596"/>
    <hyperlink ref="M84" r:id="rId597"/>
    <hyperlink ref="A48" r:id="rId598"/>
    <hyperlink ref="A460" r:id="rId599"/>
    <hyperlink ref="G48" r:id="rId600"/>
    <hyperlink ref="G106" r:id="rId601" display="BZIP2 1.0 (2008) -9 Julian Seward"/>
    <hyperlink ref="G110" r:id="rId602" display="WinZip 16.5.10095 (ZIPX) best method"/>
    <hyperlink ref="G94" r:id="rId603" display="ZCM 0.60d -m7 -r -s (2012) N.F. Antonio"/>
    <hyperlink ref="G112" r:id="rId604" display="WinRar x64 v3.92 (4096 KB dictionary + Delta) Eugene Roshal"/>
    <hyperlink ref="G102" r:id="rId605" display="DGCA 1.00 - 1.10e (2004-2006) Shin-ichi Tsuruta"/>
    <hyperlink ref="G109" r:id="rId606" display="7-Zip x64 9.1.7 (0=delta:4 1=lzma:lp1:d96:fb273) Igor Pavlov"/>
    <hyperlink ref="G93" r:id="rId607" display="NanoZip 0.09α -cc -m2g (04.11.2011) Sami Runsas"/>
    <hyperlink ref="G111" r:id="rId608" display="FreeARC 0.67 ultra (2012) Bulat Ziganshin"/>
    <hyperlink ref="G115" r:id="rId609" display="WinAce v2.69 Final (4096 KB dict + Delta) Marcel Lemke"/>
    <hyperlink ref="G107" r:id="rId610" display="UHARC v0.6b (PPM, 32MB dict., Multimedia ) U. Herklotz"/>
    <hyperlink ref="G92" r:id="rId611" location="1532"/>
    <hyperlink ref="G104" r:id="rId612"/>
    <hyperlink ref="G97" r:id="rId613"/>
    <hyperlink ref="G108" r:id="rId614" display="LZHAM α7r1 -m4 -d29 -t11 -e -x R. Geldreich, Jr."/>
    <hyperlink ref="G101" r:id="rId615" display="BSC 3.1.0 -b1024rsca -m0 -H28 -M255 I. Grebnov"/>
    <hyperlink ref="G103" r:id="rId616" display="PreComp 0.4.3 dev Christian Schneider"/>
    <hyperlink ref="G117" r:id="rId617" display=".RWZ RAWZOR (lossless) Sachin Garg 2010"/>
    <hyperlink ref="G114" r:id="rId618"/>
    <hyperlink ref="G99" r:id="rId619" display="7-Zip x64 9.1.7 (0=delta:4 1=lzma:lp1:d96:fb273) Igor Pavlov"/>
    <hyperlink ref="A108" r:id="rId620" display="BZIP2 1.0 (2008) -9 Julian Seward"/>
    <hyperlink ref="A110" r:id="rId621" display="WinZip 16.5.10095 (ZIPX) best method"/>
    <hyperlink ref="A95" r:id="rId622" display="ZCM 0.60d -m7 -r -s (2012) N.F. Antonio"/>
    <hyperlink ref="A107" r:id="rId623" display="WinRar x64 v3.92 (4096 KB dictionary + Delta) Eugene Roshal"/>
    <hyperlink ref="A97" r:id="rId624" display="DGCA 1.00 - 1.10e (2004-2006) Shin-ichi Tsuruta"/>
    <hyperlink ref="A100" r:id="rId625" display="7-Zip x64 9.1.7 (0=delta:4 1=lzma:lp1:d96:fb273) Igor Pavlov"/>
    <hyperlink ref="A88" r:id="rId626" display="NanoZip 0.09α -cc -m2g (04.11.2011) Sami Runsas"/>
    <hyperlink ref="A111" r:id="rId627" display="FreeARC 0.67 ultra (2012) Bulat Ziganshin"/>
    <hyperlink ref="A109" r:id="rId628" display="WinAce v2.69 Final (4096 KB dict + Delta) Marcel Lemke"/>
    <hyperlink ref="A99" r:id="rId629" display="UHARC v0.6b (PPM, 32MB dict., Multimedia ) U. Herklotz"/>
    <hyperlink ref="A89" r:id="rId630" location="1532"/>
    <hyperlink ref="A94" r:id="rId631"/>
    <hyperlink ref="A92" r:id="rId632"/>
    <hyperlink ref="A102" r:id="rId633" display="LZHAM α7r1 -m4 -d29 -t11 -e -x R. Geldreich, Jr."/>
    <hyperlink ref="A104" r:id="rId634" display="BSC 3.1.0 -b1024rsca -m0 -H28 -M255 I. Grebnov"/>
    <hyperlink ref="A87" r:id="rId635" display="PreComp 0.4.3 dev Christian Schneider"/>
    <hyperlink ref="A86" r:id="rId636" display=".RWZ RAWZOR (lossless) Sachin Garg 2010"/>
    <hyperlink ref="A103" r:id="rId637"/>
    <hyperlink ref="A101" r:id="rId638" display="7-Zip x64 9.1.7 (0=delta:4 1=lzma:lp1:d96:fb273) Igor Pavlov"/>
    <hyperlink ref="A84" r:id="rId639"/>
    <hyperlink ref="G84" r:id="rId640"/>
    <hyperlink ref="A8" r:id="rId641"/>
    <hyperlink ref="A7" r:id="rId642"/>
    <hyperlink ref="A31" r:id="rId643" display="WinRar x64 v3.92 (4096 KB dictionary + Delta) Eugene Roshal"/>
    <hyperlink ref="G31" r:id="rId644" display="WinRar x64 v3.92 (4096 KB dictionary + Delta) Eugene Roshal"/>
    <hyperlink ref="M27" r:id="rId645" display="WinRar x64 v3.92 (4096 KB dictionary + Delta) Eugene Roshal"/>
    <hyperlink ref="A74" r:id="rId646" display="WinRar x64 v3.92 (4096 KB dictionary + Delta) Eugene Roshal"/>
    <hyperlink ref="G73" r:id="rId647" display="WinRar x64 v3.92 (4096 KB dictionary + Delta) Eugene Roshal"/>
    <hyperlink ref="M75" r:id="rId648" display="WinRar x64 v3.92 (4096 KB dictionary + Delta) Eugene Roshal"/>
    <hyperlink ref="A106" r:id="rId649" display="WinRar x64 v3.92 (4096 KB dictionary + Delta) Eugene Roshal"/>
    <hyperlink ref="G113" r:id="rId650" display="WinRar x64 v3.92 (4096 KB dictionary + Delta) Eugene Roshal"/>
    <hyperlink ref="M109" r:id="rId651" display="WinRar x64 v3.92 (4096 KB dictionary + Delta) Eugene Roshal"/>
    <hyperlink ref="A150" r:id="rId652" display="WinRar x64 v3.92 (4096 KB dictionary + Delta) Eugene Roshal"/>
    <hyperlink ref="G160" r:id="rId653" display="WinRar x64 v3.92 (4096 KB dictionary + Delta) Eugene Roshal"/>
    <hyperlink ref="M154" r:id="rId654" display="WinRar x64 v3.92 (4096 KB dictionary + Delta) Eugene Roshal"/>
    <hyperlink ref="A197" r:id="rId655" display="WinRar x64 v3.92 (4096 KB dictionary + Delta) Eugene Roshal"/>
    <hyperlink ref="G199" r:id="rId656" display="WinRar x64 v3.92 (4096 KB dictionary + Delta) Eugene Roshal"/>
    <hyperlink ref="M191" r:id="rId657" display="WinRar x64 v3.92 (4096 KB dictionary + Delta) Eugene Roshal"/>
    <hyperlink ref="A230" r:id="rId658" display="WinRar x64 v3.92 (4096 KB dictionary + Delta) Eugene Roshal"/>
    <hyperlink ref="G226" r:id="rId659" display="WinRar x64 v3.92 (4096 KB dictionary + Delta) Eugene Roshal"/>
    <hyperlink ref="M227" r:id="rId660" display="WinRar x64 v3.92 (4096 KB dictionary + Delta) Eugene Roshal"/>
    <hyperlink ref="A251" r:id="rId661" display="WinRar x64 v3.92 (4096 KB dictionary + Delta) Eugene Roshal"/>
    <hyperlink ref="G254" r:id="rId662" display="WinRar x64 v3.92 (4096 KB dictionary + Delta) Eugene Roshal"/>
    <hyperlink ref="A294" r:id="rId663" display="WinRar x64 v3.92 (4096 KB dictionary + Delta) Eugene Roshal"/>
    <hyperlink ref="G295" r:id="rId664" display="WinRar x64 v3.92 (4096 KB dictionary + Delta) Eugene Roshal"/>
    <hyperlink ref="M303" r:id="rId665" display="WinRar x64 v3.92 (4096 KB dictionary + Delta) Eugene Roshal"/>
    <hyperlink ref="A335" r:id="rId666" display="WinRar x64 v3.92 (4096 KB dictionary + Delta) Eugene Roshal"/>
    <hyperlink ref="G338" r:id="rId667" display="WinRar x64 v3.92 (4096 KB dictionary + Delta) Eugene Roshal"/>
    <hyperlink ref="M337" r:id="rId668" display="WinRar x64 v3.92 (4096 KB dictionary + Delta) Eugene Roshal"/>
    <hyperlink ref="A369" r:id="rId669" display="WinRar x64 v3.92 (4096 KB dictionary + Delta) Eugene Roshal"/>
    <hyperlink ref="A407" r:id="rId670" display="WinRar x64 v3.92 (4096 KB dictionary + Delta) Eugene Roshal"/>
    <hyperlink ref="G404" r:id="rId671" display="WinRar x64 v3.92 (4096 KB dictionary + Delta) Eugene Roshal"/>
    <hyperlink ref="M412" r:id="rId672" display="WinRar x64 v3.92 (4096 KB dictionary + Delta) Eugene Roshal"/>
    <hyperlink ref="G446" r:id="rId673" display="WinRar x64 v3.92 (4096 KB dictionary + Delta) Eugene Roshal"/>
    <hyperlink ref="A441" r:id="rId674" display="WinRar x64 v3.92 (4096 KB dictionary + Delta) Eugene Roshal"/>
    <hyperlink ref="A478" r:id="rId675" display="WinRar x64 v3.92 (4096 KB dictionary + Delta) Eugene Roshal"/>
    <hyperlink ref="G476" r:id="rId676" display="WinRar x64 v3.92 (4096 KB dictionary + Delta) Eugene Roshal"/>
    <hyperlink ref="M476" r:id="rId677" display="WinRar x64 v3.92 (4096 KB dictionary + Delta) Eugene Roshal"/>
    <hyperlink ref="A512" r:id="rId678" display="WinRar x64 v3.92 (4096 KB dictionary + Delta) Eugene Roshal"/>
    <hyperlink ref="G372" r:id="rId679" display="BZIP2 1.0 (2008) -9 Julian Seward"/>
    <hyperlink ref="G367" r:id="rId680" display="WinZip 16.5.10095 (ZIPX) best method"/>
    <hyperlink ref="G363" r:id="rId681" display="ZCM 0.60d -m7 -r -s (2012) N.F. Antonio"/>
    <hyperlink ref="G366" r:id="rId682" display="WinRar x64 v3.92 (4096 KB dictionary + Delta) Eugene Roshal"/>
    <hyperlink ref="G361" r:id="rId683" display="DGCA 1.00 - 1.10e (2004-2006) Shin-ichi Tsuruta"/>
    <hyperlink ref="G368" r:id="rId684" display="7-Zip x64 9.1.7 (0=delta:4 1=lzma:lp1:d96:fb273) Igor Pavlov"/>
    <hyperlink ref="G371" r:id="rId685" display="FreeARC 0.67 ultra (2012) Bulat Ziganshin"/>
    <hyperlink ref="G370" r:id="rId686" display="WinAce v2.69 Final (4096 KB dict + Delta) Marcel Lemke"/>
    <hyperlink ref="G362" r:id="rId687" display="UHARC v0.6b (PPM, 32MB dict., Multimedia ) U. Herklotz"/>
    <hyperlink ref="G354" r:id="rId688" display="REFLATE 0c1 (2012) Eugene Shelwien"/>
    <hyperlink ref="G360" r:id="rId689"/>
    <hyperlink ref="G356" r:id="rId690" display="LZHAM α7r1 -m4 -d29 -t11 -e -x R. Geldreich, Jr."/>
    <hyperlink ref="G364" r:id="rId691" display="BSC 3.1.0 -b1024rsca -m0 -H28 -M255 I. Grebnov"/>
    <hyperlink ref="G359" r:id="rId692"/>
    <hyperlink ref="G373" r:id="rId693" display="NanoZip 0.09α -cc -m2g (04.11.2011) Sami Runsas"/>
    <hyperlink ref="A352" r:id="rId694"/>
    <hyperlink ref="A353" r:id="rId695"/>
    <hyperlink ref="A351" r:id="rId696"/>
    <hyperlink ref="A133" r:id="rId697"/>
    <hyperlink ref="G129" r:id="rId698"/>
    <hyperlink ref="M136" r:id="rId699"/>
    <hyperlink ref="A90" r:id="rId700"/>
    <hyperlink ref="G90" r:id="rId701"/>
    <hyperlink ref="M86" r:id="rId702"/>
    <hyperlink ref="A57" r:id="rId703"/>
    <hyperlink ref="G50" r:id="rId704"/>
    <hyperlink ref="M57" r:id="rId705"/>
    <hyperlink ref="M16" r:id="rId706"/>
    <hyperlink ref="G15" r:id="rId707"/>
    <hyperlink ref="A14" r:id="rId708"/>
    <hyperlink ref="A179" r:id="rId709"/>
    <hyperlink ref="G179" r:id="rId710"/>
    <hyperlink ref="M180" r:id="rId711"/>
    <hyperlink ref="A216" r:id="rId712"/>
    <hyperlink ref="G217" r:id="rId713"/>
    <hyperlink ref="M217" r:id="rId714"/>
    <hyperlink ref="G247" r:id="rId715"/>
    <hyperlink ref="A246" r:id="rId716"/>
    <hyperlink ref="A285" r:id="rId717"/>
    <hyperlink ref="G284" r:id="rId718"/>
    <hyperlink ref="M281" r:id="rId719"/>
    <hyperlink ref="M321" r:id="rId720"/>
    <hyperlink ref="G321" r:id="rId721"/>
    <hyperlink ref="A324" r:id="rId722"/>
    <hyperlink ref="A355" r:id="rId723"/>
    <hyperlink ref="G353" r:id="rId724"/>
    <hyperlink ref="A393" r:id="rId725"/>
    <hyperlink ref="G394" r:id="rId726"/>
    <hyperlink ref="M395" r:id="rId727"/>
    <hyperlink ref="G426" r:id="rId728"/>
    <hyperlink ref="A426" r:id="rId729"/>
    <hyperlink ref="G140" r:id="rId730" display="JPEGcrop (Ari Progessive) (1998-2010)"/>
    <hyperlink ref="G141" r:id="rId731" display="JPEGcrop (Huff.Opt. Progessive) (1998-2010)"/>
    <hyperlink ref="G133" r:id="rId732" display="PackJPG 2.5f (24.02.2013) M. Stirner"/>
  </hyperlinks>
  <pageMargins left="0.7" right="0.7" top="0.75" bottom="0.75" header="0.3" footer="0.3"/>
  <pageSetup paperSize="9" orientation="portrait" r:id="rId733"/>
  <legacyDrawing r:id="rId734"/>
  <picture r:id="rId7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10 Commandments</vt:lpstr>
      <vt:lpstr>FAQ</vt:lpstr>
      <vt:lpstr>PRACTICAL CHART</vt:lpstr>
      <vt:lpstr>Fairytale Archive Structure</vt:lpstr>
      <vt:lpstr>slower than practical</vt:lpstr>
      <vt:lpstr>AUDIO</vt:lpstr>
      <vt:lpstr>Camera Raw</vt:lpstr>
      <vt:lpstr>IMAGE</vt:lpstr>
      <vt:lpstr>PDF, JPG, MP3, PNG, Installer..</vt:lpstr>
      <vt:lpstr>TXT BIBLE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SqueezeChart 2013</dc:title>
  <dc:creator/>
  <cp:lastModifiedBy/>
  <dcterms:created xsi:type="dcterms:W3CDTF">2013-10-31T15:18:20Z</dcterms:created>
  <dcterms:modified xsi:type="dcterms:W3CDTF">2014-04-27T11:57:05Z</dcterms:modified>
</cp:coreProperties>
</file>