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8.xml" ContentType="application/vnd.openxmlformats-officedocument.spreadsheetml.table+xml"/>
  <Override PartName="/xl/tables/table14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5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.xml" ContentType="application/vnd.openxmlformats-officedocument.spreadsheetml.table+xml"/>
  <Override PartName="/xl/tables/table22.xml" ContentType="application/vnd.openxmlformats-officedocument.spreadsheetml.table+xml"/>
  <Override PartName="/xl/tables/table19.xml" ContentType="application/vnd.openxmlformats-officedocument.spreadsheetml.table+xml"/>
  <Override PartName="/xl/tables/table21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0.xml" ContentType="application/vnd.openxmlformats-officedocument.spreadsheetml.table+xml"/>
  <Override PartName="/xl/tables/table18.xml" ContentType="application/vnd.openxmlformats-officedocument.spreadsheetml.table+xml"/>
  <Override PartName="/xl/tables/table17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xl/tables/table7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AC" sheetId="1" state="visible" r:id="rId2"/>
    <sheet name="ACC_hidro" sheetId="2" state="visible" r:id="rId3"/>
    <sheet name="ACC_mass" sheetId="3" state="visible" r:id="rId4"/>
    <sheet name="PseAAC_hidro" sheetId="4" state="visible" r:id="rId5"/>
    <sheet name="PseAAC_hidro_mass" sheetId="5" state="visible" r:id="rId6"/>
    <sheet name="PseAAC_mass" sheetId="6" state="visible" r:id="rId7"/>
    <sheet name="Deep_learning" sheetId="7" state="visible" r:id="rId8"/>
    <sheet name="Comparativa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<sst xmlns="http://schemas.openxmlformats.org/spreadsheetml/2006/main" count="558" uniqueCount="71">
  <si>
    <t xml:space="preserve">Composición de aminoácidos (AAC) Globodera ds1</t>
  </si>
  <si>
    <t xml:space="preserve">k -vecinos más cercanos (KNN)</t>
  </si>
  <si>
    <t xml:space="preserve">N° Efectores</t>
  </si>
  <si>
    <t xml:space="preserve">N° No efectores</t>
  </si>
  <si>
    <t xml:space="preserve">Total</t>
  </si>
  <si>
    <t xml:space="preserve">(no_efec_cor = no efectores correctos, efec_cor = efectores correctos, PNE = Precisión no efectores, PE = Precisión efectores).</t>
  </si>
  <si>
    <t xml:space="preserve">KNN</t>
  </si>
  <si>
    <t xml:space="preserve">no_efec_cor</t>
  </si>
  <si>
    <t xml:space="preserve">no_efec_inc</t>
  </si>
  <si>
    <t xml:space="preserve">efec_cor</t>
  </si>
  <si>
    <t xml:space="preserve">efect_inc</t>
  </si>
  <si>
    <t xml:space="preserve">Correctos</t>
  </si>
  <si>
    <t xml:space="preserve">Incorrectos</t>
  </si>
  <si>
    <t xml:space="preserve">Exactitud</t>
  </si>
  <si>
    <t xml:space="preserve">% efe_cor</t>
  </si>
  <si>
    <t xml:space="preserve">% efe_inc</t>
  </si>
  <si>
    <t xml:space="preserve">% no_efe_cor</t>
  </si>
  <si>
    <t xml:space="preserve">% no_efect_inc</t>
  </si>
  <si>
    <t xml:space="preserve">% corectos</t>
  </si>
  <si>
    <t xml:space="preserve">% incorrectos</t>
  </si>
  <si>
    <t xml:space="preserve">PNE</t>
  </si>
  <si>
    <t xml:space="preserve">PE</t>
  </si>
  <si>
    <t xml:space="preserve">Presición</t>
  </si>
  <si>
    <t xml:space="preserve">efec</t>
  </si>
  <si>
    <t xml:space="preserve">no_efe</t>
  </si>
  <si>
    <t xml:space="preserve">total_sec</t>
  </si>
  <si>
    <t xml:space="preserve">Máquinas de vectores de soporte (SVM)</t>
  </si>
  <si>
    <t xml:space="preserve">costo</t>
  </si>
  <si>
    <t xml:space="preserve">gama</t>
  </si>
  <si>
    <t xml:space="preserve">N° efec</t>
  </si>
  <si>
    <t xml:space="preserve">N° no_efe</t>
  </si>
  <si>
    <t xml:space="preserve">Covarianza de auto cruzamiento (ACC) hidro Globodera ds1</t>
  </si>
  <si>
    <t xml:space="preserve">Covarianza de auto cruzamiento (ACC) mass Globodera ds1</t>
  </si>
  <si>
    <t xml:space="preserve">Covarianza de auto cruzamiento (ACC) mass archaea_ds2</t>
  </si>
  <si>
    <t xml:space="preserve">Composición de pseudo aminoácidos (PseAAC) hidro Globodera ds1</t>
  </si>
  <si>
    <t xml:space="preserve">Composición de pseudo aminoácidos (PseAAC) hidro_mass Globodera ds1</t>
  </si>
  <si>
    <t xml:space="preserve">Composición de pseudo aminoácidos (PseAAC) mass Globodera ds1</t>
  </si>
  <si>
    <t xml:space="preserve">Deep learning Globodera ds1</t>
  </si>
  <si>
    <t xml:space="preserve">Modelo [8, 7, 6, 5, 4, 3, 2]</t>
  </si>
  <si>
    <t xml:space="preserve">índice</t>
  </si>
  <si>
    <t xml:space="preserve">AAC</t>
  </si>
  <si>
    <t xml:space="preserve">ACC_hidro</t>
  </si>
  <si>
    <t xml:space="preserve">ACC_mass</t>
  </si>
  <si>
    <t xml:space="preserve">PseAAC_hidro</t>
  </si>
  <si>
    <t xml:space="preserve">PseAAC_hidro_mass</t>
  </si>
  <si>
    <t xml:space="preserve">PseAAC_mass</t>
  </si>
  <si>
    <t xml:space="preserve">Modelo [8, 6, 4, 3, 2]</t>
  </si>
  <si>
    <t xml:space="preserve">Modelo [8, 6, 4, 3]</t>
  </si>
  <si>
    <t xml:space="preserve">Modelo  [8, 6, 4]</t>
  </si>
  <si>
    <t xml:space="preserve">Modelo  [8, 4]</t>
  </si>
  <si>
    <t xml:space="preserve">Modelo 1</t>
  </si>
  <si>
    <t xml:space="preserve">[8, 7, 6, 5, 4, 3, 2]</t>
  </si>
  <si>
    <t xml:space="preserve">Modelo 2</t>
  </si>
  <si>
    <t xml:space="preserve">[8, 6, 4, 3, 2]</t>
  </si>
  <si>
    <t xml:space="preserve">Modelo 3</t>
  </si>
  <si>
    <t xml:space="preserve">[8, 6, 4, 3]</t>
  </si>
  <si>
    <t xml:space="preserve">Modelo 4 </t>
  </si>
  <si>
    <t xml:space="preserve">[8, 6, 4]</t>
  </si>
  <si>
    <t xml:space="preserve">Modelo 5</t>
  </si>
  <si>
    <t xml:space="preserve">[8, 4]</t>
  </si>
  <si>
    <t xml:space="preserve">Modelo 4</t>
  </si>
  <si>
    <t xml:space="preserve">Promedio</t>
  </si>
  <si>
    <t xml:space="preserve">Globodera ds1</t>
  </si>
  <si>
    <t xml:space="preserve">Composición de pseudo aminoácidos (PseAAC)</t>
  </si>
  <si>
    <t xml:space="preserve">Comparativa</t>
  </si>
  <si>
    <t xml:space="preserve">Exact_KNN</t>
  </si>
  <si>
    <t xml:space="preserve">Pres_KNN</t>
  </si>
  <si>
    <t xml:space="preserve">Exact_SVM</t>
  </si>
  <si>
    <t xml:space="preserve">Pres_SVM</t>
  </si>
  <si>
    <t xml:space="preserve">Exact_Deep</t>
  </si>
  <si>
    <t xml:space="preserve">Pres_Deep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</si>
</sst>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.0000%"/>
    <numFmt numFmtId="167" formatCode="0.000"/>
    <numFmt numFmtId="168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b val="true"/>
      <sz val="11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i val="true"/>
      <sz val="10"/>
      <color rgb="FF44546A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C99"/>
        <bgColor rgb="FFFFFF99"/>
      </patternFill>
    </fill>
    <fill>
      <patternFill patternType="solid">
        <fgColor rgb="FFC6EFCE"/>
        <bgColor rgb="FFDAE3F3"/>
      </patternFill>
    </fill>
    <fill>
      <patternFill patternType="solid">
        <fgColor rgb="FF70AD47"/>
        <bgColor rgb="FF548235"/>
      </patternFill>
    </fill>
    <fill>
      <patternFill patternType="solid">
        <fgColor rgb="FF4472C4"/>
        <bgColor rgb="FF44546A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C6EFCE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B2B2B2"/>
      </left>
      <right/>
      <top/>
      <bottom/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/>
      <top style="medium">
        <color rgb="FF8EA9DB"/>
      </top>
      <bottom style="medium">
        <color rgb="FF8EA9DB"/>
      </bottom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3" borderId="2" applyFont="true" applyBorder="tru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  <cellStyle name="Excel Built-in Input" xfId="21"/>
    <cellStyle name="Excel Built-in Good" xfId="22"/>
    <cellStyle name="Excel Built-in Accent6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2B2B2"/>
      <rgbColor rgb="FF7F7F7F"/>
      <rgbColor rgb="FF8EA9DB"/>
      <rgbColor rgb="FF7030A0"/>
      <rgbColor rgb="FFFFFF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44546A"/>
      <rgbColor rgb="FF70AD47"/>
      <rgbColor rgb="FF003366"/>
      <rgbColor rgb="FF339966"/>
      <rgbColor rgb="FF003300"/>
      <rgbColor rgb="FF333300"/>
      <rgbColor rgb="FF843C0B"/>
      <rgbColor rgb="FF9C5700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013" displayName="Tabla1013" ref="A25:G31" headerRowCount="1" totalsRowCount="0" totalsRowShown="0">
  <autoFilter ref="A25:G31"/>
  <tableColumns count="7">
    <tableColumn id="1" name="índice"/>
    <tableColumn id="2" name="Exact_KNN"/>
    <tableColumn id="3" name="Pres_KNN"/>
    <tableColumn id="4" name="Exact_SVM"/>
    <tableColumn id="5" name="Pres_SVM"/>
    <tableColumn id="6" name="Exact_Deep"/>
    <tableColumn id="7" name="Pres_Deep"/>
  </tableColumns>
</table>
</file>

<file path=xl/tables/table10.xml><?xml version="1.0" encoding="utf-8"?>
<table xmlns="http://schemas.openxmlformats.org/spreadsheetml/2006/main" id="10" name="Tabla35108131534" displayName="Tabla35108131534" ref="A26:U40" headerRowCount="1" totalsRowCount="0" totalsRowShown="0">
  <autoFilter ref="A26:U40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1.xml><?xml version="1.0" encoding="utf-8"?>
<table xmlns="http://schemas.openxmlformats.org/spreadsheetml/2006/main" id="11" name="Tabla3510813153413" displayName="Tabla3510813153413" ref="A26:U40" headerRowCount="1" totalsRowCount="0" totalsRowShown="0">
  <autoFilter ref="A26:U40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N° efec"/>
    <tableColumn id="20" name="N° no_efe"/>
    <tableColumn id="21" name="total_sec"/>
  </tableColumns>
</table>
</file>

<file path=xl/tables/table12.xml><?xml version="1.0" encoding="utf-8"?>
<table xmlns="http://schemas.openxmlformats.org/spreadsheetml/2006/main" id="12" name="Tabla3510813153420" displayName="Tabla3510813153420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13.xml><?xml version="1.0" encoding="utf-8"?>
<table xmlns="http://schemas.openxmlformats.org/spreadsheetml/2006/main" id="13" name="Tabla3510813153423" displayName="Tabla3510813153423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4.xml><?xml version="1.0" encoding="utf-8"?>
<table xmlns="http://schemas.openxmlformats.org/spreadsheetml/2006/main" id="14" name="Tabla3510813153424" displayName="Tabla3510813153424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5.xml><?xml version="1.0" encoding="utf-8"?>
<table xmlns="http://schemas.openxmlformats.org/spreadsheetml/2006/main" id="15" name="Tabla3510813153425" displayName="Tabla3510813153425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6.xml><?xml version="1.0" encoding="utf-8"?>
<table xmlns="http://schemas.openxmlformats.org/spreadsheetml/2006/main" id="16" name="Tabla3510813153426" displayName="Tabla3510813153426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7.xml><?xml version="1.0" encoding="utf-8"?>
<table xmlns="http://schemas.openxmlformats.org/spreadsheetml/2006/main" id="17" name="Tabla35108131536" displayName="Tabla35108131536" ref="A19:T25" headerRowCount="1" totalsRowCount="0" totalsRowShown="0">
  <autoFilter ref="A19:T2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18.xml><?xml version="1.0" encoding="utf-8"?>
<table xmlns="http://schemas.openxmlformats.org/spreadsheetml/2006/main" id="18" name="Tabla3510813153610" displayName="Tabla3510813153610" ref="A49:T55" headerRowCount="1" totalsRowCount="0" totalsRowShown="0">
  <autoFilter ref="A49:T5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19.xml><?xml version="1.0" encoding="utf-8"?>
<table xmlns="http://schemas.openxmlformats.org/spreadsheetml/2006/main" id="19" name="Tabla351081315361014" displayName="Tabla351081315361014" ref="A5:U11" headerRowCount="1" totalsRowCount="0" totalsRowShown="0">
  <autoFilter ref="A5:U11"/>
  <tableColumns count="21">
    <tableColumn id="1" name="índice"/>
    <tableColumn id="2" name="KNN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2.xml><?xml version="1.0" encoding="utf-8"?>
<table xmlns="http://schemas.openxmlformats.org/spreadsheetml/2006/main" id="2" name="Tabla1018" displayName="Tabla1018" ref="A65:G72" headerRowCount="1" totalsRowCount="0" totalsRowShown="0">
  <autoFilter ref="A65:G72"/>
  <tableColumns count="7">
    <tableColumn id="1" name="índice"/>
    <tableColumn id="2" name="Modelo 1"/>
    <tableColumn id="3" name="Modelo 2"/>
    <tableColumn id="4" name="Modelo 3"/>
    <tableColumn id="5" name="Modelo 4"/>
    <tableColumn id="6" name="Modelo 5"/>
    <tableColumn id="7" name="Promedio"/>
  </tableColumns>
</table>
</file>

<file path=xl/tables/table20.xml><?xml version="1.0" encoding="utf-8"?>
<table xmlns="http://schemas.openxmlformats.org/spreadsheetml/2006/main" id="20" name="Tabla35108131536101415" displayName="Tabla35108131536101415" ref="A15:V21" headerRowCount="1" totalsRowCount="0" totalsRowShown="0">
  <autoFilter ref="A15:V21"/>
  <tableColumns count="22">
    <tableColumn id="1" name="índice"/>
    <tableColumn id="2" name="costo"/>
    <tableColumn id="3" name="gama"/>
    <tableColumn id="4" name="no_efec_cor"/>
    <tableColumn id="5" name="no_efec_inc"/>
    <tableColumn id="6" name="efec_cor"/>
    <tableColumn id="7" name="efect_inc"/>
    <tableColumn id="8" name="Correctos"/>
    <tableColumn id="9" name="Incorrectos"/>
    <tableColumn id="10" name="Exactitud"/>
    <tableColumn id="11" name="% efe_cor"/>
    <tableColumn id="12" name="% efe_inc"/>
    <tableColumn id="13" name="% no_efe_cor"/>
    <tableColumn id="14" name="% no_efect_inc"/>
    <tableColumn id="15" name="% corectos"/>
    <tableColumn id="16" name="% incorrectos"/>
    <tableColumn id="17" name="PNE"/>
    <tableColumn id="18" name="PE"/>
    <tableColumn id="19" name="Presición"/>
    <tableColumn id="20" name="efec"/>
    <tableColumn id="21" name="no_efe"/>
    <tableColumn id="22" name="total_sec"/>
  </tableColumns>
</table>
</file>

<file path=xl/tables/table21.xml><?xml version="1.0" encoding="utf-8"?>
<table xmlns="http://schemas.openxmlformats.org/spreadsheetml/2006/main" id="21" name="Tabla351081315368" displayName="Tabla351081315368" ref="A29:T35" headerRowCount="1" totalsRowCount="0" totalsRowShown="0">
  <autoFilter ref="A29:T3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22.xml><?xml version="1.0" encoding="utf-8"?>
<table xmlns="http://schemas.openxmlformats.org/spreadsheetml/2006/main" id="22" name="Tabla351081315369" displayName="Tabla351081315369" ref="A39:T45" headerRowCount="1" totalsRowCount="0" totalsRowShown="0">
  <autoFilter ref="A39:T4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3.xml><?xml version="1.0" encoding="utf-8"?>
<table xmlns="http://schemas.openxmlformats.org/spreadsheetml/2006/main" id="3" name="Tabla11" displayName="Tabla11" ref="I65:O72" headerRowCount="1" totalsRowCount="0" totalsRowShown="0">
  <autoFilter ref="I65:O72"/>
  <tableColumns count="7">
    <tableColumn id="1" name="índice"/>
    <tableColumn id="2" name="Modelo 1"/>
    <tableColumn id="3" name="Modelo 2"/>
    <tableColumn id="4" name="Modelo 3"/>
    <tableColumn id="5" name="Modelo 4"/>
    <tableColumn id="6" name="Modelo 5"/>
    <tableColumn id="7" name="Promedio"/>
  </tableColumns>
</table>
</file>

<file path=xl/tables/table4.xml><?xml version="1.0" encoding="utf-8"?>
<table xmlns="http://schemas.openxmlformats.org/spreadsheetml/2006/main" id="4" name="Tabla3510813153" displayName="Tabla3510813153" ref="A9:T15" headerRowCount="1" totalsRowCount="0" totalsRowShown="0">
  <autoFilter ref="A9:T1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5.xml><?xml version="1.0" encoding="utf-8"?>
<table xmlns="http://schemas.openxmlformats.org/spreadsheetml/2006/main" id="5" name="Tabla35108131532" displayName="Tabla35108131532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6.xml><?xml version="1.0" encoding="utf-8"?>
<table xmlns="http://schemas.openxmlformats.org/spreadsheetml/2006/main" id="6" name="Tabla3510813153212" displayName="Tabla3510813153212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7.xml><?xml version="1.0" encoding="utf-8"?>
<table xmlns="http://schemas.openxmlformats.org/spreadsheetml/2006/main" id="7" name="Tabla3510813153221" displayName="Tabla3510813153221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8.xml><?xml version="1.0" encoding="utf-8"?>
<table xmlns="http://schemas.openxmlformats.org/spreadsheetml/2006/main" id="8" name="Tabla351081315325" displayName="Tabla351081315325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9.xml><?xml version="1.0" encoding="utf-8"?>
<table xmlns="http://schemas.openxmlformats.org/spreadsheetml/2006/main" id="9" name="Tabla351081315327" displayName="Tabla351081315327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6.xml"/><Relationship Id="rId2" Type="http://schemas.openxmlformats.org/officeDocument/2006/relationships/table" Target="../tables/table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7.xml"/><Relationship Id="rId2" Type="http://schemas.openxmlformats.org/officeDocument/2006/relationships/table" Target="../tables/table1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2.xml"/><Relationship Id="rId2" Type="http://schemas.openxmlformats.org/officeDocument/2006/relationships/table" Target="../tables/table1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5.xml"/><Relationship Id="rId2" Type="http://schemas.openxmlformats.org/officeDocument/2006/relationships/table" Target="../tables/table10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9.xml"/><Relationship Id="rId2" Type="http://schemas.openxmlformats.org/officeDocument/2006/relationships/table" Target="../tables/table1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1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17.xml"/><Relationship Id="rId5" Type="http://schemas.openxmlformats.org/officeDocument/2006/relationships/table" Target="../tables/table18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19.xml"/><Relationship Id="rId3" Type="http://schemas.openxmlformats.org/officeDocument/2006/relationships/table" Target="../tables/table20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48235"/>
    <pageSetUpPr fitToPage="false"/>
  </sheetPr>
  <dimension ref="A1:U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1" activeCellId="1" sqref="A74:F84 J41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114</v>
      </c>
    </row>
    <row r="5" customFormat="false" ht="15" hidden="false" customHeight="false" outlineLevel="0" collapsed="false">
      <c r="A5" s="3" t="s">
        <v>3</v>
      </c>
      <c r="B5" s="3"/>
      <c r="C5" s="4" t="n">
        <v>107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221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  <c r="J8" s="6"/>
      <c r="K8" s="6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103</v>
      </c>
      <c r="C10" s="0" t="n">
        <v>4</v>
      </c>
      <c r="D10" s="0" t="n">
        <v>109</v>
      </c>
      <c r="E10" s="0" t="n">
        <v>5</v>
      </c>
      <c r="F10" s="0" t="n">
        <f aca="false">Tabla3510813153212[[#This Row],[no_efec_cor]]+Tabla3510813153212[[#This Row],[efec_cor]]</f>
        <v>212</v>
      </c>
      <c r="G10" s="0" t="n">
        <f aca="false">Tabla3510813153212[[#This Row],[no_efec_inc]]+Tabla3510813153212[[#This Row],[efect_inc]]</f>
        <v>9</v>
      </c>
      <c r="H10" s="9" t="n">
        <f aca="false">Tabla3510813153212[[#This Row],[Correctos]]/Tabla3510813153212[[#This Row],[total_sec]]</f>
        <v>0.959276018099548</v>
      </c>
      <c r="I10" s="9" t="n">
        <f aca="false">Tabla3510813153212[[#This Row],[efec_cor]]/Tabla3510813153212[[#This Row],[efec]]</f>
        <v>0.956140350877193</v>
      </c>
      <c r="J10" s="9" t="n">
        <f aca="false">Tabla3510813153212[[#This Row],[efect_inc]]/Tabla3510813153212[[#This Row],[efec]]</f>
        <v>0.043859649122807</v>
      </c>
      <c r="K10" s="9" t="n">
        <f aca="false">Tabla3510813153212[[#This Row],[no_efec_cor]]/Tabla3510813153212[[#This Row],[no_efe]]</f>
        <v>0.962616822429906</v>
      </c>
      <c r="L10" s="9" t="n">
        <f aca="false">Tabla3510813153212[[#This Row],[no_efec_inc]]/Tabla3510813153212[[#This Row],[no_efe]]</f>
        <v>0.0373831775700935</v>
      </c>
      <c r="M10" s="9" t="n">
        <f aca="false">(Tabla3510813153212[[#This Row],[% efe_cor]]+Tabla3510813153212[[#This Row],[% no_efe_cor]])/2</f>
        <v>0.95937858665355</v>
      </c>
      <c r="N10" s="10" t="n">
        <f aca="false">(Tabla3510813153212[[#This Row],[% efe_inc]]+Tabla3510813153212[[#This Row],[% no_efect_inc]])/2</f>
        <v>0.0406214133464502</v>
      </c>
      <c r="O10" s="11" t="n">
        <f aca="false">Tabla3510813153212[[#This Row],[no_efec_cor]]/(Tabla3510813153212[[#This Row],[efect_inc]]+Tabla3510813153212[[#This Row],[no_efec_cor]])</f>
        <v>0.953703703703704</v>
      </c>
      <c r="P10" s="11" t="n">
        <f aca="false">Tabla3510813153212[[#This Row],[efec_cor]]/(Tabla3510813153212[[#This Row],[efec_cor]]+Tabla3510813153212[[#This Row],[no_efec_inc]])</f>
        <v>0.964601769911504</v>
      </c>
      <c r="Q10" s="11" t="n">
        <f aca="false">(Tabla3510813153212[[#This Row],[PNE]]+Tabla3510813153212[[#This Row],[PE]])/2</f>
        <v>0.959152736807604</v>
      </c>
      <c r="R10" s="0" t="n">
        <v>114</v>
      </c>
      <c r="S10" s="0" t="n">
        <v>107</v>
      </c>
      <c r="T10" s="0" t="n">
        <f aca="false">Tabla3510813153212[[#This Row],[efec]]+Tabla3510813153212[[#This Row],[no_efe]]</f>
        <v>221</v>
      </c>
    </row>
    <row r="11" customFormat="false" ht="13.8" hidden="false" customHeight="false" outlineLevel="0" collapsed="false">
      <c r="A11" s="0" t="n">
        <v>5</v>
      </c>
      <c r="B11" s="0" t="n">
        <v>103</v>
      </c>
      <c r="C11" s="0" t="n">
        <v>4</v>
      </c>
      <c r="D11" s="0" t="n">
        <v>108</v>
      </c>
      <c r="E11" s="0" t="n">
        <v>6</v>
      </c>
      <c r="F11" s="0" t="n">
        <f aca="false">Tabla3510813153212[[#This Row],[no_efec_cor]]+Tabla3510813153212[[#This Row],[efec_cor]]</f>
        <v>211</v>
      </c>
      <c r="G11" s="0" t="n">
        <f aca="false">Tabla3510813153212[[#This Row],[no_efec_inc]]+Tabla3510813153212[[#This Row],[efect_inc]]</f>
        <v>10</v>
      </c>
      <c r="H11" s="9" t="n">
        <f aca="false">Tabla3510813153212[[#This Row],[Correctos]]/Tabla3510813153212[[#This Row],[total_sec]]</f>
        <v>0.954751131221719</v>
      </c>
      <c r="I11" s="9" t="n">
        <f aca="false">Tabla3510813153212[[#This Row],[efec_cor]]/Tabla3510813153212[[#This Row],[efec]]</f>
        <v>0.947368421052632</v>
      </c>
      <c r="J11" s="9" t="n">
        <f aca="false">Tabla3510813153212[[#This Row],[efect_inc]]/Tabla3510813153212[[#This Row],[efec]]</f>
        <v>0.0526315789473684</v>
      </c>
      <c r="K11" s="9" t="n">
        <f aca="false">Tabla3510813153212[[#This Row],[no_efec_cor]]/Tabla3510813153212[[#This Row],[no_efe]]</f>
        <v>0.962616822429906</v>
      </c>
      <c r="L11" s="9" t="n">
        <f aca="false">Tabla3510813153212[[#This Row],[no_efec_inc]]/Tabla3510813153212[[#This Row],[no_efe]]</f>
        <v>0.0373831775700935</v>
      </c>
      <c r="M11" s="9" t="n">
        <f aca="false">(Tabla3510813153212[[#This Row],[% efe_cor]]+Tabla3510813153212[[#This Row],[% no_efe_cor]])/2</f>
        <v>0.954992621741269</v>
      </c>
      <c r="N11" s="10" t="n">
        <f aca="false">(Tabla3510813153212[[#This Row],[% efe_inc]]+Tabla3510813153212[[#This Row],[% no_efect_inc]])/2</f>
        <v>0.0450073782587309</v>
      </c>
      <c r="O11" s="11" t="n">
        <f aca="false">Tabla3510813153212[[#This Row],[no_efec_cor]]/(Tabla3510813153212[[#This Row],[efect_inc]]+Tabla3510813153212[[#This Row],[no_efec_cor]])</f>
        <v>0.944954128440367</v>
      </c>
      <c r="P11" s="11" t="n">
        <f aca="false">Tabla3510813153212[[#This Row],[efec_cor]]/(Tabla3510813153212[[#This Row],[efec_cor]]+Tabla3510813153212[[#This Row],[no_efec_inc]])</f>
        <v>0.964285714285714</v>
      </c>
      <c r="Q11" s="11" t="n">
        <f aca="false">(Tabla3510813153212[[#This Row],[PNE]]+Tabla3510813153212[[#This Row],[PE]])/2</f>
        <v>0.954619921363041</v>
      </c>
      <c r="R11" s="0" t="n">
        <v>114</v>
      </c>
      <c r="S11" s="0" t="n">
        <v>107</v>
      </c>
      <c r="T11" s="0" t="n">
        <f aca="false">Tabla3510813153212[[#This Row],[efec]]+Tabla3510813153212[[#This Row],[no_efe]]</f>
        <v>221</v>
      </c>
    </row>
    <row r="12" customFormat="false" ht="13.8" hidden="false" customHeight="false" outlineLevel="0" collapsed="false">
      <c r="A12" s="0" t="n">
        <v>10</v>
      </c>
      <c r="B12" s="0" t="n">
        <v>96</v>
      </c>
      <c r="C12" s="0" t="n">
        <v>11</v>
      </c>
      <c r="D12" s="0" t="n">
        <v>109</v>
      </c>
      <c r="E12" s="0" t="n">
        <v>5</v>
      </c>
      <c r="F12" s="0" t="n">
        <f aca="false">Tabla3510813153212[[#This Row],[no_efec_cor]]+Tabla3510813153212[[#This Row],[efec_cor]]</f>
        <v>205</v>
      </c>
      <c r="G12" s="0" t="n">
        <f aca="false">Tabla3510813153212[[#This Row],[no_efec_inc]]+Tabla3510813153212[[#This Row],[efect_inc]]</f>
        <v>16</v>
      </c>
      <c r="H12" s="9" t="n">
        <f aca="false">Tabla3510813153212[[#This Row],[Correctos]]/Tabla3510813153212[[#This Row],[total_sec]]</f>
        <v>0.927601809954751</v>
      </c>
      <c r="I12" s="9" t="n">
        <f aca="false">Tabla3510813153212[[#This Row],[efec_cor]]/Tabla3510813153212[[#This Row],[efec]]</f>
        <v>0.956140350877193</v>
      </c>
      <c r="J12" s="9" t="n">
        <f aca="false">Tabla3510813153212[[#This Row],[efect_inc]]/Tabla3510813153212[[#This Row],[efec]]</f>
        <v>0.043859649122807</v>
      </c>
      <c r="K12" s="9" t="n">
        <f aca="false">Tabla3510813153212[[#This Row],[no_efec_cor]]/Tabla3510813153212[[#This Row],[no_efe]]</f>
        <v>0.897196261682243</v>
      </c>
      <c r="L12" s="9" t="n">
        <f aca="false">Tabla3510813153212[[#This Row],[no_efec_inc]]/Tabla3510813153212[[#This Row],[no_efe]]</f>
        <v>0.102803738317757</v>
      </c>
      <c r="M12" s="9" t="n">
        <f aca="false">(Tabla3510813153212[[#This Row],[% efe_cor]]+Tabla3510813153212[[#This Row],[% no_efe_cor]])/2</f>
        <v>0.926668306279718</v>
      </c>
      <c r="N12" s="10" t="n">
        <f aca="false">(Tabla3510813153212[[#This Row],[% efe_inc]]+Tabla3510813153212[[#This Row],[% no_efect_inc]])/2</f>
        <v>0.073331693720282</v>
      </c>
      <c r="O12" s="11" t="n">
        <f aca="false">Tabla3510813153212[[#This Row],[no_efec_cor]]/(Tabla3510813153212[[#This Row],[efect_inc]]+Tabla3510813153212[[#This Row],[no_efec_cor]])</f>
        <v>0.95049504950495</v>
      </c>
      <c r="P12" s="11" t="n">
        <f aca="false">Tabla3510813153212[[#This Row],[efec_cor]]/(Tabla3510813153212[[#This Row],[efec_cor]]+Tabla3510813153212[[#This Row],[no_efec_inc]])</f>
        <v>0.908333333333333</v>
      </c>
      <c r="Q12" s="11" t="n">
        <f aca="false">(Tabla3510813153212[[#This Row],[PNE]]+Tabla3510813153212[[#This Row],[PE]])/2</f>
        <v>0.929414191419142</v>
      </c>
      <c r="R12" s="0" t="n">
        <v>114</v>
      </c>
      <c r="S12" s="0" t="n">
        <v>107</v>
      </c>
      <c r="T12" s="0" t="n">
        <f aca="false">Tabla3510813153212[[#This Row],[efec]]+Tabla3510813153212[[#This Row],[no_efe]]</f>
        <v>221</v>
      </c>
    </row>
    <row r="13" customFormat="false" ht="13.8" hidden="false" customHeight="false" outlineLevel="0" collapsed="false">
      <c r="A13" s="0" t="n">
        <v>15</v>
      </c>
      <c r="B13" s="0" t="n">
        <v>100</v>
      </c>
      <c r="C13" s="0" t="n">
        <v>7</v>
      </c>
      <c r="D13" s="0" t="n">
        <v>103</v>
      </c>
      <c r="E13" s="0" t="n">
        <v>11</v>
      </c>
      <c r="F13" s="0" t="n">
        <f aca="false">Tabla3510813153212[[#This Row],[no_efec_cor]]+Tabla3510813153212[[#This Row],[efec_cor]]</f>
        <v>203</v>
      </c>
      <c r="G13" s="0" t="n">
        <f aca="false">Tabla3510813153212[[#This Row],[no_efec_inc]]+Tabla3510813153212[[#This Row],[efect_inc]]</f>
        <v>18</v>
      </c>
      <c r="H13" s="9" t="n">
        <f aca="false">Tabla3510813153212[[#This Row],[Correctos]]/Tabla3510813153212[[#This Row],[total_sec]]</f>
        <v>0.918552036199095</v>
      </c>
      <c r="I13" s="9" t="n">
        <f aca="false">Tabla3510813153212[[#This Row],[efec_cor]]/Tabla3510813153212[[#This Row],[efec]]</f>
        <v>0.903508771929825</v>
      </c>
      <c r="J13" s="9" t="n">
        <f aca="false">Tabla3510813153212[[#This Row],[efect_inc]]/Tabla3510813153212[[#This Row],[efec]]</f>
        <v>0.0964912280701754</v>
      </c>
      <c r="K13" s="9" t="n">
        <f aca="false">Tabla3510813153212[[#This Row],[no_efec_cor]]/Tabla3510813153212[[#This Row],[no_efe]]</f>
        <v>0.934579439252336</v>
      </c>
      <c r="L13" s="9" t="n">
        <f aca="false">Tabla3510813153212[[#This Row],[no_efec_inc]]/Tabla3510813153212[[#This Row],[no_efe]]</f>
        <v>0.0654205607476635</v>
      </c>
      <c r="M13" s="9" t="n">
        <f aca="false">(Tabla3510813153212[[#This Row],[% efe_cor]]+Tabla3510813153212[[#This Row],[% no_efe_cor]])/2</f>
        <v>0.919044105591081</v>
      </c>
      <c r="N13" s="10" t="n">
        <f aca="false">(Tabla3510813153212[[#This Row],[% efe_inc]]+Tabla3510813153212[[#This Row],[% no_efect_inc]])/2</f>
        <v>0.0809558944089195</v>
      </c>
      <c r="O13" s="11" t="n">
        <f aca="false">Tabla3510813153212[[#This Row],[no_efec_cor]]/(Tabla3510813153212[[#This Row],[efect_inc]]+Tabla3510813153212[[#This Row],[no_efec_cor]])</f>
        <v>0.900900900900901</v>
      </c>
      <c r="P13" s="11" t="n">
        <f aca="false">Tabla3510813153212[[#This Row],[efec_cor]]/(Tabla3510813153212[[#This Row],[efec_cor]]+Tabla3510813153212[[#This Row],[no_efec_inc]])</f>
        <v>0.936363636363636</v>
      </c>
      <c r="Q13" s="11" t="n">
        <f aca="false">(Tabla3510813153212[[#This Row],[PNE]]+Tabla3510813153212[[#This Row],[PE]])/2</f>
        <v>0.918632268632269</v>
      </c>
      <c r="R13" s="0" t="n">
        <v>114</v>
      </c>
      <c r="S13" s="0" t="n">
        <v>107</v>
      </c>
      <c r="T13" s="0" t="n">
        <f aca="false">Tabla3510813153212[[#This Row],[efec]]+Tabla3510813153212[[#This Row],[no_efe]]</f>
        <v>221</v>
      </c>
    </row>
    <row r="14" customFormat="false" ht="13.8" hidden="false" customHeight="false" outlineLevel="0" collapsed="false">
      <c r="A14" s="0" t="n">
        <v>20</v>
      </c>
      <c r="B14" s="0" t="n">
        <v>93</v>
      </c>
      <c r="C14" s="0" t="n">
        <v>14</v>
      </c>
      <c r="D14" s="0" t="n">
        <v>105</v>
      </c>
      <c r="E14" s="0" t="n">
        <v>9</v>
      </c>
      <c r="F14" s="0" t="n">
        <f aca="false">Tabla3510813153212[[#This Row],[no_efec_cor]]+Tabla3510813153212[[#This Row],[efec_cor]]</f>
        <v>198</v>
      </c>
      <c r="G14" s="0" t="n">
        <f aca="false">Tabla3510813153212[[#This Row],[no_efec_inc]]+Tabla3510813153212[[#This Row],[efect_inc]]</f>
        <v>23</v>
      </c>
      <c r="H14" s="9" t="n">
        <f aca="false">Tabla3510813153212[[#This Row],[Correctos]]/Tabla3510813153212[[#This Row],[total_sec]]</f>
        <v>0.895927601809955</v>
      </c>
      <c r="I14" s="9" t="n">
        <f aca="false">Tabla3510813153212[[#This Row],[efec_cor]]/Tabla3510813153212[[#This Row],[efec]]</f>
        <v>0.921052631578947</v>
      </c>
      <c r="J14" s="9" t="n">
        <f aca="false">Tabla3510813153212[[#This Row],[efect_inc]]/Tabla3510813153212[[#This Row],[efec]]</f>
        <v>0.0789473684210526</v>
      </c>
      <c r="K14" s="9" t="n">
        <f aca="false">Tabla3510813153212[[#This Row],[no_efec_cor]]/Tabla3510813153212[[#This Row],[no_efe]]</f>
        <v>0.869158878504673</v>
      </c>
      <c r="L14" s="9" t="n">
        <f aca="false">Tabla3510813153212[[#This Row],[no_efec_inc]]/Tabla3510813153212[[#This Row],[no_efe]]</f>
        <v>0.130841121495327</v>
      </c>
      <c r="M14" s="9" t="n">
        <f aca="false">(Tabla3510813153212[[#This Row],[% efe_cor]]+Tabla3510813153212[[#This Row],[% no_efe_cor]])/2</f>
        <v>0.89510575504181</v>
      </c>
      <c r="N14" s="10" t="n">
        <f aca="false">(Tabla3510813153212[[#This Row],[% efe_inc]]+Tabla3510813153212[[#This Row],[% no_efect_inc]])/2</f>
        <v>0.10489424495819</v>
      </c>
      <c r="O14" s="11" t="n">
        <f aca="false">Tabla3510813153212[[#This Row],[no_efec_cor]]/(Tabla3510813153212[[#This Row],[efect_inc]]+Tabla3510813153212[[#This Row],[no_efec_cor]])</f>
        <v>0.911764705882353</v>
      </c>
      <c r="P14" s="11" t="n">
        <f aca="false">Tabla3510813153212[[#This Row],[efec_cor]]/(Tabla3510813153212[[#This Row],[efec_cor]]+Tabla3510813153212[[#This Row],[no_efec_inc]])</f>
        <v>0.882352941176471</v>
      </c>
      <c r="Q14" s="11" t="n">
        <f aca="false">(Tabla3510813153212[[#This Row],[PNE]]+Tabla3510813153212[[#This Row],[PE]])/2</f>
        <v>0.897058823529412</v>
      </c>
      <c r="R14" s="0" t="n">
        <v>114</v>
      </c>
      <c r="S14" s="0" t="n">
        <v>107</v>
      </c>
      <c r="T14" s="0" t="n">
        <f aca="false">Tabla3510813153212[[#This Row],[efec]]+Tabla3510813153212[[#This Row],[no_efe]]</f>
        <v>221</v>
      </c>
    </row>
    <row r="15" customFormat="false" ht="13.8" hidden="false" customHeight="false" outlineLevel="0" collapsed="false">
      <c r="A15" s="0" t="n">
        <v>25</v>
      </c>
      <c r="B15" s="0" t="n">
        <v>88</v>
      </c>
      <c r="C15" s="0" t="n">
        <v>19</v>
      </c>
      <c r="D15" s="0" t="n">
        <v>105</v>
      </c>
      <c r="E15" s="0" t="n">
        <v>9</v>
      </c>
      <c r="F15" s="0" t="n">
        <f aca="false">Tabla3510813153212[[#This Row],[no_efec_cor]]+Tabla3510813153212[[#This Row],[efec_cor]]</f>
        <v>193</v>
      </c>
      <c r="G15" s="0" t="n">
        <f aca="false">Tabla3510813153212[[#This Row],[no_efec_inc]]+Tabla3510813153212[[#This Row],[efect_inc]]</f>
        <v>28</v>
      </c>
      <c r="H15" s="9" t="n">
        <f aca="false">Tabla3510813153212[[#This Row],[Correctos]]/Tabla3510813153212[[#This Row],[total_sec]]</f>
        <v>0.873303167420814</v>
      </c>
      <c r="I15" s="9" t="n">
        <f aca="false">Tabla3510813153212[[#This Row],[efec_cor]]/Tabla3510813153212[[#This Row],[efec]]</f>
        <v>0.921052631578947</v>
      </c>
      <c r="J15" s="9" t="n">
        <f aca="false">Tabla3510813153212[[#This Row],[efect_inc]]/Tabla3510813153212[[#This Row],[efec]]</f>
        <v>0.0789473684210526</v>
      </c>
      <c r="K15" s="9" t="n">
        <f aca="false">Tabla3510813153212[[#This Row],[no_efec_cor]]/Tabla3510813153212[[#This Row],[no_efe]]</f>
        <v>0.822429906542056</v>
      </c>
      <c r="L15" s="9" t="n">
        <f aca="false">Tabla3510813153212[[#This Row],[no_efec_inc]]/Tabla3510813153212[[#This Row],[no_efe]]</f>
        <v>0.177570093457944</v>
      </c>
      <c r="M15" s="9" t="n">
        <f aca="false">(Tabla3510813153212[[#This Row],[% efe_cor]]+Tabla3510813153212[[#This Row],[% no_efe_cor]])/2</f>
        <v>0.871741269060502</v>
      </c>
      <c r="N15" s="10" t="n">
        <f aca="false">(Tabla3510813153212[[#This Row],[% efe_inc]]+Tabla3510813153212[[#This Row],[% no_efect_inc]])/2</f>
        <v>0.128258730939498</v>
      </c>
      <c r="O15" s="11" t="n">
        <f aca="false">Tabla3510813153212[[#This Row],[no_efec_cor]]/(Tabla3510813153212[[#This Row],[efect_inc]]+Tabla3510813153212[[#This Row],[no_efec_cor]])</f>
        <v>0.907216494845361</v>
      </c>
      <c r="P15" s="11" t="n">
        <f aca="false">Tabla3510813153212[[#This Row],[efec_cor]]/(Tabla3510813153212[[#This Row],[efec_cor]]+Tabla3510813153212[[#This Row],[no_efec_inc]])</f>
        <v>0.846774193548387</v>
      </c>
      <c r="Q15" s="11" t="n">
        <f aca="false">(Tabla3510813153212[[#This Row],[PNE]]+Tabla3510813153212[[#This Row],[PE]])/2</f>
        <v>0.876995344196874</v>
      </c>
      <c r="R15" s="0" t="n">
        <v>114</v>
      </c>
      <c r="S15" s="0" t="n">
        <v>107</v>
      </c>
      <c r="T15" s="0" t="n">
        <f aca="false">Tabla3510813153212[[#This Row],[efec]]+Tabla3510813153212[[#This Row],[no_efe]]</f>
        <v>221</v>
      </c>
    </row>
    <row r="16" customFormat="false" ht="13.8" hidden="false" customHeight="false" outlineLevel="0" collapsed="false">
      <c r="A16" s="0" t="n">
        <v>30</v>
      </c>
      <c r="B16" s="0" t="n">
        <v>88</v>
      </c>
      <c r="C16" s="0" t="n">
        <v>19</v>
      </c>
      <c r="D16" s="0" t="n">
        <v>97</v>
      </c>
      <c r="E16" s="0" t="n">
        <v>17</v>
      </c>
      <c r="F16" s="0" t="n">
        <f aca="false">Tabla3510813153212[[#This Row],[no_efec_cor]]+Tabla3510813153212[[#This Row],[efec_cor]]</f>
        <v>185</v>
      </c>
      <c r="G16" s="0" t="n">
        <f aca="false">Tabla3510813153212[[#This Row],[no_efec_inc]]+Tabla3510813153212[[#This Row],[efect_inc]]</f>
        <v>36</v>
      </c>
      <c r="H16" s="9" t="n">
        <f aca="false">Tabla3510813153212[[#This Row],[Correctos]]/Tabla3510813153212[[#This Row],[total_sec]]</f>
        <v>0.83710407239819</v>
      </c>
      <c r="I16" s="9" t="n">
        <f aca="false">Tabla3510813153212[[#This Row],[efec_cor]]/Tabla3510813153212[[#This Row],[efec]]</f>
        <v>0.850877192982456</v>
      </c>
      <c r="J16" s="9" t="n">
        <f aca="false">Tabla3510813153212[[#This Row],[efect_inc]]/Tabla3510813153212[[#This Row],[efec]]</f>
        <v>0.149122807017544</v>
      </c>
      <c r="K16" s="9" t="n">
        <f aca="false">Tabla3510813153212[[#This Row],[no_efec_cor]]/Tabla3510813153212[[#This Row],[no_efe]]</f>
        <v>0.822429906542056</v>
      </c>
      <c r="L16" s="9" t="n">
        <f aca="false">Tabla3510813153212[[#This Row],[no_efec_inc]]/Tabla3510813153212[[#This Row],[no_efe]]</f>
        <v>0.177570093457944</v>
      </c>
      <c r="M16" s="9" t="n">
        <f aca="false">(Tabla3510813153212[[#This Row],[% efe_cor]]+Tabla3510813153212[[#This Row],[% no_efe_cor]])/2</f>
        <v>0.836653549762256</v>
      </c>
      <c r="N16" s="10" t="n">
        <f aca="false">(Tabla3510813153212[[#This Row],[% efe_inc]]+Tabla3510813153212[[#This Row],[% no_efect_inc]])/2</f>
        <v>0.163346450237744</v>
      </c>
      <c r="O16" s="11" t="n">
        <f aca="false">Tabla3510813153212[[#This Row],[no_efec_cor]]/(Tabla3510813153212[[#This Row],[efect_inc]]+Tabla3510813153212[[#This Row],[no_efec_cor]])</f>
        <v>0.838095238095238</v>
      </c>
      <c r="P16" s="11" t="n">
        <f aca="false">Tabla3510813153212[[#This Row],[efec_cor]]/(Tabla3510813153212[[#This Row],[efec_cor]]+Tabla3510813153212[[#This Row],[no_efec_inc]])</f>
        <v>0.836206896551724</v>
      </c>
      <c r="Q16" s="11" t="n">
        <f aca="false">(Tabla3510813153212[[#This Row],[PNE]]+Tabla3510813153212[[#This Row],[PE]])/2</f>
        <v>0.837151067323481</v>
      </c>
      <c r="R16" s="0" t="n">
        <v>114</v>
      </c>
      <c r="S16" s="0" t="n">
        <v>107</v>
      </c>
      <c r="T16" s="0" t="n">
        <f aca="false">Tabla3510813153212[[#This Row],[efec]]+Tabla3510813153212[[#This Row],[no_efe]]</f>
        <v>221</v>
      </c>
    </row>
    <row r="17" customFormat="false" ht="13.8" hidden="false" customHeight="false" outlineLevel="0" collapsed="false">
      <c r="A17" s="0" t="n">
        <v>35</v>
      </c>
      <c r="B17" s="0" t="n">
        <v>90</v>
      </c>
      <c r="C17" s="0" t="n">
        <v>17</v>
      </c>
      <c r="D17" s="0" t="n">
        <v>88</v>
      </c>
      <c r="E17" s="0" t="n">
        <v>26</v>
      </c>
      <c r="F17" s="0" t="n">
        <f aca="false">Tabla3510813153212[[#This Row],[no_efec_cor]]+Tabla3510813153212[[#This Row],[efec_cor]]</f>
        <v>178</v>
      </c>
      <c r="G17" s="0" t="n">
        <f aca="false">Tabla3510813153212[[#This Row],[no_efec_inc]]+Tabla3510813153212[[#This Row],[efect_inc]]</f>
        <v>43</v>
      </c>
      <c r="H17" s="9" t="n">
        <f aca="false">Tabla3510813153212[[#This Row],[Correctos]]/Tabla3510813153212[[#This Row],[total_sec]]</f>
        <v>0.805429864253394</v>
      </c>
      <c r="I17" s="9" t="n">
        <f aca="false">Tabla3510813153212[[#This Row],[efec_cor]]/Tabla3510813153212[[#This Row],[efec]]</f>
        <v>0.771929824561403</v>
      </c>
      <c r="J17" s="9" t="n">
        <f aca="false">Tabla3510813153212[[#This Row],[efect_inc]]/Tabla3510813153212[[#This Row],[efec]]</f>
        <v>0.228070175438596</v>
      </c>
      <c r="K17" s="9" t="n">
        <f aca="false">Tabla3510813153212[[#This Row],[no_efec_cor]]/Tabla3510813153212[[#This Row],[no_efe]]</f>
        <v>0.841121495327103</v>
      </c>
      <c r="L17" s="9" t="n">
        <f aca="false">Tabla3510813153212[[#This Row],[no_efec_inc]]/Tabla3510813153212[[#This Row],[no_efe]]</f>
        <v>0.158878504672897</v>
      </c>
      <c r="M17" s="9" t="n">
        <f aca="false">(Tabla3510813153212[[#This Row],[% efe_cor]]+Tabla3510813153212[[#This Row],[% no_efe_cor]])/2</f>
        <v>0.806525659944253</v>
      </c>
      <c r="N17" s="10" t="n">
        <f aca="false">(Tabla3510813153212[[#This Row],[% efe_inc]]+Tabla3510813153212[[#This Row],[% no_efect_inc]])/2</f>
        <v>0.193474340055747</v>
      </c>
      <c r="O17" s="11" t="n">
        <f aca="false">Tabla3510813153212[[#This Row],[no_efec_cor]]/(Tabla3510813153212[[#This Row],[efect_inc]]+Tabla3510813153212[[#This Row],[no_efec_cor]])</f>
        <v>0.775862068965517</v>
      </c>
      <c r="P17" s="11" t="n">
        <f aca="false">Tabla3510813153212[[#This Row],[efec_cor]]/(Tabla3510813153212[[#This Row],[efec_cor]]+Tabla3510813153212[[#This Row],[no_efec_inc]])</f>
        <v>0.838095238095238</v>
      </c>
      <c r="Q17" s="11" t="n">
        <f aca="false">(Tabla3510813153212[[#This Row],[PNE]]+Tabla3510813153212[[#This Row],[PE]])/2</f>
        <v>0.806978653530378</v>
      </c>
      <c r="R17" s="0" t="n">
        <v>114</v>
      </c>
      <c r="S17" s="0" t="n">
        <v>107</v>
      </c>
      <c r="T17" s="0" t="n">
        <f aca="false">Tabla3510813153212[[#This Row],[efec]]+Tabla3510813153212[[#This Row],[no_efe]]</f>
        <v>221</v>
      </c>
    </row>
    <row r="18" customFormat="false" ht="13.8" hidden="false" customHeight="false" outlineLevel="0" collapsed="false">
      <c r="A18" s="0" t="n">
        <v>39</v>
      </c>
      <c r="B18" s="0" t="n">
        <v>92</v>
      </c>
      <c r="C18" s="0" t="n">
        <v>15</v>
      </c>
      <c r="D18" s="0" t="n">
        <v>88</v>
      </c>
      <c r="E18" s="0" t="n">
        <v>26</v>
      </c>
      <c r="F18" s="0" t="n">
        <f aca="false">Tabla3510813153212[[#This Row],[no_efec_cor]]+Tabla3510813153212[[#This Row],[efec_cor]]</f>
        <v>180</v>
      </c>
      <c r="G18" s="0" t="n">
        <f aca="false">Tabla3510813153212[[#This Row],[no_efec_inc]]+Tabla3510813153212[[#This Row],[efect_inc]]</f>
        <v>41</v>
      </c>
      <c r="H18" s="9" t="n">
        <f aca="false">Tabla3510813153212[[#This Row],[Correctos]]/Tabla3510813153212[[#This Row],[total_sec]]</f>
        <v>0.81447963800905</v>
      </c>
      <c r="I18" s="9" t="n">
        <f aca="false">Tabla3510813153212[[#This Row],[efec_cor]]/Tabla3510813153212[[#This Row],[efec]]</f>
        <v>0.771929824561403</v>
      </c>
      <c r="J18" s="9" t="n">
        <f aca="false">Tabla3510813153212[[#This Row],[efect_inc]]/Tabla3510813153212[[#This Row],[efec]]</f>
        <v>0.228070175438596</v>
      </c>
      <c r="K18" s="9" t="n">
        <f aca="false">Tabla3510813153212[[#This Row],[no_efec_cor]]/Tabla3510813153212[[#This Row],[no_efe]]</f>
        <v>0.85981308411215</v>
      </c>
      <c r="L18" s="9" t="n">
        <f aca="false">Tabla3510813153212[[#This Row],[no_efec_inc]]/Tabla3510813153212[[#This Row],[no_efe]]</f>
        <v>0.14018691588785</v>
      </c>
      <c r="M18" s="9" t="n">
        <f aca="false">(Tabla3510813153212[[#This Row],[% efe_cor]]+Tabla3510813153212[[#This Row],[% no_efe_cor]])/2</f>
        <v>0.815871454336776</v>
      </c>
      <c r="N18" s="10" t="n">
        <f aca="false">(Tabla3510813153212[[#This Row],[% efe_inc]]+Tabla3510813153212[[#This Row],[% no_efect_inc]])/2</f>
        <v>0.184128545663223</v>
      </c>
      <c r="O18" s="11" t="n">
        <f aca="false">Tabla3510813153212[[#This Row],[no_efec_cor]]/(Tabla3510813153212[[#This Row],[efect_inc]]+Tabla3510813153212[[#This Row],[no_efec_cor]])</f>
        <v>0.779661016949153</v>
      </c>
      <c r="P18" s="11" t="n">
        <f aca="false">Tabla3510813153212[[#This Row],[efec_cor]]/(Tabla3510813153212[[#This Row],[efec_cor]]+Tabla3510813153212[[#This Row],[no_efec_inc]])</f>
        <v>0.854368932038835</v>
      </c>
      <c r="Q18" s="11" t="n">
        <f aca="false">(Tabla3510813153212[[#This Row],[PNE]]+Tabla3510813153212[[#This Row],[PE]])/2</f>
        <v>0.817014974493994</v>
      </c>
      <c r="R18" s="0" t="n">
        <v>114</v>
      </c>
      <c r="S18" s="0" t="n">
        <v>107</v>
      </c>
      <c r="T18" s="0" t="n">
        <f aca="false">Tabla3510813153212[[#This Row],[efec]]+Tabla3510813153212[[#This Row],[no_efe]]</f>
        <v>221</v>
      </c>
    </row>
    <row r="21" customFormat="false" ht="19.5" hidden="false" customHeight="false" outlineLevel="0" collapsed="false">
      <c r="A21" s="1" t="s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15" hidden="false" customHeight="false" outlineLevel="0" collapsed="false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4" customFormat="false" ht="15" hidden="false" customHeight="fals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customFormat="false" ht="15.75" hidden="false" customHeight="false" outlineLevel="0" collapsed="false">
      <c r="A25" s="5" t="s">
        <v>5</v>
      </c>
      <c r="B25" s="5"/>
      <c r="C25" s="5"/>
      <c r="D25" s="5"/>
      <c r="E25" s="5"/>
      <c r="F25" s="5"/>
      <c r="G25" s="5"/>
      <c r="H25" s="5"/>
      <c r="I25" s="5"/>
      <c r="J25" s="6"/>
      <c r="K25" s="6"/>
    </row>
    <row r="26" customFormat="false" ht="15.75" hidden="false" customHeight="false" outlineLevel="0" collapsed="false">
      <c r="A26" s="7" t="s">
        <v>27</v>
      </c>
      <c r="B26" s="7" t="s">
        <v>28</v>
      </c>
      <c r="C26" s="8" t="s">
        <v>7</v>
      </c>
      <c r="D26" s="8" t="s">
        <v>8</v>
      </c>
      <c r="E26" s="8" t="s">
        <v>9</v>
      </c>
      <c r="F26" s="8" t="s">
        <v>10</v>
      </c>
      <c r="G26" s="8" t="s">
        <v>11</v>
      </c>
      <c r="H26" s="8" t="s">
        <v>12</v>
      </c>
      <c r="I26" s="7" t="s">
        <v>13</v>
      </c>
      <c r="J26" s="7" t="s">
        <v>14</v>
      </c>
      <c r="K26" s="7" t="s">
        <v>15</v>
      </c>
      <c r="L26" s="7" t="s">
        <v>16</v>
      </c>
      <c r="M26" s="7" t="s">
        <v>17</v>
      </c>
      <c r="N26" s="7" t="s">
        <v>18</v>
      </c>
      <c r="O26" s="7" t="s">
        <v>19</v>
      </c>
      <c r="P26" s="7" t="s">
        <v>20</v>
      </c>
      <c r="Q26" s="7" t="s">
        <v>21</v>
      </c>
      <c r="R26" s="7" t="s">
        <v>22</v>
      </c>
      <c r="S26" s="7" t="s">
        <v>29</v>
      </c>
      <c r="T26" s="7" t="s">
        <v>30</v>
      </c>
      <c r="U26" s="7" t="s">
        <v>25</v>
      </c>
    </row>
    <row r="27" customFormat="false" ht="13.8" hidden="false" customHeight="false" outlineLevel="0" collapsed="false">
      <c r="A27" s="0" t="n">
        <v>1</v>
      </c>
      <c r="B27" s="0" t="n">
        <v>0</v>
      </c>
      <c r="C27" s="0" t="n">
        <v>91</v>
      </c>
      <c r="D27" s="0" t="n">
        <v>16</v>
      </c>
      <c r="E27" s="0" t="n">
        <v>108</v>
      </c>
      <c r="F27" s="0" t="n">
        <v>6</v>
      </c>
      <c r="G27" s="0" t="n">
        <f aca="false">Tabla3510813153413[[#This Row],[no_efec_cor]]+Tabla3510813153413[[#This Row],[efec_cor]]</f>
        <v>199</v>
      </c>
      <c r="H27" s="0" t="n">
        <f aca="false">Tabla3510813153413[[#This Row],[no_efec_inc]]+Tabla3510813153413[[#This Row],[efect_inc]]</f>
        <v>22</v>
      </c>
      <c r="I27" s="9" t="n">
        <f aca="false">Tabla3510813153413[[#This Row],[Correctos]]/Tabla3510813153413[[#This Row],[total_sec]]</f>
        <v>0.900452488687783</v>
      </c>
      <c r="J27" s="9" t="n">
        <f aca="false">Tabla3510813153413[[#This Row],[efec_cor]]/Tabla3510813153413[[#This Row],[N° efec]]</f>
        <v>0.947368421052632</v>
      </c>
      <c r="K27" s="9" t="n">
        <f aca="false">Tabla3510813153413[[#This Row],[efect_inc]]/Tabla3510813153413[[#This Row],[N° efec]]</f>
        <v>0.0526315789473684</v>
      </c>
      <c r="L27" s="9" t="n">
        <f aca="false">Tabla3510813153413[[#This Row],[no_efec_cor]]/Tabla3510813153413[[#This Row],[N° no_efe]]</f>
        <v>0.850467289719626</v>
      </c>
      <c r="M27" s="9" t="n">
        <f aca="false">Tabla3510813153413[[#This Row],[no_efec_inc]]/Tabla3510813153413[[#This Row],[N° no_efe]]</f>
        <v>0.149532710280374</v>
      </c>
      <c r="N27" s="9" t="n">
        <f aca="false">(Tabla3510813153413[[#This Row],[% efe_cor]]+Tabla3510813153413[[#This Row],[% no_efe_cor]])/2</f>
        <v>0.898917855386129</v>
      </c>
      <c r="O27" s="10" t="n">
        <f aca="false">(Tabla3510813153413[[#This Row],[% efe_inc]]+Tabla3510813153413[[#This Row],[% no_efect_inc]])/2</f>
        <v>0.101082144613871</v>
      </c>
      <c r="P27" s="11" t="n">
        <f aca="false">Tabla3510813153413[[#This Row],[no_efec_cor]]/(Tabla3510813153413[[#This Row],[efect_inc]]+Tabla3510813153413[[#This Row],[no_efec_cor]])</f>
        <v>0.938144329896907</v>
      </c>
      <c r="Q27" s="11" t="n">
        <f aca="false">Tabla3510813153413[[#This Row],[efec_cor]]/(Tabla3510813153413[[#This Row],[efec_cor]]+Tabla3510813153413[[#This Row],[no_efec_inc]])</f>
        <v>0.870967741935484</v>
      </c>
      <c r="R27" s="11" t="n">
        <f aca="false">(Tabla3510813153413[[#This Row],[PNE]]+Tabla3510813153413[[#This Row],[PE]])/2</f>
        <v>0.904556035916195</v>
      </c>
      <c r="S27" s="0" t="n">
        <v>114</v>
      </c>
      <c r="T27" s="0" t="n">
        <v>107</v>
      </c>
      <c r="U27" s="0" t="n">
        <f aca="false">Tabla3510813153413[[#This Row],[N° efec]]+Tabla3510813153413[[#This Row],[N° no_efe]]</f>
        <v>221</v>
      </c>
    </row>
    <row r="28" customFormat="false" ht="13.8" hidden="false" customHeight="false" outlineLevel="0" collapsed="false">
      <c r="A28" s="0" t="n">
        <v>1</v>
      </c>
      <c r="B28" s="0" t="n">
        <v>0.1</v>
      </c>
      <c r="C28" s="0" t="n">
        <v>100</v>
      </c>
      <c r="D28" s="0" t="n">
        <v>7</v>
      </c>
      <c r="E28" s="0" t="n">
        <v>108</v>
      </c>
      <c r="F28" s="0" t="n">
        <v>6</v>
      </c>
      <c r="G28" s="0" t="n">
        <f aca="false">Tabla3510813153413[[#This Row],[no_efec_cor]]+Tabla3510813153413[[#This Row],[efec_cor]]</f>
        <v>208</v>
      </c>
      <c r="H28" s="0" t="n">
        <f aca="false">Tabla3510813153413[[#This Row],[no_efec_inc]]+Tabla3510813153413[[#This Row],[efect_inc]]</f>
        <v>13</v>
      </c>
      <c r="I28" s="9" t="n">
        <f aca="false">Tabla3510813153413[[#This Row],[Correctos]]/Tabla3510813153413[[#This Row],[total_sec]]</f>
        <v>0.941176470588235</v>
      </c>
      <c r="J28" s="9" t="n">
        <f aca="false">Tabla3510813153413[[#This Row],[efec_cor]]/Tabla3510813153413[[#This Row],[N° efec]]</f>
        <v>0.947368421052632</v>
      </c>
      <c r="K28" s="9" t="n">
        <f aca="false">Tabla3510813153413[[#This Row],[efect_inc]]/Tabla3510813153413[[#This Row],[N° efec]]</f>
        <v>0.0526315789473684</v>
      </c>
      <c r="L28" s="9" t="n">
        <f aca="false">Tabla3510813153413[[#This Row],[no_efec_cor]]/Tabla3510813153413[[#This Row],[N° no_efe]]</f>
        <v>0.934579439252336</v>
      </c>
      <c r="M28" s="9" t="n">
        <f aca="false">Tabla3510813153413[[#This Row],[no_efec_inc]]/Tabla3510813153413[[#This Row],[N° no_efe]]</f>
        <v>0.0654205607476635</v>
      </c>
      <c r="N28" s="9" t="n">
        <f aca="false">(Tabla3510813153413[[#This Row],[% efe_cor]]+Tabla3510813153413[[#This Row],[% no_efe_cor]])/2</f>
        <v>0.940973930152484</v>
      </c>
      <c r="O28" s="10" t="n">
        <f aca="false">(Tabla3510813153413[[#This Row],[% efe_inc]]+Tabla3510813153413[[#This Row],[% no_efect_inc]])/2</f>
        <v>0.059026069847516</v>
      </c>
      <c r="P28" s="11" t="n">
        <f aca="false">Tabla3510813153413[[#This Row],[no_efec_cor]]/(Tabla3510813153413[[#This Row],[efect_inc]]+Tabla3510813153413[[#This Row],[no_efec_cor]])</f>
        <v>0.943396226415094</v>
      </c>
      <c r="Q28" s="11" t="n">
        <f aca="false">Tabla3510813153413[[#This Row],[efec_cor]]/(Tabla3510813153413[[#This Row],[efec_cor]]+Tabla3510813153413[[#This Row],[no_efec_inc]])</f>
        <v>0.939130434782609</v>
      </c>
      <c r="R28" s="11" t="n">
        <f aca="false">(Tabla3510813153413[[#This Row],[PNE]]+Tabla3510813153413[[#This Row],[PE]])/2</f>
        <v>0.941263330598852</v>
      </c>
      <c r="S28" s="0" t="n">
        <v>114</v>
      </c>
      <c r="T28" s="0" t="n">
        <v>107</v>
      </c>
      <c r="U28" s="0" t="n">
        <f aca="false">Tabla3510813153413[[#This Row],[N° efec]]+Tabla3510813153413[[#This Row],[N° no_efe]]</f>
        <v>221</v>
      </c>
    </row>
    <row r="29" customFormat="false" ht="13.8" hidden="false" customHeight="false" outlineLevel="0" collapsed="false">
      <c r="A29" s="0" t="n">
        <v>1</v>
      </c>
      <c r="B29" s="0" t="n">
        <v>0.5</v>
      </c>
      <c r="C29" s="0" t="n">
        <v>106</v>
      </c>
      <c r="D29" s="0" t="n">
        <v>1</v>
      </c>
      <c r="E29" s="0" t="n">
        <v>107</v>
      </c>
      <c r="F29" s="0" t="n">
        <v>7</v>
      </c>
      <c r="G29" s="0" t="n">
        <f aca="false">Tabla3510813153413[[#This Row],[no_efec_cor]]+Tabla3510813153413[[#This Row],[efec_cor]]</f>
        <v>213</v>
      </c>
      <c r="H29" s="0" t="n">
        <f aca="false">Tabla3510813153413[[#This Row],[no_efec_inc]]+Tabla3510813153413[[#This Row],[efect_inc]]</f>
        <v>8</v>
      </c>
      <c r="I29" s="9" t="n">
        <f aca="false">Tabla3510813153413[[#This Row],[Correctos]]/Tabla3510813153413[[#This Row],[total_sec]]</f>
        <v>0.963800904977376</v>
      </c>
      <c r="J29" s="9" t="n">
        <f aca="false">Tabla3510813153413[[#This Row],[efec_cor]]/Tabla3510813153413[[#This Row],[N° efec]]</f>
        <v>0.93859649122807</v>
      </c>
      <c r="K29" s="9" t="n">
        <f aca="false">Tabla3510813153413[[#This Row],[efect_inc]]/Tabla3510813153413[[#This Row],[N° efec]]</f>
        <v>0.0614035087719298</v>
      </c>
      <c r="L29" s="9" t="n">
        <f aca="false">Tabla3510813153413[[#This Row],[no_efec_cor]]/Tabla3510813153413[[#This Row],[N° no_efe]]</f>
        <v>0.990654205607477</v>
      </c>
      <c r="M29" s="9" t="n">
        <f aca="false">Tabla3510813153413[[#This Row],[no_efec_inc]]/Tabla3510813153413[[#This Row],[N° no_efe]]</f>
        <v>0.00934579439252336</v>
      </c>
      <c r="N29" s="9" t="n">
        <f aca="false">(Tabla3510813153413[[#This Row],[% efe_cor]]+Tabla3510813153413[[#This Row],[% no_efe_cor]])/2</f>
        <v>0.964625348417773</v>
      </c>
      <c r="O29" s="10" t="n">
        <f aca="false">(Tabla3510813153413[[#This Row],[% efe_inc]]+Tabla3510813153413[[#This Row],[% no_efect_inc]])/2</f>
        <v>0.0353746515822266</v>
      </c>
      <c r="P29" s="11" t="n">
        <f aca="false">Tabla3510813153413[[#This Row],[no_efec_cor]]/(Tabla3510813153413[[#This Row],[efect_inc]]+Tabla3510813153413[[#This Row],[no_efec_cor]])</f>
        <v>0.938053097345133</v>
      </c>
      <c r="Q29" s="11" t="n">
        <f aca="false">Tabla3510813153413[[#This Row],[efec_cor]]/(Tabla3510813153413[[#This Row],[efec_cor]]+Tabla3510813153413[[#This Row],[no_efec_inc]])</f>
        <v>0.990740740740741</v>
      </c>
      <c r="R29" s="11" t="n">
        <f aca="false">(Tabla3510813153413[[#This Row],[PNE]]+Tabla3510813153413[[#This Row],[PE]])/2</f>
        <v>0.964396919042937</v>
      </c>
      <c r="S29" s="0" t="n">
        <v>114</v>
      </c>
      <c r="T29" s="0" t="n">
        <v>107</v>
      </c>
      <c r="U29" s="0" t="n">
        <f aca="false">Tabla3510813153413[[#This Row],[N° efec]]+Tabla3510813153413[[#This Row],[N° no_efe]]</f>
        <v>221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106</v>
      </c>
      <c r="D30" s="0" t="n">
        <v>1</v>
      </c>
      <c r="E30" s="0" t="n">
        <v>106</v>
      </c>
      <c r="F30" s="0" t="n">
        <v>8</v>
      </c>
      <c r="G30" s="0" t="n">
        <f aca="false">Tabla3510813153413[[#This Row],[no_efec_cor]]+Tabla3510813153413[[#This Row],[efec_cor]]</f>
        <v>212</v>
      </c>
      <c r="H30" s="0" t="n">
        <f aca="false">Tabla3510813153413[[#This Row],[no_efec_inc]]+Tabla3510813153413[[#This Row],[efect_inc]]</f>
        <v>9</v>
      </c>
      <c r="I30" s="9" t="n">
        <f aca="false">Tabla3510813153413[[#This Row],[Correctos]]/Tabla3510813153413[[#This Row],[total_sec]]</f>
        <v>0.959276018099548</v>
      </c>
      <c r="J30" s="9" t="n">
        <f aca="false">Tabla3510813153413[[#This Row],[efec_cor]]/Tabla3510813153413[[#This Row],[N° efec]]</f>
        <v>0.929824561403509</v>
      </c>
      <c r="K30" s="9" t="n">
        <f aca="false">Tabla3510813153413[[#This Row],[efect_inc]]/Tabla3510813153413[[#This Row],[N° efec]]</f>
        <v>0.0701754385964912</v>
      </c>
      <c r="L30" s="9" t="n">
        <f aca="false">Tabla3510813153413[[#This Row],[no_efec_cor]]/Tabla3510813153413[[#This Row],[N° no_efe]]</f>
        <v>0.990654205607477</v>
      </c>
      <c r="M30" s="9" t="n">
        <f aca="false">Tabla3510813153413[[#This Row],[no_efec_inc]]/Tabla3510813153413[[#This Row],[N° no_efe]]</f>
        <v>0.00934579439252336</v>
      </c>
      <c r="N30" s="9" t="n">
        <f aca="false">(Tabla3510813153413[[#This Row],[% efe_cor]]+Tabla3510813153413[[#This Row],[% no_efe_cor]])/2</f>
        <v>0.960239383505493</v>
      </c>
      <c r="O30" s="10" t="n">
        <f aca="false">(Tabla3510813153413[[#This Row],[% efe_inc]]+Tabla3510813153413[[#This Row],[% no_efect_inc]])/2</f>
        <v>0.0397606164945073</v>
      </c>
      <c r="P30" s="11" t="n">
        <f aca="false">Tabla3510813153413[[#This Row],[no_efec_cor]]/(Tabla3510813153413[[#This Row],[efect_inc]]+Tabla3510813153413[[#This Row],[no_efec_cor]])</f>
        <v>0.929824561403509</v>
      </c>
      <c r="Q30" s="11" t="n">
        <f aca="false">Tabla3510813153413[[#This Row],[efec_cor]]/(Tabla3510813153413[[#This Row],[efec_cor]]+Tabla3510813153413[[#This Row],[no_efec_inc]])</f>
        <v>0.990654205607477</v>
      </c>
      <c r="R30" s="11" t="n">
        <f aca="false">(Tabla3510813153413[[#This Row],[PNE]]+Tabla3510813153413[[#This Row],[PE]])/2</f>
        <v>0.960239383505493</v>
      </c>
      <c r="S30" s="0" t="n">
        <v>114</v>
      </c>
      <c r="T30" s="0" t="n">
        <v>107</v>
      </c>
      <c r="U30" s="0" t="n">
        <f aca="false">Tabla3510813153413[[#This Row],[N° efec]]+Tabla3510813153413[[#This Row],[N° no_efe]]</f>
        <v>221</v>
      </c>
    </row>
    <row r="31" customFormat="false" ht="13.8" hidden="false" customHeight="false" outlineLevel="0" collapsed="false">
      <c r="A31" s="0" t="n">
        <v>1</v>
      </c>
      <c r="B31" s="0" t="n">
        <v>2</v>
      </c>
      <c r="C31" s="0" t="n">
        <v>106</v>
      </c>
      <c r="D31" s="0" t="n">
        <v>1</v>
      </c>
      <c r="E31" s="0" t="n">
        <v>106</v>
      </c>
      <c r="F31" s="0" t="n">
        <v>8</v>
      </c>
      <c r="G31" s="0" t="n">
        <f aca="false">Tabla3510813153413[[#This Row],[no_efec_cor]]+Tabla3510813153413[[#This Row],[efec_cor]]</f>
        <v>212</v>
      </c>
      <c r="H31" s="0" t="n">
        <f aca="false">Tabla3510813153413[[#This Row],[no_efec_inc]]+Tabla3510813153413[[#This Row],[efect_inc]]</f>
        <v>9</v>
      </c>
      <c r="I31" s="9" t="n">
        <f aca="false">Tabla3510813153413[[#This Row],[Correctos]]/Tabla3510813153413[[#This Row],[total_sec]]</f>
        <v>0.959276018099548</v>
      </c>
      <c r="J31" s="9" t="n">
        <f aca="false">Tabla3510813153413[[#This Row],[efec_cor]]/Tabla3510813153413[[#This Row],[N° efec]]</f>
        <v>0.929824561403509</v>
      </c>
      <c r="K31" s="9" t="n">
        <f aca="false">Tabla3510813153413[[#This Row],[efect_inc]]/Tabla3510813153413[[#This Row],[N° efec]]</f>
        <v>0.0701754385964912</v>
      </c>
      <c r="L31" s="9" t="n">
        <f aca="false">Tabla3510813153413[[#This Row],[no_efec_cor]]/Tabla3510813153413[[#This Row],[N° no_efe]]</f>
        <v>0.990654205607477</v>
      </c>
      <c r="M31" s="9" t="n">
        <f aca="false">Tabla3510813153413[[#This Row],[no_efec_inc]]/Tabla3510813153413[[#This Row],[N° no_efe]]</f>
        <v>0.00934579439252336</v>
      </c>
      <c r="N31" s="9" t="n">
        <f aca="false">(Tabla3510813153413[[#This Row],[% efe_cor]]+Tabla3510813153413[[#This Row],[% no_efe_cor]])/2</f>
        <v>0.960239383505493</v>
      </c>
      <c r="O31" s="10" t="n">
        <f aca="false">(Tabla3510813153413[[#This Row],[% efe_inc]]+Tabla3510813153413[[#This Row],[% no_efect_inc]])/2</f>
        <v>0.0397606164945073</v>
      </c>
      <c r="P31" s="11" t="n">
        <f aca="false">Tabla3510813153413[[#This Row],[no_efec_cor]]/(Tabla3510813153413[[#This Row],[efect_inc]]+Tabla3510813153413[[#This Row],[no_efec_cor]])</f>
        <v>0.929824561403509</v>
      </c>
      <c r="Q31" s="11" t="n">
        <f aca="false">Tabla3510813153413[[#This Row],[efec_cor]]/(Tabla3510813153413[[#This Row],[efec_cor]]+Tabla3510813153413[[#This Row],[no_efec_inc]])</f>
        <v>0.990654205607477</v>
      </c>
      <c r="R31" s="11" t="n">
        <f aca="false">(Tabla3510813153413[[#This Row],[PNE]]+Tabla3510813153413[[#This Row],[PE]])/2</f>
        <v>0.960239383505493</v>
      </c>
      <c r="S31" s="0" t="n">
        <v>114</v>
      </c>
      <c r="T31" s="0" t="n">
        <v>107</v>
      </c>
      <c r="U31" s="0" t="n">
        <f aca="false">Tabla3510813153413[[#This Row],[N° efec]]+Tabla3510813153413[[#This Row],[N° no_efe]]</f>
        <v>221</v>
      </c>
    </row>
    <row r="32" customFormat="false" ht="13.8" hidden="false" customHeight="false" outlineLevel="0" collapsed="false">
      <c r="A32" s="0" t="n">
        <v>1</v>
      </c>
      <c r="B32" s="0" t="n">
        <v>3</v>
      </c>
      <c r="C32" s="0" t="n">
        <v>107</v>
      </c>
      <c r="D32" s="0" t="n">
        <v>0</v>
      </c>
      <c r="E32" s="0" t="n">
        <v>105</v>
      </c>
      <c r="F32" s="0" t="n">
        <v>9</v>
      </c>
      <c r="G32" s="0" t="n">
        <f aca="false">Tabla3510813153413[[#This Row],[no_efec_cor]]+Tabla3510813153413[[#This Row],[efec_cor]]</f>
        <v>212</v>
      </c>
      <c r="H32" s="0" t="n">
        <f aca="false">Tabla3510813153413[[#This Row],[no_efec_inc]]+Tabla3510813153413[[#This Row],[efect_inc]]</f>
        <v>9</v>
      </c>
      <c r="I32" s="9" t="n">
        <f aca="false">Tabla3510813153413[[#This Row],[Correctos]]/Tabla3510813153413[[#This Row],[total_sec]]</f>
        <v>0.959276018099548</v>
      </c>
      <c r="J32" s="9" t="n">
        <f aca="false">Tabla3510813153413[[#This Row],[efec_cor]]/Tabla3510813153413[[#This Row],[N° efec]]</f>
        <v>0.921052631578947</v>
      </c>
      <c r="K32" s="9" t="n">
        <f aca="false">Tabla3510813153413[[#This Row],[efect_inc]]/Tabla3510813153413[[#This Row],[N° efec]]</f>
        <v>0.0789473684210526</v>
      </c>
      <c r="L32" s="9" t="n">
        <f aca="false">Tabla3510813153413[[#This Row],[no_efec_cor]]/Tabla3510813153413[[#This Row],[N° no_efe]]</f>
        <v>1</v>
      </c>
      <c r="M32" s="9" t="n">
        <f aca="false">Tabla3510813153413[[#This Row],[no_efec_inc]]/Tabla3510813153413[[#This Row],[N° no_efe]]</f>
        <v>0</v>
      </c>
      <c r="N32" s="9" t="n">
        <f aca="false">(Tabla3510813153413[[#This Row],[% efe_cor]]+Tabla3510813153413[[#This Row],[% no_efe_cor]])/2</f>
        <v>0.960526315789474</v>
      </c>
      <c r="O32" s="10" t="n">
        <f aca="false">(Tabla3510813153413[[#This Row],[% efe_inc]]+Tabla3510813153413[[#This Row],[% no_efect_inc]])/2</f>
        <v>0.0394736842105263</v>
      </c>
      <c r="P32" s="11" t="n">
        <f aca="false">Tabla3510813153413[[#This Row],[no_efec_cor]]/(Tabla3510813153413[[#This Row],[efect_inc]]+Tabla3510813153413[[#This Row],[no_efec_cor]])</f>
        <v>0.922413793103448</v>
      </c>
      <c r="Q32" s="11" t="n">
        <f aca="false">Tabla3510813153413[[#This Row],[efec_cor]]/(Tabla3510813153413[[#This Row],[efec_cor]]+Tabla3510813153413[[#This Row],[no_efec_inc]])</f>
        <v>1</v>
      </c>
      <c r="R32" s="11" t="n">
        <f aca="false">(Tabla3510813153413[[#This Row],[PNE]]+Tabla3510813153413[[#This Row],[PE]])/2</f>
        <v>0.961206896551724</v>
      </c>
      <c r="S32" s="0" t="n">
        <v>114</v>
      </c>
      <c r="T32" s="0" t="n">
        <v>107</v>
      </c>
      <c r="U32" s="0" t="n">
        <f aca="false">Tabla3510813153413[[#This Row],[N° efec]]+Tabla3510813153413[[#This Row],[N° no_efe]]</f>
        <v>221</v>
      </c>
    </row>
    <row r="33" customFormat="false" ht="13.8" hidden="false" customHeight="false" outlineLevel="0" collapsed="false">
      <c r="A33" s="0" t="n">
        <v>1</v>
      </c>
      <c r="B33" s="0" t="n">
        <v>5</v>
      </c>
      <c r="C33" s="0" t="n">
        <v>107</v>
      </c>
      <c r="D33" s="0" t="n">
        <v>0</v>
      </c>
      <c r="E33" s="0" t="n">
        <v>105</v>
      </c>
      <c r="F33" s="0" t="n">
        <v>9</v>
      </c>
      <c r="G33" s="0" t="n">
        <f aca="false">Tabla3510813153413[[#This Row],[no_efec_cor]]+Tabla3510813153413[[#This Row],[efec_cor]]</f>
        <v>212</v>
      </c>
      <c r="H33" s="0" t="n">
        <f aca="false">Tabla3510813153413[[#This Row],[no_efec_inc]]+Tabla3510813153413[[#This Row],[efect_inc]]</f>
        <v>9</v>
      </c>
      <c r="I33" s="9" t="n">
        <f aca="false">Tabla3510813153413[[#This Row],[Correctos]]/Tabla3510813153413[[#This Row],[total_sec]]</f>
        <v>0.959276018099548</v>
      </c>
      <c r="J33" s="9" t="n">
        <f aca="false">Tabla3510813153413[[#This Row],[efec_cor]]/Tabla3510813153413[[#This Row],[N° efec]]</f>
        <v>0.921052631578947</v>
      </c>
      <c r="K33" s="9" t="n">
        <f aca="false">Tabla3510813153413[[#This Row],[efect_inc]]/Tabla3510813153413[[#This Row],[N° efec]]</f>
        <v>0.0789473684210526</v>
      </c>
      <c r="L33" s="9" t="n">
        <f aca="false">Tabla3510813153413[[#This Row],[no_efec_cor]]/Tabla3510813153413[[#This Row],[N° no_efe]]</f>
        <v>1</v>
      </c>
      <c r="M33" s="9" t="n">
        <f aca="false">Tabla3510813153413[[#This Row],[no_efec_inc]]/Tabla3510813153413[[#This Row],[N° no_efe]]</f>
        <v>0</v>
      </c>
      <c r="N33" s="9" t="n">
        <f aca="false">(Tabla3510813153413[[#This Row],[% efe_cor]]+Tabla3510813153413[[#This Row],[% no_efe_cor]])/2</f>
        <v>0.960526315789474</v>
      </c>
      <c r="O33" s="10" t="n">
        <f aca="false">(Tabla3510813153413[[#This Row],[% efe_inc]]+Tabla3510813153413[[#This Row],[% no_efect_inc]])/2</f>
        <v>0.0394736842105263</v>
      </c>
      <c r="P33" s="11" t="n">
        <f aca="false">Tabla3510813153413[[#This Row],[no_efec_cor]]/(Tabla3510813153413[[#This Row],[efect_inc]]+Tabla3510813153413[[#This Row],[no_efec_cor]])</f>
        <v>0.922413793103448</v>
      </c>
      <c r="Q33" s="11" t="n">
        <f aca="false">Tabla3510813153413[[#This Row],[efec_cor]]/(Tabla3510813153413[[#This Row],[efec_cor]]+Tabla3510813153413[[#This Row],[no_efec_inc]])</f>
        <v>1</v>
      </c>
      <c r="R33" s="11" t="n">
        <f aca="false">(Tabla3510813153413[[#This Row],[PNE]]+Tabla3510813153413[[#This Row],[PE]])/2</f>
        <v>0.961206896551724</v>
      </c>
      <c r="S33" s="0" t="n">
        <v>114</v>
      </c>
      <c r="T33" s="0" t="n">
        <v>107</v>
      </c>
      <c r="U33" s="0" t="n">
        <f aca="false">Tabla3510813153413[[#This Row],[N° efec]]+Tabla3510813153413[[#This Row],[N° no_efe]]</f>
        <v>221</v>
      </c>
    </row>
    <row r="34" customFormat="false" ht="13.8" hidden="false" customHeight="false" outlineLevel="0" collapsed="false">
      <c r="A34" s="0" t="n">
        <v>2</v>
      </c>
      <c r="B34" s="0" t="n">
        <v>0.5</v>
      </c>
      <c r="C34" s="0" t="n">
        <v>106</v>
      </c>
      <c r="D34" s="0" t="n">
        <v>1</v>
      </c>
      <c r="E34" s="0" t="n">
        <v>107</v>
      </c>
      <c r="F34" s="0" t="n">
        <v>7</v>
      </c>
      <c r="G34" s="0" t="n">
        <f aca="false">Tabla3510813153413[[#This Row],[no_efec_cor]]+Tabla3510813153413[[#This Row],[efec_cor]]</f>
        <v>213</v>
      </c>
      <c r="H34" s="0" t="n">
        <f aca="false">Tabla3510813153413[[#This Row],[no_efec_inc]]+Tabla3510813153413[[#This Row],[efect_inc]]</f>
        <v>8</v>
      </c>
      <c r="I34" s="9" t="n">
        <f aca="false">Tabla3510813153413[[#This Row],[Correctos]]/Tabla3510813153413[[#This Row],[total_sec]]</f>
        <v>0.963800904977376</v>
      </c>
      <c r="J34" s="9" t="n">
        <f aca="false">Tabla3510813153413[[#This Row],[efec_cor]]/Tabla3510813153413[[#This Row],[N° efec]]</f>
        <v>0.93859649122807</v>
      </c>
      <c r="K34" s="9" t="n">
        <f aca="false">Tabla3510813153413[[#This Row],[efect_inc]]/Tabla3510813153413[[#This Row],[N° efec]]</f>
        <v>0.0614035087719298</v>
      </c>
      <c r="L34" s="9" t="n">
        <f aca="false">Tabla3510813153413[[#This Row],[no_efec_cor]]/Tabla3510813153413[[#This Row],[N° no_efe]]</f>
        <v>0.990654205607477</v>
      </c>
      <c r="M34" s="9" t="n">
        <f aca="false">Tabla3510813153413[[#This Row],[no_efec_inc]]/Tabla3510813153413[[#This Row],[N° no_efe]]</f>
        <v>0.00934579439252336</v>
      </c>
      <c r="N34" s="9" t="n">
        <f aca="false">(Tabla3510813153413[[#This Row],[% efe_cor]]+Tabla3510813153413[[#This Row],[% no_efe_cor]])/2</f>
        <v>0.964625348417773</v>
      </c>
      <c r="O34" s="10" t="n">
        <f aca="false">(Tabla3510813153413[[#This Row],[% efe_inc]]+Tabla3510813153413[[#This Row],[% no_efect_inc]])/2</f>
        <v>0.0353746515822266</v>
      </c>
      <c r="P34" s="11" t="n">
        <f aca="false">Tabla3510813153413[[#This Row],[no_efec_cor]]/(Tabla3510813153413[[#This Row],[efect_inc]]+Tabla3510813153413[[#This Row],[no_efec_cor]])</f>
        <v>0.938053097345133</v>
      </c>
      <c r="Q34" s="11" t="n">
        <f aca="false">Tabla3510813153413[[#This Row],[efec_cor]]/(Tabla3510813153413[[#This Row],[efec_cor]]+Tabla3510813153413[[#This Row],[no_efec_inc]])</f>
        <v>0.990740740740741</v>
      </c>
      <c r="R34" s="11" t="n">
        <f aca="false">(Tabla3510813153413[[#This Row],[PNE]]+Tabla3510813153413[[#This Row],[PE]])/2</f>
        <v>0.964396919042937</v>
      </c>
      <c r="S34" s="0" t="n">
        <v>114</v>
      </c>
      <c r="T34" s="0" t="n">
        <v>107</v>
      </c>
      <c r="U34" s="0" t="n">
        <f aca="false">Tabla3510813153413[[#This Row],[N° efec]]+Tabla3510813153413[[#This Row],[N° no_efe]]</f>
        <v>221</v>
      </c>
    </row>
    <row r="35" customFormat="false" ht="13.8" hidden="false" customHeight="false" outlineLevel="0" collapsed="false">
      <c r="A35" s="0" t="n">
        <v>3</v>
      </c>
      <c r="B35" s="0" t="n">
        <v>0.5</v>
      </c>
      <c r="C35" s="0" t="n">
        <v>106</v>
      </c>
      <c r="D35" s="0" t="n">
        <v>1</v>
      </c>
      <c r="E35" s="0" t="n">
        <v>107</v>
      </c>
      <c r="F35" s="0" t="n">
        <v>7</v>
      </c>
      <c r="G35" s="0" t="n">
        <f aca="false">Tabla3510813153413[[#This Row],[no_efec_cor]]+Tabla3510813153413[[#This Row],[efec_cor]]</f>
        <v>213</v>
      </c>
      <c r="H35" s="0" t="n">
        <f aca="false">Tabla3510813153413[[#This Row],[no_efec_inc]]+Tabla3510813153413[[#This Row],[efect_inc]]</f>
        <v>8</v>
      </c>
      <c r="I35" s="9" t="n">
        <f aca="false">Tabla3510813153413[[#This Row],[Correctos]]/Tabla3510813153413[[#This Row],[total_sec]]</f>
        <v>0.963800904977376</v>
      </c>
      <c r="J35" s="9" t="n">
        <f aca="false">Tabla3510813153413[[#This Row],[efec_cor]]/Tabla3510813153413[[#This Row],[N° efec]]</f>
        <v>0.93859649122807</v>
      </c>
      <c r="K35" s="9" t="n">
        <f aca="false">Tabla3510813153413[[#This Row],[efect_inc]]/Tabla3510813153413[[#This Row],[N° efec]]</f>
        <v>0.0614035087719298</v>
      </c>
      <c r="L35" s="9" t="n">
        <f aca="false">Tabla3510813153413[[#This Row],[no_efec_cor]]/Tabla3510813153413[[#This Row],[N° no_efe]]</f>
        <v>0.990654205607477</v>
      </c>
      <c r="M35" s="9" t="n">
        <f aca="false">Tabla3510813153413[[#This Row],[no_efec_inc]]/Tabla3510813153413[[#This Row],[N° no_efe]]</f>
        <v>0.00934579439252336</v>
      </c>
      <c r="N35" s="9" t="n">
        <f aca="false">(Tabla3510813153413[[#This Row],[% efe_cor]]+Tabla3510813153413[[#This Row],[% no_efe_cor]])/2</f>
        <v>0.964625348417773</v>
      </c>
      <c r="O35" s="10" t="n">
        <f aca="false">(Tabla3510813153413[[#This Row],[% efe_inc]]+Tabla3510813153413[[#This Row],[% no_efect_inc]])/2</f>
        <v>0.0353746515822266</v>
      </c>
      <c r="P35" s="11" t="n">
        <f aca="false">Tabla3510813153413[[#This Row],[no_efec_cor]]/(Tabla3510813153413[[#This Row],[efect_inc]]+Tabla3510813153413[[#This Row],[no_efec_cor]])</f>
        <v>0.938053097345133</v>
      </c>
      <c r="Q35" s="11" t="n">
        <f aca="false">Tabla3510813153413[[#This Row],[efec_cor]]/(Tabla3510813153413[[#This Row],[efec_cor]]+Tabla3510813153413[[#This Row],[no_efec_inc]])</f>
        <v>0.990740740740741</v>
      </c>
      <c r="R35" s="11" t="n">
        <f aca="false">(Tabla3510813153413[[#This Row],[PNE]]+Tabla3510813153413[[#This Row],[PE]])/2</f>
        <v>0.964396919042937</v>
      </c>
      <c r="S35" s="0" t="n">
        <v>114</v>
      </c>
      <c r="T35" s="0" t="n">
        <v>107</v>
      </c>
      <c r="U35" s="0" t="n">
        <f aca="false">Tabla3510813153413[[#This Row],[N° efec]]+Tabla3510813153413[[#This Row],[N° no_efe]]</f>
        <v>221</v>
      </c>
    </row>
    <row r="36" customFormat="false" ht="13.8" hidden="false" customHeight="false" outlineLevel="0" collapsed="false">
      <c r="A36" s="0" t="n">
        <v>5</v>
      </c>
      <c r="B36" s="0" t="n">
        <v>0.5</v>
      </c>
      <c r="C36" s="0" t="n">
        <v>105</v>
      </c>
      <c r="D36" s="0" t="n">
        <v>2</v>
      </c>
      <c r="E36" s="0" t="n">
        <v>108</v>
      </c>
      <c r="F36" s="0" t="n">
        <v>6</v>
      </c>
      <c r="G36" s="0" t="n">
        <f aca="false">Tabla3510813153413[[#This Row],[no_efec_cor]]+Tabla3510813153413[[#This Row],[efec_cor]]</f>
        <v>213</v>
      </c>
      <c r="H36" s="0" t="n">
        <f aca="false">Tabla3510813153413[[#This Row],[no_efec_inc]]+Tabla3510813153413[[#This Row],[efect_inc]]</f>
        <v>8</v>
      </c>
      <c r="I36" s="9" t="n">
        <f aca="false">Tabla3510813153413[[#This Row],[Correctos]]/Tabla3510813153413[[#This Row],[total_sec]]</f>
        <v>0.963800904977376</v>
      </c>
      <c r="J36" s="9" t="n">
        <f aca="false">Tabla3510813153413[[#This Row],[efec_cor]]/Tabla3510813153413[[#This Row],[N° efec]]</f>
        <v>0.947368421052632</v>
      </c>
      <c r="K36" s="9" t="n">
        <f aca="false">Tabla3510813153413[[#This Row],[efect_inc]]/Tabla3510813153413[[#This Row],[N° efec]]</f>
        <v>0.0526315789473684</v>
      </c>
      <c r="L36" s="9" t="n">
        <f aca="false">Tabla3510813153413[[#This Row],[no_efec_cor]]/Tabla3510813153413[[#This Row],[N° no_efe]]</f>
        <v>0.981308411214953</v>
      </c>
      <c r="M36" s="9" t="n">
        <f aca="false">Tabla3510813153413[[#This Row],[no_efec_inc]]/Tabla3510813153413[[#This Row],[N° no_efe]]</f>
        <v>0.0186915887850467</v>
      </c>
      <c r="N36" s="9" t="n">
        <f aca="false">(Tabla3510813153413[[#This Row],[% efe_cor]]+Tabla3510813153413[[#This Row],[% no_efe_cor]])/2</f>
        <v>0.964338416133792</v>
      </c>
      <c r="O36" s="10" t="n">
        <f aca="false">(Tabla3510813153413[[#This Row],[% efe_inc]]+Tabla3510813153413[[#This Row],[% no_efect_inc]])/2</f>
        <v>0.0356615838662076</v>
      </c>
      <c r="P36" s="11" t="n">
        <f aca="false">Tabla3510813153413[[#This Row],[no_efec_cor]]/(Tabla3510813153413[[#This Row],[efect_inc]]+Tabla3510813153413[[#This Row],[no_efec_cor]])</f>
        <v>0.945945945945946</v>
      </c>
      <c r="Q36" s="11" t="n">
        <f aca="false">Tabla3510813153413[[#This Row],[efec_cor]]/(Tabla3510813153413[[#This Row],[efec_cor]]+Tabla3510813153413[[#This Row],[no_efec_inc]])</f>
        <v>0.981818181818182</v>
      </c>
      <c r="R36" s="11" t="n">
        <f aca="false">(Tabla3510813153413[[#This Row],[PNE]]+Tabla3510813153413[[#This Row],[PE]])/2</f>
        <v>0.963882063882064</v>
      </c>
      <c r="S36" s="0" t="n">
        <v>114</v>
      </c>
      <c r="T36" s="0" t="n">
        <v>107</v>
      </c>
      <c r="U36" s="0" t="n">
        <f aca="false">Tabla3510813153413[[#This Row],[N° efec]]+Tabla3510813153413[[#This Row],[N° no_efe]]</f>
        <v>221</v>
      </c>
    </row>
    <row r="37" customFormat="false" ht="13.8" hidden="false" customHeight="false" outlineLevel="0" collapsed="false">
      <c r="A37" s="0" t="n">
        <v>5</v>
      </c>
      <c r="B37" s="0" t="n">
        <v>1</v>
      </c>
      <c r="C37" s="0" t="n">
        <v>103</v>
      </c>
      <c r="D37" s="0" t="n">
        <v>4</v>
      </c>
      <c r="E37" s="0" t="n">
        <v>108</v>
      </c>
      <c r="F37" s="0" t="n">
        <v>6</v>
      </c>
      <c r="G37" s="0" t="n">
        <f aca="false">Tabla3510813153413[[#This Row],[no_efec_cor]]+Tabla3510813153413[[#This Row],[efec_cor]]</f>
        <v>211</v>
      </c>
      <c r="H37" s="0" t="n">
        <f aca="false">Tabla3510813153413[[#This Row],[no_efec_inc]]+Tabla3510813153413[[#This Row],[efect_inc]]</f>
        <v>10</v>
      </c>
      <c r="I37" s="9" t="n">
        <f aca="false">Tabla3510813153413[[#This Row],[Correctos]]/Tabla3510813153413[[#This Row],[total_sec]]</f>
        <v>0.954751131221719</v>
      </c>
      <c r="J37" s="9" t="n">
        <f aca="false">Tabla3510813153413[[#This Row],[efec_cor]]/Tabla3510813153413[[#This Row],[N° efec]]</f>
        <v>0.947368421052632</v>
      </c>
      <c r="K37" s="9" t="n">
        <f aca="false">Tabla3510813153413[[#This Row],[efect_inc]]/Tabla3510813153413[[#This Row],[N° efec]]</f>
        <v>0.0526315789473684</v>
      </c>
      <c r="L37" s="9" t="n">
        <f aca="false">Tabla3510813153413[[#This Row],[no_efec_cor]]/Tabla3510813153413[[#This Row],[N° no_efe]]</f>
        <v>0.962616822429906</v>
      </c>
      <c r="M37" s="9" t="n">
        <f aca="false">Tabla3510813153413[[#This Row],[no_efec_inc]]/Tabla3510813153413[[#This Row],[N° no_efe]]</f>
        <v>0.0373831775700935</v>
      </c>
      <c r="N37" s="9" t="n">
        <f aca="false">(Tabla3510813153413[[#This Row],[% efe_cor]]+Tabla3510813153413[[#This Row],[% no_efe_cor]])/2</f>
        <v>0.954992621741269</v>
      </c>
      <c r="O37" s="10" t="n">
        <f aca="false">(Tabla3510813153413[[#This Row],[% efe_inc]]+Tabla3510813153413[[#This Row],[% no_efect_inc]])/2</f>
        <v>0.0450073782587309</v>
      </c>
      <c r="P37" s="11" t="n">
        <f aca="false">Tabla3510813153413[[#This Row],[no_efec_cor]]/(Tabla3510813153413[[#This Row],[efect_inc]]+Tabla3510813153413[[#This Row],[no_efec_cor]])</f>
        <v>0.944954128440367</v>
      </c>
      <c r="Q37" s="11" t="n">
        <f aca="false">Tabla3510813153413[[#This Row],[efec_cor]]/(Tabla3510813153413[[#This Row],[efec_cor]]+Tabla3510813153413[[#This Row],[no_efec_inc]])</f>
        <v>0.964285714285714</v>
      </c>
      <c r="R37" s="11" t="n">
        <f aca="false">(Tabla3510813153413[[#This Row],[PNE]]+Tabla3510813153413[[#This Row],[PE]])/2</f>
        <v>0.954619921363041</v>
      </c>
      <c r="S37" s="0" t="n">
        <v>114</v>
      </c>
      <c r="T37" s="0" t="n">
        <v>107</v>
      </c>
      <c r="U37" s="0" t="n">
        <f aca="false">Tabla3510813153413[[#This Row],[N° efec]]+Tabla3510813153413[[#This Row],[N° no_efe]]</f>
        <v>221</v>
      </c>
    </row>
    <row r="38" customFormat="false" ht="13.8" hidden="false" customHeight="false" outlineLevel="0" collapsed="false">
      <c r="A38" s="0" t="n">
        <v>0.5</v>
      </c>
      <c r="B38" s="0" t="n">
        <v>1</v>
      </c>
      <c r="C38" s="0" t="n">
        <v>106</v>
      </c>
      <c r="D38" s="0" t="n">
        <v>1</v>
      </c>
      <c r="E38" s="0" t="n">
        <v>106</v>
      </c>
      <c r="F38" s="0" t="n">
        <v>8</v>
      </c>
      <c r="G38" s="0" t="n">
        <f aca="false">Tabla3510813153413[[#This Row],[no_efec_cor]]+Tabla3510813153413[[#This Row],[efec_cor]]</f>
        <v>212</v>
      </c>
      <c r="H38" s="0" t="n">
        <f aca="false">Tabla3510813153413[[#This Row],[no_efec_inc]]+Tabla3510813153413[[#This Row],[efect_inc]]</f>
        <v>9</v>
      </c>
      <c r="I38" s="9" t="n">
        <f aca="false">Tabla3510813153413[[#This Row],[Correctos]]/Tabla3510813153413[[#This Row],[total_sec]]</f>
        <v>0.959276018099548</v>
      </c>
      <c r="J38" s="9" t="n">
        <f aca="false">Tabla3510813153413[[#This Row],[efec_cor]]/Tabla3510813153413[[#This Row],[N° efec]]</f>
        <v>0.929824561403509</v>
      </c>
      <c r="K38" s="9" t="n">
        <f aca="false">Tabla3510813153413[[#This Row],[efect_inc]]/Tabla3510813153413[[#This Row],[N° efec]]</f>
        <v>0.0701754385964912</v>
      </c>
      <c r="L38" s="9" t="n">
        <f aca="false">Tabla3510813153413[[#This Row],[no_efec_cor]]/Tabla3510813153413[[#This Row],[N° no_efe]]</f>
        <v>0.990654205607477</v>
      </c>
      <c r="M38" s="9" t="n">
        <f aca="false">Tabla3510813153413[[#This Row],[no_efec_inc]]/Tabla3510813153413[[#This Row],[N° no_efe]]</f>
        <v>0.00934579439252336</v>
      </c>
      <c r="N38" s="9" t="n">
        <f aca="false">(Tabla3510813153413[[#This Row],[% efe_cor]]+Tabla3510813153413[[#This Row],[% no_efe_cor]])/2</f>
        <v>0.960239383505493</v>
      </c>
      <c r="O38" s="10" t="n">
        <f aca="false">(Tabla3510813153413[[#This Row],[% efe_inc]]+Tabla3510813153413[[#This Row],[% no_efect_inc]])/2</f>
        <v>0.0397606164945073</v>
      </c>
      <c r="P38" s="11" t="n">
        <f aca="false">Tabla3510813153413[[#This Row],[no_efec_cor]]/(Tabla3510813153413[[#This Row],[efect_inc]]+Tabla3510813153413[[#This Row],[no_efec_cor]])</f>
        <v>0.929824561403509</v>
      </c>
      <c r="Q38" s="11" t="n">
        <f aca="false">Tabla3510813153413[[#This Row],[efec_cor]]/(Tabla3510813153413[[#This Row],[efec_cor]]+Tabla3510813153413[[#This Row],[no_efec_inc]])</f>
        <v>0.990654205607477</v>
      </c>
      <c r="R38" s="11" t="n">
        <f aca="false">(Tabla3510813153413[[#This Row],[PNE]]+Tabla3510813153413[[#This Row],[PE]])/2</f>
        <v>0.960239383505493</v>
      </c>
      <c r="S38" s="0" t="n">
        <v>114</v>
      </c>
      <c r="T38" s="0" t="n">
        <v>107</v>
      </c>
      <c r="U38" s="0" t="n">
        <f aca="false">Tabla3510813153413[[#This Row],[N° efec]]+Tabla3510813153413[[#This Row],[N° no_efe]]</f>
        <v>221</v>
      </c>
    </row>
    <row r="39" customFormat="false" ht="13.8" hidden="false" customHeight="false" outlineLevel="0" collapsed="false">
      <c r="A39" s="0" t="n">
        <v>0.1</v>
      </c>
      <c r="B39" s="0" t="n">
        <v>1</v>
      </c>
      <c r="C39" s="0" t="n">
        <v>105</v>
      </c>
      <c r="D39" s="0" t="n">
        <v>2</v>
      </c>
      <c r="E39" s="0" t="n">
        <v>106</v>
      </c>
      <c r="F39" s="0" t="n">
        <v>8</v>
      </c>
      <c r="G39" s="0" t="n">
        <f aca="false">Tabla3510813153413[[#This Row],[no_efec_cor]]+Tabla3510813153413[[#This Row],[efec_cor]]</f>
        <v>211</v>
      </c>
      <c r="H39" s="0" t="n">
        <f aca="false">Tabla3510813153413[[#This Row],[no_efec_inc]]+Tabla3510813153413[[#This Row],[efect_inc]]</f>
        <v>10</v>
      </c>
      <c r="I39" s="9" t="n">
        <f aca="false">Tabla3510813153413[[#This Row],[Correctos]]/Tabla3510813153413[[#This Row],[total_sec]]</f>
        <v>0.954751131221719</v>
      </c>
      <c r="J39" s="9" t="n">
        <f aca="false">Tabla3510813153413[[#This Row],[efec_cor]]/Tabla3510813153413[[#This Row],[N° efec]]</f>
        <v>0.929824561403509</v>
      </c>
      <c r="K39" s="9" t="n">
        <f aca="false">Tabla3510813153413[[#This Row],[efect_inc]]/Tabla3510813153413[[#This Row],[N° efec]]</f>
        <v>0.0701754385964912</v>
      </c>
      <c r="L39" s="9" t="n">
        <f aca="false">Tabla3510813153413[[#This Row],[no_efec_cor]]/Tabla3510813153413[[#This Row],[N° no_efe]]</f>
        <v>0.981308411214953</v>
      </c>
      <c r="M39" s="9" t="n">
        <f aca="false">Tabla3510813153413[[#This Row],[no_efec_inc]]/Tabla3510813153413[[#This Row],[N° no_efe]]</f>
        <v>0.0186915887850467</v>
      </c>
      <c r="N39" s="9" t="n">
        <f aca="false">(Tabla3510813153413[[#This Row],[% efe_cor]]+Tabla3510813153413[[#This Row],[% no_efe_cor]])/2</f>
        <v>0.955566486309231</v>
      </c>
      <c r="O39" s="10" t="n">
        <f aca="false">(Tabla3510813153413[[#This Row],[% efe_inc]]+Tabla3510813153413[[#This Row],[% no_efect_inc]])/2</f>
        <v>0.044433513690769</v>
      </c>
      <c r="P39" s="11" t="n">
        <f aca="false">Tabla3510813153413[[#This Row],[no_efec_cor]]/(Tabla3510813153413[[#This Row],[efect_inc]]+Tabla3510813153413[[#This Row],[no_efec_cor]])</f>
        <v>0.929203539823009</v>
      </c>
      <c r="Q39" s="11" t="n">
        <f aca="false">Tabla3510813153413[[#This Row],[efec_cor]]/(Tabla3510813153413[[#This Row],[efec_cor]]+Tabla3510813153413[[#This Row],[no_efec_inc]])</f>
        <v>0.981481481481482</v>
      </c>
      <c r="R39" s="11" t="n">
        <f aca="false">(Tabla3510813153413[[#This Row],[PNE]]+Tabla3510813153413[[#This Row],[PE]])/2</f>
        <v>0.955342510652245</v>
      </c>
      <c r="S39" s="0" t="n">
        <v>114</v>
      </c>
      <c r="T39" s="0" t="n">
        <v>107</v>
      </c>
      <c r="U39" s="0" t="n">
        <f aca="false">Tabla3510813153413[[#This Row],[N° efec]]+Tabla3510813153413[[#This Row],[N° no_efe]]</f>
        <v>221</v>
      </c>
    </row>
    <row r="40" customFormat="false" ht="13.8" hidden="false" customHeight="false" outlineLevel="0" collapsed="false">
      <c r="A40" s="0" t="n">
        <v>0.5</v>
      </c>
      <c r="B40" s="0" t="n">
        <v>0.5</v>
      </c>
      <c r="C40" s="0" t="n">
        <v>106</v>
      </c>
      <c r="D40" s="0" t="n">
        <v>1</v>
      </c>
      <c r="E40" s="0" t="n">
        <v>107</v>
      </c>
      <c r="F40" s="0" t="n">
        <v>7</v>
      </c>
      <c r="G40" s="0" t="n">
        <f aca="false">Tabla3510813153413[[#This Row],[no_efec_cor]]+Tabla3510813153413[[#This Row],[efec_cor]]</f>
        <v>213</v>
      </c>
      <c r="H40" s="0" t="n">
        <f aca="false">Tabla3510813153413[[#This Row],[no_efec_inc]]+Tabla3510813153413[[#This Row],[efect_inc]]</f>
        <v>8</v>
      </c>
      <c r="I40" s="9" t="n">
        <f aca="false">Tabla3510813153413[[#This Row],[Correctos]]/Tabla3510813153413[[#This Row],[total_sec]]</f>
        <v>0.963800904977376</v>
      </c>
      <c r="J40" s="9" t="n">
        <f aca="false">Tabla3510813153413[[#This Row],[efec_cor]]/Tabla3510813153413[[#This Row],[N° efec]]</f>
        <v>0.93859649122807</v>
      </c>
      <c r="K40" s="9" t="n">
        <f aca="false">Tabla3510813153413[[#This Row],[efect_inc]]/Tabla3510813153413[[#This Row],[N° efec]]</f>
        <v>0.0614035087719298</v>
      </c>
      <c r="L40" s="9" t="n">
        <f aca="false">Tabla3510813153413[[#This Row],[no_efec_cor]]/Tabla3510813153413[[#This Row],[N° no_efe]]</f>
        <v>0.990654205607477</v>
      </c>
      <c r="M40" s="9" t="n">
        <f aca="false">Tabla3510813153413[[#This Row],[no_efec_inc]]/Tabla3510813153413[[#This Row],[N° no_efe]]</f>
        <v>0.00934579439252336</v>
      </c>
      <c r="N40" s="9" t="n">
        <f aca="false">(Tabla3510813153413[[#This Row],[% efe_cor]]+Tabla3510813153413[[#This Row],[% no_efe_cor]])/2</f>
        <v>0.964625348417773</v>
      </c>
      <c r="O40" s="10" t="n">
        <f aca="false">(Tabla3510813153413[[#This Row],[% efe_inc]]+Tabla3510813153413[[#This Row],[% no_efect_inc]])/2</f>
        <v>0.0353746515822266</v>
      </c>
      <c r="P40" s="11" t="n">
        <f aca="false">Tabla3510813153413[[#This Row],[no_efec_cor]]/(Tabla3510813153413[[#This Row],[efect_inc]]+Tabla3510813153413[[#This Row],[no_efec_cor]])</f>
        <v>0.938053097345133</v>
      </c>
      <c r="Q40" s="11" t="n">
        <f aca="false">Tabla3510813153413[[#This Row],[efec_cor]]/(Tabla3510813153413[[#This Row],[efec_cor]]+Tabla3510813153413[[#This Row],[no_efec_inc]])</f>
        <v>0.990740740740741</v>
      </c>
      <c r="R40" s="11" t="n">
        <f aca="false">(Tabla3510813153413[[#This Row],[PNE]]+Tabla3510813153413[[#This Row],[PE]])/2</f>
        <v>0.964396919042937</v>
      </c>
      <c r="S40" s="0" t="n">
        <v>114</v>
      </c>
      <c r="T40" s="0" t="n">
        <v>107</v>
      </c>
      <c r="U40" s="0" t="n">
        <f aca="false">Tabla3510813153413[[#This Row],[N° efec]]+Tabla3510813153413[[#This Row],[N° no_efe]]</f>
        <v>221</v>
      </c>
    </row>
  </sheetData>
  <mergeCells count="9">
    <mergeCell ref="A1:U1"/>
    <mergeCell ref="A2:U2"/>
    <mergeCell ref="A4:B4"/>
    <mergeCell ref="A5:B5"/>
    <mergeCell ref="A6:B6"/>
    <mergeCell ref="A8:I8"/>
    <mergeCell ref="A21:U21"/>
    <mergeCell ref="A22:U22"/>
    <mergeCell ref="A25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U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7" activeCellId="1" sqref="A74:F84 E57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114</v>
      </c>
    </row>
    <row r="5" customFormat="false" ht="15" hidden="false" customHeight="false" outlineLevel="0" collapsed="false">
      <c r="A5" s="3" t="s">
        <v>3</v>
      </c>
      <c r="B5" s="3"/>
      <c r="C5" s="4" t="n">
        <v>115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229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112</v>
      </c>
      <c r="C10" s="0" t="n">
        <v>3</v>
      </c>
      <c r="D10" s="0" t="n">
        <v>107</v>
      </c>
      <c r="E10" s="0" t="n">
        <v>7</v>
      </c>
      <c r="F10" s="0" t="n">
        <f aca="false">Tabla3510813153221[[#This Row],[no_efec_cor]]+Tabla3510813153221[[#This Row],[efec_cor]]</f>
        <v>219</v>
      </c>
      <c r="G10" s="0" t="n">
        <f aca="false">Tabla3510813153221[[#This Row],[no_efec_inc]]+Tabla3510813153221[[#This Row],[efect_inc]]</f>
        <v>10</v>
      </c>
      <c r="H10" s="9" t="n">
        <f aca="false">Tabla3510813153221[[#This Row],[Correctos]]/Tabla3510813153221[[#This Row],[total_sec]]</f>
        <v>0.956331877729258</v>
      </c>
      <c r="I10" s="9" t="n">
        <f aca="false">Tabla3510813153221[[#This Row],[efec_cor]]/Tabla3510813153221[[#This Row],[efec]]</f>
        <v>0.93859649122807</v>
      </c>
      <c r="J10" s="9" t="n">
        <f aca="false">Tabla3510813153221[[#This Row],[efect_inc]]/Tabla3510813153221[[#This Row],[efec]]</f>
        <v>0.0614035087719298</v>
      </c>
      <c r="K10" s="9" t="n">
        <f aca="false">Tabla3510813153221[[#This Row],[no_efec_cor]]/Tabla3510813153221[[#This Row],[no_efe]]</f>
        <v>0.973913043478261</v>
      </c>
      <c r="L10" s="9" t="n">
        <f aca="false">Tabla3510813153221[[#This Row],[no_efec_inc]]/Tabla3510813153221[[#This Row],[no_efe]]</f>
        <v>0.0260869565217391</v>
      </c>
      <c r="M10" s="9" t="n">
        <f aca="false">(Tabla3510813153221[[#This Row],[% efe_cor]]+Tabla3510813153221[[#This Row],[% no_efe_cor]])/2</f>
        <v>0.956254767353166</v>
      </c>
      <c r="N10" s="10" t="n">
        <f aca="false">(Tabla3510813153221[[#This Row],[% efe_inc]]+Tabla3510813153221[[#This Row],[% no_efect_inc]])/2</f>
        <v>0.0437452326468345</v>
      </c>
      <c r="O10" s="11" t="n">
        <f aca="false">Tabla3510813153221[[#This Row],[no_efec_cor]]/(Tabla3510813153221[[#This Row],[efect_inc]]+Tabla3510813153221[[#This Row],[no_efec_cor]])</f>
        <v>0.941176470588235</v>
      </c>
      <c r="P10" s="11" t="n">
        <f aca="false">Tabla3510813153221[[#This Row],[efec_cor]]/(Tabla3510813153221[[#This Row],[efec_cor]]+Tabla3510813153221[[#This Row],[no_efec_inc]])</f>
        <v>0.972727272727273</v>
      </c>
      <c r="Q10" s="11" t="n">
        <f aca="false">(Tabla3510813153221[[#This Row],[PNE]]+Tabla3510813153221[[#This Row],[PE]])/2</f>
        <v>0.956951871657754</v>
      </c>
      <c r="R10" s="0" t="n">
        <v>114</v>
      </c>
      <c r="S10" s="0" t="n">
        <v>115</v>
      </c>
      <c r="T10" s="0" t="n">
        <f aca="false">Tabla3510813153221[[#This Row],[efec]]+Tabla3510813153221[[#This Row],[no_efe]]</f>
        <v>229</v>
      </c>
    </row>
    <row r="11" customFormat="false" ht="13.8" hidden="false" customHeight="false" outlineLevel="0" collapsed="false">
      <c r="A11" s="0" t="n">
        <v>5</v>
      </c>
      <c r="B11" s="0" t="n">
        <v>109</v>
      </c>
      <c r="C11" s="0" t="n">
        <v>6</v>
      </c>
      <c r="D11" s="0" t="n">
        <v>106</v>
      </c>
      <c r="E11" s="0" t="n">
        <v>8</v>
      </c>
      <c r="F11" s="0" t="n">
        <f aca="false">Tabla3510813153221[[#This Row],[no_efec_cor]]+Tabla3510813153221[[#This Row],[efec_cor]]</f>
        <v>215</v>
      </c>
      <c r="G11" s="0" t="n">
        <f aca="false">Tabla3510813153221[[#This Row],[no_efec_inc]]+Tabla3510813153221[[#This Row],[efect_inc]]</f>
        <v>14</v>
      </c>
      <c r="H11" s="9" t="n">
        <f aca="false">Tabla3510813153221[[#This Row],[Correctos]]/Tabla3510813153221[[#This Row],[total_sec]]</f>
        <v>0.938864628820961</v>
      </c>
      <c r="I11" s="9" t="n">
        <f aca="false">Tabla3510813153221[[#This Row],[efec_cor]]/Tabla3510813153221[[#This Row],[efec]]</f>
        <v>0.929824561403509</v>
      </c>
      <c r="J11" s="9" t="n">
        <f aca="false">Tabla3510813153221[[#This Row],[efect_inc]]/Tabla3510813153221[[#This Row],[efec]]</f>
        <v>0.0701754385964912</v>
      </c>
      <c r="K11" s="9" t="n">
        <f aca="false">Tabla3510813153221[[#This Row],[no_efec_cor]]/Tabla3510813153221[[#This Row],[no_efe]]</f>
        <v>0.947826086956522</v>
      </c>
      <c r="L11" s="9" t="n">
        <f aca="false">Tabla3510813153221[[#This Row],[no_efec_inc]]/Tabla3510813153221[[#This Row],[no_efe]]</f>
        <v>0.0521739130434783</v>
      </c>
      <c r="M11" s="9" t="n">
        <f aca="false">(Tabla3510813153221[[#This Row],[% efe_cor]]+Tabla3510813153221[[#This Row],[% no_efe_cor]])/2</f>
        <v>0.938825324180015</v>
      </c>
      <c r="N11" s="10" t="n">
        <f aca="false">(Tabla3510813153221[[#This Row],[% efe_inc]]+Tabla3510813153221[[#This Row],[% no_efect_inc]])/2</f>
        <v>0.0611746758199848</v>
      </c>
      <c r="O11" s="11" t="n">
        <f aca="false">Tabla3510813153221[[#This Row],[no_efec_cor]]/(Tabla3510813153221[[#This Row],[efect_inc]]+Tabla3510813153221[[#This Row],[no_efec_cor]])</f>
        <v>0.931623931623932</v>
      </c>
      <c r="P11" s="11" t="n">
        <f aca="false">Tabla3510813153221[[#This Row],[efec_cor]]/(Tabla3510813153221[[#This Row],[efec_cor]]+Tabla3510813153221[[#This Row],[no_efec_inc]])</f>
        <v>0.946428571428571</v>
      </c>
      <c r="Q11" s="11" t="n">
        <f aca="false">(Tabla3510813153221[[#This Row],[PNE]]+Tabla3510813153221[[#This Row],[PE]])/2</f>
        <v>0.939026251526252</v>
      </c>
      <c r="R11" s="0" t="n">
        <v>114</v>
      </c>
      <c r="S11" s="0" t="n">
        <v>115</v>
      </c>
      <c r="T11" s="0" t="n">
        <f aca="false">Tabla3510813153221[[#This Row],[efec]]+Tabla3510813153221[[#This Row],[no_efe]]</f>
        <v>229</v>
      </c>
    </row>
    <row r="12" customFormat="false" ht="13.8" hidden="false" customHeight="false" outlineLevel="0" collapsed="false">
      <c r="A12" s="0" t="n">
        <v>10</v>
      </c>
      <c r="B12" s="0" t="n">
        <v>108</v>
      </c>
      <c r="C12" s="0" t="n">
        <v>7</v>
      </c>
      <c r="D12" s="0" t="n">
        <v>106</v>
      </c>
      <c r="E12" s="0" t="n">
        <v>8</v>
      </c>
      <c r="F12" s="0" t="n">
        <f aca="false">Tabla3510813153221[[#This Row],[no_efec_cor]]+Tabla3510813153221[[#This Row],[efec_cor]]</f>
        <v>214</v>
      </c>
      <c r="G12" s="0" t="n">
        <f aca="false">Tabla3510813153221[[#This Row],[no_efec_inc]]+Tabla3510813153221[[#This Row],[efect_inc]]</f>
        <v>15</v>
      </c>
      <c r="H12" s="9" t="n">
        <f aca="false">Tabla3510813153221[[#This Row],[Correctos]]/Tabla3510813153221[[#This Row],[total_sec]]</f>
        <v>0.934497816593886</v>
      </c>
      <c r="I12" s="9" t="n">
        <f aca="false">Tabla3510813153221[[#This Row],[efec_cor]]/Tabla3510813153221[[#This Row],[efec]]</f>
        <v>0.929824561403509</v>
      </c>
      <c r="J12" s="9" t="n">
        <f aca="false">Tabla3510813153221[[#This Row],[efect_inc]]/Tabla3510813153221[[#This Row],[efec]]</f>
        <v>0.0701754385964912</v>
      </c>
      <c r="K12" s="9" t="n">
        <f aca="false">Tabla3510813153221[[#This Row],[no_efec_cor]]/Tabla3510813153221[[#This Row],[no_efe]]</f>
        <v>0.939130434782609</v>
      </c>
      <c r="L12" s="9" t="n">
        <f aca="false">Tabla3510813153221[[#This Row],[no_efec_inc]]/Tabla3510813153221[[#This Row],[no_efe]]</f>
        <v>0.0608695652173913</v>
      </c>
      <c r="M12" s="9" t="n">
        <f aca="false">(Tabla3510813153221[[#This Row],[% efe_cor]]+Tabla3510813153221[[#This Row],[% no_efe_cor]])/2</f>
        <v>0.934477498093059</v>
      </c>
      <c r="N12" s="10" t="n">
        <f aca="false">(Tabla3510813153221[[#This Row],[% efe_inc]]+Tabla3510813153221[[#This Row],[% no_efect_inc]])/2</f>
        <v>0.0655225019069413</v>
      </c>
      <c r="O12" s="11" t="n">
        <f aca="false">Tabla3510813153221[[#This Row],[no_efec_cor]]/(Tabla3510813153221[[#This Row],[efect_inc]]+Tabla3510813153221[[#This Row],[no_efec_cor]])</f>
        <v>0.931034482758621</v>
      </c>
      <c r="P12" s="11" t="n">
        <f aca="false">Tabla3510813153221[[#This Row],[efec_cor]]/(Tabla3510813153221[[#This Row],[efec_cor]]+Tabla3510813153221[[#This Row],[no_efec_inc]])</f>
        <v>0.938053097345133</v>
      </c>
      <c r="Q12" s="11" t="n">
        <f aca="false">(Tabla3510813153221[[#This Row],[PNE]]+Tabla3510813153221[[#This Row],[PE]])/2</f>
        <v>0.934543790051877</v>
      </c>
      <c r="R12" s="0" t="n">
        <v>114</v>
      </c>
      <c r="S12" s="0" t="n">
        <v>115</v>
      </c>
      <c r="T12" s="0" t="n">
        <f aca="false">Tabla3510813153221[[#This Row],[efec]]+Tabla3510813153221[[#This Row],[no_efe]]</f>
        <v>229</v>
      </c>
    </row>
    <row r="13" customFormat="false" ht="13.8" hidden="false" customHeight="false" outlineLevel="0" collapsed="false">
      <c r="A13" s="0" t="n">
        <v>15</v>
      </c>
      <c r="B13" s="0" t="n">
        <v>107</v>
      </c>
      <c r="C13" s="0" t="n">
        <v>8</v>
      </c>
      <c r="D13" s="0" t="n">
        <v>106</v>
      </c>
      <c r="E13" s="0" t="n">
        <v>8</v>
      </c>
      <c r="F13" s="0" t="n">
        <f aca="false">Tabla3510813153221[[#This Row],[no_efec_cor]]+Tabla3510813153221[[#This Row],[efec_cor]]</f>
        <v>213</v>
      </c>
      <c r="G13" s="0" t="n">
        <f aca="false">Tabla3510813153221[[#This Row],[no_efec_inc]]+Tabla3510813153221[[#This Row],[efect_inc]]</f>
        <v>16</v>
      </c>
      <c r="H13" s="9" t="n">
        <f aca="false">Tabla3510813153221[[#This Row],[Correctos]]/Tabla3510813153221[[#This Row],[total_sec]]</f>
        <v>0.930131004366812</v>
      </c>
      <c r="I13" s="9" t="n">
        <f aca="false">Tabla3510813153221[[#This Row],[efec_cor]]/Tabla3510813153221[[#This Row],[efec]]</f>
        <v>0.929824561403509</v>
      </c>
      <c r="J13" s="9" t="n">
        <f aca="false">Tabla3510813153221[[#This Row],[efect_inc]]/Tabla3510813153221[[#This Row],[efec]]</f>
        <v>0.0701754385964912</v>
      </c>
      <c r="K13" s="9" t="n">
        <f aca="false">Tabla3510813153221[[#This Row],[no_efec_cor]]/Tabla3510813153221[[#This Row],[no_efe]]</f>
        <v>0.930434782608696</v>
      </c>
      <c r="L13" s="9" t="n">
        <f aca="false">Tabla3510813153221[[#This Row],[no_efec_inc]]/Tabla3510813153221[[#This Row],[no_efe]]</f>
        <v>0.0695652173913043</v>
      </c>
      <c r="M13" s="9" t="n">
        <f aca="false">(Tabla3510813153221[[#This Row],[% efe_cor]]+Tabla3510813153221[[#This Row],[% no_efe_cor]])/2</f>
        <v>0.930129672006102</v>
      </c>
      <c r="N13" s="10" t="n">
        <f aca="false">(Tabla3510813153221[[#This Row],[% efe_inc]]+Tabla3510813153221[[#This Row],[% no_efect_inc]])/2</f>
        <v>0.0698703279938978</v>
      </c>
      <c r="O13" s="11" t="n">
        <f aca="false">Tabla3510813153221[[#This Row],[no_efec_cor]]/(Tabla3510813153221[[#This Row],[efect_inc]]+Tabla3510813153221[[#This Row],[no_efec_cor]])</f>
        <v>0.930434782608696</v>
      </c>
      <c r="P13" s="11" t="n">
        <f aca="false">Tabla3510813153221[[#This Row],[efec_cor]]/(Tabla3510813153221[[#This Row],[efec_cor]]+Tabla3510813153221[[#This Row],[no_efec_inc]])</f>
        <v>0.929824561403509</v>
      </c>
      <c r="Q13" s="11" t="n">
        <f aca="false">(Tabla3510813153221[[#This Row],[PNE]]+Tabla3510813153221[[#This Row],[PE]])/2</f>
        <v>0.930129672006102</v>
      </c>
      <c r="R13" s="0" t="n">
        <v>114</v>
      </c>
      <c r="S13" s="0" t="n">
        <v>115</v>
      </c>
      <c r="T13" s="0" t="n">
        <f aca="false">Tabla3510813153221[[#This Row],[efec]]+Tabla3510813153221[[#This Row],[no_efe]]</f>
        <v>229</v>
      </c>
    </row>
    <row r="14" customFormat="false" ht="13.8" hidden="false" customHeight="false" outlineLevel="0" collapsed="false">
      <c r="A14" s="0" t="n">
        <v>20</v>
      </c>
      <c r="B14" s="0" t="n">
        <v>107</v>
      </c>
      <c r="C14" s="0" t="n">
        <v>8</v>
      </c>
      <c r="D14" s="0" t="n">
        <v>107</v>
      </c>
      <c r="E14" s="0" t="n">
        <v>7</v>
      </c>
      <c r="F14" s="0" t="n">
        <f aca="false">Tabla3510813153221[[#This Row],[no_efec_cor]]+Tabla3510813153221[[#This Row],[efec_cor]]</f>
        <v>214</v>
      </c>
      <c r="G14" s="0" t="n">
        <f aca="false">Tabla3510813153221[[#This Row],[no_efec_inc]]+Tabla3510813153221[[#This Row],[efect_inc]]</f>
        <v>15</v>
      </c>
      <c r="H14" s="9" t="n">
        <f aca="false">Tabla3510813153221[[#This Row],[Correctos]]/Tabla3510813153221[[#This Row],[total_sec]]</f>
        <v>0.934497816593886</v>
      </c>
      <c r="I14" s="9" t="n">
        <f aca="false">Tabla3510813153221[[#This Row],[efec_cor]]/Tabla3510813153221[[#This Row],[efec]]</f>
        <v>0.93859649122807</v>
      </c>
      <c r="J14" s="9" t="n">
        <f aca="false">Tabla3510813153221[[#This Row],[efect_inc]]/Tabla3510813153221[[#This Row],[efec]]</f>
        <v>0.0614035087719298</v>
      </c>
      <c r="K14" s="9" t="n">
        <f aca="false">Tabla3510813153221[[#This Row],[no_efec_cor]]/Tabla3510813153221[[#This Row],[no_efe]]</f>
        <v>0.930434782608696</v>
      </c>
      <c r="L14" s="9" t="n">
        <f aca="false">Tabla3510813153221[[#This Row],[no_efec_inc]]/Tabla3510813153221[[#This Row],[no_efe]]</f>
        <v>0.0695652173913043</v>
      </c>
      <c r="M14" s="9" t="n">
        <f aca="false">(Tabla3510813153221[[#This Row],[% efe_cor]]+Tabla3510813153221[[#This Row],[% no_efe_cor]])/2</f>
        <v>0.934515636918383</v>
      </c>
      <c r="N14" s="10" t="n">
        <f aca="false">(Tabla3510813153221[[#This Row],[% efe_inc]]+Tabla3510813153221[[#This Row],[% no_efect_inc]])/2</f>
        <v>0.0654843630816171</v>
      </c>
      <c r="O14" s="11" t="n">
        <f aca="false">Tabla3510813153221[[#This Row],[no_efec_cor]]/(Tabla3510813153221[[#This Row],[efect_inc]]+Tabla3510813153221[[#This Row],[no_efec_cor]])</f>
        <v>0.93859649122807</v>
      </c>
      <c r="P14" s="11" t="n">
        <f aca="false">Tabla3510813153221[[#This Row],[efec_cor]]/(Tabla3510813153221[[#This Row],[efec_cor]]+Tabla3510813153221[[#This Row],[no_efec_inc]])</f>
        <v>0.930434782608696</v>
      </c>
      <c r="Q14" s="11" t="n">
        <f aca="false">(Tabla3510813153221[[#This Row],[PNE]]+Tabla3510813153221[[#This Row],[PE]])/2</f>
        <v>0.934515636918383</v>
      </c>
      <c r="R14" s="0" t="n">
        <v>114</v>
      </c>
      <c r="S14" s="0" t="n">
        <v>115</v>
      </c>
      <c r="T14" s="0" t="n">
        <f aca="false">Tabla3510813153221[[#This Row],[efec]]+Tabla3510813153221[[#This Row],[no_efe]]</f>
        <v>229</v>
      </c>
    </row>
    <row r="15" customFormat="false" ht="13.8" hidden="false" customHeight="false" outlineLevel="0" collapsed="false">
      <c r="A15" s="0" t="n">
        <v>25</v>
      </c>
      <c r="B15" s="0" t="n">
        <v>107</v>
      </c>
      <c r="C15" s="0" t="n">
        <v>8</v>
      </c>
      <c r="D15" s="0" t="n">
        <v>107</v>
      </c>
      <c r="E15" s="0" t="n">
        <v>7</v>
      </c>
      <c r="F15" s="0" t="n">
        <f aca="false">Tabla3510813153221[[#This Row],[no_efec_cor]]+Tabla3510813153221[[#This Row],[efec_cor]]</f>
        <v>214</v>
      </c>
      <c r="G15" s="0" t="n">
        <f aca="false">Tabla3510813153221[[#This Row],[no_efec_inc]]+Tabla3510813153221[[#This Row],[efect_inc]]</f>
        <v>15</v>
      </c>
      <c r="H15" s="9" t="n">
        <f aca="false">Tabla3510813153221[[#This Row],[Correctos]]/Tabla3510813153221[[#This Row],[total_sec]]</f>
        <v>0.934497816593886</v>
      </c>
      <c r="I15" s="9" t="n">
        <f aca="false">Tabla3510813153221[[#This Row],[efec_cor]]/Tabla3510813153221[[#This Row],[efec]]</f>
        <v>0.93859649122807</v>
      </c>
      <c r="J15" s="9" t="n">
        <f aca="false">Tabla3510813153221[[#This Row],[efect_inc]]/Tabla3510813153221[[#This Row],[efec]]</f>
        <v>0.0614035087719298</v>
      </c>
      <c r="K15" s="9" t="n">
        <f aca="false">Tabla3510813153221[[#This Row],[no_efec_cor]]/Tabla3510813153221[[#This Row],[no_efe]]</f>
        <v>0.930434782608696</v>
      </c>
      <c r="L15" s="9" t="n">
        <f aca="false">Tabla3510813153221[[#This Row],[no_efec_inc]]/Tabla3510813153221[[#This Row],[no_efe]]</f>
        <v>0.0695652173913043</v>
      </c>
      <c r="M15" s="9" t="n">
        <f aca="false">(Tabla3510813153221[[#This Row],[% efe_cor]]+Tabla3510813153221[[#This Row],[% no_efe_cor]])/2</f>
        <v>0.934515636918383</v>
      </c>
      <c r="N15" s="10" t="n">
        <f aca="false">(Tabla3510813153221[[#This Row],[% efe_inc]]+Tabla3510813153221[[#This Row],[% no_efect_inc]])/2</f>
        <v>0.0654843630816171</v>
      </c>
      <c r="O15" s="11" t="n">
        <f aca="false">Tabla3510813153221[[#This Row],[no_efec_cor]]/(Tabla3510813153221[[#This Row],[efect_inc]]+Tabla3510813153221[[#This Row],[no_efec_cor]])</f>
        <v>0.93859649122807</v>
      </c>
      <c r="P15" s="11" t="n">
        <f aca="false">Tabla3510813153221[[#This Row],[efec_cor]]/(Tabla3510813153221[[#This Row],[efec_cor]]+Tabla3510813153221[[#This Row],[no_efec_inc]])</f>
        <v>0.930434782608696</v>
      </c>
      <c r="Q15" s="11" t="n">
        <f aca="false">(Tabla3510813153221[[#This Row],[PNE]]+Tabla3510813153221[[#This Row],[PE]])/2</f>
        <v>0.934515636918383</v>
      </c>
      <c r="R15" s="0" t="n">
        <v>114</v>
      </c>
      <c r="S15" s="0" t="n">
        <v>115</v>
      </c>
      <c r="T15" s="0" t="n">
        <f aca="false">Tabla3510813153221[[#This Row],[efec]]+Tabla3510813153221[[#This Row],[no_efe]]</f>
        <v>229</v>
      </c>
    </row>
    <row r="16" customFormat="false" ht="13.8" hidden="false" customHeight="false" outlineLevel="0" collapsed="false">
      <c r="A16" s="0" t="n">
        <v>30</v>
      </c>
      <c r="B16" s="0" t="n">
        <v>106</v>
      </c>
      <c r="C16" s="0" t="n">
        <v>9</v>
      </c>
      <c r="D16" s="0" t="n">
        <v>106</v>
      </c>
      <c r="E16" s="0" t="n">
        <v>8</v>
      </c>
      <c r="F16" s="0" t="n">
        <f aca="false">Tabla3510813153221[[#This Row],[no_efec_cor]]+Tabla3510813153221[[#This Row],[efec_cor]]</f>
        <v>212</v>
      </c>
      <c r="G16" s="0" t="n">
        <f aca="false">Tabla3510813153221[[#This Row],[no_efec_inc]]+Tabla3510813153221[[#This Row],[efect_inc]]</f>
        <v>17</v>
      </c>
      <c r="H16" s="9" t="n">
        <f aca="false">Tabla3510813153221[[#This Row],[Correctos]]/Tabla3510813153221[[#This Row],[total_sec]]</f>
        <v>0.925764192139738</v>
      </c>
      <c r="I16" s="9" t="n">
        <f aca="false">Tabla3510813153221[[#This Row],[efec_cor]]/Tabla3510813153221[[#This Row],[efec]]</f>
        <v>0.929824561403509</v>
      </c>
      <c r="J16" s="9" t="n">
        <f aca="false">Tabla3510813153221[[#This Row],[efect_inc]]/Tabla3510813153221[[#This Row],[efec]]</f>
        <v>0.0701754385964912</v>
      </c>
      <c r="K16" s="9" t="n">
        <f aca="false">Tabla3510813153221[[#This Row],[no_efec_cor]]/Tabla3510813153221[[#This Row],[no_efe]]</f>
        <v>0.921739130434783</v>
      </c>
      <c r="L16" s="9" t="n">
        <f aca="false">Tabla3510813153221[[#This Row],[no_efec_inc]]/Tabla3510813153221[[#This Row],[no_efe]]</f>
        <v>0.0782608695652174</v>
      </c>
      <c r="M16" s="9" t="n">
        <f aca="false">(Tabla3510813153221[[#This Row],[% efe_cor]]+Tabla3510813153221[[#This Row],[% no_efe_cor]])/2</f>
        <v>0.925781845919146</v>
      </c>
      <c r="N16" s="10" t="n">
        <f aca="false">(Tabla3510813153221[[#This Row],[% efe_inc]]+Tabla3510813153221[[#This Row],[% no_efect_inc]])/2</f>
        <v>0.0742181540808543</v>
      </c>
      <c r="O16" s="11" t="n">
        <f aca="false">Tabla3510813153221[[#This Row],[no_efec_cor]]/(Tabla3510813153221[[#This Row],[efect_inc]]+Tabla3510813153221[[#This Row],[no_efec_cor]])</f>
        <v>0.929824561403509</v>
      </c>
      <c r="P16" s="11" t="n">
        <f aca="false">Tabla3510813153221[[#This Row],[efec_cor]]/(Tabla3510813153221[[#This Row],[efec_cor]]+Tabla3510813153221[[#This Row],[no_efec_inc]])</f>
        <v>0.921739130434783</v>
      </c>
      <c r="Q16" s="11" t="n">
        <f aca="false">(Tabla3510813153221[[#This Row],[PNE]]+Tabla3510813153221[[#This Row],[PE]])/2</f>
        <v>0.925781845919146</v>
      </c>
      <c r="R16" s="0" t="n">
        <v>114</v>
      </c>
      <c r="S16" s="0" t="n">
        <v>115</v>
      </c>
      <c r="T16" s="0" t="n">
        <f aca="false">Tabla3510813153221[[#This Row],[efec]]+Tabla3510813153221[[#This Row],[no_efe]]</f>
        <v>229</v>
      </c>
    </row>
    <row r="17" customFormat="false" ht="13.8" hidden="false" customHeight="false" outlineLevel="0" collapsed="false">
      <c r="A17" s="0" t="n">
        <v>35</v>
      </c>
      <c r="B17" s="0" t="n">
        <v>107</v>
      </c>
      <c r="C17" s="0" t="n">
        <v>8</v>
      </c>
      <c r="D17" s="0" t="n">
        <v>106</v>
      </c>
      <c r="E17" s="0" t="n">
        <v>8</v>
      </c>
      <c r="F17" s="0" t="n">
        <f aca="false">Tabla3510813153221[[#This Row],[no_efec_cor]]+Tabla3510813153221[[#This Row],[efec_cor]]</f>
        <v>213</v>
      </c>
      <c r="G17" s="0" t="n">
        <f aca="false">Tabla3510813153221[[#This Row],[no_efec_inc]]+Tabla3510813153221[[#This Row],[efect_inc]]</f>
        <v>16</v>
      </c>
      <c r="H17" s="9" t="n">
        <f aca="false">Tabla3510813153221[[#This Row],[Correctos]]/Tabla3510813153221[[#This Row],[total_sec]]</f>
        <v>0.930131004366812</v>
      </c>
      <c r="I17" s="9" t="n">
        <f aca="false">Tabla3510813153221[[#This Row],[efec_cor]]/Tabla3510813153221[[#This Row],[efec]]</f>
        <v>0.929824561403509</v>
      </c>
      <c r="J17" s="9" t="n">
        <f aca="false">Tabla3510813153221[[#This Row],[efect_inc]]/Tabla3510813153221[[#This Row],[efec]]</f>
        <v>0.0701754385964912</v>
      </c>
      <c r="K17" s="9" t="n">
        <f aca="false">Tabla3510813153221[[#This Row],[no_efec_cor]]/Tabla3510813153221[[#This Row],[no_efe]]</f>
        <v>0.930434782608696</v>
      </c>
      <c r="L17" s="9" t="n">
        <f aca="false">Tabla3510813153221[[#This Row],[no_efec_inc]]/Tabla3510813153221[[#This Row],[no_efe]]</f>
        <v>0.0695652173913043</v>
      </c>
      <c r="M17" s="9" t="n">
        <f aca="false">(Tabla3510813153221[[#This Row],[% efe_cor]]+Tabla3510813153221[[#This Row],[% no_efe_cor]])/2</f>
        <v>0.930129672006102</v>
      </c>
      <c r="N17" s="10" t="n">
        <f aca="false">(Tabla3510813153221[[#This Row],[% efe_inc]]+Tabla3510813153221[[#This Row],[% no_efect_inc]])/2</f>
        <v>0.0698703279938978</v>
      </c>
      <c r="O17" s="11" t="n">
        <f aca="false">Tabla3510813153221[[#This Row],[no_efec_cor]]/(Tabla3510813153221[[#This Row],[efect_inc]]+Tabla3510813153221[[#This Row],[no_efec_cor]])</f>
        <v>0.930434782608696</v>
      </c>
      <c r="P17" s="11" t="n">
        <f aca="false">Tabla3510813153221[[#This Row],[efec_cor]]/(Tabla3510813153221[[#This Row],[efec_cor]]+Tabla3510813153221[[#This Row],[no_efec_inc]])</f>
        <v>0.929824561403509</v>
      </c>
      <c r="Q17" s="11" t="n">
        <f aca="false">(Tabla3510813153221[[#This Row],[PNE]]+Tabla3510813153221[[#This Row],[PE]])/2</f>
        <v>0.930129672006102</v>
      </c>
      <c r="R17" s="0" t="n">
        <v>114</v>
      </c>
      <c r="S17" s="0" t="n">
        <v>115</v>
      </c>
      <c r="T17" s="0" t="n">
        <f aca="false">Tabla3510813153221[[#This Row],[efec]]+Tabla3510813153221[[#This Row],[no_efe]]</f>
        <v>229</v>
      </c>
    </row>
    <row r="18" customFormat="false" ht="13.8" hidden="false" customHeight="false" outlineLevel="0" collapsed="false">
      <c r="A18" s="0" t="n">
        <v>39</v>
      </c>
      <c r="B18" s="0" t="n">
        <v>105</v>
      </c>
      <c r="C18" s="0" t="n">
        <v>10</v>
      </c>
      <c r="D18" s="0" t="n">
        <v>106</v>
      </c>
      <c r="E18" s="0" t="n">
        <v>8</v>
      </c>
      <c r="F18" s="0" t="n">
        <f aca="false">Tabla3510813153221[[#This Row],[no_efec_cor]]+Tabla3510813153221[[#This Row],[efec_cor]]</f>
        <v>211</v>
      </c>
      <c r="G18" s="0" t="n">
        <f aca="false">Tabla3510813153221[[#This Row],[no_efec_inc]]+Tabla3510813153221[[#This Row],[efect_inc]]</f>
        <v>18</v>
      </c>
      <c r="H18" s="9" t="n">
        <f aca="false">Tabla3510813153221[[#This Row],[Correctos]]/Tabla3510813153221[[#This Row],[total_sec]]</f>
        <v>0.921397379912664</v>
      </c>
      <c r="I18" s="9" t="n">
        <f aca="false">Tabla3510813153221[[#This Row],[efec_cor]]/Tabla3510813153221[[#This Row],[efec]]</f>
        <v>0.929824561403509</v>
      </c>
      <c r="J18" s="9" t="n">
        <f aca="false">Tabla3510813153221[[#This Row],[efect_inc]]/Tabla3510813153221[[#This Row],[efec]]</f>
        <v>0.0701754385964912</v>
      </c>
      <c r="K18" s="9" t="n">
        <f aca="false">Tabla3510813153221[[#This Row],[no_efec_cor]]/Tabla3510813153221[[#This Row],[no_efe]]</f>
        <v>0.91304347826087</v>
      </c>
      <c r="L18" s="9" t="n">
        <f aca="false">Tabla3510813153221[[#This Row],[no_efec_inc]]/Tabla3510813153221[[#This Row],[no_efe]]</f>
        <v>0.0869565217391304</v>
      </c>
      <c r="M18" s="9" t="n">
        <f aca="false">(Tabla3510813153221[[#This Row],[% efe_cor]]+Tabla3510813153221[[#This Row],[% no_efe_cor]])/2</f>
        <v>0.921434019832189</v>
      </c>
      <c r="N18" s="10" t="n">
        <f aca="false">(Tabla3510813153221[[#This Row],[% efe_inc]]+Tabla3510813153221[[#This Row],[% no_efect_inc]])/2</f>
        <v>0.0785659801678108</v>
      </c>
      <c r="O18" s="11" t="n">
        <f aca="false">Tabla3510813153221[[#This Row],[no_efec_cor]]/(Tabla3510813153221[[#This Row],[efect_inc]]+Tabla3510813153221[[#This Row],[no_efec_cor]])</f>
        <v>0.929203539823009</v>
      </c>
      <c r="P18" s="11" t="n">
        <f aca="false">Tabla3510813153221[[#This Row],[efec_cor]]/(Tabla3510813153221[[#This Row],[efec_cor]]+Tabla3510813153221[[#This Row],[no_efec_inc]])</f>
        <v>0.913793103448276</v>
      </c>
      <c r="Q18" s="11" t="n">
        <f aca="false">(Tabla3510813153221[[#This Row],[PNE]]+Tabla3510813153221[[#This Row],[PE]])/2</f>
        <v>0.921498321635642</v>
      </c>
      <c r="R18" s="0" t="n">
        <v>114</v>
      </c>
      <c r="S18" s="0" t="n">
        <v>115</v>
      </c>
      <c r="T18" s="0" t="n">
        <f aca="false">Tabla3510813153221[[#This Row],[efec]]+Tabla3510813153221[[#This Row],[no_efe]]</f>
        <v>229</v>
      </c>
    </row>
    <row r="20" customFormat="false" ht="19.5" hidden="false" customHeight="false" outlineLevel="0" collapsed="false">
      <c r="A20" s="1" t="s">
        <v>31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</row>
    <row r="25" customFormat="false" ht="15.75" hidden="false" customHeight="false" outlineLevel="0" collapsed="false">
      <c r="A25" s="7" t="s">
        <v>27</v>
      </c>
      <c r="B25" s="7" t="s">
        <v>28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108</v>
      </c>
      <c r="D26" s="0" t="n">
        <v>7</v>
      </c>
      <c r="E26" s="0" t="n">
        <v>108</v>
      </c>
      <c r="F26" s="0" t="n">
        <v>6</v>
      </c>
      <c r="G26" s="0" t="n">
        <f aca="false">Tabla3510813153426[[#This Row],[no_efec_cor]]+Tabla3510813153426[[#This Row],[efec_cor]]</f>
        <v>216</v>
      </c>
      <c r="H26" s="0" t="n">
        <f aca="false">Tabla3510813153426[[#This Row],[no_efec_inc]]+Tabla3510813153426[[#This Row],[efect_inc]]</f>
        <v>13</v>
      </c>
      <c r="I26" s="9" t="n">
        <f aca="false">Tabla3510813153426[[#This Row],[Correctos]]/Tabla3510813153426[[#This Row],[total_sec]]</f>
        <v>0.943231441048035</v>
      </c>
      <c r="J26" s="9" t="n">
        <f aca="false">Tabla3510813153426[[#This Row],[efec_cor]]/Tabla3510813153426[[#This Row],[efec]]</f>
        <v>0.947368421052632</v>
      </c>
      <c r="K26" s="9" t="n">
        <f aca="false">Tabla3510813153426[[#This Row],[efect_inc]]/Tabla3510813153426[[#This Row],[efec]]</f>
        <v>0.0526315789473684</v>
      </c>
      <c r="L26" s="9" t="n">
        <f aca="false">Tabla3510813153426[[#This Row],[no_efec_cor]]/Tabla3510813153426[[#This Row],[no_efe]]</f>
        <v>0.939130434782609</v>
      </c>
      <c r="M26" s="9" t="n">
        <f aca="false">Tabla3510813153426[[#This Row],[no_efec_inc]]/Tabla3510813153426[[#This Row],[no_efe]]</f>
        <v>0.0608695652173913</v>
      </c>
      <c r="N26" s="9" t="n">
        <f aca="false">(Tabla3510813153426[[#This Row],[% efe_cor]]+Tabla3510813153426[[#This Row],[% no_efe_cor]])/2</f>
        <v>0.94324942791762</v>
      </c>
      <c r="O26" s="10" t="n">
        <f aca="false">(Tabla3510813153426[[#This Row],[% efe_inc]]+Tabla3510813153426[[#This Row],[% no_efect_inc]])/2</f>
        <v>0.0567505720823799</v>
      </c>
      <c r="P26" s="11" t="n">
        <f aca="false">Tabla3510813153426[[#This Row],[no_efec_cor]]/(Tabla3510813153426[[#This Row],[efect_inc]]+Tabla3510813153426[[#This Row],[no_efec_cor]])</f>
        <v>0.947368421052632</v>
      </c>
      <c r="Q26" s="11" t="n">
        <f aca="false">Tabla3510813153426[[#This Row],[efec_cor]]/(Tabla3510813153426[[#This Row],[efec_cor]]+Tabla3510813153426[[#This Row],[no_efec_inc]])</f>
        <v>0.939130434782609</v>
      </c>
      <c r="R26" s="11" t="n">
        <f aca="false">(Tabla3510813153426[[#This Row],[PNE]]+Tabla3510813153426[[#This Row],[PE]])/2</f>
        <v>0.94324942791762</v>
      </c>
      <c r="S26" s="0" t="n">
        <v>114</v>
      </c>
      <c r="T26" s="0" t="n">
        <v>115</v>
      </c>
      <c r="U26" s="0" t="n">
        <f aca="false">Tabla3510813153426[[#This Row],[efec]]+Tabla3510813153426[[#This Row],[no_efe]]</f>
        <v>229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108</v>
      </c>
      <c r="D27" s="0" t="n">
        <v>7</v>
      </c>
      <c r="E27" s="0" t="n">
        <v>107</v>
      </c>
      <c r="F27" s="0" t="n">
        <v>7</v>
      </c>
      <c r="G27" s="0" t="n">
        <f aca="false">Tabla3510813153426[[#This Row],[no_efec_cor]]+Tabla3510813153426[[#This Row],[efec_cor]]</f>
        <v>215</v>
      </c>
      <c r="H27" s="0" t="n">
        <f aca="false">Tabla3510813153426[[#This Row],[no_efec_inc]]+Tabla3510813153426[[#This Row],[efect_inc]]</f>
        <v>14</v>
      </c>
      <c r="I27" s="9" t="n">
        <f aca="false">Tabla3510813153426[[#This Row],[Correctos]]/Tabla3510813153426[[#This Row],[total_sec]]</f>
        <v>0.938864628820961</v>
      </c>
      <c r="J27" s="9" t="n">
        <f aca="false">Tabla3510813153426[[#This Row],[efec_cor]]/Tabla3510813153426[[#This Row],[efec]]</f>
        <v>0.93859649122807</v>
      </c>
      <c r="K27" s="9" t="n">
        <f aca="false">Tabla3510813153426[[#This Row],[efect_inc]]/Tabla3510813153426[[#This Row],[efec]]</f>
        <v>0.0614035087719298</v>
      </c>
      <c r="L27" s="9" t="n">
        <f aca="false">Tabla3510813153426[[#This Row],[no_efec_cor]]/Tabla3510813153426[[#This Row],[no_efe]]</f>
        <v>0.939130434782609</v>
      </c>
      <c r="M27" s="9" t="n">
        <f aca="false">Tabla3510813153426[[#This Row],[no_efec_inc]]/Tabla3510813153426[[#This Row],[no_efe]]</f>
        <v>0.0608695652173913</v>
      </c>
      <c r="N27" s="9" t="n">
        <f aca="false">(Tabla3510813153426[[#This Row],[% efe_cor]]+Tabla3510813153426[[#This Row],[% no_efe_cor]])/2</f>
        <v>0.938863463005339</v>
      </c>
      <c r="O27" s="10" t="n">
        <f aca="false">(Tabla3510813153426[[#This Row],[% efe_inc]]+Tabla3510813153426[[#This Row],[% no_efect_inc]])/2</f>
        <v>0.0611365369946606</v>
      </c>
      <c r="P27" s="11" t="n">
        <f aca="false">Tabla3510813153426[[#This Row],[no_efec_cor]]/(Tabla3510813153426[[#This Row],[efect_inc]]+Tabla3510813153426[[#This Row],[no_efec_cor]])</f>
        <v>0.939130434782609</v>
      </c>
      <c r="Q27" s="11" t="n">
        <f aca="false">Tabla3510813153426[[#This Row],[efec_cor]]/(Tabla3510813153426[[#This Row],[efec_cor]]+Tabla3510813153426[[#This Row],[no_efec_inc]])</f>
        <v>0.93859649122807</v>
      </c>
      <c r="R27" s="11" t="n">
        <f aca="false">(Tabla3510813153426[[#This Row],[PNE]]+Tabla3510813153426[[#This Row],[PE]])/2</f>
        <v>0.938863463005339</v>
      </c>
      <c r="S27" s="0" t="n">
        <v>114</v>
      </c>
      <c r="T27" s="0" t="n">
        <v>115</v>
      </c>
      <c r="U27" s="0" t="n">
        <f aca="false">Tabla3510813153426[[#This Row],[efec]]+Tabla3510813153426[[#This Row],[no_efe]]</f>
        <v>229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110</v>
      </c>
      <c r="D28" s="0" t="n">
        <v>5</v>
      </c>
      <c r="E28" s="0" t="n">
        <v>105</v>
      </c>
      <c r="F28" s="0" t="n">
        <v>9</v>
      </c>
      <c r="G28" s="0" t="n">
        <f aca="false">Tabla3510813153426[[#This Row],[no_efec_cor]]+Tabla3510813153426[[#This Row],[efec_cor]]</f>
        <v>215</v>
      </c>
      <c r="H28" s="0" t="n">
        <f aca="false">Tabla3510813153426[[#This Row],[no_efec_inc]]+Tabla3510813153426[[#This Row],[efect_inc]]</f>
        <v>14</v>
      </c>
      <c r="I28" s="9" t="n">
        <f aca="false">Tabla3510813153426[[#This Row],[Correctos]]/Tabla3510813153426[[#This Row],[total_sec]]</f>
        <v>0.938864628820961</v>
      </c>
      <c r="J28" s="9" t="n">
        <f aca="false">Tabla3510813153426[[#This Row],[efec_cor]]/Tabla3510813153426[[#This Row],[efec]]</f>
        <v>0.921052631578947</v>
      </c>
      <c r="K28" s="9" t="n">
        <f aca="false">Tabla3510813153426[[#This Row],[efect_inc]]/Tabla3510813153426[[#This Row],[efec]]</f>
        <v>0.0789473684210526</v>
      </c>
      <c r="L28" s="9" t="n">
        <f aca="false">Tabla3510813153426[[#This Row],[no_efec_cor]]/Tabla3510813153426[[#This Row],[no_efe]]</f>
        <v>0.956521739130435</v>
      </c>
      <c r="M28" s="9" t="n">
        <f aca="false">Tabla3510813153426[[#This Row],[no_efec_inc]]/Tabla3510813153426[[#This Row],[no_efe]]</f>
        <v>0.0434782608695652</v>
      </c>
      <c r="N28" s="9" t="n">
        <f aca="false">(Tabla3510813153426[[#This Row],[% efe_cor]]+Tabla3510813153426[[#This Row],[% no_efe_cor]])/2</f>
        <v>0.938787185354691</v>
      </c>
      <c r="O28" s="10" t="n">
        <f aca="false">(Tabla3510813153426[[#This Row],[% efe_inc]]+Tabla3510813153426[[#This Row],[% no_efect_inc]])/2</f>
        <v>0.0612128146453089</v>
      </c>
      <c r="P28" s="11" t="n">
        <f aca="false">Tabla3510813153426[[#This Row],[no_efec_cor]]/(Tabla3510813153426[[#This Row],[efect_inc]]+Tabla3510813153426[[#This Row],[no_efec_cor]])</f>
        <v>0.92436974789916</v>
      </c>
      <c r="Q28" s="11" t="n">
        <f aca="false">Tabla3510813153426[[#This Row],[efec_cor]]/(Tabla3510813153426[[#This Row],[efec_cor]]+Tabla3510813153426[[#This Row],[no_efec_inc]])</f>
        <v>0.954545454545455</v>
      </c>
      <c r="R28" s="11" t="n">
        <f aca="false">(Tabla3510813153426[[#This Row],[PNE]]+Tabla3510813153426[[#This Row],[PE]])/2</f>
        <v>0.939457601222307</v>
      </c>
      <c r="S28" s="0" t="n">
        <v>114</v>
      </c>
      <c r="T28" s="0" t="n">
        <v>115</v>
      </c>
      <c r="U28" s="0" t="n">
        <f aca="false">Tabla3510813153426[[#This Row],[efec]]+Tabla3510813153426[[#This Row],[no_efe]]</f>
        <v>229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110</v>
      </c>
      <c r="D29" s="0" t="n">
        <v>5</v>
      </c>
      <c r="E29" s="0" t="n">
        <v>105</v>
      </c>
      <c r="F29" s="0" t="n">
        <v>9</v>
      </c>
      <c r="G29" s="0" t="n">
        <f aca="false">Tabla3510813153426[[#This Row],[no_efec_cor]]+Tabla3510813153426[[#This Row],[efec_cor]]</f>
        <v>215</v>
      </c>
      <c r="H29" s="0" t="n">
        <f aca="false">Tabla3510813153426[[#This Row],[no_efec_inc]]+Tabla3510813153426[[#This Row],[efect_inc]]</f>
        <v>14</v>
      </c>
      <c r="I29" s="9" t="n">
        <f aca="false">Tabla3510813153426[[#This Row],[Correctos]]/Tabla3510813153426[[#This Row],[total_sec]]</f>
        <v>0.938864628820961</v>
      </c>
      <c r="J29" s="9" t="n">
        <f aca="false">Tabla3510813153426[[#This Row],[efec_cor]]/Tabla3510813153426[[#This Row],[efec]]</f>
        <v>0.921052631578947</v>
      </c>
      <c r="K29" s="9" t="n">
        <f aca="false">Tabla3510813153426[[#This Row],[efect_inc]]/Tabla3510813153426[[#This Row],[efec]]</f>
        <v>0.0789473684210526</v>
      </c>
      <c r="L29" s="9" t="n">
        <f aca="false">Tabla3510813153426[[#This Row],[no_efec_cor]]/Tabla3510813153426[[#This Row],[no_efe]]</f>
        <v>0.956521739130435</v>
      </c>
      <c r="M29" s="9" t="n">
        <f aca="false">Tabla3510813153426[[#This Row],[no_efec_inc]]/Tabla3510813153426[[#This Row],[no_efe]]</f>
        <v>0.0434782608695652</v>
      </c>
      <c r="N29" s="9" t="n">
        <f aca="false">(Tabla3510813153426[[#This Row],[% efe_cor]]+Tabla3510813153426[[#This Row],[% no_efe_cor]])/2</f>
        <v>0.938787185354691</v>
      </c>
      <c r="O29" s="10" t="n">
        <f aca="false">(Tabla3510813153426[[#This Row],[% efe_inc]]+Tabla3510813153426[[#This Row],[% no_efect_inc]])/2</f>
        <v>0.0612128146453089</v>
      </c>
      <c r="P29" s="11" t="n">
        <f aca="false">Tabla3510813153426[[#This Row],[no_efec_cor]]/(Tabla3510813153426[[#This Row],[efect_inc]]+Tabla3510813153426[[#This Row],[no_efec_cor]])</f>
        <v>0.92436974789916</v>
      </c>
      <c r="Q29" s="11" t="n">
        <f aca="false">Tabla3510813153426[[#This Row],[efec_cor]]/(Tabla3510813153426[[#This Row],[efec_cor]]+Tabla3510813153426[[#This Row],[no_efec_inc]])</f>
        <v>0.954545454545455</v>
      </c>
      <c r="R29" s="11" t="n">
        <f aca="false">(Tabla3510813153426[[#This Row],[PNE]]+Tabla3510813153426[[#This Row],[PE]])/2</f>
        <v>0.939457601222307</v>
      </c>
      <c r="S29" s="0" t="n">
        <v>114</v>
      </c>
      <c r="T29" s="0" t="n">
        <v>115</v>
      </c>
      <c r="U29" s="0" t="n">
        <f aca="false">Tabla3510813153426[[#This Row],[efec]]+Tabla3510813153426[[#This Row],[no_efe]]</f>
        <v>229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114</v>
      </c>
      <c r="D30" s="0" t="n">
        <v>1</v>
      </c>
      <c r="E30" s="0" t="n">
        <v>105</v>
      </c>
      <c r="F30" s="0" t="n">
        <v>9</v>
      </c>
      <c r="G30" s="0" t="n">
        <f aca="false">Tabla3510813153426[[#This Row],[no_efec_cor]]+Tabla3510813153426[[#This Row],[efec_cor]]</f>
        <v>219</v>
      </c>
      <c r="H30" s="0" t="n">
        <f aca="false">Tabla3510813153426[[#This Row],[no_efec_inc]]+Tabla3510813153426[[#This Row],[efect_inc]]</f>
        <v>10</v>
      </c>
      <c r="I30" s="9" t="n">
        <f aca="false">Tabla3510813153426[[#This Row],[Correctos]]/Tabla3510813153426[[#This Row],[total_sec]]</f>
        <v>0.956331877729258</v>
      </c>
      <c r="J30" s="9" t="n">
        <f aca="false">Tabla3510813153426[[#This Row],[efec_cor]]/Tabla3510813153426[[#This Row],[efec]]</f>
        <v>0.921052631578947</v>
      </c>
      <c r="K30" s="9" t="n">
        <f aca="false">Tabla3510813153426[[#This Row],[efect_inc]]/Tabla3510813153426[[#This Row],[efec]]</f>
        <v>0.0789473684210526</v>
      </c>
      <c r="L30" s="9" t="n">
        <f aca="false">Tabla3510813153426[[#This Row],[no_efec_cor]]/Tabla3510813153426[[#This Row],[no_efe]]</f>
        <v>0.991304347826087</v>
      </c>
      <c r="M30" s="9" t="n">
        <f aca="false">Tabla3510813153426[[#This Row],[no_efec_inc]]/Tabla3510813153426[[#This Row],[no_efe]]</f>
        <v>0.00869565217391304</v>
      </c>
      <c r="N30" s="9" t="n">
        <f aca="false">(Tabla3510813153426[[#This Row],[% efe_cor]]+Tabla3510813153426[[#This Row],[% no_efe_cor]])/2</f>
        <v>0.956178489702517</v>
      </c>
      <c r="O30" s="10" t="n">
        <f aca="false">(Tabla3510813153426[[#This Row],[% efe_inc]]+Tabla3510813153426[[#This Row],[% no_efect_inc]])/2</f>
        <v>0.0438215102974828</v>
      </c>
      <c r="P30" s="11" t="n">
        <f aca="false">Tabla3510813153426[[#This Row],[no_efec_cor]]/(Tabla3510813153426[[#This Row],[efect_inc]]+Tabla3510813153426[[#This Row],[no_efec_cor]])</f>
        <v>0.926829268292683</v>
      </c>
      <c r="Q30" s="11" t="n">
        <f aca="false">Tabla3510813153426[[#This Row],[efec_cor]]/(Tabla3510813153426[[#This Row],[efec_cor]]+Tabla3510813153426[[#This Row],[no_efec_inc]])</f>
        <v>0.990566037735849</v>
      </c>
      <c r="R30" s="11" t="n">
        <f aca="false">(Tabla3510813153426[[#This Row],[PNE]]+Tabla3510813153426[[#This Row],[PE]])/2</f>
        <v>0.958697653014266</v>
      </c>
      <c r="S30" s="0" t="n">
        <v>114</v>
      </c>
      <c r="T30" s="0" t="n">
        <v>115</v>
      </c>
      <c r="U30" s="0" t="n">
        <f aca="false">Tabla3510813153426[[#This Row],[efec]]+Tabla3510813153426[[#This Row],[no_efe]]</f>
        <v>229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114</v>
      </c>
      <c r="D31" s="0" t="n">
        <v>1</v>
      </c>
      <c r="E31" s="0" t="n">
        <v>105</v>
      </c>
      <c r="F31" s="0" t="n">
        <v>9</v>
      </c>
      <c r="G31" s="0" t="n">
        <f aca="false">Tabla3510813153426[[#This Row],[no_efec_cor]]+Tabla3510813153426[[#This Row],[efec_cor]]</f>
        <v>219</v>
      </c>
      <c r="H31" s="0" t="n">
        <f aca="false">Tabla3510813153426[[#This Row],[no_efec_inc]]+Tabla3510813153426[[#This Row],[efect_inc]]</f>
        <v>10</v>
      </c>
      <c r="I31" s="9" t="n">
        <f aca="false">Tabla3510813153426[[#This Row],[Correctos]]/Tabla3510813153426[[#This Row],[total_sec]]</f>
        <v>0.956331877729258</v>
      </c>
      <c r="J31" s="9" t="n">
        <f aca="false">Tabla3510813153426[[#This Row],[efec_cor]]/Tabla3510813153426[[#This Row],[efec]]</f>
        <v>0.921052631578947</v>
      </c>
      <c r="K31" s="9" t="n">
        <f aca="false">Tabla3510813153426[[#This Row],[efect_inc]]/Tabla3510813153426[[#This Row],[efec]]</f>
        <v>0.0789473684210526</v>
      </c>
      <c r="L31" s="9" t="n">
        <f aca="false">Tabla3510813153426[[#This Row],[no_efec_cor]]/Tabla3510813153426[[#This Row],[no_efe]]</f>
        <v>0.991304347826087</v>
      </c>
      <c r="M31" s="9" t="n">
        <f aca="false">Tabla3510813153426[[#This Row],[no_efec_inc]]/Tabla3510813153426[[#This Row],[no_efe]]</f>
        <v>0.00869565217391304</v>
      </c>
      <c r="N31" s="9" t="n">
        <f aca="false">(Tabla3510813153426[[#This Row],[% efe_cor]]+Tabla3510813153426[[#This Row],[% no_efe_cor]])/2</f>
        <v>0.956178489702517</v>
      </c>
      <c r="O31" s="10" t="n">
        <f aca="false">(Tabla3510813153426[[#This Row],[% efe_inc]]+Tabla3510813153426[[#This Row],[% no_efect_inc]])/2</f>
        <v>0.0438215102974828</v>
      </c>
      <c r="P31" s="11" t="n">
        <f aca="false">Tabla3510813153426[[#This Row],[no_efec_cor]]/(Tabla3510813153426[[#This Row],[efect_inc]]+Tabla3510813153426[[#This Row],[no_efec_cor]])</f>
        <v>0.926829268292683</v>
      </c>
      <c r="Q31" s="11" t="n">
        <f aca="false">Tabla3510813153426[[#This Row],[efec_cor]]/(Tabla3510813153426[[#This Row],[efec_cor]]+Tabla3510813153426[[#This Row],[no_efec_inc]])</f>
        <v>0.990566037735849</v>
      </c>
      <c r="R31" s="11" t="n">
        <f aca="false">(Tabla3510813153426[[#This Row],[PNE]]+Tabla3510813153426[[#This Row],[PE]])/2</f>
        <v>0.958697653014266</v>
      </c>
      <c r="S31" s="0" t="n">
        <v>114</v>
      </c>
      <c r="T31" s="0" t="n">
        <v>115</v>
      </c>
      <c r="U31" s="0" t="n">
        <f aca="false">Tabla3510813153426[[#This Row],[efec]]+Tabla3510813153426[[#This Row],[no_efe]]</f>
        <v>229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114</v>
      </c>
      <c r="D32" s="0" t="n">
        <v>1</v>
      </c>
      <c r="E32" s="0" t="n">
        <v>105</v>
      </c>
      <c r="F32" s="0" t="n">
        <v>9</v>
      </c>
      <c r="G32" s="0" t="n">
        <f aca="false">Tabla3510813153426[[#This Row],[no_efec_cor]]+Tabla3510813153426[[#This Row],[efec_cor]]</f>
        <v>219</v>
      </c>
      <c r="H32" s="0" t="n">
        <f aca="false">Tabla3510813153426[[#This Row],[no_efec_inc]]+Tabla3510813153426[[#This Row],[efect_inc]]</f>
        <v>10</v>
      </c>
      <c r="I32" s="9" t="n">
        <f aca="false">Tabla3510813153426[[#This Row],[Correctos]]/Tabla3510813153426[[#This Row],[total_sec]]</f>
        <v>0.956331877729258</v>
      </c>
      <c r="J32" s="9" t="n">
        <f aca="false">Tabla3510813153426[[#This Row],[efec_cor]]/Tabla3510813153426[[#This Row],[efec]]</f>
        <v>0.921052631578947</v>
      </c>
      <c r="K32" s="9" t="n">
        <f aca="false">Tabla3510813153426[[#This Row],[efect_inc]]/Tabla3510813153426[[#This Row],[efec]]</f>
        <v>0.0789473684210526</v>
      </c>
      <c r="L32" s="9" t="n">
        <f aca="false">Tabla3510813153426[[#This Row],[no_efec_cor]]/Tabla3510813153426[[#This Row],[no_efe]]</f>
        <v>0.991304347826087</v>
      </c>
      <c r="M32" s="9" t="n">
        <f aca="false">Tabla3510813153426[[#This Row],[no_efec_inc]]/Tabla3510813153426[[#This Row],[no_efe]]</f>
        <v>0.00869565217391304</v>
      </c>
      <c r="N32" s="9" t="n">
        <f aca="false">(Tabla3510813153426[[#This Row],[% efe_cor]]+Tabla3510813153426[[#This Row],[% no_efe_cor]])/2</f>
        <v>0.956178489702517</v>
      </c>
      <c r="O32" s="10" t="n">
        <f aca="false">(Tabla3510813153426[[#This Row],[% efe_inc]]+Tabla3510813153426[[#This Row],[% no_efect_inc]])/2</f>
        <v>0.0438215102974828</v>
      </c>
      <c r="P32" s="11" t="n">
        <f aca="false">Tabla3510813153426[[#This Row],[no_efec_cor]]/(Tabla3510813153426[[#This Row],[efect_inc]]+Tabla3510813153426[[#This Row],[no_efec_cor]])</f>
        <v>0.926829268292683</v>
      </c>
      <c r="Q32" s="11" t="n">
        <f aca="false">Tabla3510813153426[[#This Row],[efec_cor]]/(Tabla3510813153426[[#This Row],[efec_cor]]+Tabla3510813153426[[#This Row],[no_efec_inc]])</f>
        <v>0.990566037735849</v>
      </c>
      <c r="R32" s="11" t="n">
        <f aca="false">(Tabla3510813153426[[#This Row],[PNE]]+Tabla3510813153426[[#This Row],[PE]])/2</f>
        <v>0.958697653014266</v>
      </c>
      <c r="S32" s="0" t="n">
        <v>114</v>
      </c>
      <c r="T32" s="0" t="n">
        <v>115</v>
      </c>
      <c r="U32" s="0" t="n">
        <f aca="false">Tabla3510813153426[[#This Row],[efec]]+Tabla3510813153426[[#This Row],[no_efe]]</f>
        <v>229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110</v>
      </c>
      <c r="D33" s="0" t="n">
        <v>5</v>
      </c>
      <c r="E33" s="0" t="n">
        <v>105</v>
      </c>
      <c r="F33" s="0" t="n">
        <v>9</v>
      </c>
      <c r="G33" s="0" t="n">
        <f aca="false">Tabla3510813153426[[#This Row],[no_efec_cor]]+Tabla3510813153426[[#This Row],[efec_cor]]</f>
        <v>215</v>
      </c>
      <c r="H33" s="0" t="n">
        <f aca="false">Tabla3510813153426[[#This Row],[no_efec_inc]]+Tabla3510813153426[[#This Row],[efect_inc]]</f>
        <v>14</v>
      </c>
      <c r="I33" s="9" t="n">
        <f aca="false">Tabla3510813153426[[#This Row],[Correctos]]/Tabla3510813153426[[#This Row],[total_sec]]</f>
        <v>0.938864628820961</v>
      </c>
      <c r="J33" s="9" t="n">
        <f aca="false">Tabla3510813153426[[#This Row],[efec_cor]]/Tabla3510813153426[[#This Row],[efec]]</f>
        <v>0.921052631578947</v>
      </c>
      <c r="K33" s="9" t="n">
        <f aca="false">Tabla3510813153426[[#This Row],[efect_inc]]/Tabla3510813153426[[#This Row],[efec]]</f>
        <v>0.0789473684210526</v>
      </c>
      <c r="L33" s="9" t="n">
        <f aca="false">Tabla3510813153426[[#This Row],[no_efec_cor]]/Tabla3510813153426[[#This Row],[no_efe]]</f>
        <v>0.956521739130435</v>
      </c>
      <c r="M33" s="9" t="n">
        <f aca="false">Tabla3510813153426[[#This Row],[no_efec_inc]]/Tabla3510813153426[[#This Row],[no_efe]]</f>
        <v>0.0434782608695652</v>
      </c>
      <c r="N33" s="9" t="n">
        <f aca="false">(Tabla3510813153426[[#This Row],[% efe_cor]]+Tabla3510813153426[[#This Row],[% no_efe_cor]])/2</f>
        <v>0.938787185354691</v>
      </c>
      <c r="O33" s="10" t="n">
        <f aca="false">(Tabla3510813153426[[#This Row],[% efe_inc]]+Tabla3510813153426[[#This Row],[% no_efect_inc]])/2</f>
        <v>0.0612128146453089</v>
      </c>
      <c r="P33" s="11" t="n">
        <f aca="false">Tabla3510813153426[[#This Row],[no_efec_cor]]/(Tabla3510813153426[[#This Row],[efect_inc]]+Tabla3510813153426[[#This Row],[no_efec_cor]])</f>
        <v>0.92436974789916</v>
      </c>
      <c r="Q33" s="11" t="n">
        <f aca="false">Tabla3510813153426[[#This Row],[efec_cor]]/(Tabla3510813153426[[#This Row],[efec_cor]]+Tabla3510813153426[[#This Row],[no_efec_inc]])</f>
        <v>0.954545454545455</v>
      </c>
      <c r="R33" s="11" t="n">
        <f aca="false">(Tabla3510813153426[[#This Row],[PNE]]+Tabla3510813153426[[#This Row],[PE]])/2</f>
        <v>0.939457601222307</v>
      </c>
      <c r="S33" s="0" t="n">
        <v>114</v>
      </c>
      <c r="T33" s="0" t="n">
        <v>115</v>
      </c>
      <c r="U33" s="0" t="n">
        <f aca="false">Tabla3510813153426[[#This Row],[efec]]+Tabla3510813153426[[#This Row],[no_efe]]</f>
        <v>229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110</v>
      </c>
      <c r="D34" s="0" t="n">
        <v>5</v>
      </c>
      <c r="E34" s="0" t="n">
        <v>106</v>
      </c>
      <c r="F34" s="0" t="n">
        <v>8</v>
      </c>
      <c r="G34" s="0" t="n">
        <f aca="false">Tabla3510813153426[[#This Row],[no_efec_cor]]+Tabla3510813153426[[#This Row],[efec_cor]]</f>
        <v>216</v>
      </c>
      <c r="H34" s="0" t="n">
        <f aca="false">Tabla3510813153426[[#This Row],[no_efec_inc]]+Tabla3510813153426[[#This Row],[efect_inc]]</f>
        <v>13</v>
      </c>
      <c r="I34" s="9" t="n">
        <f aca="false">Tabla3510813153426[[#This Row],[Correctos]]/Tabla3510813153426[[#This Row],[total_sec]]</f>
        <v>0.943231441048035</v>
      </c>
      <c r="J34" s="9" t="n">
        <f aca="false">Tabla3510813153426[[#This Row],[efec_cor]]/Tabla3510813153426[[#This Row],[efec]]</f>
        <v>0.929824561403509</v>
      </c>
      <c r="K34" s="9" t="n">
        <f aca="false">Tabla3510813153426[[#This Row],[efect_inc]]/Tabla3510813153426[[#This Row],[efec]]</f>
        <v>0.0701754385964912</v>
      </c>
      <c r="L34" s="9" t="n">
        <f aca="false">Tabla3510813153426[[#This Row],[no_efec_cor]]/Tabla3510813153426[[#This Row],[no_efe]]</f>
        <v>0.956521739130435</v>
      </c>
      <c r="M34" s="9" t="n">
        <f aca="false">Tabla3510813153426[[#This Row],[no_efec_inc]]/Tabla3510813153426[[#This Row],[no_efe]]</f>
        <v>0.0434782608695652</v>
      </c>
      <c r="N34" s="9" t="n">
        <f aca="false">(Tabla3510813153426[[#This Row],[% efe_cor]]+Tabla3510813153426[[#This Row],[% no_efe_cor]])/2</f>
        <v>0.943173150266972</v>
      </c>
      <c r="O34" s="10" t="n">
        <f aca="false">(Tabla3510813153426[[#This Row],[% efe_inc]]+Tabla3510813153426[[#This Row],[% no_efect_inc]])/2</f>
        <v>0.0568268497330282</v>
      </c>
      <c r="P34" s="11" t="n">
        <f aca="false">Tabla3510813153426[[#This Row],[no_efec_cor]]/(Tabla3510813153426[[#This Row],[efect_inc]]+Tabla3510813153426[[#This Row],[no_efec_cor]])</f>
        <v>0.932203389830508</v>
      </c>
      <c r="Q34" s="11" t="n">
        <f aca="false">Tabla3510813153426[[#This Row],[efec_cor]]/(Tabla3510813153426[[#This Row],[efec_cor]]+Tabla3510813153426[[#This Row],[no_efec_inc]])</f>
        <v>0.954954954954955</v>
      </c>
      <c r="R34" s="11" t="n">
        <f aca="false">(Tabla3510813153426[[#This Row],[PNE]]+Tabla3510813153426[[#This Row],[PE]])/2</f>
        <v>0.943579172392732</v>
      </c>
      <c r="S34" s="0" t="n">
        <v>114</v>
      </c>
      <c r="T34" s="0" t="n">
        <v>115</v>
      </c>
      <c r="U34" s="0" t="n">
        <f aca="false">Tabla3510813153426[[#This Row],[efec]]+Tabla3510813153426[[#This Row],[no_efe]]</f>
        <v>229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110</v>
      </c>
      <c r="D35" s="0" t="n">
        <v>5</v>
      </c>
      <c r="E35" s="0" t="n">
        <v>106</v>
      </c>
      <c r="F35" s="0" t="n">
        <v>8</v>
      </c>
      <c r="G35" s="0" t="n">
        <f aca="false">Tabla3510813153426[[#This Row],[no_efec_cor]]+Tabla3510813153426[[#This Row],[efec_cor]]</f>
        <v>216</v>
      </c>
      <c r="H35" s="0" t="n">
        <f aca="false">Tabla3510813153426[[#This Row],[no_efec_inc]]+Tabla3510813153426[[#This Row],[efect_inc]]</f>
        <v>13</v>
      </c>
      <c r="I35" s="9" t="n">
        <f aca="false">Tabla3510813153426[[#This Row],[Correctos]]/Tabla3510813153426[[#This Row],[total_sec]]</f>
        <v>0.943231441048035</v>
      </c>
      <c r="J35" s="9" t="n">
        <f aca="false">Tabla3510813153426[[#This Row],[efec_cor]]/Tabla3510813153426[[#This Row],[efec]]</f>
        <v>0.929824561403509</v>
      </c>
      <c r="K35" s="9" t="n">
        <f aca="false">Tabla3510813153426[[#This Row],[efect_inc]]/Tabla3510813153426[[#This Row],[efec]]</f>
        <v>0.0701754385964912</v>
      </c>
      <c r="L35" s="9" t="n">
        <f aca="false">Tabla3510813153426[[#This Row],[no_efec_cor]]/Tabla3510813153426[[#This Row],[no_efe]]</f>
        <v>0.956521739130435</v>
      </c>
      <c r="M35" s="9" t="n">
        <f aca="false">Tabla3510813153426[[#This Row],[no_efec_inc]]/Tabla3510813153426[[#This Row],[no_efe]]</f>
        <v>0.0434782608695652</v>
      </c>
      <c r="N35" s="9" t="n">
        <f aca="false">(Tabla3510813153426[[#This Row],[% efe_cor]]+Tabla3510813153426[[#This Row],[% no_efe_cor]])/2</f>
        <v>0.943173150266972</v>
      </c>
      <c r="O35" s="10" t="n">
        <f aca="false">(Tabla3510813153426[[#This Row],[% efe_inc]]+Tabla3510813153426[[#This Row],[% no_efect_inc]])/2</f>
        <v>0.0568268497330282</v>
      </c>
      <c r="P35" s="11" t="n">
        <f aca="false">Tabla3510813153426[[#This Row],[no_efec_cor]]/(Tabla3510813153426[[#This Row],[efect_inc]]+Tabla3510813153426[[#This Row],[no_efec_cor]])</f>
        <v>0.932203389830508</v>
      </c>
      <c r="Q35" s="11" t="n">
        <f aca="false">Tabla3510813153426[[#This Row],[efec_cor]]/(Tabla3510813153426[[#This Row],[efec_cor]]+Tabla3510813153426[[#This Row],[no_efec_inc]])</f>
        <v>0.954954954954955</v>
      </c>
      <c r="R35" s="11" t="n">
        <f aca="false">(Tabla3510813153426[[#This Row],[PNE]]+Tabla3510813153426[[#This Row],[PE]])/2</f>
        <v>0.943579172392732</v>
      </c>
      <c r="S35" s="0" t="n">
        <v>114</v>
      </c>
      <c r="T35" s="0" t="n">
        <v>115</v>
      </c>
      <c r="U35" s="0" t="n">
        <f aca="false">Tabla3510813153426[[#This Row],[efec]]+Tabla3510813153426[[#This Row],[no_efe]]</f>
        <v>229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111</v>
      </c>
      <c r="D36" s="0" t="n">
        <v>4</v>
      </c>
      <c r="E36" s="0" t="n">
        <v>107</v>
      </c>
      <c r="F36" s="0" t="n">
        <v>7</v>
      </c>
      <c r="G36" s="0" t="n">
        <f aca="false">Tabla3510813153426[[#This Row],[no_efec_cor]]+Tabla3510813153426[[#This Row],[efec_cor]]</f>
        <v>218</v>
      </c>
      <c r="H36" s="0" t="n">
        <f aca="false">Tabla3510813153426[[#This Row],[no_efec_inc]]+Tabla3510813153426[[#This Row],[efect_inc]]</f>
        <v>11</v>
      </c>
      <c r="I36" s="9" t="n">
        <f aca="false">Tabla3510813153426[[#This Row],[Correctos]]/Tabla3510813153426[[#This Row],[total_sec]]</f>
        <v>0.951965065502183</v>
      </c>
      <c r="J36" s="9" t="n">
        <f aca="false">Tabla3510813153426[[#This Row],[efec_cor]]/Tabla3510813153426[[#This Row],[efec]]</f>
        <v>0.93859649122807</v>
      </c>
      <c r="K36" s="9" t="n">
        <f aca="false">Tabla3510813153426[[#This Row],[efect_inc]]/Tabla3510813153426[[#This Row],[efec]]</f>
        <v>0.0614035087719298</v>
      </c>
      <c r="L36" s="9" t="n">
        <f aca="false">Tabla3510813153426[[#This Row],[no_efec_cor]]/Tabla3510813153426[[#This Row],[no_efe]]</f>
        <v>0.965217391304348</v>
      </c>
      <c r="M36" s="9" t="n">
        <f aca="false">Tabla3510813153426[[#This Row],[no_efec_inc]]/Tabla3510813153426[[#This Row],[no_efe]]</f>
        <v>0.0347826086956522</v>
      </c>
      <c r="N36" s="9" t="n">
        <f aca="false">(Tabla3510813153426[[#This Row],[% efe_cor]]+Tabla3510813153426[[#This Row],[% no_efe_cor]])/2</f>
        <v>0.951906941266209</v>
      </c>
      <c r="O36" s="10" t="n">
        <f aca="false">(Tabla3510813153426[[#This Row],[% efe_inc]]+Tabla3510813153426[[#This Row],[% no_efect_inc]])/2</f>
        <v>0.048093058733791</v>
      </c>
      <c r="P36" s="11" t="n">
        <f aca="false">Tabla3510813153426[[#This Row],[no_efec_cor]]/(Tabla3510813153426[[#This Row],[efect_inc]]+Tabla3510813153426[[#This Row],[no_efec_cor]])</f>
        <v>0.940677966101695</v>
      </c>
      <c r="Q36" s="11" t="n">
        <f aca="false">Tabla3510813153426[[#This Row],[efec_cor]]/(Tabla3510813153426[[#This Row],[efec_cor]]+Tabla3510813153426[[#This Row],[no_efec_inc]])</f>
        <v>0.963963963963964</v>
      </c>
      <c r="R36" s="11" t="n">
        <f aca="false">(Tabla3510813153426[[#This Row],[PNE]]+Tabla3510813153426[[#This Row],[PE]])/2</f>
        <v>0.952320965032829</v>
      </c>
      <c r="S36" s="0" t="n">
        <v>114</v>
      </c>
      <c r="T36" s="0" t="n">
        <v>115</v>
      </c>
      <c r="U36" s="0" t="n">
        <f aca="false">Tabla3510813153426[[#This Row],[efec]]+Tabla3510813153426[[#This Row],[no_efe]]</f>
        <v>229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110</v>
      </c>
      <c r="D37" s="0" t="n">
        <v>5</v>
      </c>
      <c r="E37" s="0" t="n">
        <v>105</v>
      </c>
      <c r="F37" s="0" t="n">
        <v>9</v>
      </c>
      <c r="G37" s="0" t="n">
        <f aca="false">Tabla3510813153426[[#This Row],[no_efec_cor]]+Tabla3510813153426[[#This Row],[efec_cor]]</f>
        <v>215</v>
      </c>
      <c r="H37" s="0" t="n">
        <f aca="false">Tabla3510813153426[[#This Row],[no_efec_inc]]+Tabla3510813153426[[#This Row],[efect_inc]]</f>
        <v>14</v>
      </c>
      <c r="I37" s="9" t="n">
        <f aca="false">Tabla3510813153426[[#This Row],[Correctos]]/Tabla3510813153426[[#This Row],[total_sec]]</f>
        <v>0.938864628820961</v>
      </c>
      <c r="J37" s="9" t="n">
        <f aca="false">Tabla3510813153426[[#This Row],[efec_cor]]/Tabla3510813153426[[#This Row],[efec]]</f>
        <v>0.921052631578947</v>
      </c>
      <c r="K37" s="9" t="n">
        <f aca="false">Tabla3510813153426[[#This Row],[efect_inc]]/Tabla3510813153426[[#This Row],[efec]]</f>
        <v>0.0789473684210526</v>
      </c>
      <c r="L37" s="9" t="n">
        <f aca="false">Tabla3510813153426[[#This Row],[no_efec_cor]]/Tabla3510813153426[[#This Row],[no_efe]]</f>
        <v>0.956521739130435</v>
      </c>
      <c r="M37" s="9" t="n">
        <f aca="false">Tabla3510813153426[[#This Row],[no_efec_inc]]/Tabla3510813153426[[#This Row],[no_efe]]</f>
        <v>0.0434782608695652</v>
      </c>
      <c r="N37" s="9" t="n">
        <f aca="false">(Tabla3510813153426[[#This Row],[% efe_cor]]+Tabla3510813153426[[#This Row],[% no_efe_cor]])/2</f>
        <v>0.938787185354691</v>
      </c>
      <c r="O37" s="10" t="n">
        <f aca="false">(Tabla3510813153426[[#This Row],[% efe_inc]]+Tabla3510813153426[[#This Row],[% no_efect_inc]])/2</f>
        <v>0.0612128146453089</v>
      </c>
      <c r="P37" s="11" t="n">
        <f aca="false">Tabla3510813153426[[#This Row],[no_efec_cor]]/(Tabla3510813153426[[#This Row],[efect_inc]]+Tabla3510813153426[[#This Row],[no_efec_cor]])</f>
        <v>0.92436974789916</v>
      </c>
      <c r="Q37" s="11" t="n">
        <f aca="false">Tabla3510813153426[[#This Row],[efec_cor]]/(Tabla3510813153426[[#This Row],[efec_cor]]+Tabla3510813153426[[#This Row],[no_efec_inc]])</f>
        <v>0.954545454545455</v>
      </c>
      <c r="R37" s="11" t="n">
        <f aca="false">(Tabla3510813153426[[#This Row],[PNE]]+Tabla3510813153426[[#This Row],[PE]])/2</f>
        <v>0.939457601222307</v>
      </c>
      <c r="S37" s="0" t="n">
        <v>114</v>
      </c>
      <c r="T37" s="0" t="n">
        <v>115</v>
      </c>
      <c r="U37" s="0" t="n">
        <f aca="false">Tabla3510813153426[[#This Row],[efec]]+Tabla3510813153426[[#This Row],[no_efe]]</f>
        <v>229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110</v>
      </c>
      <c r="D38" s="0" t="n">
        <v>5</v>
      </c>
      <c r="E38" s="0" t="n">
        <v>105</v>
      </c>
      <c r="F38" s="0" t="n">
        <v>9</v>
      </c>
      <c r="G38" s="0" t="n">
        <f aca="false">Tabla3510813153426[[#This Row],[no_efec_cor]]+Tabla3510813153426[[#This Row],[efec_cor]]</f>
        <v>215</v>
      </c>
      <c r="H38" s="0" t="n">
        <f aca="false">Tabla3510813153426[[#This Row],[no_efec_inc]]+Tabla3510813153426[[#This Row],[efect_inc]]</f>
        <v>14</v>
      </c>
      <c r="I38" s="9" t="n">
        <f aca="false">Tabla3510813153426[[#This Row],[Correctos]]/Tabla3510813153426[[#This Row],[total_sec]]</f>
        <v>0.938864628820961</v>
      </c>
      <c r="J38" s="9" t="n">
        <f aca="false">Tabla3510813153426[[#This Row],[efec_cor]]/Tabla3510813153426[[#This Row],[efec]]</f>
        <v>0.921052631578947</v>
      </c>
      <c r="K38" s="9" t="n">
        <f aca="false">Tabla3510813153426[[#This Row],[efect_inc]]/Tabla3510813153426[[#This Row],[efec]]</f>
        <v>0.0789473684210526</v>
      </c>
      <c r="L38" s="9" t="n">
        <f aca="false">Tabla3510813153426[[#This Row],[no_efec_cor]]/Tabla3510813153426[[#This Row],[no_efe]]</f>
        <v>0.956521739130435</v>
      </c>
      <c r="M38" s="9" t="n">
        <f aca="false">Tabla3510813153426[[#This Row],[no_efec_inc]]/Tabla3510813153426[[#This Row],[no_efe]]</f>
        <v>0.0434782608695652</v>
      </c>
      <c r="N38" s="9" t="n">
        <f aca="false">(Tabla3510813153426[[#This Row],[% efe_cor]]+Tabla3510813153426[[#This Row],[% no_efe_cor]])/2</f>
        <v>0.938787185354691</v>
      </c>
      <c r="O38" s="10" t="n">
        <f aca="false">(Tabla3510813153426[[#This Row],[% efe_inc]]+Tabla3510813153426[[#This Row],[% no_efect_inc]])/2</f>
        <v>0.0612128146453089</v>
      </c>
      <c r="P38" s="11" t="n">
        <f aca="false">Tabla3510813153426[[#This Row],[no_efec_cor]]/(Tabla3510813153426[[#This Row],[efect_inc]]+Tabla3510813153426[[#This Row],[no_efec_cor]])</f>
        <v>0.92436974789916</v>
      </c>
      <c r="Q38" s="11" t="n">
        <f aca="false">Tabla3510813153426[[#This Row],[efec_cor]]/(Tabla3510813153426[[#This Row],[efec_cor]]+Tabla3510813153426[[#This Row],[no_efec_inc]])</f>
        <v>0.954545454545455</v>
      </c>
      <c r="R38" s="11" t="n">
        <f aca="false">(Tabla3510813153426[[#This Row],[PNE]]+Tabla3510813153426[[#This Row],[PE]])/2</f>
        <v>0.939457601222307</v>
      </c>
      <c r="S38" s="0" t="n">
        <v>114</v>
      </c>
      <c r="T38" s="0" t="n">
        <v>115</v>
      </c>
      <c r="U38" s="0" t="n">
        <f aca="false">Tabla3510813153426[[#This Row],[efec]]+Tabla3510813153426[[#This Row],[no_efe]]</f>
        <v>229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110</v>
      </c>
      <c r="D39" s="0" t="n">
        <v>5</v>
      </c>
      <c r="E39" s="0" t="n">
        <v>106</v>
      </c>
      <c r="F39" s="0" t="n">
        <v>8</v>
      </c>
      <c r="G39" s="0" t="n">
        <f aca="false">Tabla3510813153426[[#This Row],[no_efec_cor]]+Tabla3510813153426[[#This Row],[efec_cor]]</f>
        <v>216</v>
      </c>
      <c r="H39" s="0" t="n">
        <f aca="false">Tabla3510813153426[[#This Row],[no_efec_inc]]+Tabla3510813153426[[#This Row],[efect_inc]]</f>
        <v>13</v>
      </c>
      <c r="I39" s="9" t="n">
        <f aca="false">Tabla3510813153426[[#This Row],[Correctos]]/Tabla3510813153426[[#This Row],[total_sec]]</f>
        <v>0.943231441048035</v>
      </c>
      <c r="J39" s="9" t="n">
        <f aca="false">Tabla3510813153426[[#This Row],[efec_cor]]/Tabla3510813153426[[#This Row],[efec]]</f>
        <v>0.929824561403509</v>
      </c>
      <c r="K39" s="9" t="n">
        <f aca="false">Tabla3510813153426[[#This Row],[efect_inc]]/Tabla3510813153426[[#This Row],[efec]]</f>
        <v>0.0701754385964912</v>
      </c>
      <c r="L39" s="9" t="n">
        <f aca="false">Tabla3510813153426[[#This Row],[no_efec_cor]]/Tabla3510813153426[[#This Row],[no_efe]]</f>
        <v>0.956521739130435</v>
      </c>
      <c r="M39" s="9" t="n">
        <f aca="false">Tabla3510813153426[[#This Row],[no_efec_inc]]/Tabla3510813153426[[#This Row],[no_efe]]</f>
        <v>0.0434782608695652</v>
      </c>
      <c r="N39" s="9" t="n">
        <f aca="false">(Tabla3510813153426[[#This Row],[% efe_cor]]+Tabla3510813153426[[#This Row],[% no_efe_cor]])/2</f>
        <v>0.943173150266972</v>
      </c>
      <c r="O39" s="10" t="n">
        <f aca="false">(Tabla3510813153426[[#This Row],[% efe_inc]]+Tabla3510813153426[[#This Row],[% no_efect_inc]])/2</f>
        <v>0.0568268497330282</v>
      </c>
      <c r="P39" s="11" t="n">
        <f aca="false">Tabla3510813153426[[#This Row],[no_efec_cor]]/(Tabla3510813153426[[#This Row],[efect_inc]]+Tabla3510813153426[[#This Row],[no_efec_cor]])</f>
        <v>0.932203389830508</v>
      </c>
      <c r="Q39" s="11" t="n">
        <f aca="false">Tabla3510813153426[[#This Row],[efec_cor]]/(Tabla3510813153426[[#This Row],[efec_cor]]+Tabla3510813153426[[#This Row],[no_efec_inc]])</f>
        <v>0.954954954954955</v>
      </c>
      <c r="R39" s="11" t="n">
        <f aca="false">(Tabla3510813153426[[#This Row],[PNE]]+Tabla3510813153426[[#This Row],[PE]])/2</f>
        <v>0.943579172392732</v>
      </c>
      <c r="S39" s="0" t="n">
        <v>114</v>
      </c>
      <c r="T39" s="0" t="n">
        <v>115</v>
      </c>
      <c r="U39" s="0" t="n">
        <f aca="false">Tabla3510813153426[[#This Row],[efec]]+Tabla3510813153426[[#This Row],[no_efe]]</f>
        <v>229</v>
      </c>
    </row>
    <row r="40" customFormat="false" ht="13.8" hidden="false" customHeight="false" outlineLevel="0" collapsed="false">
      <c r="A40" s="0" t="n">
        <v>2</v>
      </c>
      <c r="B40" s="0" t="n">
        <v>3</v>
      </c>
      <c r="C40" s="0" t="n">
        <v>113</v>
      </c>
      <c r="D40" s="0" t="n">
        <v>2</v>
      </c>
      <c r="E40" s="0" t="n">
        <v>105</v>
      </c>
      <c r="F40" s="0" t="n">
        <v>9</v>
      </c>
      <c r="G40" s="0" t="e">
        <f aca="false">Tabla3510813153426[[#This Row],[no_efec_cor]]+Tabla3510813153426[[#This Row],[efec_cor]]</f>
        <v>#VALUE!</v>
      </c>
      <c r="H40" s="0" t="e">
        <f aca="false">Tabla3510813153426[[#This Row],[no_efec_inc]]+Tabla3510813153426[[#This Row],[efect_inc]]</f>
        <v>#VALUE!</v>
      </c>
      <c r="I40" s="9" t="e">
        <f aca="false">Tabla3510813153426[[#This Row],[Correctos]]/Tabla3510813153426[[#This Row],[total_sec]]</f>
        <v>#VALUE!</v>
      </c>
      <c r="J40" s="9" t="e">
        <f aca="false">Tabla3510813153426[[#This Row],[efec_cor]]/Tabla3510813153426[[#This Row],[efec]]</f>
        <v>#VALUE!</v>
      </c>
      <c r="K40" s="9" t="e">
        <f aca="false">Tabla3510813153426[[#This Row],[efect_inc]]/Tabla3510813153426[[#This Row],[efec]]</f>
        <v>#VALUE!</v>
      </c>
      <c r="L40" s="9" t="e">
        <f aca="false">Tabla3510813153426[[#This Row],[no_efec_cor]]/Tabla3510813153426[[#This Row],[no_efe]]</f>
        <v>#VALUE!</v>
      </c>
      <c r="M40" s="9" t="e">
        <f aca="false">Tabla3510813153426[[#This Row],[no_efec_inc]]/Tabla3510813153426[[#This Row],[no_efe]]</f>
        <v>#VALUE!</v>
      </c>
      <c r="N40" s="9" t="e">
        <f aca="false">(Tabla3510813153426[[#This Row],[% efe_cor]]+Tabla3510813153426[[#This Row],[% no_efe_cor]])/2</f>
        <v>#VALUE!</v>
      </c>
      <c r="O40" s="10" t="e">
        <f aca="false">(Tabla3510813153426[[#This Row],[% efe_inc]]+Tabla3510813153426[[#This Row],[% no_efect_inc]])/2</f>
        <v>#VALUE!</v>
      </c>
      <c r="P40" s="11" t="e">
        <f aca="false">Tabla3510813153426[[#This Row],[no_efec_cor]]/(Tabla3510813153426[[#This Row],[efect_inc]]+Tabla3510813153426[[#This Row],[no_efec_cor]])</f>
        <v>#VALUE!</v>
      </c>
      <c r="Q40" s="11" t="e">
        <f aca="false">Tabla3510813153426[[#This Row],[efec_cor]]/(Tabla3510813153426[[#This Row],[efec_cor]]+Tabla3510813153426[[#This Row],[no_efec_inc]])</f>
        <v>#VALUE!</v>
      </c>
      <c r="R40" s="11" t="e">
        <f aca="false">(Tabla3510813153426[[#This Row],[PNE]]+Tabla3510813153426[[#This Row],[PE]])/2</f>
        <v>#VALUE!</v>
      </c>
      <c r="S40" s="0" t="n">
        <v>114</v>
      </c>
      <c r="T40" s="0" t="n">
        <v>115</v>
      </c>
      <c r="U40" s="0" t="e">
        <f aca="false">Tabla3510813153426[[#This Row],[efec]]+Tabla3510813153426[[#This Row],[no_efe]]</f>
        <v>#VALUE!</v>
      </c>
    </row>
    <row r="41" customFormat="false" ht="13.8" hidden="false" customHeight="false" outlineLevel="0" collapsed="false">
      <c r="A41" s="0" t="n">
        <v>5</v>
      </c>
      <c r="B41" s="0" t="n">
        <v>3</v>
      </c>
      <c r="C41" s="0" t="n">
        <v>112</v>
      </c>
      <c r="D41" s="0" t="n">
        <v>3</v>
      </c>
      <c r="E41" s="0" t="n">
        <v>106</v>
      </c>
      <c r="F41" s="0" t="n">
        <v>8</v>
      </c>
      <c r="G41" s="0" t="e">
        <f aca="false">Tabla3510813153426[[#This Row],[no_efec_cor]]+Tabla3510813153426[[#This Row],[efec_cor]]</f>
        <v>#VALUE!</v>
      </c>
      <c r="H41" s="0" t="e">
        <f aca="false">Tabla3510813153426[[#This Row],[no_efec_inc]]+Tabla3510813153426[[#This Row],[efect_inc]]</f>
        <v>#VALUE!</v>
      </c>
      <c r="I41" s="9" t="e">
        <f aca="false">Tabla3510813153426[[#This Row],[Correctos]]/Tabla3510813153426[[#This Row],[total_sec]]</f>
        <v>#VALUE!</v>
      </c>
      <c r="J41" s="9" t="e">
        <f aca="false">Tabla3510813153426[[#This Row],[efec_cor]]/Tabla3510813153426[[#This Row],[efec]]</f>
        <v>#VALUE!</v>
      </c>
      <c r="K41" s="9" t="e">
        <f aca="false">Tabla3510813153426[[#This Row],[efect_inc]]/Tabla3510813153426[[#This Row],[efec]]</f>
        <v>#VALUE!</v>
      </c>
      <c r="L41" s="9" t="e">
        <f aca="false">Tabla3510813153426[[#This Row],[no_efec_cor]]/Tabla3510813153426[[#This Row],[no_efe]]</f>
        <v>#VALUE!</v>
      </c>
      <c r="M41" s="9" t="e">
        <f aca="false">Tabla3510813153426[[#This Row],[no_efec_inc]]/Tabla3510813153426[[#This Row],[no_efe]]</f>
        <v>#VALUE!</v>
      </c>
      <c r="N41" s="9" t="e">
        <f aca="false">(Tabla3510813153426[[#This Row],[% efe_cor]]+Tabla3510813153426[[#This Row],[% no_efe_cor]])/2</f>
        <v>#VALUE!</v>
      </c>
      <c r="O41" s="10" t="e">
        <f aca="false">(Tabla3510813153426[[#This Row],[% efe_inc]]+Tabla3510813153426[[#This Row],[% no_efect_inc]])/2</f>
        <v>#VALUE!</v>
      </c>
      <c r="P41" s="11" t="e">
        <f aca="false">Tabla3510813153426[[#This Row],[no_efec_cor]]/(Tabla3510813153426[[#This Row],[efect_inc]]+Tabla3510813153426[[#This Row],[no_efec_cor]])</f>
        <v>#VALUE!</v>
      </c>
      <c r="Q41" s="11" t="e">
        <f aca="false">Tabla3510813153426[[#This Row],[efec_cor]]/(Tabla3510813153426[[#This Row],[efec_cor]]+Tabla3510813153426[[#This Row],[no_efec_inc]])</f>
        <v>#VALUE!</v>
      </c>
      <c r="R41" s="11" t="e">
        <f aca="false">(Tabla3510813153426[[#This Row],[PNE]]+Tabla3510813153426[[#This Row],[PE]])/2</f>
        <v>#VALUE!</v>
      </c>
      <c r="S41" s="0" t="n">
        <v>114</v>
      </c>
      <c r="T41" s="0" t="n">
        <v>115</v>
      </c>
      <c r="U41" s="0" t="e">
        <f aca="false">Tabla3510813153426[[#This Row],[efec]]+Tabla3510813153426[[#This Row],[no_efe]]</f>
        <v>#VALUE!</v>
      </c>
    </row>
    <row r="42" customFormat="false" ht="13.8" hidden="false" customHeight="false" outlineLevel="0" collapsed="false">
      <c r="A42" s="0" t="n">
        <v>10</v>
      </c>
      <c r="B42" s="0" t="n">
        <v>3</v>
      </c>
      <c r="C42" s="0" t="n">
        <v>112</v>
      </c>
      <c r="D42" s="0" t="n">
        <v>3</v>
      </c>
      <c r="E42" s="0" t="n">
        <v>106</v>
      </c>
      <c r="F42" s="0" t="n">
        <v>8</v>
      </c>
      <c r="G42" s="0" t="e">
        <f aca="false">Tabla3510813153426[[#This Row],[no_efec_cor]]+Tabla3510813153426[[#This Row],[efec_cor]]</f>
        <v>#VALUE!</v>
      </c>
      <c r="H42" s="0" t="e">
        <f aca="false">Tabla3510813153426[[#This Row],[no_efec_inc]]+Tabla3510813153426[[#This Row],[efect_inc]]</f>
        <v>#VALUE!</v>
      </c>
      <c r="I42" s="9" t="e">
        <f aca="false">Tabla3510813153426[[#This Row],[Correctos]]/Tabla3510813153426[[#This Row],[total_sec]]</f>
        <v>#VALUE!</v>
      </c>
      <c r="J42" s="9" t="e">
        <f aca="false">Tabla3510813153426[[#This Row],[efec_cor]]/Tabla3510813153426[[#This Row],[efec]]</f>
        <v>#VALUE!</v>
      </c>
      <c r="K42" s="9" t="e">
        <f aca="false">Tabla3510813153426[[#This Row],[efect_inc]]/Tabla3510813153426[[#This Row],[efec]]</f>
        <v>#VALUE!</v>
      </c>
      <c r="L42" s="9" t="e">
        <f aca="false">Tabla3510813153426[[#This Row],[no_efec_cor]]/Tabla3510813153426[[#This Row],[no_efe]]</f>
        <v>#VALUE!</v>
      </c>
      <c r="M42" s="9" t="e">
        <f aca="false">Tabla3510813153426[[#This Row],[no_efec_inc]]/Tabla3510813153426[[#This Row],[no_efe]]</f>
        <v>#VALUE!</v>
      </c>
      <c r="N42" s="9" t="e">
        <f aca="false">(Tabla3510813153426[[#This Row],[% efe_cor]]+Tabla3510813153426[[#This Row],[% no_efe_cor]])/2</f>
        <v>#VALUE!</v>
      </c>
      <c r="O42" s="10" t="e">
        <f aca="false">(Tabla3510813153426[[#This Row],[% efe_inc]]+Tabla3510813153426[[#This Row],[% no_efect_inc]])/2</f>
        <v>#VALUE!</v>
      </c>
      <c r="P42" s="11" t="e">
        <f aca="false">Tabla3510813153426[[#This Row],[no_efec_cor]]/(Tabla3510813153426[[#This Row],[efect_inc]]+Tabla3510813153426[[#This Row],[no_efec_cor]])</f>
        <v>#VALUE!</v>
      </c>
      <c r="Q42" s="11" t="e">
        <f aca="false">Tabla3510813153426[[#This Row],[efec_cor]]/(Tabla3510813153426[[#This Row],[efec_cor]]+Tabla3510813153426[[#This Row],[no_efec_inc]])</f>
        <v>#VALUE!</v>
      </c>
      <c r="R42" s="11" t="e">
        <f aca="false">(Tabla3510813153426[[#This Row],[PNE]]+Tabla3510813153426[[#This Row],[PE]])/2</f>
        <v>#VALUE!</v>
      </c>
      <c r="S42" s="0" t="n">
        <v>114</v>
      </c>
      <c r="T42" s="0" t="n">
        <v>115</v>
      </c>
      <c r="U42" s="0" t="e">
        <f aca="false">Tabla3510813153426[[#This Row],[efec]]+Tabla3510813153426[[#This Row],[no_efe]]</f>
        <v>#VALUE!</v>
      </c>
    </row>
    <row r="43" customFormat="false" ht="13.8" hidden="false" customHeight="false" outlineLevel="0" collapsed="false">
      <c r="A43" s="0" t="n">
        <v>8</v>
      </c>
      <c r="B43" s="0" t="n">
        <v>1</v>
      </c>
      <c r="C43" s="0" t="n">
        <v>112</v>
      </c>
      <c r="D43" s="0" t="n">
        <v>3</v>
      </c>
      <c r="E43" s="0" t="n">
        <v>106</v>
      </c>
      <c r="F43" s="0" t="n">
        <v>8</v>
      </c>
      <c r="G43" s="0" t="e">
        <f aca="false">Tabla3510813153426[[#This Row],[no_efec_cor]]+Tabla3510813153426[[#This Row],[efec_cor]]</f>
        <v>#VALUE!</v>
      </c>
      <c r="H43" s="0" t="e">
        <f aca="false">Tabla3510813153426[[#This Row],[no_efec_inc]]+Tabla3510813153426[[#This Row],[efect_inc]]</f>
        <v>#VALUE!</v>
      </c>
      <c r="I43" s="9" t="e">
        <f aca="false">Tabla3510813153426[[#This Row],[Correctos]]/Tabla3510813153426[[#This Row],[total_sec]]</f>
        <v>#VALUE!</v>
      </c>
      <c r="J43" s="9" t="e">
        <f aca="false">Tabla3510813153426[[#This Row],[efec_cor]]/Tabla3510813153426[[#This Row],[efec]]</f>
        <v>#VALUE!</v>
      </c>
      <c r="K43" s="9" t="e">
        <f aca="false">Tabla3510813153426[[#This Row],[efect_inc]]/Tabla3510813153426[[#This Row],[efec]]</f>
        <v>#VALUE!</v>
      </c>
      <c r="L43" s="9" t="e">
        <f aca="false">Tabla3510813153426[[#This Row],[no_efec_cor]]/Tabla3510813153426[[#This Row],[no_efe]]</f>
        <v>#VALUE!</v>
      </c>
      <c r="M43" s="9" t="e">
        <f aca="false">Tabla3510813153426[[#This Row],[no_efec_inc]]/Tabla3510813153426[[#This Row],[no_efe]]</f>
        <v>#VALUE!</v>
      </c>
      <c r="N43" s="9" t="e">
        <f aca="false">(Tabla3510813153426[[#This Row],[% efe_cor]]+Tabla3510813153426[[#This Row],[% no_efe_cor]])/2</f>
        <v>#VALUE!</v>
      </c>
      <c r="O43" s="10" t="e">
        <f aca="false">(Tabla3510813153426[[#This Row],[% efe_inc]]+Tabla3510813153426[[#This Row],[% no_efect_inc]])/2</f>
        <v>#VALUE!</v>
      </c>
      <c r="P43" s="11" t="e">
        <f aca="false">Tabla3510813153426[[#This Row],[no_efec_cor]]/(Tabla3510813153426[[#This Row],[efect_inc]]+Tabla3510813153426[[#This Row],[no_efec_cor]])</f>
        <v>#VALUE!</v>
      </c>
      <c r="Q43" s="11" t="e">
        <f aca="false">Tabla3510813153426[[#This Row],[efec_cor]]/(Tabla3510813153426[[#This Row],[efec_cor]]+Tabla3510813153426[[#This Row],[no_efec_inc]])</f>
        <v>#VALUE!</v>
      </c>
      <c r="R43" s="11" t="e">
        <f aca="false">(Tabla3510813153426[[#This Row],[PNE]]+Tabla3510813153426[[#This Row],[PE]])/2</f>
        <v>#VALUE!</v>
      </c>
      <c r="S43" s="0" t="n">
        <v>114</v>
      </c>
      <c r="T43" s="0" t="n">
        <v>115</v>
      </c>
      <c r="U43" s="0" t="e">
        <f aca="false">Tabla3510813153426[[#This Row],[efec]]+Tabla3510813153426[[#This Row],[no_efe]]</f>
        <v>#VALUE!</v>
      </c>
    </row>
    <row r="44" customFormat="false" ht="13.8" hidden="false" customHeight="false" outlineLevel="0" collapsed="false">
      <c r="A44" s="0" t="n">
        <v>8</v>
      </c>
      <c r="B44" s="0" t="n">
        <v>2</v>
      </c>
      <c r="C44" s="0" t="n">
        <v>111</v>
      </c>
      <c r="D44" s="0" t="n">
        <v>4</v>
      </c>
      <c r="E44" s="0" t="n">
        <v>106</v>
      </c>
      <c r="F44" s="0" t="n">
        <v>8</v>
      </c>
      <c r="G44" s="0" t="e">
        <f aca="false">Tabla3510813153426[[#This Row],[no_efec_cor]]+Tabla3510813153426[[#This Row],[efec_cor]]</f>
        <v>#VALUE!</v>
      </c>
      <c r="H44" s="0" t="e">
        <f aca="false">Tabla3510813153426[[#This Row],[no_efec_inc]]+Tabla3510813153426[[#This Row],[efect_inc]]</f>
        <v>#VALUE!</v>
      </c>
      <c r="I44" s="9" t="e">
        <f aca="false">Tabla3510813153426[[#This Row],[Correctos]]/Tabla3510813153426[[#This Row],[total_sec]]</f>
        <v>#VALUE!</v>
      </c>
      <c r="J44" s="9" t="e">
        <f aca="false">Tabla3510813153426[[#This Row],[efec_cor]]/Tabla3510813153426[[#This Row],[efec]]</f>
        <v>#VALUE!</v>
      </c>
      <c r="K44" s="9" t="e">
        <f aca="false">Tabla3510813153426[[#This Row],[efect_inc]]/Tabla3510813153426[[#This Row],[efec]]</f>
        <v>#VALUE!</v>
      </c>
      <c r="L44" s="9" t="e">
        <f aca="false">Tabla3510813153426[[#This Row],[no_efec_cor]]/Tabla3510813153426[[#This Row],[no_efe]]</f>
        <v>#VALUE!</v>
      </c>
      <c r="M44" s="9" t="e">
        <f aca="false">Tabla3510813153426[[#This Row],[no_efec_inc]]/Tabla3510813153426[[#This Row],[no_efe]]</f>
        <v>#VALUE!</v>
      </c>
      <c r="N44" s="9" t="e">
        <f aca="false">(Tabla3510813153426[[#This Row],[% efe_cor]]+Tabla3510813153426[[#This Row],[% no_efe_cor]])/2</f>
        <v>#VALUE!</v>
      </c>
      <c r="O44" s="10" t="e">
        <f aca="false">(Tabla3510813153426[[#This Row],[% efe_inc]]+Tabla3510813153426[[#This Row],[% no_efect_inc]])/2</f>
        <v>#VALUE!</v>
      </c>
      <c r="P44" s="11" t="e">
        <f aca="false">Tabla3510813153426[[#This Row],[no_efec_cor]]/(Tabla3510813153426[[#This Row],[efect_inc]]+Tabla3510813153426[[#This Row],[no_efec_cor]])</f>
        <v>#VALUE!</v>
      </c>
      <c r="Q44" s="11" t="e">
        <f aca="false">Tabla3510813153426[[#This Row],[efec_cor]]/(Tabla3510813153426[[#This Row],[efec_cor]]+Tabla3510813153426[[#This Row],[no_efec_inc]])</f>
        <v>#VALUE!</v>
      </c>
      <c r="R44" s="11" t="e">
        <f aca="false">(Tabla3510813153426[[#This Row],[PNE]]+Tabla3510813153426[[#This Row],[PE]])/2</f>
        <v>#VALUE!</v>
      </c>
      <c r="S44" s="0" t="n">
        <v>114</v>
      </c>
      <c r="T44" s="0" t="n">
        <v>115</v>
      </c>
      <c r="U44" s="0" t="e">
        <f aca="false">Tabla3510813153426[[#This Row],[efec]]+Tabla3510813153426[[#This Row],[no_efe]]</f>
        <v>#VALUE!</v>
      </c>
    </row>
    <row r="45" customFormat="false" ht="13.8" hidden="false" customHeight="false" outlineLevel="0" collapsed="false">
      <c r="A45" s="0" t="n">
        <v>8</v>
      </c>
      <c r="B45" s="0" t="n">
        <v>3</v>
      </c>
      <c r="C45" s="0" t="n">
        <v>112</v>
      </c>
      <c r="D45" s="0" t="n">
        <v>3</v>
      </c>
      <c r="E45" s="0" t="n">
        <v>106</v>
      </c>
      <c r="F45" s="0" t="n">
        <v>8</v>
      </c>
      <c r="G45" s="0" t="e">
        <f aca="false">Tabla3510813153426[[#This Row],[no_efec_cor]]+Tabla3510813153426[[#This Row],[efec_cor]]</f>
        <v>#VALUE!</v>
      </c>
      <c r="H45" s="0" t="e">
        <f aca="false">Tabla3510813153426[[#This Row],[no_efec_inc]]+Tabla3510813153426[[#This Row],[efect_inc]]</f>
        <v>#VALUE!</v>
      </c>
      <c r="I45" s="9" t="e">
        <f aca="false">Tabla3510813153426[[#This Row],[Correctos]]/Tabla3510813153426[[#This Row],[total_sec]]</f>
        <v>#VALUE!</v>
      </c>
      <c r="J45" s="9" t="e">
        <f aca="false">Tabla3510813153426[[#This Row],[efec_cor]]/Tabla3510813153426[[#This Row],[efec]]</f>
        <v>#VALUE!</v>
      </c>
      <c r="K45" s="9" t="e">
        <f aca="false">Tabla3510813153426[[#This Row],[efect_inc]]/Tabla3510813153426[[#This Row],[efec]]</f>
        <v>#VALUE!</v>
      </c>
      <c r="L45" s="9" t="e">
        <f aca="false">Tabla3510813153426[[#This Row],[no_efec_cor]]/Tabla3510813153426[[#This Row],[no_efe]]</f>
        <v>#VALUE!</v>
      </c>
      <c r="M45" s="9" t="e">
        <f aca="false">Tabla3510813153426[[#This Row],[no_efec_inc]]/Tabla3510813153426[[#This Row],[no_efe]]</f>
        <v>#VALUE!</v>
      </c>
      <c r="N45" s="9" t="e">
        <f aca="false">(Tabla3510813153426[[#This Row],[% efe_cor]]+Tabla3510813153426[[#This Row],[% no_efe_cor]])/2</f>
        <v>#VALUE!</v>
      </c>
      <c r="O45" s="10" t="e">
        <f aca="false">(Tabla3510813153426[[#This Row],[% efe_inc]]+Tabla3510813153426[[#This Row],[% no_efect_inc]])/2</f>
        <v>#VALUE!</v>
      </c>
      <c r="P45" s="11" t="e">
        <f aca="false">Tabla3510813153426[[#This Row],[no_efec_cor]]/(Tabla3510813153426[[#This Row],[efect_inc]]+Tabla3510813153426[[#This Row],[no_efec_cor]])</f>
        <v>#VALUE!</v>
      </c>
      <c r="Q45" s="11" t="e">
        <f aca="false">Tabla3510813153426[[#This Row],[efec_cor]]/(Tabla3510813153426[[#This Row],[efec_cor]]+Tabla3510813153426[[#This Row],[no_efec_inc]])</f>
        <v>#VALUE!</v>
      </c>
      <c r="R45" s="11" t="e">
        <f aca="false">(Tabla3510813153426[[#This Row],[PNE]]+Tabla3510813153426[[#This Row],[PE]])/2</f>
        <v>#VALUE!</v>
      </c>
      <c r="S45" s="0" t="n">
        <v>114</v>
      </c>
      <c r="T45" s="0" t="n">
        <v>115</v>
      </c>
      <c r="U45" s="0" t="e">
        <f aca="false">Tabla3510813153426[[#This Row],[efec]]+Tabla3510813153426[[#This Row],[no_efe]]</f>
        <v>#VALUE!</v>
      </c>
    </row>
    <row r="46" customFormat="false" ht="13.8" hidden="false" customHeight="false" outlineLevel="0" collapsed="false">
      <c r="A46" s="0" t="n">
        <v>8</v>
      </c>
      <c r="B46" s="0" t="n">
        <v>2.5</v>
      </c>
      <c r="C46" s="0" t="n">
        <v>112</v>
      </c>
      <c r="D46" s="0" t="n">
        <v>3</v>
      </c>
      <c r="E46" s="0" t="n">
        <v>106</v>
      </c>
      <c r="F46" s="0" t="n">
        <v>8</v>
      </c>
      <c r="G46" s="0" t="e">
        <f aca="false">Tabla3510813153426[[#This Row],[no_efec_cor]]+Tabla3510813153426[[#This Row],[efec_cor]]</f>
        <v>#VALUE!</v>
      </c>
      <c r="H46" s="0" t="e">
        <f aca="false">Tabla3510813153426[[#This Row],[no_efec_inc]]+Tabla3510813153426[[#This Row],[efect_inc]]</f>
        <v>#VALUE!</v>
      </c>
      <c r="I46" s="9" t="e">
        <f aca="false">Tabla3510813153426[[#This Row],[Correctos]]/Tabla3510813153426[[#This Row],[total_sec]]</f>
        <v>#VALUE!</v>
      </c>
      <c r="J46" s="9" t="e">
        <f aca="false">Tabla3510813153426[[#This Row],[efec_cor]]/Tabla3510813153426[[#This Row],[efec]]</f>
        <v>#VALUE!</v>
      </c>
      <c r="K46" s="9" t="e">
        <f aca="false">Tabla3510813153426[[#This Row],[efect_inc]]/Tabla3510813153426[[#This Row],[efec]]</f>
        <v>#VALUE!</v>
      </c>
      <c r="L46" s="9" t="e">
        <f aca="false">Tabla3510813153426[[#This Row],[no_efec_cor]]/Tabla3510813153426[[#This Row],[no_efe]]</f>
        <v>#VALUE!</v>
      </c>
      <c r="M46" s="9" t="e">
        <f aca="false">Tabla3510813153426[[#This Row],[no_efec_inc]]/Tabla3510813153426[[#This Row],[no_efe]]</f>
        <v>#VALUE!</v>
      </c>
      <c r="N46" s="9" t="e">
        <f aca="false">(Tabla3510813153426[[#This Row],[% efe_cor]]+Tabla3510813153426[[#This Row],[% no_efe_cor]])/2</f>
        <v>#VALUE!</v>
      </c>
      <c r="O46" s="10" t="e">
        <f aca="false">(Tabla3510813153426[[#This Row],[% efe_inc]]+Tabla3510813153426[[#This Row],[% no_efect_inc]])/2</f>
        <v>#VALUE!</v>
      </c>
      <c r="P46" s="11" t="e">
        <f aca="false">Tabla3510813153426[[#This Row],[no_efec_cor]]/(Tabla3510813153426[[#This Row],[efect_inc]]+Tabla3510813153426[[#This Row],[no_efec_cor]])</f>
        <v>#VALUE!</v>
      </c>
      <c r="Q46" s="11" t="e">
        <f aca="false">Tabla3510813153426[[#This Row],[efec_cor]]/(Tabla3510813153426[[#This Row],[efec_cor]]+Tabla3510813153426[[#This Row],[no_efec_inc]])</f>
        <v>#VALUE!</v>
      </c>
      <c r="R46" s="11" t="e">
        <f aca="false">(Tabla3510813153426[[#This Row],[PNE]]+Tabla3510813153426[[#This Row],[PE]])/2</f>
        <v>#VALUE!</v>
      </c>
      <c r="S46" s="0" t="n">
        <v>114</v>
      </c>
      <c r="T46" s="0" t="n">
        <v>115</v>
      </c>
      <c r="U46" s="0" t="e">
        <f aca="false">Tabla3510813153426[[#This Row],[efec]]+Tabla3510813153426[[#This Row],[no_efe]]</f>
        <v>#VALUE!</v>
      </c>
    </row>
    <row r="47" customFormat="false" ht="13.8" hidden="false" customHeight="false" outlineLevel="0" collapsed="false">
      <c r="A47" s="0" t="n">
        <v>10</v>
      </c>
      <c r="B47" s="0" t="n">
        <v>2</v>
      </c>
      <c r="C47" s="0" t="n">
        <v>111</v>
      </c>
      <c r="D47" s="0" t="n">
        <v>4</v>
      </c>
      <c r="E47" s="0" t="n">
        <v>106</v>
      </c>
      <c r="F47" s="0" t="n">
        <v>8</v>
      </c>
      <c r="G47" s="0" t="e">
        <f aca="false">Tabla3510813153426[[#This Row],[no_efec_cor]]+Tabla3510813153426[[#This Row],[efec_cor]]</f>
        <v>#VALUE!</v>
      </c>
      <c r="H47" s="0" t="e">
        <f aca="false">Tabla3510813153426[[#This Row],[no_efec_inc]]+Tabla3510813153426[[#This Row],[efect_inc]]</f>
        <v>#VALUE!</v>
      </c>
      <c r="I47" s="9" t="e">
        <f aca="false">Tabla3510813153426[[#This Row],[Correctos]]/Tabla3510813153426[[#This Row],[total_sec]]</f>
        <v>#VALUE!</v>
      </c>
      <c r="J47" s="9" t="e">
        <f aca="false">Tabla3510813153426[[#This Row],[efec_cor]]/Tabla3510813153426[[#This Row],[efec]]</f>
        <v>#VALUE!</v>
      </c>
      <c r="K47" s="9" t="e">
        <f aca="false">Tabla3510813153426[[#This Row],[efect_inc]]/Tabla3510813153426[[#This Row],[efec]]</f>
        <v>#VALUE!</v>
      </c>
      <c r="L47" s="9" t="e">
        <f aca="false">Tabla3510813153426[[#This Row],[no_efec_cor]]/Tabla3510813153426[[#This Row],[no_efe]]</f>
        <v>#VALUE!</v>
      </c>
      <c r="M47" s="9" t="e">
        <f aca="false">Tabla3510813153426[[#This Row],[no_efec_inc]]/Tabla3510813153426[[#This Row],[no_efe]]</f>
        <v>#VALUE!</v>
      </c>
      <c r="N47" s="9" t="e">
        <f aca="false">(Tabla3510813153426[[#This Row],[% efe_cor]]+Tabla3510813153426[[#This Row],[% no_efe_cor]])/2</f>
        <v>#VALUE!</v>
      </c>
      <c r="O47" s="10" t="e">
        <f aca="false">(Tabla3510813153426[[#This Row],[% efe_inc]]+Tabla3510813153426[[#This Row],[% no_efect_inc]])/2</f>
        <v>#VALUE!</v>
      </c>
      <c r="P47" s="11" t="e">
        <f aca="false">Tabla3510813153426[[#This Row],[no_efec_cor]]/(Tabla3510813153426[[#This Row],[efect_inc]]+Tabla3510813153426[[#This Row],[no_efec_cor]])</f>
        <v>#VALUE!</v>
      </c>
      <c r="Q47" s="11" t="e">
        <f aca="false">Tabla3510813153426[[#This Row],[efec_cor]]/(Tabla3510813153426[[#This Row],[efec_cor]]+Tabla3510813153426[[#This Row],[no_efec_inc]])</f>
        <v>#VALUE!</v>
      </c>
      <c r="R47" s="11" t="e">
        <f aca="false">(Tabla3510813153426[[#This Row],[PNE]]+Tabla3510813153426[[#This Row],[PE]])/2</f>
        <v>#VALUE!</v>
      </c>
      <c r="S47" s="0" t="n">
        <v>114</v>
      </c>
      <c r="T47" s="0" t="n">
        <v>115</v>
      </c>
      <c r="U47" s="0" t="e">
        <f aca="false">Tabla3510813153426[[#This Row],[efec]]+Tabla3510813153426[[#This Row],[no_efe]]</f>
        <v>#VALUE!</v>
      </c>
    </row>
    <row r="48" customFormat="false" ht="13.8" hidden="false" customHeight="false" outlineLevel="0" collapsed="false">
      <c r="A48" s="0" t="n">
        <v>15</v>
      </c>
      <c r="B48" s="0" t="n">
        <v>2</v>
      </c>
      <c r="C48" s="0" t="n">
        <v>111</v>
      </c>
      <c r="D48" s="0" t="n">
        <v>4</v>
      </c>
      <c r="E48" s="0" t="n">
        <v>106</v>
      </c>
      <c r="F48" s="0" t="n">
        <v>8</v>
      </c>
      <c r="G48" s="0" t="e">
        <f aca="false">Tabla3510813153426[[#This Row],[no_efec_cor]]+Tabla3510813153426[[#This Row],[efec_cor]]</f>
        <v>#VALUE!</v>
      </c>
      <c r="H48" s="0" t="e">
        <f aca="false">Tabla3510813153426[[#This Row],[no_efec_inc]]+Tabla3510813153426[[#This Row],[efect_inc]]</f>
        <v>#VALUE!</v>
      </c>
      <c r="I48" s="9" t="e">
        <f aca="false">Tabla3510813153426[[#This Row],[Correctos]]/Tabla3510813153426[[#This Row],[total_sec]]</f>
        <v>#VALUE!</v>
      </c>
      <c r="J48" s="9" t="e">
        <f aca="false">Tabla3510813153426[[#This Row],[efec_cor]]/Tabla3510813153426[[#This Row],[efec]]</f>
        <v>#VALUE!</v>
      </c>
      <c r="K48" s="9" t="e">
        <f aca="false">Tabla3510813153426[[#This Row],[efect_inc]]/Tabla3510813153426[[#This Row],[efec]]</f>
        <v>#VALUE!</v>
      </c>
      <c r="L48" s="9" t="e">
        <f aca="false">Tabla3510813153426[[#This Row],[no_efec_cor]]/Tabla3510813153426[[#This Row],[no_efe]]</f>
        <v>#VALUE!</v>
      </c>
      <c r="M48" s="9" t="e">
        <f aca="false">Tabla3510813153426[[#This Row],[no_efec_inc]]/Tabla3510813153426[[#This Row],[no_efe]]</f>
        <v>#VALUE!</v>
      </c>
      <c r="N48" s="9" t="e">
        <f aca="false">(Tabla3510813153426[[#This Row],[% efe_cor]]+Tabla3510813153426[[#This Row],[% no_efe_cor]])/2</f>
        <v>#VALUE!</v>
      </c>
      <c r="O48" s="10" t="e">
        <f aca="false">(Tabla3510813153426[[#This Row],[% efe_inc]]+Tabla3510813153426[[#This Row],[% no_efect_inc]])/2</f>
        <v>#VALUE!</v>
      </c>
      <c r="P48" s="11" t="e">
        <f aca="false">Tabla3510813153426[[#This Row],[no_efec_cor]]/(Tabla3510813153426[[#This Row],[efect_inc]]+Tabla3510813153426[[#This Row],[no_efec_cor]])</f>
        <v>#VALUE!</v>
      </c>
      <c r="Q48" s="11" t="e">
        <f aca="false">Tabla3510813153426[[#This Row],[efec_cor]]/(Tabla3510813153426[[#This Row],[efec_cor]]+Tabla3510813153426[[#This Row],[no_efec_inc]])</f>
        <v>#VALUE!</v>
      </c>
      <c r="R48" s="11" t="e">
        <f aca="false">(Tabla3510813153426[[#This Row],[PNE]]+Tabla3510813153426[[#This Row],[PE]])/2</f>
        <v>#VALUE!</v>
      </c>
      <c r="S48" s="0" t="n">
        <v>114</v>
      </c>
      <c r="T48" s="0" t="n">
        <v>115</v>
      </c>
      <c r="U48" s="0" t="e">
        <f aca="false">Tabla3510813153426[[#This Row],[efec]]+Tabla3510813153426[[#This Row],[no_efe]]</f>
        <v>#VALUE!</v>
      </c>
    </row>
    <row r="49" customFormat="false" ht="13.8" hidden="false" customHeight="false" outlineLevel="0" collapsed="false">
      <c r="A49" s="0" t="n">
        <v>25</v>
      </c>
      <c r="B49" s="0" t="n">
        <v>2</v>
      </c>
      <c r="C49" s="0" t="n">
        <v>111</v>
      </c>
      <c r="D49" s="0" t="n">
        <v>4</v>
      </c>
      <c r="E49" s="0" t="n">
        <v>106</v>
      </c>
      <c r="F49" s="0" t="n">
        <v>8</v>
      </c>
      <c r="G49" s="0" t="e">
        <f aca="false">Tabla3510813153426[[#This Row],[no_efec_cor]]+Tabla3510813153426[[#This Row],[efec_cor]]</f>
        <v>#VALUE!</v>
      </c>
      <c r="H49" s="0" t="e">
        <f aca="false">Tabla3510813153426[[#This Row],[no_efec_inc]]+Tabla3510813153426[[#This Row],[efect_inc]]</f>
        <v>#VALUE!</v>
      </c>
      <c r="I49" s="9" t="e">
        <f aca="false">Tabla3510813153426[[#This Row],[Correctos]]/Tabla3510813153426[[#This Row],[total_sec]]</f>
        <v>#VALUE!</v>
      </c>
      <c r="J49" s="9" t="e">
        <f aca="false">Tabla3510813153426[[#This Row],[efec_cor]]/Tabla3510813153426[[#This Row],[efec]]</f>
        <v>#VALUE!</v>
      </c>
      <c r="K49" s="9" t="e">
        <f aca="false">Tabla3510813153426[[#This Row],[efect_inc]]/Tabla3510813153426[[#This Row],[efec]]</f>
        <v>#VALUE!</v>
      </c>
      <c r="L49" s="9" t="e">
        <f aca="false">Tabla3510813153426[[#This Row],[no_efec_cor]]/Tabla3510813153426[[#This Row],[no_efe]]</f>
        <v>#VALUE!</v>
      </c>
      <c r="M49" s="9" t="e">
        <f aca="false">Tabla3510813153426[[#This Row],[no_efec_inc]]/Tabla3510813153426[[#This Row],[no_efe]]</f>
        <v>#VALUE!</v>
      </c>
      <c r="N49" s="9" t="e">
        <f aca="false">(Tabla3510813153426[[#This Row],[% efe_cor]]+Tabla3510813153426[[#This Row],[% no_efe_cor]])/2</f>
        <v>#VALUE!</v>
      </c>
      <c r="O49" s="10" t="e">
        <f aca="false">(Tabla3510813153426[[#This Row],[% efe_inc]]+Tabla3510813153426[[#This Row],[% no_efect_inc]])/2</f>
        <v>#VALUE!</v>
      </c>
      <c r="P49" s="11" t="e">
        <f aca="false">Tabla3510813153426[[#This Row],[no_efec_cor]]/(Tabla3510813153426[[#This Row],[efect_inc]]+Tabla3510813153426[[#This Row],[no_efec_cor]])</f>
        <v>#VALUE!</v>
      </c>
      <c r="Q49" s="11" t="e">
        <f aca="false">Tabla3510813153426[[#This Row],[efec_cor]]/(Tabla3510813153426[[#This Row],[efec_cor]]+Tabla3510813153426[[#This Row],[no_efec_inc]])</f>
        <v>#VALUE!</v>
      </c>
      <c r="R49" s="11" t="e">
        <f aca="false">(Tabla3510813153426[[#This Row],[PNE]]+Tabla3510813153426[[#This Row],[PE]])/2</f>
        <v>#VALUE!</v>
      </c>
      <c r="S49" s="0" t="n">
        <v>114</v>
      </c>
      <c r="T49" s="0" t="n">
        <v>115</v>
      </c>
      <c r="U49" s="0" t="e">
        <f aca="false">Tabla3510813153426[[#This Row],[efec]]+Tabla3510813153426[[#This Row],[no_efe]]</f>
        <v>#VALUE!</v>
      </c>
    </row>
    <row r="50" customFormat="false" ht="13.8" hidden="false" customHeight="false" outlineLevel="0" collapsed="false">
      <c r="A50" s="0" t="n">
        <v>25</v>
      </c>
      <c r="B50" s="0" t="n">
        <v>3</v>
      </c>
      <c r="C50" s="0" t="n">
        <v>112</v>
      </c>
      <c r="D50" s="0" t="n">
        <v>3</v>
      </c>
      <c r="E50" s="0" t="n">
        <v>106</v>
      </c>
      <c r="F50" s="0" t="n">
        <v>8</v>
      </c>
      <c r="G50" s="0" t="e">
        <f aca="false">Tabla3510813153426[[#This Row],[no_efec_cor]]+Tabla3510813153426[[#This Row],[efec_cor]]</f>
        <v>#VALUE!</v>
      </c>
      <c r="H50" s="0" t="e">
        <f aca="false">Tabla3510813153426[[#This Row],[no_efec_inc]]+Tabla3510813153426[[#This Row],[efect_inc]]</f>
        <v>#VALUE!</v>
      </c>
      <c r="I50" s="9" t="e">
        <f aca="false">Tabla3510813153426[[#This Row],[Correctos]]/Tabla3510813153426[[#This Row],[total_sec]]</f>
        <v>#VALUE!</v>
      </c>
      <c r="J50" s="9" t="e">
        <f aca="false">Tabla3510813153426[[#This Row],[efec_cor]]/Tabla3510813153426[[#This Row],[efec]]</f>
        <v>#VALUE!</v>
      </c>
      <c r="K50" s="9" t="e">
        <f aca="false">Tabla3510813153426[[#This Row],[efect_inc]]/Tabla3510813153426[[#This Row],[efec]]</f>
        <v>#VALUE!</v>
      </c>
      <c r="L50" s="9" t="e">
        <f aca="false">Tabla3510813153426[[#This Row],[no_efec_cor]]/Tabla3510813153426[[#This Row],[no_efe]]</f>
        <v>#VALUE!</v>
      </c>
      <c r="M50" s="9" t="e">
        <f aca="false">Tabla3510813153426[[#This Row],[no_efec_inc]]/Tabla3510813153426[[#This Row],[no_efe]]</f>
        <v>#VALUE!</v>
      </c>
      <c r="N50" s="9" t="e">
        <f aca="false">(Tabla3510813153426[[#This Row],[% efe_cor]]+Tabla3510813153426[[#This Row],[% no_efe_cor]])/2</f>
        <v>#VALUE!</v>
      </c>
      <c r="O50" s="10" t="e">
        <f aca="false">(Tabla3510813153426[[#This Row],[% efe_inc]]+Tabla3510813153426[[#This Row],[% no_efect_inc]])/2</f>
        <v>#VALUE!</v>
      </c>
      <c r="P50" s="11" t="e">
        <f aca="false">Tabla3510813153426[[#This Row],[no_efec_cor]]/(Tabla3510813153426[[#This Row],[efect_inc]]+Tabla3510813153426[[#This Row],[no_efec_cor]])</f>
        <v>#VALUE!</v>
      </c>
      <c r="Q50" s="11" t="e">
        <f aca="false">Tabla3510813153426[[#This Row],[efec_cor]]/(Tabla3510813153426[[#This Row],[efec_cor]]+Tabla3510813153426[[#This Row],[no_efec_inc]])</f>
        <v>#VALUE!</v>
      </c>
      <c r="R50" s="11" t="e">
        <f aca="false">(Tabla3510813153426[[#This Row],[PNE]]+Tabla3510813153426[[#This Row],[PE]])/2</f>
        <v>#VALUE!</v>
      </c>
      <c r="S50" s="0" t="n">
        <v>114</v>
      </c>
      <c r="T50" s="0" t="n">
        <v>115</v>
      </c>
      <c r="U50" s="0" t="e">
        <f aca="false">Tabla3510813153426[[#This Row],[efec]]+Tabla3510813153426[[#This Row],[no_efe]]</f>
        <v>#VALUE!</v>
      </c>
    </row>
    <row r="51" customFormat="false" ht="13.8" hidden="false" customHeight="false" outlineLevel="0" collapsed="false">
      <c r="A51" s="0" t="n">
        <v>50</v>
      </c>
      <c r="B51" s="0" t="n">
        <v>3</v>
      </c>
      <c r="C51" s="0" t="n">
        <v>112</v>
      </c>
      <c r="D51" s="0" t="n">
        <v>3</v>
      </c>
      <c r="E51" s="0" t="n">
        <v>106</v>
      </c>
      <c r="F51" s="0" t="n">
        <v>8</v>
      </c>
      <c r="G51" s="0" t="e">
        <f aca="false">Tabla3510813153426[[#This Row],[no_efec_cor]]+Tabla3510813153426[[#This Row],[efec_cor]]</f>
        <v>#VALUE!</v>
      </c>
      <c r="H51" s="0" t="e">
        <f aca="false">Tabla3510813153426[[#This Row],[no_efec_inc]]+Tabla3510813153426[[#This Row],[efect_inc]]</f>
        <v>#VALUE!</v>
      </c>
      <c r="I51" s="9" t="e">
        <f aca="false">Tabla3510813153426[[#This Row],[Correctos]]/Tabla3510813153426[[#This Row],[total_sec]]</f>
        <v>#VALUE!</v>
      </c>
      <c r="J51" s="9" t="e">
        <f aca="false">Tabla3510813153426[[#This Row],[efec_cor]]/Tabla3510813153426[[#This Row],[efec]]</f>
        <v>#VALUE!</v>
      </c>
      <c r="K51" s="9" t="e">
        <f aca="false">Tabla3510813153426[[#This Row],[efect_inc]]/Tabla3510813153426[[#This Row],[efec]]</f>
        <v>#VALUE!</v>
      </c>
      <c r="L51" s="9" t="e">
        <f aca="false">Tabla3510813153426[[#This Row],[no_efec_cor]]/Tabla3510813153426[[#This Row],[no_efe]]</f>
        <v>#VALUE!</v>
      </c>
      <c r="M51" s="9" t="e">
        <f aca="false">Tabla3510813153426[[#This Row],[no_efec_inc]]/Tabla3510813153426[[#This Row],[no_efe]]</f>
        <v>#VALUE!</v>
      </c>
      <c r="N51" s="9" t="e">
        <f aca="false">(Tabla3510813153426[[#This Row],[% efe_cor]]+Tabla3510813153426[[#This Row],[% no_efe_cor]])/2</f>
        <v>#VALUE!</v>
      </c>
      <c r="O51" s="10" t="e">
        <f aca="false">(Tabla3510813153426[[#This Row],[% efe_inc]]+Tabla3510813153426[[#This Row],[% no_efect_inc]])/2</f>
        <v>#VALUE!</v>
      </c>
      <c r="P51" s="11" t="e">
        <f aca="false">Tabla3510813153426[[#This Row],[no_efec_cor]]/(Tabla3510813153426[[#This Row],[efect_inc]]+Tabla3510813153426[[#This Row],[no_efec_cor]])</f>
        <v>#VALUE!</v>
      </c>
      <c r="Q51" s="11" t="e">
        <f aca="false">Tabla3510813153426[[#This Row],[efec_cor]]/(Tabla3510813153426[[#This Row],[efec_cor]]+Tabla3510813153426[[#This Row],[no_efec_inc]])</f>
        <v>#VALUE!</v>
      </c>
      <c r="R51" s="11" t="e">
        <f aca="false">(Tabla3510813153426[[#This Row],[PNE]]+Tabla3510813153426[[#This Row],[PE]])/2</f>
        <v>#VALUE!</v>
      </c>
      <c r="S51" s="0" t="n">
        <v>114</v>
      </c>
      <c r="T51" s="0" t="n">
        <v>115</v>
      </c>
      <c r="U51" s="0" t="e">
        <f aca="false">Tabla3510813153426[[#This Row],[efec]]+Tabla3510813153426[[#This Row],[no_efe]]</f>
        <v>#VALUE!</v>
      </c>
    </row>
    <row r="52" customFormat="false" ht="13.8" hidden="false" customHeight="false" outlineLevel="0" collapsed="false">
      <c r="A52" s="0" t="n">
        <v>15</v>
      </c>
      <c r="B52" s="0" t="n">
        <v>1</v>
      </c>
      <c r="C52" s="0" t="n">
        <v>110</v>
      </c>
      <c r="D52" s="0" t="n">
        <v>5</v>
      </c>
      <c r="E52" s="0" t="n">
        <v>109</v>
      </c>
      <c r="F52" s="0" t="n">
        <v>5</v>
      </c>
      <c r="G52" s="0" t="e">
        <f aca="false">Tabla3510813153426[[#This Row],[no_efec_cor]]+Tabla3510813153426[[#This Row],[efec_cor]]</f>
        <v>#VALUE!</v>
      </c>
      <c r="H52" s="0" t="e">
        <f aca="false">Tabla3510813153426[[#This Row],[no_efec_inc]]+Tabla3510813153426[[#This Row],[efect_inc]]</f>
        <v>#VALUE!</v>
      </c>
      <c r="I52" s="9" t="e">
        <f aca="false">Tabla3510813153426[[#This Row],[Correctos]]/Tabla3510813153426[[#This Row],[total_sec]]</f>
        <v>#VALUE!</v>
      </c>
      <c r="J52" s="9" t="e">
        <f aca="false">Tabla3510813153426[[#This Row],[efec_cor]]/Tabla3510813153426[[#This Row],[efec]]</f>
        <v>#VALUE!</v>
      </c>
      <c r="K52" s="9" t="e">
        <f aca="false">Tabla3510813153426[[#This Row],[efect_inc]]/Tabla3510813153426[[#This Row],[efec]]</f>
        <v>#VALUE!</v>
      </c>
      <c r="L52" s="9" t="e">
        <f aca="false">Tabla3510813153426[[#This Row],[no_efec_cor]]/Tabla3510813153426[[#This Row],[no_efe]]</f>
        <v>#VALUE!</v>
      </c>
      <c r="M52" s="9" t="e">
        <f aca="false">Tabla3510813153426[[#This Row],[no_efec_inc]]/Tabla3510813153426[[#This Row],[no_efe]]</f>
        <v>#VALUE!</v>
      </c>
      <c r="N52" s="9" t="e">
        <f aca="false">(Tabla3510813153426[[#This Row],[% efe_cor]]+Tabla3510813153426[[#This Row],[% no_efe_cor]])/2</f>
        <v>#VALUE!</v>
      </c>
      <c r="O52" s="10" t="e">
        <f aca="false">(Tabla3510813153426[[#This Row],[% efe_inc]]+Tabla3510813153426[[#This Row],[% no_efect_inc]])/2</f>
        <v>#VALUE!</v>
      </c>
      <c r="P52" s="11" t="e">
        <f aca="false">Tabla3510813153426[[#This Row],[no_efec_cor]]/(Tabla3510813153426[[#This Row],[efect_inc]]+Tabla3510813153426[[#This Row],[no_efec_cor]])</f>
        <v>#VALUE!</v>
      </c>
      <c r="Q52" s="11" t="e">
        <f aca="false">Tabla3510813153426[[#This Row],[efec_cor]]/(Tabla3510813153426[[#This Row],[efec_cor]]+Tabla3510813153426[[#This Row],[no_efec_inc]])</f>
        <v>#VALUE!</v>
      </c>
      <c r="R52" s="11" t="e">
        <f aca="false">(Tabla3510813153426[[#This Row],[PNE]]+Tabla3510813153426[[#This Row],[PE]])/2</f>
        <v>#VALUE!</v>
      </c>
      <c r="S52" s="0" t="n">
        <v>114</v>
      </c>
      <c r="T52" s="0" t="n">
        <v>115</v>
      </c>
      <c r="U52" s="0" t="e">
        <f aca="false">Tabla3510813153426[[#This Row],[efec]]+Tabla3510813153426[[#This Row],[no_efe]]</f>
        <v>#VALUE!</v>
      </c>
    </row>
    <row r="53" customFormat="false" ht="13.8" hidden="false" customHeight="false" outlineLevel="0" collapsed="false">
      <c r="A53" s="0" t="n">
        <v>15</v>
      </c>
      <c r="B53" s="0" t="n">
        <v>0.5</v>
      </c>
      <c r="C53" s="0" t="n">
        <v>111</v>
      </c>
      <c r="D53" s="0" t="n">
        <v>4</v>
      </c>
      <c r="E53" s="0" t="n">
        <v>108</v>
      </c>
      <c r="F53" s="0" t="n">
        <v>6</v>
      </c>
      <c r="G53" s="0" t="e">
        <f aca="false">Tabla3510813153426[[#This Row],[no_efec_cor]]+Tabla3510813153426[[#This Row],[efec_cor]]</f>
        <v>#VALUE!</v>
      </c>
      <c r="H53" s="0" t="e">
        <f aca="false">Tabla3510813153426[[#This Row],[no_efec_inc]]+Tabla3510813153426[[#This Row],[efect_inc]]</f>
        <v>#VALUE!</v>
      </c>
      <c r="I53" s="9" t="e">
        <f aca="false">Tabla3510813153426[[#This Row],[Correctos]]/Tabla3510813153426[[#This Row],[total_sec]]</f>
        <v>#VALUE!</v>
      </c>
      <c r="J53" s="9" t="e">
        <f aca="false">Tabla3510813153426[[#This Row],[efec_cor]]/Tabla3510813153426[[#This Row],[efec]]</f>
        <v>#VALUE!</v>
      </c>
      <c r="K53" s="9" t="e">
        <f aca="false">Tabla3510813153426[[#This Row],[efect_inc]]/Tabla3510813153426[[#This Row],[efec]]</f>
        <v>#VALUE!</v>
      </c>
      <c r="L53" s="9" t="e">
        <f aca="false">Tabla3510813153426[[#This Row],[no_efec_cor]]/Tabla3510813153426[[#This Row],[no_efe]]</f>
        <v>#VALUE!</v>
      </c>
      <c r="M53" s="9" t="e">
        <f aca="false">Tabla3510813153426[[#This Row],[no_efec_inc]]/Tabla3510813153426[[#This Row],[no_efe]]</f>
        <v>#VALUE!</v>
      </c>
      <c r="N53" s="9" t="e">
        <f aca="false">(Tabla3510813153426[[#This Row],[% efe_cor]]+Tabla3510813153426[[#This Row],[% no_efe_cor]])/2</f>
        <v>#VALUE!</v>
      </c>
      <c r="O53" s="10" t="e">
        <f aca="false">(Tabla3510813153426[[#This Row],[% efe_inc]]+Tabla3510813153426[[#This Row],[% no_efect_inc]])/2</f>
        <v>#VALUE!</v>
      </c>
      <c r="P53" s="11" t="e">
        <f aca="false">Tabla3510813153426[[#This Row],[no_efec_cor]]/(Tabla3510813153426[[#This Row],[efect_inc]]+Tabla3510813153426[[#This Row],[no_efec_cor]])</f>
        <v>#VALUE!</v>
      </c>
      <c r="Q53" s="11" t="e">
        <f aca="false">Tabla3510813153426[[#This Row],[efec_cor]]/(Tabla3510813153426[[#This Row],[efec_cor]]+Tabla3510813153426[[#This Row],[no_efec_inc]])</f>
        <v>#VALUE!</v>
      </c>
      <c r="R53" s="11" t="e">
        <f aca="false">(Tabla3510813153426[[#This Row],[PNE]]+Tabla3510813153426[[#This Row],[PE]])/2</f>
        <v>#VALUE!</v>
      </c>
      <c r="S53" s="0" t="n">
        <v>114</v>
      </c>
      <c r="T53" s="0" t="n">
        <v>115</v>
      </c>
      <c r="U53" s="0" t="e">
        <f aca="false">Tabla3510813153426[[#This Row],[efec]]+Tabla3510813153426[[#This Row],[no_efe]]</f>
        <v>#VALUE!</v>
      </c>
    </row>
    <row r="54" customFormat="false" ht="13.8" hidden="false" customHeight="false" outlineLevel="0" collapsed="false">
      <c r="A54" s="0" t="n">
        <v>4</v>
      </c>
      <c r="B54" s="0" t="n">
        <v>1</v>
      </c>
      <c r="C54" s="0" t="n">
        <v>111</v>
      </c>
      <c r="D54" s="0" t="n">
        <v>4</v>
      </c>
      <c r="E54" s="0" t="n">
        <v>106</v>
      </c>
      <c r="F54" s="0" t="n">
        <v>8</v>
      </c>
      <c r="G54" s="0" t="e">
        <f aca="false">Tabla3510813153426[[#This Row],[no_efec_cor]]+Tabla3510813153426[[#This Row],[efec_cor]]</f>
        <v>#VALUE!</v>
      </c>
      <c r="H54" s="0" t="e">
        <f aca="false">Tabla3510813153426[[#This Row],[no_efec_inc]]+Tabla3510813153426[[#This Row],[efect_inc]]</f>
        <v>#VALUE!</v>
      </c>
      <c r="I54" s="9" t="e">
        <f aca="false">Tabla3510813153426[[#This Row],[Correctos]]/Tabla3510813153426[[#This Row],[total_sec]]</f>
        <v>#VALUE!</v>
      </c>
      <c r="J54" s="9" t="e">
        <f aca="false">Tabla3510813153426[[#This Row],[efec_cor]]/Tabla3510813153426[[#This Row],[efec]]</f>
        <v>#VALUE!</v>
      </c>
      <c r="K54" s="9" t="e">
        <f aca="false">Tabla3510813153426[[#This Row],[efect_inc]]/Tabla3510813153426[[#This Row],[efec]]</f>
        <v>#VALUE!</v>
      </c>
      <c r="L54" s="9" t="e">
        <f aca="false">Tabla3510813153426[[#This Row],[no_efec_cor]]/Tabla3510813153426[[#This Row],[no_efe]]</f>
        <v>#VALUE!</v>
      </c>
      <c r="M54" s="9" t="e">
        <f aca="false">Tabla3510813153426[[#This Row],[no_efec_inc]]/Tabla3510813153426[[#This Row],[no_efe]]</f>
        <v>#VALUE!</v>
      </c>
      <c r="N54" s="9" t="e">
        <f aca="false">(Tabla3510813153426[[#This Row],[% efe_cor]]+Tabla3510813153426[[#This Row],[% no_efe_cor]])/2</f>
        <v>#VALUE!</v>
      </c>
      <c r="O54" s="10" t="e">
        <f aca="false">(Tabla3510813153426[[#This Row],[% efe_inc]]+Tabla3510813153426[[#This Row],[% no_efect_inc]])/2</f>
        <v>#VALUE!</v>
      </c>
      <c r="P54" s="11" t="e">
        <f aca="false">Tabla3510813153426[[#This Row],[no_efec_cor]]/(Tabla3510813153426[[#This Row],[efect_inc]]+Tabla3510813153426[[#This Row],[no_efec_cor]])</f>
        <v>#VALUE!</v>
      </c>
      <c r="Q54" s="11" t="e">
        <f aca="false">Tabla3510813153426[[#This Row],[efec_cor]]/(Tabla3510813153426[[#This Row],[efec_cor]]+Tabla3510813153426[[#This Row],[no_efec_inc]])</f>
        <v>#VALUE!</v>
      </c>
      <c r="R54" s="11" t="e">
        <f aca="false">(Tabla3510813153426[[#This Row],[PNE]]+Tabla3510813153426[[#This Row],[PE]])/2</f>
        <v>#VALUE!</v>
      </c>
      <c r="S54" s="0" t="n">
        <v>114</v>
      </c>
      <c r="T54" s="0" t="n">
        <v>115</v>
      </c>
      <c r="U54" s="0" t="e">
        <f aca="false">Tabla3510813153426[[#This Row],[efec]]+Tabla3510813153426[[#This Row],[no_efe]]</f>
        <v>#VALUE!</v>
      </c>
    </row>
    <row r="55" customFormat="false" ht="13.8" hidden="false" customHeight="false" outlineLevel="0" collapsed="false">
      <c r="A55" s="0" t="n">
        <v>3</v>
      </c>
      <c r="B55" s="0" t="n">
        <v>1</v>
      </c>
      <c r="C55" s="0" t="n">
        <v>112</v>
      </c>
      <c r="D55" s="0" t="n">
        <v>3</v>
      </c>
      <c r="E55" s="0" t="n">
        <v>106</v>
      </c>
      <c r="F55" s="0" t="n">
        <v>8</v>
      </c>
      <c r="G55" s="0" t="e">
        <f aca="false">Tabla3510813153426[[#This Row],[no_efec_cor]]+Tabla3510813153426[[#This Row],[efec_cor]]</f>
        <v>#VALUE!</v>
      </c>
      <c r="H55" s="0" t="e">
        <f aca="false">Tabla3510813153426[[#This Row],[no_efec_inc]]+Tabla3510813153426[[#This Row],[efect_inc]]</f>
        <v>#VALUE!</v>
      </c>
      <c r="I55" s="9" t="e">
        <f aca="false">Tabla3510813153426[[#This Row],[Correctos]]/Tabla3510813153426[[#This Row],[total_sec]]</f>
        <v>#VALUE!</v>
      </c>
      <c r="J55" s="9" t="e">
        <f aca="false">Tabla3510813153426[[#This Row],[efec_cor]]/Tabla3510813153426[[#This Row],[efec]]</f>
        <v>#VALUE!</v>
      </c>
      <c r="K55" s="9" t="e">
        <f aca="false">Tabla3510813153426[[#This Row],[efect_inc]]/Tabla3510813153426[[#This Row],[efec]]</f>
        <v>#VALUE!</v>
      </c>
      <c r="L55" s="9" t="e">
        <f aca="false">Tabla3510813153426[[#This Row],[no_efec_cor]]/Tabla3510813153426[[#This Row],[no_efe]]</f>
        <v>#VALUE!</v>
      </c>
      <c r="M55" s="9" t="e">
        <f aca="false">Tabla3510813153426[[#This Row],[no_efec_inc]]/Tabla3510813153426[[#This Row],[no_efe]]</f>
        <v>#VALUE!</v>
      </c>
      <c r="N55" s="9" t="e">
        <f aca="false">(Tabla3510813153426[[#This Row],[% efe_cor]]+Tabla3510813153426[[#This Row],[% no_efe_cor]])/2</f>
        <v>#VALUE!</v>
      </c>
      <c r="O55" s="10" t="e">
        <f aca="false">(Tabla3510813153426[[#This Row],[% efe_inc]]+Tabla3510813153426[[#This Row],[% no_efect_inc]])/2</f>
        <v>#VALUE!</v>
      </c>
      <c r="P55" s="11" t="e">
        <f aca="false">Tabla3510813153426[[#This Row],[no_efec_cor]]/(Tabla3510813153426[[#This Row],[efect_inc]]+Tabla3510813153426[[#This Row],[no_efec_cor]])</f>
        <v>#VALUE!</v>
      </c>
      <c r="Q55" s="11" t="e">
        <f aca="false">Tabla3510813153426[[#This Row],[efec_cor]]/(Tabla3510813153426[[#This Row],[efec_cor]]+Tabla3510813153426[[#This Row],[no_efec_inc]])</f>
        <v>#VALUE!</v>
      </c>
      <c r="R55" s="11" t="e">
        <f aca="false">(Tabla3510813153426[[#This Row],[PNE]]+Tabla3510813153426[[#This Row],[PE]])/2</f>
        <v>#VALUE!</v>
      </c>
      <c r="S55" s="0" t="n">
        <v>114</v>
      </c>
      <c r="T55" s="0" t="n">
        <v>115</v>
      </c>
      <c r="U55" s="0" t="e">
        <f aca="false">Tabla3510813153426[[#This Row],[efec]]+Tabla3510813153426[[#This Row],[no_efe]]</f>
        <v>#VALUE!</v>
      </c>
    </row>
    <row r="56" customFormat="false" ht="13.8" hidden="false" customHeight="false" outlineLevel="0" collapsed="false">
      <c r="A56" s="0" t="n">
        <v>3</v>
      </c>
      <c r="B56" s="0" t="n">
        <v>5</v>
      </c>
      <c r="C56" s="0" t="n">
        <v>113</v>
      </c>
      <c r="D56" s="0" t="n">
        <v>2</v>
      </c>
      <c r="E56" s="0" t="n">
        <v>106</v>
      </c>
      <c r="F56" s="0" t="n">
        <v>8</v>
      </c>
      <c r="G56" s="0" t="e">
        <f aca="false">Tabla3510813153426[[#This Row],[no_efec_cor]]+Tabla3510813153426[[#This Row],[efec_cor]]</f>
        <v>#VALUE!</v>
      </c>
      <c r="H56" s="0" t="e">
        <f aca="false">Tabla3510813153426[[#This Row],[no_efec_inc]]+Tabla3510813153426[[#This Row],[efect_inc]]</f>
        <v>#VALUE!</v>
      </c>
      <c r="I56" s="9" t="e">
        <f aca="false">Tabla3510813153426[[#This Row],[Correctos]]/Tabla3510813153426[[#This Row],[total_sec]]</f>
        <v>#VALUE!</v>
      </c>
      <c r="J56" s="9" t="e">
        <f aca="false">Tabla3510813153426[[#This Row],[efec_cor]]/Tabla3510813153426[[#This Row],[efec]]</f>
        <v>#VALUE!</v>
      </c>
      <c r="K56" s="9" t="e">
        <f aca="false">Tabla3510813153426[[#This Row],[efect_inc]]/Tabla3510813153426[[#This Row],[efec]]</f>
        <v>#VALUE!</v>
      </c>
      <c r="L56" s="9" t="e">
        <f aca="false">Tabla3510813153426[[#This Row],[no_efec_cor]]/Tabla3510813153426[[#This Row],[no_efe]]</f>
        <v>#VALUE!</v>
      </c>
      <c r="M56" s="9" t="e">
        <f aca="false">Tabla3510813153426[[#This Row],[no_efec_inc]]/Tabla3510813153426[[#This Row],[no_efe]]</f>
        <v>#VALUE!</v>
      </c>
      <c r="N56" s="9" t="e">
        <f aca="false">(Tabla3510813153426[[#This Row],[% efe_cor]]+Tabla3510813153426[[#This Row],[% no_efe_cor]])/2</f>
        <v>#VALUE!</v>
      </c>
      <c r="O56" s="10" t="e">
        <f aca="false">(Tabla3510813153426[[#This Row],[% efe_inc]]+Tabla3510813153426[[#This Row],[% no_efect_inc]])/2</f>
        <v>#VALUE!</v>
      </c>
      <c r="P56" s="11" t="e">
        <f aca="false">Tabla3510813153426[[#This Row],[no_efec_cor]]/(Tabla3510813153426[[#This Row],[efect_inc]]+Tabla3510813153426[[#This Row],[no_efec_cor]])</f>
        <v>#VALUE!</v>
      </c>
      <c r="Q56" s="11" t="e">
        <f aca="false">Tabla3510813153426[[#This Row],[efec_cor]]/(Tabla3510813153426[[#This Row],[efec_cor]]+Tabla3510813153426[[#This Row],[no_efec_inc]])</f>
        <v>#VALUE!</v>
      </c>
      <c r="R56" s="11" t="e">
        <f aca="false">(Tabla3510813153426[[#This Row],[PNE]]+Tabla3510813153426[[#This Row],[PE]])/2</f>
        <v>#VALUE!</v>
      </c>
      <c r="S56" s="0" t="n">
        <v>114</v>
      </c>
      <c r="T56" s="0" t="n">
        <v>115</v>
      </c>
      <c r="U56" s="0" t="e">
        <f aca="false">Tabla3510813153426[[#This Row],[efec]]+Tabla3510813153426[[#This Row],[no_efe]]</f>
        <v>#VALUE!</v>
      </c>
    </row>
    <row r="57" customFormat="false" ht="13.8" hidden="false" customHeight="false" outlineLevel="0" collapsed="false">
      <c r="A57" s="0" t="n">
        <v>4</v>
      </c>
      <c r="B57" s="0" t="n">
        <v>5</v>
      </c>
      <c r="C57" s="0" t="n">
        <v>113</v>
      </c>
      <c r="D57" s="0" t="n">
        <v>2</v>
      </c>
      <c r="E57" s="0" t="n">
        <v>106</v>
      </c>
      <c r="F57" s="0" t="n">
        <v>8</v>
      </c>
      <c r="G57" s="0" t="e">
        <f aca="false">Tabla3510813153426[[#This Row],[no_efec_cor]]+Tabla3510813153426[[#This Row],[efec_cor]]</f>
        <v>#VALUE!</v>
      </c>
      <c r="H57" s="0" t="e">
        <f aca="false">Tabla3510813153426[[#This Row],[no_efec_inc]]+Tabla3510813153426[[#This Row],[efect_inc]]</f>
        <v>#VALUE!</v>
      </c>
      <c r="I57" s="9" t="e">
        <f aca="false">Tabla3510813153426[[#This Row],[Correctos]]/Tabla3510813153426[[#This Row],[total_sec]]</f>
        <v>#VALUE!</v>
      </c>
      <c r="J57" s="9" t="e">
        <f aca="false">Tabla3510813153426[[#This Row],[efec_cor]]/Tabla3510813153426[[#This Row],[efec]]</f>
        <v>#VALUE!</v>
      </c>
      <c r="K57" s="9" t="e">
        <f aca="false">Tabla3510813153426[[#This Row],[efect_inc]]/Tabla3510813153426[[#This Row],[efec]]</f>
        <v>#VALUE!</v>
      </c>
      <c r="L57" s="9" t="e">
        <f aca="false">Tabla3510813153426[[#This Row],[no_efec_cor]]/Tabla3510813153426[[#This Row],[no_efe]]</f>
        <v>#VALUE!</v>
      </c>
      <c r="M57" s="9" t="e">
        <f aca="false">Tabla3510813153426[[#This Row],[no_efec_inc]]/Tabla3510813153426[[#This Row],[no_efe]]</f>
        <v>#VALUE!</v>
      </c>
      <c r="N57" s="9" t="e">
        <f aca="false">(Tabla3510813153426[[#This Row],[% efe_cor]]+Tabla3510813153426[[#This Row],[% no_efe_cor]])/2</f>
        <v>#VALUE!</v>
      </c>
      <c r="O57" s="10" t="e">
        <f aca="false">(Tabla3510813153426[[#This Row],[% efe_inc]]+Tabla3510813153426[[#This Row],[% no_efect_inc]])/2</f>
        <v>#VALUE!</v>
      </c>
      <c r="P57" s="11" t="e">
        <f aca="false">Tabla3510813153426[[#This Row],[no_efec_cor]]/(Tabla3510813153426[[#This Row],[efect_inc]]+Tabla3510813153426[[#This Row],[no_efec_cor]])</f>
        <v>#VALUE!</v>
      </c>
      <c r="Q57" s="11" t="e">
        <f aca="false">Tabla3510813153426[[#This Row],[efec_cor]]/(Tabla3510813153426[[#This Row],[efec_cor]]+Tabla3510813153426[[#This Row],[no_efec_inc]])</f>
        <v>#VALUE!</v>
      </c>
      <c r="R57" s="11" t="e">
        <f aca="false">(Tabla3510813153426[[#This Row],[PNE]]+Tabla3510813153426[[#This Row],[PE]])/2</f>
        <v>#VALUE!</v>
      </c>
      <c r="S57" s="0" t="n">
        <v>114</v>
      </c>
      <c r="T57" s="0" t="n">
        <v>115</v>
      </c>
      <c r="U57" s="0" t="e">
        <f aca="false">Tabla3510813153426[[#This Row],[efec]]+Tabla3510813153426[[#This Row],[no_efe]]</f>
        <v>#VALUE!</v>
      </c>
    </row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U5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39" activeCellId="1" sqref="A74:F84 E39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116</v>
      </c>
    </row>
    <row r="5" customFormat="false" ht="15" hidden="false" customHeight="false" outlineLevel="0" collapsed="false">
      <c r="A5" s="3" t="s">
        <v>3</v>
      </c>
      <c r="B5" s="3"/>
      <c r="C5" s="4" t="n">
        <v>118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234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112</v>
      </c>
      <c r="C10" s="0" t="n">
        <v>6</v>
      </c>
      <c r="D10" s="0" t="n">
        <v>107</v>
      </c>
      <c r="E10" s="0" t="n">
        <v>9</v>
      </c>
      <c r="F10" s="0" t="n">
        <f aca="false">Tabla3510813153420[[#This Row],[no_efec_cor]]+Tabla3510813153420[[#This Row],[efec_cor]]</f>
        <v>219</v>
      </c>
      <c r="G10" s="0" t="n">
        <f aca="false">Tabla3510813153420[[#This Row],[no_efec_inc]]+Tabla3510813153420[[#This Row],[efect_inc]]</f>
        <v>15</v>
      </c>
      <c r="H10" s="9" t="n">
        <f aca="false">Tabla3510813153420[[#This Row],[Correctos]]/Tabla3510813153420[[#This Row],[total_sec]]</f>
        <v>0.935897435897436</v>
      </c>
      <c r="I10" s="9" t="n">
        <f aca="false">Tabla3510813153420[[#This Row],[efec_cor]]/Tabla3510813153420[[#This Row],[efec]]</f>
        <v>0.922413793103448</v>
      </c>
      <c r="J10" s="9" t="n">
        <f aca="false">Tabla3510813153420[[#This Row],[efect_inc]]/Tabla3510813153420[[#This Row],[efec]]</f>
        <v>0.0775862068965517</v>
      </c>
      <c r="K10" s="9" t="n">
        <f aca="false">Tabla3510813153420[[#This Row],[no_efec_cor]]/Tabla3510813153420[[#This Row],[no_efe]]</f>
        <v>0.949152542372881</v>
      </c>
      <c r="L10" s="9" t="n">
        <f aca="false">Tabla3510813153420[[#This Row],[no_efec_inc]]/Tabla3510813153420[[#This Row],[no_efe]]</f>
        <v>0.0508474576271187</v>
      </c>
      <c r="M10" s="9" t="n">
        <f aca="false">(Tabla3510813153420[[#This Row],[% efe_cor]]+Tabla3510813153420[[#This Row],[% no_efe_cor]])/2</f>
        <v>0.935783167738165</v>
      </c>
      <c r="N10" s="10" t="n">
        <f aca="false">(Tabla3510813153420[[#This Row],[% efe_inc]]+Tabla3510813153420[[#This Row],[% no_efect_inc]])/2</f>
        <v>0.0642168322618352</v>
      </c>
      <c r="O10" s="11" t="n">
        <f aca="false">Tabla3510813153420[[#This Row],[no_efec_cor]]/(Tabla3510813153420[[#This Row],[efect_inc]]+Tabla3510813153420[[#This Row],[no_efec_cor]])</f>
        <v>0.925619834710744</v>
      </c>
      <c r="P10" s="11" t="n">
        <f aca="false">Tabla3510813153420[[#This Row],[efec_cor]]/(Tabla3510813153420[[#This Row],[efec_cor]]+Tabla3510813153420[[#This Row],[no_efec_inc]])</f>
        <v>0.946902654867257</v>
      </c>
      <c r="Q10" s="11" t="n">
        <f aca="false">(Tabla3510813153420[[#This Row],[PNE]]+Tabla3510813153420[[#This Row],[PE]])/2</f>
        <v>0.936261244789</v>
      </c>
      <c r="R10" s="0" t="n">
        <v>116</v>
      </c>
      <c r="S10" s="0" t="n">
        <v>118</v>
      </c>
      <c r="T10" s="0" t="n">
        <f aca="false">Tabla3510813153420[[#This Row],[efec]]+Tabla3510813153420[[#This Row],[no_efe]]</f>
        <v>234</v>
      </c>
    </row>
    <row r="11" customFormat="false" ht="13.8" hidden="false" customHeight="false" outlineLevel="0" collapsed="false">
      <c r="A11" s="0" t="n">
        <v>5</v>
      </c>
      <c r="B11" s="0" t="n">
        <v>113</v>
      </c>
      <c r="C11" s="0" t="n">
        <v>5</v>
      </c>
      <c r="D11" s="0" t="n">
        <v>107</v>
      </c>
      <c r="E11" s="0" t="n">
        <v>9</v>
      </c>
      <c r="F11" s="0" t="n">
        <f aca="false">Tabla3510813153420[[#This Row],[no_efec_cor]]+Tabla3510813153420[[#This Row],[efec_cor]]</f>
        <v>220</v>
      </c>
      <c r="G11" s="0" t="n">
        <f aca="false">Tabla3510813153420[[#This Row],[no_efec_inc]]+Tabla3510813153420[[#This Row],[efect_inc]]</f>
        <v>14</v>
      </c>
      <c r="H11" s="9" t="n">
        <f aca="false">Tabla3510813153420[[#This Row],[Correctos]]/Tabla3510813153420[[#This Row],[total_sec]]</f>
        <v>0.94017094017094</v>
      </c>
      <c r="I11" s="9" t="n">
        <f aca="false">Tabla3510813153420[[#This Row],[efec_cor]]/Tabla3510813153420[[#This Row],[efec]]</f>
        <v>0.922413793103448</v>
      </c>
      <c r="J11" s="9" t="n">
        <f aca="false">Tabla3510813153420[[#This Row],[efect_inc]]/Tabla3510813153420[[#This Row],[efec]]</f>
        <v>0.0775862068965517</v>
      </c>
      <c r="K11" s="9" t="n">
        <f aca="false">Tabla3510813153420[[#This Row],[no_efec_cor]]/Tabla3510813153420[[#This Row],[no_efe]]</f>
        <v>0.957627118644068</v>
      </c>
      <c r="L11" s="9" t="n">
        <f aca="false">Tabla3510813153420[[#This Row],[no_efec_inc]]/Tabla3510813153420[[#This Row],[no_efe]]</f>
        <v>0.0423728813559322</v>
      </c>
      <c r="M11" s="9" t="n">
        <f aca="false">(Tabla3510813153420[[#This Row],[% efe_cor]]+Tabla3510813153420[[#This Row],[% no_efe_cor]])/2</f>
        <v>0.940020455873758</v>
      </c>
      <c r="N11" s="10" t="n">
        <f aca="false">(Tabla3510813153420[[#This Row],[% efe_inc]]+Tabla3510813153420[[#This Row],[% no_efect_inc]])/2</f>
        <v>0.059979544126242</v>
      </c>
      <c r="O11" s="11" t="n">
        <f aca="false">Tabla3510813153420[[#This Row],[no_efec_cor]]/(Tabla3510813153420[[#This Row],[efect_inc]]+Tabla3510813153420[[#This Row],[no_efec_cor]])</f>
        <v>0.926229508196721</v>
      </c>
      <c r="P11" s="11" t="n">
        <f aca="false">Tabla3510813153420[[#This Row],[efec_cor]]/(Tabla3510813153420[[#This Row],[efec_cor]]+Tabla3510813153420[[#This Row],[no_efec_inc]])</f>
        <v>0.955357142857143</v>
      </c>
      <c r="Q11" s="11" t="n">
        <f aca="false">(Tabla3510813153420[[#This Row],[PNE]]+Tabla3510813153420[[#This Row],[PE]])/2</f>
        <v>0.940793325526932</v>
      </c>
      <c r="R11" s="0" t="n">
        <v>116</v>
      </c>
      <c r="S11" s="0" t="n">
        <v>118</v>
      </c>
      <c r="T11" s="0" t="n">
        <f aca="false">Tabla3510813153420[[#This Row],[efec]]+Tabla3510813153420[[#This Row],[no_efe]]</f>
        <v>234</v>
      </c>
    </row>
    <row r="12" customFormat="false" ht="13.8" hidden="false" customHeight="false" outlineLevel="0" collapsed="false">
      <c r="A12" s="0" t="n">
        <v>10</v>
      </c>
      <c r="B12" s="0" t="n">
        <v>106</v>
      </c>
      <c r="C12" s="0" t="n">
        <v>12</v>
      </c>
      <c r="D12" s="0" t="n">
        <v>108</v>
      </c>
      <c r="E12" s="0" t="n">
        <v>8</v>
      </c>
      <c r="F12" s="0" t="n">
        <f aca="false">Tabla3510813153420[[#This Row],[no_efec_cor]]+Tabla3510813153420[[#This Row],[efec_cor]]</f>
        <v>214</v>
      </c>
      <c r="G12" s="0" t="n">
        <f aca="false">Tabla3510813153420[[#This Row],[no_efec_inc]]+Tabla3510813153420[[#This Row],[efect_inc]]</f>
        <v>20</v>
      </c>
      <c r="H12" s="9" t="n">
        <f aca="false">Tabla3510813153420[[#This Row],[Correctos]]/Tabla3510813153420[[#This Row],[total_sec]]</f>
        <v>0.914529914529915</v>
      </c>
      <c r="I12" s="9" t="n">
        <f aca="false">Tabla3510813153420[[#This Row],[efec_cor]]/Tabla3510813153420[[#This Row],[efec]]</f>
        <v>0.931034482758621</v>
      </c>
      <c r="J12" s="9" t="n">
        <f aca="false">Tabla3510813153420[[#This Row],[efect_inc]]/Tabla3510813153420[[#This Row],[efec]]</f>
        <v>0.0689655172413793</v>
      </c>
      <c r="K12" s="9" t="n">
        <f aca="false">Tabla3510813153420[[#This Row],[no_efec_cor]]/Tabla3510813153420[[#This Row],[no_efe]]</f>
        <v>0.898305084745763</v>
      </c>
      <c r="L12" s="9" t="n">
        <f aca="false">Tabla3510813153420[[#This Row],[no_efec_inc]]/Tabla3510813153420[[#This Row],[no_efe]]</f>
        <v>0.101694915254237</v>
      </c>
      <c r="M12" s="9" t="n">
        <f aca="false">(Tabla3510813153420[[#This Row],[% efe_cor]]+Tabla3510813153420[[#This Row],[% no_efe_cor]])/2</f>
        <v>0.914669783752192</v>
      </c>
      <c r="N12" s="10" t="n">
        <f aca="false">(Tabla3510813153420[[#This Row],[% efe_inc]]+Tabla3510813153420[[#This Row],[% no_efect_inc]])/2</f>
        <v>0.0853302162478083</v>
      </c>
      <c r="O12" s="11" t="n">
        <f aca="false">Tabla3510813153420[[#This Row],[no_efec_cor]]/(Tabla3510813153420[[#This Row],[efect_inc]]+Tabla3510813153420[[#This Row],[no_efec_cor]])</f>
        <v>0.929824561403509</v>
      </c>
      <c r="P12" s="11" t="n">
        <f aca="false">Tabla3510813153420[[#This Row],[efec_cor]]/(Tabla3510813153420[[#This Row],[efec_cor]]+Tabla3510813153420[[#This Row],[no_efec_inc]])</f>
        <v>0.9</v>
      </c>
      <c r="Q12" s="11" t="n">
        <f aca="false">(Tabla3510813153420[[#This Row],[PNE]]+Tabla3510813153420[[#This Row],[PE]])/2</f>
        <v>0.914912280701754</v>
      </c>
      <c r="R12" s="0" t="n">
        <v>116</v>
      </c>
      <c r="S12" s="0" t="n">
        <v>118</v>
      </c>
      <c r="T12" s="0" t="n">
        <f aca="false">Tabla3510813153420[[#This Row],[efec]]+Tabla3510813153420[[#This Row],[no_efe]]</f>
        <v>234</v>
      </c>
    </row>
    <row r="13" customFormat="false" ht="13.8" hidden="false" customHeight="false" outlineLevel="0" collapsed="false">
      <c r="A13" s="0" t="n">
        <v>15</v>
      </c>
      <c r="B13" s="0" t="n">
        <v>103</v>
      </c>
      <c r="C13" s="0" t="n">
        <v>15</v>
      </c>
      <c r="D13" s="0" t="n">
        <v>108</v>
      </c>
      <c r="E13" s="0" t="n">
        <v>8</v>
      </c>
      <c r="F13" s="0" t="n">
        <f aca="false">Tabla3510813153420[[#This Row],[no_efec_cor]]+Tabla3510813153420[[#This Row],[efec_cor]]</f>
        <v>211</v>
      </c>
      <c r="G13" s="0" t="n">
        <f aca="false">Tabla3510813153420[[#This Row],[no_efec_inc]]+Tabla3510813153420[[#This Row],[efect_inc]]</f>
        <v>23</v>
      </c>
      <c r="H13" s="9" t="n">
        <f aca="false">Tabla3510813153420[[#This Row],[Correctos]]/Tabla3510813153420[[#This Row],[total_sec]]</f>
        <v>0.901709401709402</v>
      </c>
      <c r="I13" s="9" t="n">
        <f aca="false">Tabla3510813153420[[#This Row],[efec_cor]]/Tabla3510813153420[[#This Row],[efec]]</f>
        <v>0.931034482758621</v>
      </c>
      <c r="J13" s="9" t="n">
        <f aca="false">Tabla3510813153420[[#This Row],[efect_inc]]/Tabla3510813153420[[#This Row],[efec]]</f>
        <v>0.0689655172413793</v>
      </c>
      <c r="K13" s="9" t="n">
        <f aca="false">Tabla3510813153420[[#This Row],[no_efec_cor]]/Tabla3510813153420[[#This Row],[no_efe]]</f>
        <v>0.872881355932203</v>
      </c>
      <c r="L13" s="9" t="n">
        <f aca="false">Tabla3510813153420[[#This Row],[no_efec_inc]]/Tabla3510813153420[[#This Row],[no_efe]]</f>
        <v>0.127118644067797</v>
      </c>
      <c r="M13" s="9" t="n">
        <f aca="false">(Tabla3510813153420[[#This Row],[% efe_cor]]+Tabla3510813153420[[#This Row],[% no_efe_cor]])/2</f>
        <v>0.901957919345412</v>
      </c>
      <c r="N13" s="10" t="n">
        <f aca="false">(Tabla3510813153420[[#This Row],[% efe_inc]]+Tabla3510813153420[[#This Row],[% no_efect_inc]])/2</f>
        <v>0.098042080654588</v>
      </c>
      <c r="O13" s="11" t="n">
        <f aca="false">Tabla3510813153420[[#This Row],[no_efec_cor]]/(Tabla3510813153420[[#This Row],[efect_inc]]+Tabla3510813153420[[#This Row],[no_efec_cor]])</f>
        <v>0.927927927927928</v>
      </c>
      <c r="P13" s="11" t="n">
        <f aca="false">Tabla3510813153420[[#This Row],[efec_cor]]/(Tabla3510813153420[[#This Row],[efec_cor]]+Tabla3510813153420[[#This Row],[no_efec_inc]])</f>
        <v>0.878048780487805</v>
      </c>
      <c r="Q13" s="11" t="n">
        <f aca="false">(Tabla3510813153420[[#This Row],[PNE]]+Tabla3510813153420[[#This Row],[PE]])/2</f>
        <v>0.902988354207866</v>
      </c>
      <c r="R13" s="0" t="n">
        <v>116</v>
      </c>
      <c r="S13" s="0" t="n">
        <v>118</v>
      </c>
      <c r="T13" s="0" t="n">
        <f aca="false">Tabla3510813153420[[#This Row],[efec]]+Tabla3510813153420[[#This Row],[no_efe]]</f>
        <v>234</v>
      </c>
    </row>
    <row r="14" customFormat="false" ht="13.8" hidden="false" customHeight="false" outlineLevel="0" collapsed="false">
      <c r="A14" s="0" t="n">
        <v>20</v>
      </c>
      <c r="B14" s="0" t="n">
        <v>92</v>
      </c>
      <c r="C14" s="0" t="n">
        <v>26</v>
      </c>
      <c r="D14" s="0" t="n">
        <v>108</v>
      </c>
      <c r="E14" s="0" t="n">
        <v>8</v>
      </c>
      <c r="F14" s="0" t="n">
        <f aca="false">Tabla3510813153420[[#This Row],[no_efec_cor]]+Tabla3510813153420[[#This Row],[efec_cor]]</f>
        <v>200</v>
      </c>
      <c r="G14" s="0" t="n">
        <f aca="false">Tabla3510813153420[[#This Row],[no_efec_inc]]+Tabla3510813153420[[#This Row],[efect_inc]]</f>
        <v>34</v>
      </c>
      <c r="H14" s="9" t="n">
        <f aca="false">Tabla3510813153420[[#This Row],[Correctos]]/Tabla3510813153420[[#This Row],[total_sec]]</f>
        <v>0.854700854700855</v>
      </c>
      <c r="I14" s="9" t="n">
        <f aca="false">Tabla3510813153420[[#This Row],[efec_cor]]/Tabla3510813153420[[#This Row],[efec]]</f>
        <v>0.931034482758621</v>
      </c>
      <c r="J14" s="9" t="n">
        <f aca="false">Tabla3510813153420[[#This Row],[efect_inc]]/Tabla3510813153420[[#This Row],[efec]]</f>
        <v>0.0689655172413793</v>
      </c>
      <c r="K14" s="9" t="n">
        <f aca="false">Tabla3510813153420[[#This Row],[no_efec_cor]]/Tabla3510813153420[[#This Row],[no_efe]]</f>
        <v>0.779661016949153</v>
      </c>
      <c r="L14" s="9" t="n">
        <f aca="false">Tabla3510813153420[[#This Row],[no_efec_inc]]/Tabla3510813153420[[#This Row],[no_efe]]</f>
        <v>0.220338983050847</v>
      </c>
      <c r="M14" s="9" t="n">
        <f aca="false">(Tabla3510813153420[[#This Row],[% efe_cor]]+Tabla3510813153420[[#This Row],[% no_efe_cor]])/2</f>
        <v>0.855347749853887</v>
      </c>
      <c r="N14" s="10" t="n">
        <f aca="false">(Tabla3510813153420[[#This Row],[% efe_inc]]+Tabla3510813153420[[#This Row],[% no_efect_inc]])/2</f>
        <v>0.144652250146113</v>
      </c>
      <c r="O14" s="11" t="n">
        <f aca="false">Tabla3510813153420[[#This Row],[no_efec_cor]]/(Tabla3510813153420[[#This Row],[efect_inc]]+Tabla3510813153420[[#This Row],[no_efec_cor]])</f>
        <v>0.92</v>
      </c>
      <c r="P14" s="11" t="n">
        <f aca="false">Tabla3510813153420[[#This Row],[efec_cor]]/(Tabla3510813153420[[#This Row],[efec_cor]]+Tabla3510813153420[[#This Row],[no_efec_inc]])</f>
        <v>0.805970149253731</v>
      </c>
      <c r="Q14" s="11" t="n">
        <f aca="false">(Tabla3510813153420[[#This Row],[PNE]]+Tabla3510813153420[[#This Row],[PE]])/2</f>
        <v>0.862985074626866</v>
      </c>
      <c r="R14" s="0" t="n">
        <v>116</v>
      </c>
      <c r="S14" s="0" t="n">
        <v>118</v>
      </c>
      <c r="T14" s="0" t="n">
        <f aca="false">Tabla3510813153420[[#This Row],[efec]]+Tabla3510813153420[[#This Row],[no_efe]]</f>
        <v>234</v>
      </c>
    </row>
    <row r="15" customFormat="false" ht="13.8" hidden="false" customHeight="false" outlineLevel="0" collapsed="false">
      <c r="A15" s="0" t="n">
        <v>25</v>
      </c>
      <c r="B15" s="0" t="n">
        <v>77</v>
      </c>
      <c r="C15" s="0" t="n">
        <v>41</v>
      </c>
      <c r="D15" s="0" t="n">
        <v>110</v>
      </c>
      <c r="E15" s="0" t="n">
        <v>6</v>
      </c>
      <c r="F15" s="0" t="n">
        <f aca="false">Tabla3510813153420[[#This Row],[no_efec_cor]]+Tabla3510813153420[[#This Row],[efec_cor]]</f>
        <v>187</v>
      </c>
      <c r="G15" s="0" t="n">
        <f aca="false">Tabla3510813153420[[#This Row],[no_efec_inc]]+Tabla3510813153420[[#This Row],[efect_inc]]</f>
        <v>47</v>
      </c>
      <c r="H15" s="9" t="n">
        <f aca="false">Tabla3510813153420[[#This Row],[Correctos]]/Tabla3510813153420[[#This Row],[total_sec]]</f>
        <v>0.799145299145299</v>
      </c>
      <c r="I15" s="9" t="n">
        <f aca="false">Tabla3510813153420[[#This Row],[efec_cor]]/Tabla3510813153420[[#This Row],[efec]]</f>
        <v>0.948275862068966</v>
      </c>
      <c r="J15" s="9" t="n">
        <f aca="false">Tabla3510813153420[[#This Row],[efect_inc]]/Tabla3510813153420[[#This Row],[efec]]</f>
        <v>0.0517241379310345</v>
      </c>
      <c r="K15" s="9" t="n">
        <f aca="false">Tabla3510813153420[[#This Row],[no_efec_cor]]/Tabla3510813153420[[#This Row],[no_efe]]</f>
        <v>0.652542372881356</v>
      </c>
      <c r="L15" s="9" t="n">
        <f aca="false">Tabla3510813153420[[#This Row],[no_efec_inc]]/Tabla3510813153420[[#This Row],[no_efe]]</f>
        <v>0.347457627118644</v>
      </c>
      <c r="M15" s="9" t="n">
        <f aca="false">(Tabla3510813153420[[#This Row],[% efe_cor]]+Tabla3510813153420[[#This Row],[% no_efe_cor]])/2</f>
        <v>0.800409117475161</v>
      </c>
      <c r="N15" s="10" t="n">
        <f aca="false">(Tabla3510813153420[[#This Row],[% efe_inc]]+Tabla3510813153420[[#This Row],[% no_efect_inc]])/2</f>
        <v>0.199590882524839</v>
      </c>
      <c r="O15" s="11" t="n">
        <f aca="false">Tabla3510813153420[[#This Row],[no_efec_cor]]/(Tabla3510813153420[[#This Row],[efect_inc]]+Tabla3510813153420[[#This Row],[no_efec_cor]])</f>
        <v>0.927710843373494</v>
      </c>
      <c r="P15" s="11" t="n">
        <f aca="false">Tabla3510813153420[[#This Row],[efec_cor]]/(Tabla3510813153420[[#This Row],[efec_cor]]+Tabla3510813153420[[#This Row],[no_efec_inc]])</f>
        <v>0.728476821192053</v>
      </c>
      <c r="Q15" s="11" t="n">
        <f aca="false">(Tabla3510813153420[[#This Row],[PNE]]+Tabla3510813153420[[#This Row],[PE]])/2</f>
        <v>0.828093832282773</v>
      </c>
      <c r="R15" s="0" t="n">
        <v>116</v>
      </c>
      <c r="S15" s="0" t="n">
        <v>118</v>
      </c>
      <c r="T15" s="0" t="n">
        <f aca="false">Tabla3510813153420[[#This Row],[efec]]+Tabla3510813153420[[#This Row],[no_efe]]</f>
        <v>234</v>
      </c>
    </row>
    <row r="16" customFormat="false" ht="13.8" hidden="false" customHeight="false" outlineLevel="0" collapsed="false">
      <c r="A16" s="0" t="n">
        <v>30</v>
      </c>
      <c r="B16" s="0" t="n">
        <v>74</v>
      </c>
      <c r="C16" s="0" t="n">
        <v>44</v>
      </c>
      <c r="D16" s="0" t="n">
        <v>110</v>
      </c>
      <c r="E16" s="0" t="n">
        <v>6</v>
      </c>
      <c r="F16" s="0" t="n">
        <f aca="false">Tabla3510813153420[[#This Row],[no_efec_cor]]+Tabla3510813153420[[#This Row],[efec_cor]]</f>
        <v>184</v>
      </c>
      <c r="G16" s="0" t="n">
        <f aca="false">Tabla3510813153420[[#This Row],[no_efec_inc]]+Tabla3510813153420[[#This Row],[efect_inc]]</f>
        <v>50</v>
      </c>
      <c r="H16" s="9" t="n">
        <f aca="false">Tabla3510813153420[[#This Row],[Correctos]]/Tabla3510813153420[[#This Row],[total_sec]]</f>
        <v>0.786324786324786</v>
      </c>
      <c r="I16" s="9" t="n">
        <f aca="false">Tabla3510813153420[[#This Row],[efec_cor]]/Tabla3510813153420[[#This Row],[efec]]</f>
        <v>0.948275862068966</v>
      </c>
      <c r="J16" s="9" t="n">
        <f aca="false">Tabla3510813153420[[#This Row],[efect_inc]]/Tabla3510813153420[[#This Row],[efec]]</f>
        <v>0.0517241379310345</v>
      </c>
      <c r="K16" s="9" t="n">
        <f aca="false">Tabla3510813153420[[#This Row],[no_efec_cor]]/Tabla3510813153420[[#This Row],[no_efe]]</f>
        <v>0.627118644067797</v>
      </c>
      <c r="L16" s="9" t="n">
        <f aca="false">Tabla3510813153420[[#This Row],[no_efec_inc]]/Tabla3510813153420[[#This Row],[no_efe]]</f>
        <v>0.372881355932203</v>
      </c>
      <c r="M16" s="9" t="n">
        <f aca="false">(Tabla3510813153420[[#This Row],[% efe_cor]]+Tabla3510813153420[[#This Row],[% no_efe_cor]])/2</f>
        <v>0.787697253068381</v>
      </c>
      <c r="N16" s="10" t="n">
        <f aca="false">(Tabla3510813153420[[#This Row],[% efe_inc]]+Tabla3510813153420[[#This Row],[% no_efect_inc]])/2</f>
        <v>0.212302746931619</v>
      </c>
      <c r="O16" s="11" t="n">
        <f aca="false">Tabla3510813153420[[#This Row],[no_efec_cor]]/(Tabla3510813153420[[#This Row],[efect_inc]]+Tabla3510813153420[[#This Row],[no_efec_cor]])</f>
        <v>0.925</v>
      </c>
      <c r="P16" s="11" t="n">
        <f aca="false">Tabla3510813153420[[#This Row],[efec_cor]]/(Tabla3510813153420[[#This Row],[efec_cor]]+Tabla3510813153420[[#This Row],[no_efec_inc]])</f>
        <v>0.714285714285714</v>
      </c>
      <c r="Q16" s="11" t="n">
        <f aca="false">(Tabla3510813153420[[#This Row],[PNE]]+Tabla3510813153420[[#This Row],[PE]])/2</f>
        <v>0.819642857142857</v>
      </c>
      <c r="R16" s="0" t="n">
        <v>116</v>
      </c>
      <c r="S16" s="0" t="n">
        <v>118</v>
      </c>
      <c r="T16" s="0" t="n">
        <f aca="false">Tabla3510813153420[[#This Row],[efec]]+Tabla3510813153420[[#This Row],[no_efe]]</f>
        <v>234</v>
      </c>
    </row>
    <row r="17" customFormat="false" ht="13.8" hidden="false" customHeight="false" outlineLevel="0" collapsed="false">
      <c r="A17" s="0" t="n">
        <v>35</v>
      </c>
      <c r="B17" s="0" t="n">
        <v>73</v>
      </c>
      <c r="C17" s="0" t="n">
        <v>45</v>
      </c>
      <c r="D17" s="0" t="n">
        <v>111</v>
      </c>
      <c r="E17" s="0" t="n">
        <v>5</v>
      </c>
      <c r="F17" s="0" t="n">
        <f aca="false">Tabla3510813153420[[#This Row],[no_efec_cor]]+Tabla3510813153420[[#This Row],[efec_cor]]</f>
        <v>184</v>
      </c>
      <c r="G17" s="0" t="n">
        <f aca="false">Tabla3510813153420[[#This Row],[no_efec_inc]]+Tabla3510813153420[[#This Row],[efect_inc]]</f>
        <v>50</v>
      </c>
      <c r="H17" s="9" t="n">
        <f aca="false">Tabla3510813153420[[#This Row],[Correctos]]/Tabla3510813153420[[#This Row],[total_sec]]</f>
        <v>0.786324786324786</v>
      </c>
      <c r="I17" s="9" t="n">
        <f aca="false">Tabla3510813153420[[#This Row],[efec_cor]]/Tabla3510813153420[[#This Row],[efec]]</f>
        <v>0.956896551724138</v>
      </c>
      <c r="J17" s="9" t="n">
        <f aca="false">Tabla3510813153420[[#This Row],[efect_inc]]/Tabla3510813153420[[#This Row],[efec]]</f>
        <v>0.0431034482758621</v>
      </c>
      <c r="K17" s="9" t="n">
        <f aca="false">Tabla3510813153420[[#This Row],[no_efec_cor]]/Tabla3510813153420[[#This Row],[no_efe]]</f>
        <v>0.61864406779661</v>
      </c>
      <c r="L17" s="9" t="n">
        <f aca="false">Tabla3510813153420[[#This Row],[no_efec_inc]]/Tabla3510813153420[[#This Row],[no_efe]]</f>
        <v>0.38135593220339</v>
      </c>
      <c r="M17" s="9" t="n">
        <f aca="false">(Tabla3510813153420[[#This Row],[% efe_cor]]+Tabla3510813153420[[#This Row],[% no_efe_cor]])/2</f>
        <v>0.787770309760374</v>
      </c>
      <c r="N17" s="10" t="n">
        <f aca="false">(Tabla3510813153420[[#This Row],[% efe_inc]]+Tabla3510813153420[[#This Row],[% no_efect_inc]])/2</f>
        <v>0.212229690239626</v>
      </c>
      <c r="O17" s="11" t="n">
        <f aca="false">Tabla3510813153420[[#This Row],[no_efec_cor]]/(Tabla3510813153420[[#This Row],[efect_inc]]+Tabla3510813153420[[#This Row],[no_efec_cor]])</f>
        <v>0.935897435897436</v>
      </c>
      <c r="P17" s="11" t="n">
        <f aca="false">Tabla3510813153420[[#This Row],[efec_cor]]/(Tabla3510813153420[[#This Row],[efec_cor]]+Tabla3510813153420[[#This Row],[no_efec_inc]])</f>
        <v>0.711538461538462</v>
      </c>
      <c r="Q17" s="11" t="n">
        <f aca="false">(Tabla3510813153420[[#This Row],[PNE]]+Tabla3510813153420[[#This Row],[PE]])/2</f>
        <v>0.823717948717949</v>
      </c>
      <c r="R17" s="0" t="n">
        <v>116</v>
      </c>
      <c r="S17" s="0" t="n">
        <v>118</v>
      </c>
      <c r="T17" s="0" t="n">
        <f aca="false">Tabla3510813153420[[#This Row],[efec]]+Tabla3510813153420[[#This Row],[no_efe]]</f>
        <v>234</v>
      </c>
    </row>
    <row r="18" customFormat="false" ht="13.8" hidden="false" customHeight="false" outlineLevel="0" collapsed="false">
      <c r="A18" s="0" t="n">
        <v>39</v>
      </c>
      <c r="B18" s="0" t="n">
        <v>73</v>
      </c>
      <c r="C18" s="0" t="n">
        <v>45</v>
      </c>
      <c r="D18" s="0" t="n">
        <v>113</v>
      </c>
      <c r="E18" s="0" t="n">
        <v>3</v>
      </c>
      <c r="F18" s="0" t="n">
        <f aca="false">Tabla3510813153420[[#This Row],[no_efec_cor]]+Tabla3510813153420[[#This Row],[efec_cor]]</f>
        <v>186</v>
      </c>
      <c r="G18" s="0" t="n">
        <f aca="false">Tabla3510813153420[[#This Row],[no_efec_inc]]+Tabla3510813153420[[#This Row],[efect_inc]]</f>
        <v>48</v>
      </c>
      <c r="H18" s="9" t="n">
        <f aca="false">Tabla3510813153420[[#This Row],[Correctos]]/Tabla3510813153420[[#This Row],[total_sec]]</f>
        <v>0.794871794871795</v>
      </c>
      <c r="I18" s="9" t="n">
        <f aca="false">Tabla3510813153420[[#This Row],[efec_cor]]/Tabla3510813153420[[#This Row],[efec]]</f>
        <v>0.974137931034483</v>
      </c>
      <c r="J18" s="9" t="n">
        <f aca="false">Tabla3510813153420[[#This Row],[efect_inc]]/Tabla3510813153420[[#This Row],[efec]]</f>
        <v>0.0258620689655172</v>
      </c>
      <c r="K18" s="9" t="n">
        <f aca="false">Tabla3510813153420[[#This Row],[no_efec_cor]]/Tabla3510813153420[[#This Row],[no_efe]]</f>
        <v>0.61864406779661</v>
      </c>
      <c r="L18" s="9" t="n">
        <f aca="false">Tabla3510813153420[[#This Row],[no_efec_inc]]/Tabla3510813153420[[#This Row],[no_efe]]</f>
        <v>0.38135593220339</v>
      </c>
      <c r="M18" s="9" t="n">
        <f aca="false">(Tabla3510813153420[[#This Row],[% efe_cor]]+Tabla3510813153420[[#This Row],[% no_efe_cor]])/2</f>
        <v>0.796390999415547</v>
      </c>
      <c r="N18" s="10" t="n">
        <f aca="false">(Tabla3510813153420[[#This Row],[% efe_inc]]+Tabla3510813153420[[#This Row],[% no_efect_inc]])/2</f>
        <v>0.203609000584454</v>
      </c>
      <c r="O18" s="11" t="n">
        <f aca="false">Tabla3510813153420[[#This Row],[no_efec_cor]]/(Tabla3510813153420[[#This Row],[efect_inc]]+Tabla3510813153420[[#This Row],[no_efec_cor]])</f>
        <v>0.960526315789474</v>
      </c>
      <c r="P18" s="11" t="n">
        <f aca="false">Tabla3510813153420[[#This Row],[efec_cor]]/(Tabla3510813153420[[#This Row],[efec_cor]]+Tabla3510813153420[[#This Row],[no_efec_inc]])</f>
        <v>0.715189873417722</v>
      </c>
      <c r="Q18" s="11" t="n">
        <f aca="false">(Tabla3510813153420[[#This Row],[PNE]]+Tabla3510813153420[[#This Row],[PE]])/2</f>
        <v>0.837858094603598</v>
      </c>
      <c r="R18" s="0" t="n">
        <v>116</v>
      </c>
      <c r="S18" s="0" t="n">
        <v>118</v>
      </c>
      <c r="T18" s="0" t="n">
        <f aca="false">Tabla3510813153420[[#This Row],[efec]]+Tabla3510813153420[[#This Row],[no_efe]]</f>
        <v>234</v>
      </c>
    </row>
    <row r="20" customFormat="false" ht="19.5" hidden="false" customHeight="false" outlineLevel="0" collapsed="false">
      <c r="A20" s="1" t="s">
        <v>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  <c r="J24" s="9"/>
      <c r="K24" s="9"/>
      <c r="L24" s="9"/>
      <c r="M24" s="9"/>
      <c r="N24" s="10"/>
      <c r="O24" s="11"/>
      <c r="P24" s="11"/>
      <c r="Q24" s="11"/>
    </row>
    <row r="25" customFormat="false" ht="15.75" hidden="false" customHeight="false" outlineLevel="0" collapsed="false">
      <c r="A25" s="7" t="s">
        <v>27</v>
      </c>
      <c r="B25" s="7" t="s">
        <v>28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101</v>
      </c>
      <c r="D26" s="0" t="n">
        <v>17</v>
      </c>
      <c r="E26" s="0" t="n">
        <v>108</v>
      </c>
      <c r="F26" s="0" t="n">
        <v>8</v>
      </c>
      <c r="G26" s="0" t="n">
        <f aca="false">Tabla3510813153425[[#This Row],[no_efec_cor]]+Tabla3510813153425[[#This Row],[efec_cor]]</f>
        <v>209</v>
      </c>
      <c r="H26" s="0" t="n">
        <f aca="false">Tabla3510813153425[[#This Row],[no_efec_inc]]+Tabla3510813153425[[#This Row],[efect_inc]]</f>
        <v>25</v>
      </c>
      <c r="I26" s="9" t="n">
        <f aca="false">Tabla3510813153425[[#This Row],[Correctos]]/Tabla3510813153425[[#This Row],[total_sec]]</f>
        <v>0.893162393162393</v>
      </c>
      <c r="J26" s="9" t="n">
        <f aca="false">Tabla3510813153425[[#This Row],[efec_cor]]/Tabla3510813153425[[#This Row],[efec]]</f>
        <v>0.931034482758621</v>
      </c>
      <c r="K26" s="9" t="n">
        <f aca="false">Tabla3510813153425[[#This Row],[efect_inc]]/Tabla3510813153425[[#This Row],[efec]]</f>
        <v>0.0689655172413793</v>
      </c>
      <c r="L26" s="9" t="n">
        <f aca="false">Tabla3510813153425[[#This Row],[no_efec_cor]]/Tabla3510813153425[[#This Row],[no_efe]]</f>
        <v>0.85593220338983</v>
      </c>
      <c r="M26" s="9" t="n">
        <f aca="false">Tabla3510813153425[[#This Row],[no_efec_inc]]/Tabla3510813153425[[#This Row],[no_efe]]</f>
        <v>0.144067796610169</v>
      </c>
      <c r="N26" s="9" t="n">
        <f aca="false">(Tabla3510813153425[[#This Row],[% efe_cor]]+Tabla3510813153425[[#This Row],[% no_efe_cor]])/2</f>
        <v>0.893483343074226</v>
      </c>
      <c r="O26" s="10" t="n">
        <f aca="false">(Tabla3510813153425[[#This Row],[% efe_inc]]+Tabla3510813153425[[#This Row],[% no_efect_inc]])/2</f>
        <v>0.106516656925774</v>
      </c>
      <c r="P26" s="11" t="n">
        <f aca="false">Tabla3510813153425[[#This Row],[no_efec_cor]]/(Tabla3510813153425[[#This Row],[efect_inc]]+Tabla3510813153425[[#This Row],[no_efec_cor]])</f>
        <v>0.926605504587156</v>
      </c>
      <c r="Q26" s="11" t="n">
        <f aca="false">Tabla3510813153425[[#This Row],[efec_cor]]/(Tabla3510813153425[[#This Row],[efec_cor]]+Tabla3510813153425[[#This Row],[no_efec_inc]])</f>
        <v>0.864</v>
      </c>
      <c r="R26" s="11" t="n">
        <f aca="false">(Tabla3510813153425[[#This Row],[PNE]]+Tabla3510813153425[[#This Row],[PE]])/2</f>
        <v>0.895302752293578</v>
      </c>
      <c r="S26" s="0" t="n">
        <v>116</v>
      </c>
      <c r="T26" s="0" t="n">
        <v>118</v>
      </c>
      <c r="U26" s="0" t="n">
        <f aca="false">Tabla3510813153425[[#This Row],[efec]]+Tabla3510813153425[[#This Row],[no_efe]]</f>
        <v>234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106</v>
      </c>
      <c r="D27" s="0" t="n">
        <v>12</v>
      </c>
      <c r="E27" s="0" t="n">
        <v>107</v>
      </c>
      <c r="F27" s="0" t="n">
        <v>9</v>
      </c>
      <c r="G27" s="0" t="n">
        <f aca="false">Tabla3510813153425[[#This Row],[no_efec_cor]]+Tabla3510813153425[[#This Row],[efec_cor]]</f>
        <v>213</v>
      </c>
      <c r="H27" s="0" t="n">
        <f aca="false">Tabla3510813153425[[#This Row],[no_efec_inc]]+Tabla3510813153425[[#This Row],[efect_inc]]</f>
        <v>21</v>
      </c>
      <c r="I27" s="9" t="n">
        <f aca="false">Tabla3510813153425[[#This Row],[Correctos]]/Tabla3510813153425[[#This Row],[total_sec]]</f>
        <v>0.91025641025641</v>
      </c>
      <c r="J27" s="9" t="n">
        <f aca="false">Tabla3510813153425[[#This Row],[efec_cor]]/Tabla3510813153425[[#This Row],[efec]]</f>
        <v>0.922413793103448</v>
      </c>
      <c r="K27" s="9" t="n">
        <f aca="false">Tabla3510813153425[[#This Row],[efect_inc]]/Tabla3510813153425[[#This Row],[efec]]</f>
        <v>0.0775862068965517</v>
      </c>
      <c r="L27" s="9" t="n">
        <f aca="false">Tabla3510813153425[[#This Row],[no_efec_cor]]/Tabla3510813153425[[#This Row],[no_efe]]</f>
        <v>0.898305084745763</v>
      </c>
      <c r="M27" s="9" t="n">
        <f aca="false">Tabla3510813153425[[#This Row],[no_efec_inc]]/Tabla3510813153425[[#This Row],[no_efe]]</f>
        <v>0.101694915254237</v>
      </c>
      <c r="N27" s="9" t="n">
        <f aca="false">(Tabla3510813153425[[#This Row],[% efe_cor]]+Tabla3510813153425[[#This Row],[% no_efe_cor]])/2</f>
        <v>0.910359438924605</v>
      </c>
      <c r="O27" s="10" t="n">
        <f aca="false">(Tabla3510813153425[[#This Row],[% efe_inc]]+Tabla3510813153425[[#This Row],[% no_efect_inc]])/2</f>
        <v>0.0896405610753945</v>
      </c>
      <c r="P27" s="11" t="n">
        <f aca="false">Tabla3510813153425[[#This Row],[no_efec_cor]]/(Tabla3510813153425[[#This Row],[efect_inc]]+Tabla3510813153425[[#This Row],[no_efec_cor]])</f>
        <v>0.921739130434783</v>
      </c>
      <c r="Q27" s="11" t="n">
        <f aca="false">Tabla3510813153425[[#This Row],[efec_cor]]/(Tabla3510813153425[[#This Row],[efec_cor]]+Tabla3510813153425[[#This Row],[no_efec_inc]])</f>
        <v>0.899159663865546</v>
      </c>
      <c r="R27" s="11" t="n">
        <f aca="false">(Tabla3510813153425[[#This Row],[PNE]]+Tabla3510813153425[[#This Row],[PE]])/2</f>
        <v>0.910449397150164</v>
      </c>
      <c r="S27" s="0" t="n">
        <v>116</v>
      </c>
      <c r="T27" s="0" t="n">
        <v>118</v>
      </c>
      <c r="U27" s="0" t="n">
        <f aca="false">Tabla3510813153425[[#This Row],[efec]]+Tabla3510813153425[[#This Row],[no_efe]]</f>
        <v>234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114</v>
      </c>
      <c r="D28" s="0" t="n">
        <v>4</v>
      </c>
      <c r="E28" s="0" t="n">
        <v>106</v>
      </c>
      <c r="F28" s="0" t="n">
        <v>10</v>
      </c>
      <c r="G28" s="0" t="n">
        <f aca="false">Tabla3510813153425[[#This Row],[no_efec_cor]]+Tabla3510813153425[[#This Row],[efec_cor]]</f>
        <v>220</v>
      </c>
      <c r="H28" s="0" t="n">
        <f aca="false">Tabla3510813153425[[#This Row],[no_efec_inc]]+Tabla3510813153425[[#This Row],[efect_inc]]</f>
        <v>14</v>
      </c>
      <c r="I28" s="9" t="n">
        <f aca="false">Tabla3510813153425[[#This Row],[Correctos]]/Tabla3510813153425[[#This Row],[total_sec]]</f>
        <v>0.94017094017094</v>
      </c>
      <c r="J28" s="9" t="n">
        <f aca="false">Tabla3510813153425[[#This Row],[efec_cor]]/Tabla3510813153425[[#This Row],[efec]]</f>
        <v>0.913793103448276</v>
      </c>
      <c r="K28" s="9" t="n">
        <f aca="false">Tabla3510813153425[[#This Row],[efect_inc]]/Tabla3510813153425[[#This Row],[efec]]</f>
        <v>0.0862068965517241</v>
      </c>
      <c r="L28" s="9" t="n">
        <f aca="false">Tabla3510813153425[[#This Row],[no_efec_cor]]/Tabla3510813153425[[#This Row],[no_efe]]</f>
        <v>0.966101694915254</v>
      </c>
      <c r="M28" s="9" t="n">
        <f aca="false">Tabla3510813153425[[#This Row],[no_efec_inc]]/Tabla3510813153425[[#This Row],[no_efe]]</f>
        <v>0.0338983050847458</v>
      </c>
      <c r="N28" s="9" t="n">
        <f aca="false">(Tabla3510813153425[[#This Row],[% efe_cor]]+Tabla3510813153425[[#This Row],[% no_efe_cor]])/2</f>
        <v>0.939947399181765</v>
      </c>
      <c r="O28" s="10" t="n">
        <f aca="false">(Tabla3510813153425[[#This Row],[% efe_inc]]+Tabla3510813153425[[#This Row],[% no_efect_inc]])/2</f>
        <v>0.0600526008182349</v>
      </c>
      <c r="P28" s="11" t="n">
        <f aca="false">Tabla3510813153425[[#This Row],[no_efec_cor]]/(Tabla3510813153425[[#This Row],[efect_inc]]+Tabla3510813153425[[#This Row],[no_efec_cor]])</f>
        <v>0.919354838709677</v>
      </c>
      <c r="Q28" s="11" t="n">
        <f aca="false">Tabla3510813153425[[#This Row],[efec_cor]]/(Tabla3510813153425[[#This Row],[efec_cor]]+Tabla3510813153425[[#This Row],[no_efec_inc]])</f>
        <v>0.963636363636364</v>
      </c>
      <c r="R28" s="11" t="n">
        <f aca="false">(Tabla3510813153425[[#This Row],[PNE]]+Tabla3510813153425[[#This Row],[PE]])/2</f>
        <v>0.94149560117302</v>
      </c>
      <c r="S28" s="0" t="n">
        <v>116</v>
      </c>
      <c r="T28" s="0" t="n">
        <v>118</v>
      </c>
      <c r="U28" s="0" t="n">
        <f aca="false">Tabla3510813153425[[#This Row],[efec]]+Tabla3510813153425[[#This Row],[no_efe]]</f>
        <v>234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114</v>
      </c>
      <c r="D29" s="0" t="n">
        <v>4</v>
      </c>
      <c r="E29" s="0" t="n">
        <v>106</v>
      </c>
      <c r="F29" s="0" t="n">
        <v>10</v>
      </c>
      <c r="G29" s="0" t="n">
        <f aca="false">Tabla3510813153425[[#This Row],[no_efec_cor]]+Tabla3510813153425[[#This Row],[efec_cor]]</f>
        <v>220</v>
      </c>
      <c r="H29" s="0" t="n">
        <f aca="false">Tabla3510813153425[[#This Row],[no_efec_inc]]+Tabla3510813153425[[#This Row],[efect_inc]]</f>
        <v>14</v>
      </c>
      <c r="I29" s="9" t="n">
        <f aca="false">Tabla3510813153425[[#This Row],[Correctos]]/Tabla3510813153425[[#This Row],[total_sec]]</f>
        <v>0.94017094017094</v>
      </c>
      <c r="J29" s="9" t="n">
        <f aca="false">Tabla3510813153425[[#This Row],[efec_cor]]/Tabla3510813153425[[#This Row],[efec]]</f>
        <v>0.913793103448276</v>
      </c>
      <c r="K29" s="9" t="n">
        <f aca="false">Tabla3510813153425[[#This Row],[efect_inc]]/Tabla3510813153425[[#This Row],[efec]]</f>
        <v>0.0862068965517241</v>
      </c>
      <c r="L29" s="9" t="n">
        <f aca="false">Tabla3510813153425[[#This Row],[no_efec_cor]]/Tabla3510813153425[[#This Row],[no_efe]]</f>
        <v>0.966101694915254</v>
      </c>
      <c r="M29" s="9" t="n">
        <f aca="false">Tabla3510813153425[[#This Row],[no_efec_inc]]/Tabla3510813153425[[#This Row],[no_efe]]</f>
        <v>0.0338983050847458</v>
      </c>
      <c r="N29" s="9" t="n">
        <f aca="false">(Tabla3510813153425[[#This Row],[% efe_cor]]+Tabla3510813153425[[#This Row],[% no_efe_cor]])/2</f>
        <v>0.939947399181765</v>
      </c>
      <c r="O29" s="10" t="n">
        <f aca="false">(Tabla3510813153425[[#This Row],[% efe_inc]]+Tabla3510813153425[[#This Row],[% no_efect_inc]])/2</f>
        <v>0.0600526008182349</v>
      </c>
      <c r="P29" s="11" t="n">
        <f aca="false">Tabla3510813153425[[#This Row],[no_efec_cor]]/(Tabla3510813153425[[#This Row],[efect_inc]]+Tabla3510813153425[[#This Row],[no_efec_cor]])</f>
        <v>0.919354838709677</v>
      </c>
      <c r="Q29" s="11" t="n">
        <f aca="false">Tabla3510813153425[[#This Row],[efec_cor]]/(Tabla3510813153425[[#This Row],[efec_cor]]+Tabla3510813153425[[#This Row],[no_efec_inc]])</f>
        <v>0.963636363636364</v>
      </c>
      <c r="R29" s="11" t="n">
        <f aca="false">(Tabla3510813153425[[#This Row],[PNE]]+Tabla3510813153425[[#This Row],[PE]])/2</f>
        <v>0.94149560117302</v>
      </c>
      <c r="S29" s="0" t="n">
        <v>116</v>
      </c>
      <c r="T29" s="0" t="n">
        <v>118</v>
      </c>
      <c r="U29" s="0" t="n">
        <f aca="false">Tabla3510813153425[[#This Row],[efec]]+Tabla3510813153425[[#This Row],[no_efe]]</f>
        <v>234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114</v>
      </c>
      <c r="D30" s="0" t="n">
        <v>4</v>
      </c>
      <c r="E30" s="0" t="n">
        <v>107</v>
      </c>
      <c r="F30" s="0" t="n">
        <v>9</v>
      </c>
      <c r="G30" s="0" t="n">
        <f aca="false">Tabla3510813153425[[#This Row],[no_efec_cor]]+Tabla3510813153425[[#This Row],[efec_cor]]</f>
        <v>221</v>
      </c>
      <c r="H30" s="0" t="n">
        <f aca="false">Tabla3510813153425[[#This Row],[no_efec_inc]]+Tabla3510813153425[[#This Row],[efect_inc]]</f>
        <v>13</v>
      </c>
      <c r="I30" s="9" t="n">
        <f aca="false">Tabla3510813153425[[#This Row],[Correctos]]/Tabla3510813153425[[#This Row],[total_sec]]</f>
        <v>0.944444444444444</v>
      </c>
      <c r="J30" s="9" t="n">
        <f aca="false">Tabla3510813153425[[#This Row],[efec_cor]]/Tabla3510813153425[[#This Row],[efec]]</f>
        <v>0.922413793103448</v>
      </c>
      <c r="K30" s="9" t="n">
        <f aca="false">Tabla3510813153425[[#This Row],[efect_inc]]/Tabla3510813153425[[#This Row],[efec]]</f>
        <v>0.0775862068965517</v>
      </c>
      <c r="L30" s="9" t="n">
        <f aca="false">Tabla3510813153425[[#This Row],[no_efec_cor]]/Tabla3510813153425[[#This Row],[no_efe]]</f>
        <v>0.966101694915254</v>
      </c>
      <c r="M30" s="9" t="n">
        <f aca="false">Tabla3510813153425[[#This Row],[no_efec_inc]]/Tabla3510813153425[[#This Row],[no_efe]]</f>
        <v>0.0338983050847458</v>
      </c>
      <c r="N30" s="9" t="n">
        <f aca="false">(Tabla3510813153425[[#This Row],[% efe_cor]]+Tabla3510813153425[[#This Row],[% no_efe_cor]])/2</f>
        <v>0.944257744009351</v>
      </c>
      <c r="O30" s="10" t="n">
        <f aca="false">(Tabla3510813153425[[#This Row],[% efe_inc]]+Tabla3510813153425[[#This Row],[% no_efect_inc]])/2</f>
        <v>0.0557422559906487</v>
      </c>
      <c r="P30" s="11" t="n">
        <f aca="false">Tabla3510813153425[[#This Row],[no_efec_cor]]/(Tabla3510813153425[[#This Row],[efect_inc]]+Tabla3510813153425[[#This Row],[no_efec_cor]])</f>
        <v>0.926829268292683</v>
      </c>
      <c r="Q30" s="11" t="n">
        <f aca="false">Tabla3510813153425[[#This Row],[efec_cor]]/(Tabla3510813153425[[#This Row],[efec_cor]]+Tabla3510813153425[[#This Row],[no_efec_inc]])</f>
        <v>0.963963963963964</v>
      </c>
      <c r="R30" s="11" t="n">
        <f aca="false">(Tabla3510813153425[[#This Row],[PNE]]+Tabla3510813153425[[#This Row],[PE]])/2</f>
        <v>0.945396616128324</v>
      </c>
      <c r="S30" s="0" t="n">
        <v>116</v>
      </c>
      <c r="T30" s="0" t="n">
        <v>118</v>
      </c>
      <c r="U30" s="0" t="n">
        <f aca="false">Tabla3510813153425[[#This Row],[efec]]+Tabla3510813153425[[#This Row],[no_efe]]</f>
        <v>234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114</v>
      </c>
      <c r="D31" s="0" t="n">
        <v>4</v>
      </c>
      <c r="E31" s="0" t="n">
        <v>107</v>
      </c>
      <c r="F31" s="0" t="n">
        <v>9</v>
      </c>
      <c r="G31" s="0" t="n">
        <f aca="false">Tabla3510813153425[[#This Row],[no_efec_cor]]+Tabla3510813153425[[#This Row],[efec_cor]]</f>
        <v>221</v>
      </c>
      <c r="H31" s="0" t="n">
        <f aca="false">Tabla3510813153425[[#This Row],[no_efec_inc]]+Tabla3510813153425[[#This Row],[efect_inc]]</f>
        <v>13</v>
      </c>
      <c r="I31" s="9" t="n">
        <f aca="false">Tabla3510813153425[[#This Row],[Correctos]]/Tabla3510813153425[[#This Row],[total_sec]]</f>
        <v>0.944444444444444</v>
      </c>
      <c r="J31" s="9" t="n">
        <f aca="false">Tabla3510813153425[[#This Row],[efec_cor]]/Tabla3510813153425[[#This Row],[efec]]</f>
        <v>0.922413793103448</v>
      </c>
      <c r="K31" s="9" t="n">
        <f aca="false">Tabla3510813153425[[#This Row],[efect_inc]]/Tabla3510813153425[[#This Row],[efec]]</f>
        <v>0.0775862068965517</v>
      </c>
      <c r="L31" s="9" t="n">
        <f aca="false">Tabla3510813153425[[#This Row],[no_efec_cor]]/Tabla3510813153425[[#This Row],[no_efe]]</f>
        <v>0.966101694915254</v>
      </c>
      <c r="M31" s="9" t="n">
        <f aca="false">Tabla3510813153425[[#This Row],[no_efec_inc]]/Tabla3510813153425[[#This Row],[no_efe]]</f>
        <v>0.0338983050847458</v>
      </c>
      <c r="N31" s="9" t="n">
        <f aca="false">(Tabla3510813153425[[#This Row],[% efe_cor]]+Tabla3510813153425[[#This Row],[% no_efe_cor]])/2</f>
        <v>0.944257744009351</v>
      </c>
      <c r="O31" s="10" t="n">
        <f aca="false">(Tabla3510813153425[[#This Row],[% efe_inc]]+Tabla3510813153425[[#This Row],[% no_efect_inc]])/2</f>
        <v>0.0557422559906487</v>
      </c>
      <c r="P31" s="11" t="n">
        <f aca="false">Tabla3510813153425[[#This Row],[no_efec_cor]]/(Tabla3510813153425[[#This Row],[efect_inc]]+Tabla3510813153425[[#This Row],[no_efec_cor]])</f>
        <v>0.926829268292683</v>
      </c>
      <c r="Q31" s="11" t="n">
        <f aca="false">Tabla3510813153425[[#This Row],[efec_cor]]/(Tabla3510813153425[[#This Row],[efec_cor]]+Tabla3510813153425[[#This Row],[no_efec_inc]])</f>
        <v>0.963963963963964</v>
      </c>
      <c r="R31" s="11" t="n">
        <f aca="false">(Tabla3510813153425[[#This Row],[PNE]]+Tabla3510813153425[[#This Row],[PE]])/2</f>
        <v>0.945396616128324</v>
      </c>
      <c r="S31" s="0" t="n">
        <v>116</v>
      </c>
      <c r="T31" s="0" t="n">
        <v>118</v>
      </c>
      <c r="U31" s="0" t="n">
        <f aca="false">Tabla3510813153425[[#This Row],[efec]]+Tabla3510813153425[[#This Row],[no_efe]]</f>
        <v>234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116</v>
      </c>
      <c r="D32" s="0" t="n">
        <v>2</v>
      </c>
      <c r="E32" s="0" t="n">
        <v>106</v>
      </c>
      <c r="F32" s="0" t="n">
        <v>10</v>
      </c>
      <c r="G32" s="0" t="n">
        <f aca="false">Tabla3510813153425[[#This Row],[no_efec_cor]]+Tabla3510813153425[[#This Row],[efec_cor]]</f>
        <v>222</v>
      </c>
      <c r="H32" s="0" t="n">
        <f aca="false">Tabla3510813153425[[#This Row],[no_efec_inc]]+Tabla3510813153425[[#This Row],[efect_inc]]</f>
        <v>12</v>
      </c>
      <c r="I32" s="9" t="n">
        <f aca="false">Tabla3510813153425[[#This Row],[Correctos]]/Tabla3510813153425[[#This Row],[total_sec]]</f>
        <v>0.948717948717949</v>
      </c>
      <c r="J32" s="9" t="n">
        <f aca="false">Tabla3510813153425[[#This Row],[efec_cor]]/Tabla3510813153425[[#This Row],[efec]]</f>
        <v>0.913793103448276</v>
      </c>
      <c r="K32" s="9" t="n">
        <f aca="false">Tabla3510813153425[[#This Row],[efect_inc]]/Tabla3510813153425[[#This Row],[efec]]</f>
        <v>0.0862068965517241</v>
      </c>
      <c r="L32" s="9" t="n">
        <f aca="false">Tabla3510813153425[[#This Row],[no_efec_cor]]/Tabla3510813153425[[#This Row],[no_efe]]</f>
        <v>0.983050847457627</v>
      </c>
      <c r="M32" s="9" t="n">
        <f aca="false">Tabla3510813153425[[#This Row],[no_efec_inc]]/Tabla3510813153425[[#This Row],[no_efe]]</f>
        <v>0.0169491525423729</v>
      </c>
      <c r="N32" s="9" t="n">
        <f aca="false">(Tabla3510813153425[[#This Row],[% efe_cor]]+Tabla3510813153425[[#This Row],[% no_efe_cor]])/2</f>
        <v>0.948421975452951</v>
      </c>
      <c r="O32" s="10" t="n">
        <f aca="false">(Tabla3510813153425[[#This Row],[% efe_inc]]+Tabla3510813153425[[#This Row],[% no_efect_inc]])/2</f>
        <v>0.0515780245470485</v>
      </c>
      <c r="P32" s="11" t="n">
        <f aca="false">Tabla3510813153425[[#This Row],[no_efec_cor]]/(Tabla3510813153425[[#This Row],[efect_inc]]+Tabla3510813153425[[#This Row],[no_efec_cor]])</f>
        <v>0.920634920634921</v>
      </c>
      <c r="Q32" s="11" t="n">
        <f aca="false">Tabla3510813153425[[#This Row],[efec_cor]]/(Tabla3510813153425[[#This Row],[efec_cor]]+Tabla3510813153425[[#This Row],[no_efec_inc]])</f>
        <v>0.981481481481482</v>
      </c>
      <c r="R32" s="11" t="n">
        <f aca="false">(Tabla3510813153425[[#This Row],[PNE]]+Tabla3510813153425[[#This Row],[PE]])/2</f>
        <v>0.951058201058201</v>
      </c>
      <c r="S32" s="0" t="n">
        <v>116</v>
      </c>
      <c r="T32" s="0" t="n">
        <v>118</v>
      </c>
      <c r="U32" s="0" t="n">
        <f aca="false">Tabla3510813153425[[#This Row],[efec]]+Tabla3510813153425[[#This Row],[no_efe]]</f>
        <v>234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114</v>
      </c>
      <c r="D33" s="0" t="n">
        <v>4</v>
      </c>
      <c r="E33" s="0" t="n">
        <v>106</v>
      </c>
      <c r="F33" s="0" t="n">
        <v>10</v>
      </c>
      <c r="G33" s="0" t="n">
        <f aca="false">Tabla3510813153425[[#This Row],[no_efec_cor]]+Tabla3510813153425[[#This Row],[efec_cor]]</f>
        <v>220</v>
      </c>
      <c r="H33" s="0" t="n">
        <f aca="false">Tabla3510813153425[[#This Row],[no_efec_inc]]+Tabla3510813153425[[#This Row],[efect_inc]]</f>
        <v>14</v>
      </c>
      <c r="I33" s="9" t="n">
        <f aca="false">Tabla3510813153425[[#This Row],[Correctos]]/Tabla3510813153425[[#This Row],[total_sec]]</f>
        <v>0.94017094017094</v>
      </c>
      <c r="J33" s="9" t="n">
        <f aca="false">Tabla3510813153425[[#This Row],[efec_cor]]/Tabla3510813153425[[#This Row],[efec]]</f>
        <v>0.913793103448276</v>
      </c>
      <c r="K33" s="9" t="n">
        <f aca="false">Tabla3510813153425[[#This Row],[efect_inc]]/Tabla3510813153425[[#This Row],[efec]]</f>
        <v>0.0862068965517241</v>
      </c>
      <c r="L33" s="9" t="n">
        <f aca="false">Tabla3510813153425[[#This Row],[no_efec_cor]]/Tabla3510813153425[[#This Row],[no_efe]]</f>
        <v>0.966101694915254</v>
      </c>
      <c r="M33" s="9" t="n">
        <f aca="false">Tabla3510813153425[[#This Row],[no_efec_inc]]/Tabla3510813153425[[#This Row],[no_efe]]</f>
        <v>0.0338983050847458</v>
      </c>
      <c r="N33" s="9" t="n">
        <f aca="false">(Tabla3510813153425[[#This Row],[% efe_cor]]+Tabla3510813153425[[#This Row],[% no_efe_cor]])/2</f>
        <v>0.939947399181765</v>
      </c>
      <c r="O33" s="10" t="n">
        <f aca="false">(Tabla3510813153425[[#This Row],[% efe_inc]]+Tabla3510813153425[[#This Row],[% no_efect_inc]])/2</f>
        <v>0.0600526008182349</v>
      </c>
      <c r="P33" s="11" t="n">
        <f aca="false">Tabla3510813153425[[#This Row],[no_efec_cor]]/(Tabla3510813153425[[#This Row],[efect_inc]]+Tabla3510813153425[[#This Row],[no_efec_cor]])</f>
        <v>0.919354838709677</v>
      </c>
      <c r="Q33" s="11" t="n">
        <f aca="false">Tabla3510813153425[[#This Row],[efec_cor]]/(Tabla3510813153425[[#This Row],[efec_cor]]+Tabla3510813153425[[#This Row],[no_efec_inc]])</f>
        <v>0.963636363636364</v>
      </c>
      <c r="R33" s="11" t="n">
        <f aca="false">(Tabla3510813153425[[#This Row],[PNE]]+Tabla3510813153425[[#This Row],[PE]])/2</f>
        <v>0.94149560117302</v>
      </c>
      <c r="S33" s="0" t="n">
        <v>116</v>
      </c>
      <c r="T33" s="0" t="n">
        <v>118</v>
      </c>
      <c r="U33" s="0" t="n">
        <f aca="false">Tabla3510813153425[[#This Row],[efec]]+Tabla3510813153425[[#This Row],[no_efe]]</f>
        <v>234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114</v>
      </c>
      <c r="D34" s="0" t="n">
        <v>4</v>
      </c>
      <c r="E34" s="0" t="n">
        <v>106</v>
      </c>
      <c r="F34" s="0" t="n">
        <v>10</v>
      </c>
      <c r="G34" s="0" t="n">
        <f aca="false">Tabla3510813153425[[#This Row],[no_efec_cor]]+Tabla3510813153425[[#This Row],[efec_cor]]</f>
        <v>220</v>
      </c>
      <c r="H34" s="0" t="n">
        <f aca="false">Tabla3510813153425[[#This Row],[no_efec_inc]]+Tabla3510813153425[[#This Row],[efect_inc]]</f>
        <v>14</v>
      </c>
      <c r="I34" s="9" t="n">
        <f aca="false">Tabla3510813153425[[#This Row],[Correctos]]/Tabla3510813153425[[#This Row],[total_sec]]</f>
        <v>0.94017094017094</v>
      </c>
      <c r="J34" s="9" t="n">
        <f aca="false">Tabla3510813153425[[#This Row],[efec_cor]]/Tabla3510813153425[[#This Row],[efec]]</f>
        <v>0.913793103448276</v>
      </c>
      <c r="K34" s="9" t="n">
        <f aca="false">Tabla3510813153425[[#This Row],[efect_inc]]/Tabla3510813153425[[#This Row],[efec]]</f>
        <v>0.0862068965517241</v>
      </c>
      <c r="L34" s="9" t="n">
        <f aca="false">Tabla3510813153425[[#This Row],[no_efec_cor]]/Tabla3510813153425[[#This Row],[no_efe]]</f>
        <v>0.966101694915254</v>
      </c>
      <c r="M34" s="9" t="n">
        <f aca="false">Tabla3510813153425[[#This Row],[no_efec_inc]]/Tabla3510813153425[[#This Row],[no_efe]]</f>
        <v>0.0338983050847458</v>
      </c>
      <c r="N34" s="9" t="n">
        <f aca="false">(Tabla3510813153425[[#This Row],[% efe_cor]]+Tabla3510813153425[[#This Row],[% no_efe_cor]])/2</f>
        <v>0.939947399181765</v>
      </c>
      <c r="O34" s="10" t="n">
        <f aca="false">(Tabla3510813153425[[#This Row],[% efe_inc]]+Tabla3510813153425[[#This Row],[% no_efect_inc]])/2</f>
        <v>0.0600526008182349</v>
      </c>
      <c r="P34" s="11" t="n">
        <f aca="false">Tabla3510813153425[[#This Row],[no_efec_cor]]/(Tabla3510813153425[[#This Row],[efect_inc]]+Tabla3510813153425[[#This Row],[no_efec_cor]])</f>
        <v>0.919354838709677</v>
      </c>
      <c r="Q34" s="11" t="n">
        <f aca="false">Tabla3510813153425[[#This Row],[efec_cor]]/(Tabla3510813153425[[#This Row],[efec_cor]]+Tabla3510813153425[[#This Row],[no_efec_inc]])</f>
        <v>0.963636363636364</v>
      </c>
      <c r="R34" s="11" t="n">
        <f aca="false">(Tabla3510813153425[[#This Row],[PNE]]+Tabla3510813153425[[#This Row],[PE]])/2</f>
        <v>0.94149560117302</v>
      </c>
      <c r="S34" s="0" t="n">
        <v>116</v>
      </c>
      <c r="T34" s="0" t="n">
        <v>118</v>
      </c>
      <c r="U34" s="0" t="n">
        <f aca="false">Tabla3510813153425[[#This Row],[efec]]+Tabla3510813153425[[#This Row],[no_efe]]</f>
        <v>234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113</v>
      </c>
      <c r="D35" s="0" t="n">
        <v>5</v>
      </c>
      <c r="E35" s="0" t="n">
        <v>107</v>
      </c>
      <c r="F35" s="0" t="n">
        <v>9</v>
      </c>
      <c r="G35" s="0" t="n">
        <f aca="false">Tabla3510813153425[[#This Row],[no_efec_cor]]+Tabla3510813153425[[#This Row],[efec_cor]]</f>
        <v>220</v>
      </c>
      <c r="H35" s="0" t="n">
        <f aca="false">Tabla3510813153425[[#This Row],[no_efec_inc]]+Tabla3510813153425[[#This Row],[efect_inc]]</f>
        <v>14</v>
      </c>
      <c r="I35" s="9" t="n">
        <f aca="false">Tabla3510813153425[[#This Row],[Correctos]]/Tabla3510813153425[[#This Row],[total_sec]]</f>
        <v>0.94017094017094</v>
      </c>
      <c r="J35" s="9" t="n">
        <f aca="false">Tabla3510813153425[[#This Row],[efec_cor]]/Tabla3510813153425[[#This Row],[efec]]</f>
        <v>0.922413793103448</v>
      </c>
      <c r="K35" s="9" t="n">
        <f aca="false">Tabla3510813153425[[#This Row],[efect_inc]]/Tabla3510813153425[[#This Row],[efec]]</f>
        <v>0.0775862068965517</v>
      </c>
      <c r="L35" s="9" t="n">
        <f aca="false">Tabla3510813153425[[#This Row],[no_efec_cor]]/Tabla3510813153425[[#This Row],[no_efe]]</f>
        <v>0.957627118644068</v>
      </c>
      <c r="M35" s="9" t="n">
        <f aca="false">Tabla3510813153425[[#This Row],[no_efec_inc]]/Tabla3510813153425[[#This Row],[no_efe]]</f>
        <v>0.0423728813559322</v>
      </c>
      <c r="N35" s="9" t="n">
        <f aca="false">(Tabla3510813153425[[#This Row],[% efe_cor]]+Tabla3510813153425[[#This Row],[% no_efe_cor]])/2</f>
        <v>0.940020455873758</v>
      </c>
      <c r="O35" s="10" t="n">
        <f aca="false">(Tabla3510813153425[[#This Row],[% efe_inc]]+Tabla3510813153425[[#This Row],[% no_efect_inc]])/2</f>
        <v>0.059979544126242</v>
      </c>
      <c r="P35" s="11" t="n">
        <f aca="false">Tabla3510813153425[[#This Row],[no_efec_cor]]/(Tabla3510813153425[[#This Row],[efect_inc]]+Tabla3510813153425[[#This Row],[no_efec_cor]])</f>
        <v>0.926229508196721</v>
      </c>
      <c r="Q35" s="11" t="n">
        <f aca="false">Tabla3510813153425[[#This Row],[efec_cor]]/(Tabla3510813153425[[#This Row],[efec_cor]]+Tabla3510813153425[[#This Row],[no_efec_inc]])</f>
        <v>0.955357142857143</v>
      </c>
      <c r="R35" s="11" t="n">
        <f aca="false">(Tabla3510813153425[[#This Row],[PNE]]+Tabla3510813153425[[#This Row],[PE]])/2</f>
        <v>0.940793325526932</v>
      </c>
      <c r="S35" s="0" t="n">
        <v>116</v>
      </c>
      <c r="T35" s="0" t="n">
        <v>118</v>
      </c>
      <c r="U35" s="0" t="n">
        <f aca="false">Tabla3510813153425[[#This Row],[efec]]+Tabla3510813153425[[#This Row],[no_efe]]</f>
        <v>234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113</v>
      </c>
      <c r="D36" s="0" t="n">
        <v>5</v>
      </c>
      <c r="E36" s="0" t="n">
        <v>107</v>
      </c>
      <c r="F36" s="0" t="n">
        <v>9</v>
      </c>
      <c r="G36" s="0" t="n">
        <f aca="false">Tabla3510813153425[[#This Row],[no_efec_cor]]+Tabla3510813153425[[#This Row],[efec_cor]]</f>
        <v>220</v>
      </c>
      <c r="H36" s="0" t="n">
        <f aca="false">Tabla3510813153425[[#This Row],[no_efec_inc]]+Tabla3510813153425[[#This Row],[efect_inc]]</f>
        <v>14</v>
      </c>
      <c r="I36" s="9" t="n">
        <f aca="false">Tabla3510813153425[[#This Row],[Correctos]]/Tabla3510813153425[[#This Row],[total_sec]]</f>
        <v>0.94017094017094</v>
      </c>
      <c r="J36" s="9" t="n">
        <f aca="false">Tabla3510813153425[[#This Row],[efec_cor]]/Tabla3510813153425[[#This Row],[efec]]</f>
        <v>0.922413793103448</v>
      </c>
      <c r="K36" s="9" t="n">
        <f aca="false">Tabla3510813153425[[#This Row],[efect_inc]]/Tabla3510813153425[[#This Row],[efec]]</f>
        <v>0.0775862068965517</v>
      </c>
      <c r="L36" s="9" t="n">
        <f aca="false">Tabla3510813153425[[#This Row],[no_efec_cor]]/Tabla3510813153425[[#This Row],[no_efe]]</f>
        <v>0.957627118644068</v>
      </c>
      <c r="M36" s="9" t="n">
        <f aca="false">Tabla3510813153425[[#This Row],[no_efec_inc]]/Tabla3510813153425[[#This Row],[no_efe]]</f>
        <v>0.0423728813559322</v>
      </c>
      <c r="N36" s="9" t="n">
        <f aca="false">(Tabla3510813153425[[#This Row],[% efe_cor]]+Tabla3510813153425[[#This Row],[% no_efe_cor]])/2</f>
        <v>0.940020455873758</v>
      </c>
      <c r="O36" s="10" t="n">
        <f aca="false">(Tabla3510813153425[[#This Row],[% efe_inc]]+Tabla3510813153425[[#This Row],[% no_efect_inc]])/2</f>
        <v>0.059979544126242</v>
      </c>
      <c r="P36" s="11" t="n">
        <f aca="false">Tabla3510813153425[[#This Row],[no_efec_cor]]/(Tabla3510813153425[[#This Row],[efect_inc]]+Tabla3510813153425[[#This Row],[no_efec_cor]])</f>
        <v>0.926229508196721</v>
      </c>
      <c r="Q36" s="11" t="n">
        <f aca="false">Tabla3510813153425[[#This Row],[efec_cor]]/(Tabla3510813153425[[#This Row],[efec_cor]]+Tabla3510813153425[[#This Row],[no_efec_inc]])</f>
        <v>0.955357142857143</v>
      </c>
      <c r="R36" s="11" t="n">
        <f aca="false">(Tabla3510813153425[[#This Row],[PNE]]+Tabla3510813153425[[#This Row],[PE]])/2</f>
        <v>0.940793325526932</v>
      </c>
      <c r="S36" s="0" t="n">
        <v>116</v>
      </c>
      <c r="T36" s="0" t="n">
        <v>118</v>
      </c>
      <c r="U36" s="0" t="n">
        <f aca="false">Tabla3510813153425[[#This Row],[efec]]+Tabla3510813153425[[#This Row],[no_efe]]</f>
        <v>234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114</v>
      </c>
      <c r="D37" s="0" t="n">
        <v>4</v>
      </c>
      <c r="E37" s="0" t="n">
        <v>106</v>
      </c>
      <c r="F37" s="0" t="n">
        <v>10</v>
      </c>
      <c r="G37" s="0" t="n">
        <f aca="false">Tabla3510813153425[[#This Row],[no_efec_cor]]+Tabla3510813153425[[#This Row],[efec_cor]]</f>
        <v>220</v>
      </c>
      <c r="H37" s="0" t="n">
        <f aca="false">Tabla3510813153425[[#This Row],[no_efec_inc]]+Tabla3510813153425[[#This Row],[efect_inc]]</f>
        <v>14</v>
      </c>
      <c r="I37" s="9" t="n">
        <f aca="false">Tabla3510813153425[[#This Row],[Correctos]]/Tabla3510813153425[[#This Row],[total_sec]]</f>
        <v>0.94017094017094</v>
      </c>
      <c r="J37" s="9" t="n">
        <f aca="false">Tabla3510813153425[[#This Row],[efec_cor]]/Tabla3510813153425[[#This Row],[efec]]</f>
        <v>0.913793103448276</v>
      </c>
      <c r="K37" s="9" t="n">
        <f aca="false">Tabla3510813153425[[#This Row],[efect_inc]]/Tabla3510813153425[[#This Row],[efec]]</f>
        <v>0.0862068965517241</v>
      </c>
      <c r="L37" s="9" t="n">
        <f aca="false">Tabla3510813153425[[#This Row],[no_efec_cor]]/Tabla3510813153425[[#This Row],[no_efe]]</f>
        <v>0.966101694915254</v>
      </c>
      <c r="M37" s="9" t="n">
        <f aca="false">Tabla3510813153425[[#This Row],[no_efec_inc]]/Tabla3510813153425[[#This Row],[no_efe]]</f>
        <v>0.0338983050847458</v>
      </c>
      <c r="N37" s="9" t="n">
        <f aca="false">(Tabla3510813153425[[#This Row],[% efe_cor]]+Tabla3510813153425[[#This Row],[% no_efe_cor]])/2</f>
        <v>0.939947399181765</v>
      </c>
      <c r="O37" s="10" t="n">
        <f aca="false">(Tabla3510813153425[[#This Row],[% efe_inc]]+Tabla3510813153425[[#This Row],[% no_efect_inc]])/2</f>
        <v>0.0600526008182349</v>
      </c>
      <c r="P37" s="11" t="n">
        <f aca="false">Tabla3510813153425[[#This Row],[no_efec_cor]]/(Tabla3510813153425[[#This Row],[efect_inc]]+Tabla3510813153425[[#This Row],[no_efec_cor]])</f>
        <v>0.919354838709677</v>
      </c>
      <c r="Q37" s="11" t="n">
        <f aca="false">Tabla3510813153425[[#This Row],[efec_cor]]/(Tabla3510813153425[[#This Row],[efec_cor]]+Tabla3510813153425[[#This Row],[no_efec_inc]])</f>
        <v>0.963636363636364</v>
      </c>
      <c r="R37" s="11" t="n">
        <f aca="false">(Tabla3510813153425[[#This Row],[PNE]]+Tabla3510813153425[[#This Row],[PE]])/2</f>
        <v>0.94149560117302</v>
      </c>
      <c r="S37" s="0" t="n">
        <v>116</v>
      </c>
      <c r="T37" s="0" t="n">
        <v>118</v>
      </c>
      <c r="U37" s="0" t="n">
        <f aca="false">Tabla3510813153425[[#This Row],[efec]]+Tabla3510813153425[[#This Row],[no_efe]]</f>
        <v>234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113</v>
      </c>
      <c r="D38" s="0" t="n">
        <v>5</v>
      </c>
      <c r="E38" s="0" t="n">
        <v>107</v>
      </c>
      <c r="F38" s="0" t="n">
        <v>9</v>
      </c>
      <c r="G38" s="0" t="n">
        <f aca="false">Tabla3510813153425[[#This Row],[no_efec_cor]]+Tabla3510813153425[[#This Row],[efec_cor]]</f>
        <v>220</v>
      </c>
      <c r="H38" s="0" t="n">
        <f aca="false">Tabla3510813153425[[#This Row],[no_efec_inc]]+Tabla3510813153425[[#This Row],[efect_inc]]</f>
        <v>14</v>
      </c>
      <c r="I38" s="9" t="n">
        <f aca="false">Tabla3510813153425[[#This Row],[Correctos]]/Tabla3510813153425[[#This Row],[total_sec]]</f>
        <v>0.94017094017094</v>
      </c>
      <c r="J38" s="9" t="n">
        <f aca="false">Tabla3510813153425[[#This Row],[efec_cor]]/Tabla3510813153425[[#This Row],[efec]]</f>
        <v>0.922413793103448</v>
      </c>
      <c r="K38" s="9" t="n">
        <f aca="false">Tabla3510813153425[[#This Row],[efect_inc]]/Tabla3510813153425[[#This Row],[efec]]</f>
        <v>0.0775862068965517</v>
      </c>
      <c r="L38" s="9" t="n">
        <f aca="false">Tabla3510813153425[[#This Row],[no_efec_cor]]/Tabla3510813153425[[#This Row],[no_efe]]</f>
        <v>0.957627118644068</v>
      </c>
      <c r="M38" s="9" t="n">
        <f aca="false">Tabla3510813153425[[#This Row],[no_efec_inc]]/Tabla3510813153425[[#This Row],[no_efe]]</f>
        <v>0.0423728813559322</v>
      </c>
      <c r="N38" s="9" t="n">
        <f aca="false">(Tabla3510813153425[[#This Row],[% efe_cor]]+Tabla3510813153425[[#This Row],[% no_efe_cor]])/2</f>
        <v>0.940020455873758</v>
      </c>
      <c r="O38" s="10" t="n">
        <f aca="false">(Tabla3510813153425[[#This Row],[% efe_inc]]+Tabla3510813153425[[#This Row],[% no_efect_inc]])/2</f>
        <v>0.059979544126242</v>
      </c>
      <c r="P38" s="11" t="n">
        <f aca="false">Tabla3510813153425[[#This Row],[no_efec_cor]]/(Tabla3510813153425[[#This Row],[efect_inc]]+Tabla3510813153425[[#This Row],[no_efec_cor]])</f>
        <v>0.926229508196721</v>
      </c>
      <c r="Q38" s="11" t="n">
        <f aca="false">Tabla3510813153425[[#This Row],[efec_cor]]/(Tabla3510813153425[[#This Row],[efec_cor]]+Tabla3510813153425[[#This Row],[no_efec_inc]])</f>
        <v>0.955357142857143</v>
      </c>
      <c r="R38" s="11" t="n">
        <f aca="false">(Tabla3510813153425[[#This Row],[PNE]]+Tabla3510813153425[[#This Row],[PE]])/2</f>
        <v>0.940793325526932</v>
      </c>
      <c r="S38" s="0" t="n">
        <v>116</v>
      </c>
      <c r="T38" s="0" t="n">
        <v>118</v>
      </c>
      <c r="U38" s="0" t="n">
        <f aca="false">Tabla3510813153425[[#This Row],[efec]]+Tabla3510813153425[[#This Row],[no_efe]]</f>
        <v>234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111</v>
      </c>
      <c r="D39" s="0" t="n">
        <v>7</v>
      </c>
      <c r="E39" s="0" t="n">
        <v>106</v>
      </c>
      <c r="F39" s="0" t="n">
        <v>10</v>
      </c>
      <c r="G39" s="0" t="n">
        <f aca="false">Tabla3510813153425[[#This Row],[no_efec_cor]]+Tabla3510813153425[[#This Row],[efec_cor]]</f>
        <v>217</v>
      </c>
      <c r="H39" s="0" t="n">
        <f aca="false">Tabla3510813153425[[#This Row],[no_efec_inc]]+Tabla3510813153425[[#This Row],[efect_inc]]</f>
        <v>17</v>
      </c>
      <c r="I39" s="9" t="n">
        <f aca="false">Tabla3510813153425[[#This Row],[Correctos]]/Tabla3510813153425[[#This Row],[total_sec]]</f>
        <v>0.927350427350427</v>
      </c>
      <c r="J39" s="9" t="n">
        <f aca="false">Tabla3510813153425[[#This Row],[efec_cor]]/Tabla3510813153425[[#This Row],[efec]]</f>
        <v>0.913793103448276</v>
      </c>
      <c r="K39" s="9" t="n">
        <f aca="false">Tabla3510813153425[[#This Row],[efect_inc]]/Tabla3510813153425[[#This Row],[efec]]</f>
        <v>0.0862068965517241</v>
      </c>
      <c r="L39" s="9" t="n">
        <f aca="false">Tabla3510813153425[[#This Row],[no_efec_cor]]/Tabla3510813153425[[#This Row],[no_efe]]</f>
        <v>0.940677966101695</v>
      </c>
      <c r="M39" s="9" t="n">
        <f aca="false">Tabla3510813153425[[#This Row],[no_efec_inc]]/Tabla3510813153425[[#This Row],[no_efe]]</f>
        <v>0.0593220338983051</v>
      </c>
      <c r="N39" s="9" t="n">
        <f aca="false">(Tabla3510813153425[[#This Row],[% efe_cor]]+Tabla3510813153425[[#This Row],[% no_efe_cor]])/2</f>
        <v>0.927235534774985</v>
      </c>
      <c r="O39" s="10" t="n">
        <f aca="false">(Tabla3510813153425[[#This Row],[% efe_inc]]+Tabla3510813153425[[#This Row],[% no_efect_inc]])/2</f>
        <v>0.0727644652250146</v>
      </c>
      <c r="P39" s="11" t="n">
        <f aca="false">Tabla3510813153425[[#This Row],[no_efec_cor]]/(Tabla3510813153425[[#This Row],[efect_inc]]+Tabla3510813153425[[#This Row],[no_efec_cor]])</f>
        <v>0.917355371900826</v>
      </c>
      <c r="Q39" s="11" t="n">
        <f aca="false">Tabla3510813153425[[#This Row],[efec_cor]]/(Tabla3510813153425[[#This Row],[efec_cor]]+Tabla3510813153425[[#This Row],[no_efec_inc]])</f>
        <v>0.938053097345133</v>
      </c>
      <c r="R39" s="11" t="n">
        <f aca="false">(Tabla3510813153425[[#This Row],[PNE]]+Tabla3510813153425[[#This Row],[PE]])/2</f>
        <v>0.92770423462298</v>
      </c>
      <c r="S39" s="0" t="n">
        <v>116</v>
      </c>
      <c r="T39" s="0" t="n">
        <v>118</v>
      </c>
      <c r="U39" s="0" t="n">
        <f aca="false">Tabla3510813153425[[#This Row],[efec]]+Tabla3510813153425[[#This Row],[no_efe]]</f>
        <v>234</v>
      </c>
    </row>
    <row r="40" customFormat="false" ht="15" hidden="false" customHeight="false" outlineLevel="0" collapsed="false">
      <c r="H40" s="9"/>
      <c r="I40" s="9"/>
      <c r="J40" s="9"/>
      <c r="K40" s="9"/>
      <c r="L40" s="9"/>
      <c r="M40" s="9"/>
      <c r="N40" s="10"/>
      <c r="O40" s="11"/>
      <c r="P40" s="11"/>
      <c r="Q40" s="11"/>
    </row>
    <row r="41" customFormat="false" ht="15" hidden="false" customHeight="false" outlineLevel="0" collapsed="false">
      <c r="H41" s="9"/>
      <c r="I41" s="9"/>
      <c r="J41" s="9"/>
      <c r="K41" s="9"/>
      <c r="L41" s="9"/>
      <c r="M41" s="9"/>
      <c r="N41" s="10"/>
      <c r="O41" s="11"/>
      <c r="P41" s="11"/>
      <c r="Q41" s="11"/>
    </row>
    <row r="42" customFormat="false" ht="15" hidden="false" customHeight="false" outlineLevel="0" collapsed="false">
      <c r="H42" s="9"/>
      <c r="I42" s="9"/>
      <c r="J42" s="9"/>
      <c r="K42" s="9"/>
      <c r="L42" s="9"/>
      <c r="M42" s="9"/>
      <c r="N42" s="10"/>
      <c r="O42" s="11"/>
      <c r="P42" s="11"/>
      <c r="Q42" s="11"/>
    </row>
    <row r="43" customFormat="false" ht="15" hidden="false" customHeight="false" outlineLevel="0" collapsed="false">
      <c r="H43" s="9"/>
      <c r="I43" s="9"/>
      <c r="J43" s="9"/>
      <c r="K43" s="9"/>
      <c r="L43" s="9"/>
      <c r="M43" s="9"/>
      <c r="N43" s="10"/>
      <c r="O43" s="11"/>
      <c r="P43" s="11"/>
      <c r="Q43" s="11"/>
    </row>
    <row r="44" customFormat="false" ht="15" hidden="false" customHeight="false" outlineLevel="0" collapsed="false">
      <c r="H44" s="9"/>
      <c r="I44" s="9"/>
      <c r="J44" s="9"/>
      <c r="K44" s="9"/>
      <c r="L44" s="9"/>
      <c r="M44" s="9"/>
      <c r="N44" s="10"/>
      <c r="O44" s="11"/>
      <c r="P44" s="11"/>
      <c r="Q44" s="11"/>
    </row>
    <row r="45" customFormat="false" ht="15" hidden="false" customHeight="false" outlineLevel="0" collapsed="false">
      <c r="H45" s="9"/>
      <c r="I45" s="9"/>
      <c r="J45" s="9"/>
      <c r="K45" s="9"/>
      <c r="L45" s="9"/>
      <c r="M45" s="9"/>
      <c r="N45" s="10"/>
      <c r="O45" s="11"/>
      <c r="P45" s="11"/>
      <c r="Q45" s="11"/>
    </row>
    <row r="46" customFormat="false" ht="15" hidden="false" customHeight="false" outlineLevel="0" collapsed="false">
      <c r="H46" s="9"/>
      <c r="I46" s="9"/>
      <c r="J46" s="9"/>
      <c r="K46" s="9"/>
      <c r="L46" s="9"/>
      <c r="M46" s="9"/>
      <c r="N46" s="10"/>
      <c r="O46" s="11"/>
      <c r="P46" s="11"/>
      <c r="Q46" s="11"/>
    </row>
    <row r="47" customFormat="false" ht="15" hidden="false" customHeight="false" outlineLevel="0" collapsed="false">
      <c r="H47" s="9"/>
      <c r="I47" s="9"/>
      <c r="J47" s="9"/>
      <c r="K47" s="9"/>
      <c r="L47" s="9"/>
      <c r="M47" s="9"/>
      <c r="N47" s="10"/>
      <c r="O47" s="11"/>
      <c r="P47" s="11"/>
      <c r="Q47" s="11"/>
    </row>
    <row r="48" customFormat="false" ht="15" hidden="false" customHeight="false" outlineLevel="0" collapsed="false">
      <c r="H48" s="9"/>
      <c r="I48" s="9"/>
      <c r="J48" s="9"/>
      <c r="K48" s="9"/>
      <c r="L48" s="9"/>
      <c r="M48" s="9"/>
      <c r="N48" s="10"/>
      <c r="O48" s="11"/>
      <c r="P48" s="11"/>
      <c r="Q48" s="11"/>
    </row>
    <row r="49" customFormat="false" ht="15" hidden="false" customHeight="false" outlineLevel="0" collapsed="false">
      <c r="H49" s="9"/>
      <c r="I49" s="9"/>
      <c r="J49" s="9"/>
      <c r="K49" s="9"/>
      <c r="L49" s="9"/>
      <c r="M49" s="9"/>
      <c r="N49" s="10"/>
      <c r="O49" s="11"/>
      <c r="P49" s="11"/>
      <c r="Q49" s="11"/>
    </row>
    <row r="50" customFormat="false" ht="15" hidden="false" customHeight="false" outlineLevel="0" collapsed="false">
      <c r="H50" s="9"/>
      <c r="I50" s="9"/>
      <c r="J50" s="9"/>
      <c r="K50" s="9"/>
      <c r="L50" s="9"/>
      <c r="M50" s="9"/>
      <c r="N50" s="10"/>
      <c r="O50" s="11"/>
      <c r="P50" s="11"/>
      <c r="Q50" s="11"/>
    </row>
    <row r="51" customFormat="false" ht="15" hidden="false" customHeight="false" outlineLevel="0" collapsed="false">
      <c r="H51" s="9"/>
      <c r="I51" s="9"/>
      <c r="J51" s="9"/>
      <c r="K51" s="9"/>
      <c r="L51" s="9"/>
      <c r="M51" s="9"/>
      <c r="N51" s="10"/>
      <c r="O51" s="11"/>
      <c r="P51" s="11"/>
      <c r="Q51" s="11"/>
    </row>
    <row r="52" customFormat="false" ht="15" hidden="false" customHeight="false" outlineLevel="0" collapsed="false">
      <c r="H52" s="9"/>
      <c r="I52" s="9"/>
      <c r="J52" s="9"/>
      <c r="K52" s="9"/>
      <c r="L52" s="9"/>
      <c r="M52" s="9"/>
      <c r="N52" s="10"/>
      <c r="O52" s="11"/>
      <c r="P52" s="11"/>
      <c r="Q52" s="11"/>
    </row>
    <row r="53" customFormat="false" ht="15" hidden="false" customHeight="false" outlineLevel="0" collapsed="false">
      <c r="H53" s="9"/>
      <c r="I53" s="9"/>
      <c r="J53" s="9"/>
      <c r="K53" s="9"/>
      <c r="L53" s="9"/>
      <c r="M53" s="9"/>
      <c r="N53" s="10"/>
      <c r="O53" s="11"/>
      <c r="P53" s="11"/>
      <c r="Q53" s="11"/>
    </row>
    <row r="54" customFormat="false" ht="15" hidden="false" customHeight="false" outlineLevel="0" collapsed="false">
      <c r="H54" s="9"/>
      <c r="I54" s="9"/>
      <c r="J54" s="9"/>
      <c r="K54" s="9"/>
      <c r="L54" s="9"/>
      <c r="M54" s="9"/>
      <c r="N54" s="10"/>
      <c r="O54" s="11"/>
      <c r="P54" s="11"/>
      <c r="Q54" s="11"/>
    </row>
    <row r="55" customFormat="false" ht="15" hidden="false" customHeight="false" outlineLevel="0" collapsed="false">
      <c r="H55" s="9"/>
      <c r="I55" s="9"/>
      <c r="J55" s="9"/>
      <c r="K55" s="9"/>
      <c r="L55" s="9"/>
      <c r="M55" s="9"/>
      <c r="N55" s="10"/>
      <c r="O55" s="11"/>
      <c r="P55" s="11"/>
      <c r="Q55" s="11"/>
    </row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U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0" activeCellId="1" sqref="A74:F84 F40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7.71"/>
  </cols>
  <sheetData>
    <row r="1" customFormat="false" ht="19.5" hidden="false" customHeight="false" outlineLevel="0" collapsed="false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113</v>
      </c>
    </row>
    <row r="5" customFormat="false" ht="15" hidden="false" customHeight="false" outlineLevel="0" collapsed="false">
      <c r="A5" s="3" t="s">
        <v>3</v>
      </c>
      <c r="B5" s="3"/>
      <c r="C5" s="4" t="n">
        <v>110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223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104</v>
      </c>
      <c r="C10" s="0" t="n">
        <v>6</v>
      </c>
      <c r="D10" s="0" t="n">
        <v>107</v>
      </c>
      <c r="E10" s="0" t="n">
        <v>6</v>
      </c>
      <c r="F10" s="0" t="n">
        <f aca="false">Tabla35108131532[[#This Row],[no_efec_cor]]+Tabla35108131532[[#This Row],[efec_cor]]</f>
        <v>211</v>
      </c>
      <c r="G10" s="0" t="n">
        <f aca="false">Tabla35108131532[[#This Row],[no_efec_inc]]+Tabla35108131532[[#This Row],[efect_inc]]</f>
        <v>12</v>
      </c>
      <c r="H10" s="9" t="n">
        <f aca="false">Tabla35108131532[[#This Row],[Correctos]]/Tabla35108131532[[#This Row],[total_sec]]</f>
        <v>0.946188340807175</v>
      </c>
      <c r="I10" s="9" t="n">
        <f aca="false">Tabla35108131532[[#This Row],[efec_cor]]/Tabla35108131532[[#This Row],[efec]]</f>
        <v>0.946902654867257</v>
      </c>
      <c r="J10" s="9" t="n">
        <f aca="false">Tabla35108131532[[#This Row],[efect_inc]]/Tabla35108131532[[#This Row],[efec]]</f>
        <v>0.0530973451327434</v>
      </c>
      <c r="K10" s="9" t="n">
        <f aca="false">Tabla35108131532[[#This Row],[no_efec_cor]]/Tabla35108131532[[#This Row],[no_efe]]</f>
        <v>0.945454545454545</v>
      </c>
      <c r="L10" s="9" t="n">
        <f aca="false">Tabla35108131532[[#This Row],[no_efec_inc]]/Tabla35108131532[[#This Row],[no_efe]]</f>
        <v>0.0545454545454545</v>
      </c>
      <c r="M10" s="9" t="n">
        <f aca="false">(Tabla35108131532[[#This Row],[% efe_cor]]+Tabla35108131532[[#This Row],[% no_efe_cor]])/2</f>
        <v>0.946178600160901</v>
      </c>
      <c r="N10" s="10" t="n">
        <f aca="false">(Tabla35108131532[[#This Row],[% efe_inc]]+Tabla35108131532[[#This Row],[% no_efect_inc]])/2</f>
        <v>0.0538213998390989</v>
      </c>
      <c r="O10" s="11" t="n">
        <f aca="false">Tabla35108131532[[#This Row],[no_efec_cor]]/(Tabla35108131532[[#This Row],[efect_inc]]+Tabla35108131532[[#This Row],[no_efec_cor]])</f>
        <v>0.945454545454545</v>
      </c>
      <c r="P10" s="11" t="n">
        <f aca="false">Tabla35108131532[[#This Row],[efec_cor]]/(Tabla35108131532[[#This Row],[efec_cor]]+Tabla35108131532[[#This Row],[no_efec_inc]])</f>
        <v>0.946902654867257</v>
      </c>
      <c r="Q10" s="11" t="n">
        <f aca="false">(Tabla35108131532[[#This Row],[PNE]]+Tabla35108131532[[#This Row],[PE]])/2</f>
        <v>0.946178600160901</v>
      </c>
      <c r="R10" s="0" t="n">
        <v>113</v>
      </c>
      <c r="S10" s="0" t="n">
        <v>110</v>
      </c>
      <c r="T10" s="0" t="n">
        <f aca="false">Tabla35108131532[[#This Row],[efec]]+Tabla35108131532[[#This Row],[no_efe]]</f>
        <v>223</v>
      </c>
    </row>
    <row r="11" customFormat="false" ht="13.8" hidden="false" customHeight="false" outlineLevel="0" collapsed="false">
      <c r="A11" s="0" t="n">
        <v>5</v>
      </c>
      <c r="B11" s="0" t="n">
        <v>104</v>
      </c>
      <c r="C11" s="0" t="n">
        <v>6</v>
      </c>
      <c r="D11" s="0" t="n">
        <v>106</v>
      </c>
      <c r="E11" s="0" t="n">
        <v>7</v>
      </c>
      <c r="F11" s="0" t="n">
        <f aca="false">Tabla35108131532[[#This Row],[no_efec_cor]]+Tabla35108131532[[#This Row],[efec_cor]]</f>
        <v>210</v>
      </c>
      <c r="G11" s="0" t="n">
        <f aca="false">Tabla35108131532[[#This Row],[no_efec_inc]]+Tabla35108131532[[#This Row],[efect_inc]]</f>
        <v>13</v>
      </c>
      <c r="H11" s="9" t="n">
        <f aca="false">Tabla35108131532[[#This Row],[Correctos]]/Tabla35108131532[[#This Row],[total_sec]]</f>
        <v>0.941704035874439</v>
      </c>
      <c r="I11" s="9" t="n">
        <f aca="false">Tabla35108131532[[#This Row],[efec_cor]]/Tabla35108131532[[#This Row],[efec]]</f>
        <v>0.938053097345133</v>
      </c>
      <c r="J11" s="9" t="n">
        <f aca="false">Tabla35108131532[[#This Row],[efect_inc]]/Tabla35108131532[[#This Row],[efec]]</f>
        <v>0.0619469026548673</v>
      </c>
      <c r="K11" s="9" t="n">
        <f aca="false">Tabla35108131532[[#This Row],[no_efec_cor]]/Tabla35108131532[[#This Row],[no_efe]]</f>
        <v>0.945454545454545</v>
      </c>
      <c r="L11" s="9" t="n">
        <f aca="false">Tabla35108131532[[#This Row],[no_efec_inc]]/Tabla35108131532[[#This Row],[no_efe]]</f>
        <v>0.0545454545454545</v>
      </c>
      <c r="M11" s="9" t="n">
        <f aca="false">(Tabla35108131532[[#This Row],[% efe_cor]]+Tabla35108131532[[#This Row],[% no_efe_cor]])/2</f>
        <v>0.941753821399839</v>
      </c>
      <c r="N11" s="10" t="n">
        <f aca="false">(Tabla35108131532[[#This Row],[% efe_inc]]+Tabla35108131532[[#This Row],[% no_efect_inc]])/2</f>
        <v>0.0582461786001609</v>
      </c>
      <c r="O11" s="11" t="n">
        <f aca="false">Tabla35108131532[[#This Row],[no_efec_cor]]/(Tabla35108131532[[#This Row],[efect_inc]]+Tabla35108131532[[#This Row],[no_efec_cor]])</f>
        <v>0.936936936936937</v>
      </c>
      <c r="P11" s="11" t="n">
        <f aca="false">Tabla35108131532[[#This Row],[efec_cor]]/(Tabla35108131532[[#This Row],[efec_cor]]+Tabla35108131532[[#This Row],[no_efec_inc]])</f>
        <v>0.946428571428571</v>
      </c>
      <c r="Q11" s="11" t="n">
        <f aca="false">(Tabla35108131532[[#This Row],[PNE]]+Tabla35108131532[[#This Row],[PE]])/2</f>
        <v>0.941682754182754</v>
      </c>
      <c r="R11" s="0" t="n">
        <v>113</v>
      </c>
      <c r="S11" s="0" t="n">
        <v>110</v>
      </c>
      <c r="T11" s="0" t="n">
        <f aca="false">Tabla35108131532[[#This Row],[efec]]+Tabla35108131532[[#This Row],[no_efe]]</f>
        <v>223</v>
      </c>
    </row>
    <row r="12" customFormat="false" ht="13.8" hidden="false" customHeight="false" outlineLevel="0" collapsed="false">
      <c r="A12" s="0" t="n">
        <v>10</v>
      </c>
      <c r="B12" s="0" t="n">
        <v>94</v>
      </c>
      <c r="C12" s="0" t="n">
        <v>16</v>
      </c>
      <c r="D12" s="0" t="n">
        <v>106</v>
      </c>
      <c r="E12" s="0" t="n">
        <v>7</v>
      </c>
      <c r="F12" s="0" t="n">
        <f aca="false">Tabla35108131532[[#This Row],[no_efec_cor]]+Tabla35108131532[[#This Row],[efec_cor]]</f>
        <v>200</v>
      </c>
      <c r="G12" s="0" t="n">
        <f aca="false">Tabla35108131532[[#This Row],[no_efec_inc]]+Tabla35108131532[[#This Row],[efect_inc]]</f>
        <v>23</v>
      </c>
      <c r="H12" s="9" t="n">
        <f aca="false">Tabla35108131532[[#This Row],[Correctos]]/Tabla35108131532[[#This Row],[total_sec]]</f>
        <v>0.896860986547085</v>
      </c>
      <c r="I12" s="9" t="n">
        <f aca="false">Tabla35108131532[[#This Row],[efec_cor]]/Tabla35108131532[[#This Row],[efec]]</f>
        <v>0.938053097345133</v>
      </c>
      <c r="J12" s="9" t="n">
        <f aca="false">Tabla35108131532[[#This Row],[efect_inc]]/Tabla35108131532[[#This Row],[efec]]</f>
        <v>0.0619469026548673</v>
      </c>
      <c r="K12" s="9" t="n">
        <f aca="false">Tabla35108131532[[#This Row],[no_efec_cor]]/Tabla35108131532[[#This Row],[no_efe]]</f>
        <v>0.854545454545455</v>
      </c>
      <c r="L12" s="9" t="n">
        <f aca="false">Tabla35108131532[[#This Row],[no_efec_inc]]/Tabla35108131532[[#This Row],[no_efe]]</f>
        <v>0.145454545454545</v>
      </c>
      <c r="M12" s="9" t="n">
        <f aca="false">(Tabla35108131532[[#This Row],[% efe_cor]]+Tabla35108131532[[#This Row],[% no_efe_cor]])/2</f>
        <v>0.896299275945294</v>
      </c>
      <c r="N12" s="10" t="n">
        <f aca="false">(Tabla35108131532[[#This Row],[% efe_inc]]+Tabla35108131532[[#This Row],[% no_efect_inc]])/2</f>
        <v>0.103700724054706</v>
      </c>
      <c r="O12" s="11" t="n">
        <f aca="false">Tabla35108131532[[#This Row],[no_efec_cor]]/(Tabla35108131532[[#This Row],[efect_inc]]+Tabla35108131532[[#This Row],[no_efec_cor]])</f>
        <v>0.930693069306931</v>
      </c>
      <c r="P12" s="11" t="n">
        <f aca="false">Tabla35108131532[[#This Row],[efec_cor]]/(Tabla35108131532[[#This Row],[efec_cor]]+Tabla35108131532[[#This Row],[no_efec_inc]])</f>
        <v>0.868852459016393</v>
      </c>
      <c r="Q12" s="11" t="n">
        <f aca="false">(Tabla35108131532[[#This Row],[PNE]]+Tabla35108131532[[#This Row],[PE]])/2</f>
        <v>0.899772764161662</v>
      </c>
      <c r="R12" s="0" t="n">
        <v>113</v>
      </c>
      <c r="S12" s="0" t="n">
        <v>110</v>
      </c>
      <c r="T12" s="0" t="n">
        <f aca="false">Tabla35108131532[[#This Row],[efec]]+Tabla35108131532[[#This Row],[no_efe]]</f>
        <v>223</v>
      </c>
    </row>
    <row r="13" customFormat="false" ht="13.8" hidden="false" customHeight="false" outlineLevel="0" collapsed="false">
      <c r="A13" s="0" t="n">
        <v>15</v>
      </c>
      <c r="B13" s="0" t="n">
        <v>90</v>
      </c>
      <c r="C13" s="0" t="n">
        <v>20</v>
      </c>
      <c r="D13" s="0" t="n">
        <v>105</v>
      </c>
      <c r="E13" s="0" t="n">
        <v>8</v>
      </c>
      <c r="F13" s="0" t="n">
        <f aca="false">Tabla35108131532[[#This Row],[no_efec_cor]]+Tabla35108131532[[#This Row],[efec_cor]]</f>
        <v>195</v>
      </c>
      <c r="G13" s="0" t="n">
        <f aca="false">Tabla35108131532[[#This Row],[no_efec_inc]]+Tabla35108131532[[#This Row],[efect_inc]]</f>
        <v>28</v>
      </c>
      <c r="H13" s="9" t="n">
        <f aca="false">Tabla35108131532[[#This Row],[Correctos]]/Tabla35108131532[[#This Row],[total_sec]]</f>
        <v>0.874439461883408</v>
      </c>
      <c r="I13" s="9" t="n">
        <f aca="false">Tabla35108131532[[#This Row],[efec_cor]]/Tabla35108131532[[#This Row],[efec]]</f>
        <v>0.929203539823009</v>
      </c>
      <c r="J13" s="9" t="n">
        <f aca="false">Tabla35108131532[[#This Row],[efect_inc]]/Tabla35108131532[[#This Row],[efec]]</f>
        <v>0.0707964601769911</v>
      </c>
      <c r="K13" s="9" t="n">
        <f aca="false">Tabla35108131532[[#This Row],[no_efec_cor]]/Tabla35108131532[[#This Row],[no_efe]]</f>
        <v>0.818181818181818</v>
      </c>
      <c r="L13" s="9" t="n">
        <f aca="false">Tabla35108131532[[#This Row],[no_efec_inc]]/Tabla35108131532[[#This Row],[no_efe]]</f>
        <v>0.181818181818182</v>
      </c>
      <c r="M13" s="9" t="n">
        <f aca="false">(Tabla35108131532[[#This Row],[% efe_cor]]+Tabla35108131532[[#This Row],[% no_efe_cor]])/2</f>
        <v>0.873692679002414</v>
      </c>
      <c r="N13" s="10" t="n">
        <f aca="false">(Tabla35108131532[[#This Row],[% efe_inc]]+Tabla35108131532[[#This Row],[% no_efect_inc]])/2</f>
        <v>0.126307320997586</v>
      </c>
      <c r="O13" s="11" t="n">
        <f aca="false">Tabla35108131532[[#This Row],[no_efec_cor]]/(Tabla35108131532[[#This Row],[efect_inc]]+Tabla35108131532[[#This Row],[no_efec_cor]])</f>
        <v>0.918367346938775</v>
      </c>
      <c r="P13" s="11" t="n">
        <f aca="false">Tabla35108131532[[#This Row],[efec_cor]]/(Tabla35108131532[[#This Row],[efec_cor]]+Tabla35108131532[[#This Row],[no_efec_inc]])</f>
        <v>0.84</v>
      </c>
      <c r="Q13" s="11" t="n">
        <f aca="false">(Tabla35108131532[[#This Row],[PNE]]+Tabla35108131532[[#This Row],[PE]])/2</f>
        <v>0.879183673469388</v>
      </c>
      <c r="R13" s="0" t="n">
        <v>113</v>
      </c>
      <c r="S13" s="0" t="n">
        <v>110</v>
      </c>
      <c r="T13" s="0" t="n">
        <f aca="false">Tabla35108131532[[#This Row],[efec]]+Tabla35108131532[[#This Row],[no_efe]]</f>
        <v>223</v>
      </c>
    </row>
    <row r="14" customFormat="false" ht="13.8" hidden="false" customHeight="false" outlineLevel="0" collapsed="false">
      <c r="A14" s="0" t="n">
        <v>20</v>
      </c>
      <c r="B14" s="0" t="n">
        <v>85</v>
      </c>
      <c r="C14" s="0" t="n">
        <v>25</v>
      </c>
      <c r="D14" s="0" t="n">
        <v>106</v>
      </c>
      <c r="E14" s="0" t="n">
        <v>7</v>
      </c>
      <c r="F14" s="0" t="n">
        <f aca="false">Tabla35108131532[[#This Row],[no_efec_cor]]+Tabla35108131532[[#This Row],[efec_cor]]</f>
        <v>191</v>
      </c>
      <c r="G14" s="0" t="n">
        <f aca="false">Tabla35108131532[[#This Row],[no_efec_inc]]+Tabla35108131532[[#This Row],[efect_inc]]</f>
        <v>32</v>
      </c>
      <c r="H14" s="9" t="n">
        <f aca="false">Tabla35108131532[[#This Row],[Correctos]]/Tabla35108131532[[#This Row],[total_sec]]</f>
        <v>0.856502242152466</v>
      </c>
      <c r="I14" s="9" t="n">
        <f aca="false">Tabla35108131532[[#This Row],[efec_cor]]/Tabla35108131532[[#This Row],[efec]]</f>
        <v>0.938053097345133</v>
      </c>
      <c r="J14" s="9" t="n">
        <f aca="false">Tabla35108131532[[#This Row],[efect_inc]]/Tabla35108131532[[#This Row],[efec]]</f>
        <v>0.0619469026548673</v>
      </c>
      <c r="K14" s="9" t="n">
        <f aca="false">Tabla35108131532[[#This Row],[no_efec_cor]]/Tabla35108131532[[#This Row],[no_efe]]</f>
        <v>0.772727272727273</v>
      </c>
      <c r="L14" s="9" t="n">
        <f aca="false">Tabla35108131532[[#This Row],[no_efec_inc]]/Tabla35108131532[[#This Row],[no_efe]]</f>
        <v>0.227272727272727</v>
      </c>
      <c r="M14" s="9" t="n">
        <f aca="false">(Tabla35108131532[[#This Row],[% efe_cor]]+Tabla35108131532[[#This Row],[% no_efe_cor]])/2</f>
        <v>0.855390185036203</v>
      </c>
      <c r="N14" s="10" t="n">
        <f aca="false">(Tabla35108131532[[#This Row],[% efe_inc]]+Tabla35108131532[[#This Row],[% no_efect_inc]])/2</f>
        <v>0.144609814963797</v>
      </c>
      <c r="O14" s="11" t="n">
        <f aca="false">Tabla35108131532[[#This Row],[no_efec_cor]]/(Tabla35108131532[[#This Row],[efect_inc]]+Tabla35108131532[[#This Row],[no_efec_cor]])</f>
        <v>0.923913043478261</v>
      </c>
      <c r="P14" s="11" t="n">
        <f aca="false">Tabla35108131532[[#This Row],[efec_cor]]/(Tabla35108131532[[#This Row],[efec_cor]]+Tabla35108131532[[#This Row],[no_efec_inc]])</f>
        <v>0.809160305343511</v>
      </c>
      <c r="Q14" s="11" t="n">
        <f aca="false">(Tabla35108131532[[#This Row],[PNE]]+Tabla35108131532[[#This Row],[PE]])/2</f>
        <v>0.866536674410886</v>
      </c>
      <c r="R14" s="0" t="n">
        <v>113</v>
      </c>
      <c r="S14" s="0" t="n">
        <v>110</v>
      </c>
      <c r="T14" s="0" t="n">
        <f aca="false">Tabla35108131532[[#This Row],[efec]]+Tabla35108131532[[#This Row],[no_efe]]</f>
        <v>223</v>
      </c>
    </row>
    <row r="15" customFormat="false" ht="13.8" hidden="false" customHeight="false" outlineLevel="0" collapsed="false">
      <c r="A15" s="0" t="n">
        <v>25</v>
      </c>
      <c r="B15" s="0" t="n">
        <v>77</v>
      </c>
      <c r="C15" s="0" t="n">
        <v>33</v>
      </c>
      <c r="D15" s="0" t="n">
        <v>107</v>
      </c>
      <c r="E15" s="0" t="n">
        <v>6</v>
      </c>
      <c r="F15" s="0" t="n">
        <f aca="false">Tabla35108131532[[#This Row],[no_efec_cor]]+Tabla35108131532[[#This Row],[efec_cor]]</f>
        <v>184</v>
      </c>
      <c r="G15" s="0" t="n">
        <f aca="false">Tabla35108131532[[#This Row],[no_efec_inc]]+Tabla35108131532[[#This Row],[efect_inc]]</f>
        <v>39</v>
      </c>
      <c r="H15" s="9" t="n">
        <f aca="false">Tabla35108131532[[#This Row],[Correctos]]/Tabla35108131532[[#This Row],[total_sec]]</f>
        <v>0.825112107623318</v>
      </c>
      <c r="I15" s="9" t="n">
        <f aca="false">Tabla35108131532[[#This Row],[efec_cor]]/Tabla35108131532[[#This Row],[efec]]</f>
        <v>0.946902654867257</v>
      </c>
      <c r="J15" s="9" t="n">
        <f aca="false">Tabla35108131532[[#This Row],[efect_inc]]/Tabla35108131532[[#This Row],[efec]]</f>
        <v>0.0530973451327434</v>
      </c>
      <c r="K15" s="9" t="n">
        <f aca="false">Tabla35108131532[[#This Row],[no_efec_cor]]/Tabla35108131532[[#This Row],[no_efe]]</f>
        <v>0.7</v>
      </c>
      <c r="L15" s="9" t="n">
        <f aca="false">Tabla35108131532[[#This Row],[no_efec_inc]]/Tabla35108131532[[#This Row],[no_efe]]</f>
        <v>0.3</v>
      </c>
      <c r="M15" s="9" t="n">
        <f aca="false">(Tabla35108131532[[#This Row],[% efe_cor]]+Tabla35108131532[[#This Row],[% no_efe_cor]])/2</f>
        <v>0.823451327433628</v>
      </c>
      <c r="N15" s="10" t="n">
        <f aca="false">(Tabla35108131532[[#This Row],[% efe_inc]]+Tabla35108131532[[#This Row],[% no_efect_inc]])/2</f>
        <v>0.176548672566372</v>
      </c>
      <c r="O15" s="11" t="n">
        <f aca="false">Tabla35108131532[[#This Row],[no_efec_cor]]/(Tabla35108131532[[#This Row],[efect_inc]]+Tabla35108131532[[#This Row],[no_efec_cor]])</f>
        <v>0.927710843373494</v>
      </c>
      <c r="P15" s="11" t="n">
        <f aca="false">Tabla35108131532[[#This Row],[efec_cor]]/(Tabla35108131532[[#This Row],[efec_cor]]+Tabla35108131532[[#This Row],[no_efec_inc]])</f>
        <v>0.764285714285714</v>
      </c>
      <c r="Q15" s="11" t="n">
        <f aca="false">(Tabla35108131532[[#This Row],[PNE]]+Tabla35108131532[[#This Row],[PE]])/2</f>
        <v>0.845998278829604</v>
      </c>
      <c r="R15" s="0" t="n">
        <v>113</v>
      </c>
      <c r="S15" s="0" t="n">
        <v>110</v>
      </c>
      <c r="T15" s="0" t="n">
        <f aca="false">Tabla35108131532[[#This Row],[efec]]+Tabla35108131532[[#This Row],[no_efe]]</f>
        <v>223</v>
      </c>
    </row>
    <row r="16" customFormat="false" ht="13.8" hidden="false" customHeight="false" outlineLevel="0" collapsed="false">
      <c r="A16" s="0" t="n">
        <v>30</v>
      </c>
      <c r="B16" s="0" t="n">
        <v>68</v>
      </c>
      <c r="C16" s="0" t="n">
        <v>42</v>
      </c>
      <c r="D16" s="0" t="n">
        <v>107</v>
      </c>
      <c r="E16" s="0" t="n">
        <v>6</v>
      </c>
      <c r="F16" s="0" t="n">
        <f aca="false">Tabla35108131532[[#This Row],[no_efec_cor]]+Tabla35108131532[[#This Row],[efec_cor]]</f>
        <v>175</v>
      </c>
      <c r="G16" s="0" t="n">
        <f aca="false">Tabla35108131532[[#This Row],[no_efec_inc]]+Tabla35108131532[[#This Row],[efect_inc]]</f>
        <v>48</v>
      </c>
      <c r="H16" s="9" t="n">
        <f aca="false">Tabla35108131532[[#This Row],[Correctos]]/Tabla35108131532[[#This Row],[total_sec]]</f>
        <v>0.7847533632287</v>
      </c>
      <c r="I16" s="9" t="n">
        <f aca="false">Tabla35108131532[[#This Row],[efec_cor]]/Tabla35108131532[[#This Row],[efec]]</f>
        <v>0.946902654867257</v>
      </c>
      <c r="J16" s="9" t="n">
        <f aca="false">Tabla35108131532[[#This Row],[efect_inc]]/Tabla35108131532[[#This Row],[efec]]</f>
        <v>0.0530973451327434</v>
      </c>
      <c r="K16" s="9" t="n">
        <f aca="false">Tabla35108131532[[#This Row],[no_efec_cor]]/Tabla35108131532[[#This Row],[no_efe]]</f>
        <v>0.618181818181818</v>
      </c>
      <c r="L16" s="9" t="n">
        <f aca="false">Tabla35108131532[[#This Row],[no_efec_inc]]/Tabla35108131532[[#This Row],[no_efe]]</f>
        <v>0.381818181818182</v>
      </c>
      <c r="M16" s="9" t="n">
        <f aca="false">(Tabla35108131532[[#This Row],[% efe_cor]]+Tabla35108131532[[#This Row],[% no_efe_cor]])/2</f>
        <v>0.782542236524537</v>
      </c>
      <c r="N16" s="10" t="n">
        <f aca="false">(Tabla35108131532[[#This Row],[% efe_inc]]+Tabla35108131532[[#This Row],[% no_efect_inc]])/2</f>
        <v>0.217457763475463</v>
      </c>
      <c r="O16" s="11" t="n">
        <f aca="false">Tabla35108131532[[#This Row],[no_efec_cor]]/(Tabla35108131532[[#This Row],[efect_inc]]+Tabla35108131532[[#This Row],[no_efec_cor]])</f>
        <v>0.918918918918919</v>
      </c>
      <c r="P16" s="11" t="n">
        <f aca="false">Tabla35108131532[[#This Row],[efec_cor]]/(Tabla35108131532[[#This Row],[efec_cor]]+Tabla35108131532[[#This Row],[no_efec_inc]])</f>
        <v>0.718120805369127</v>
      </c>
      <c r="Q16" s="11" t="n">
        <f aca="false">(Tabla35108131532[[#This Row],[PNE]]+Tabla35108131532[[#This Row],[PE]])/2</f>
        <v>0.818519862144023</v>
      </c>
      <c r="R16" s="0" t="n">
        <v>113</v>
      </c>
      <c r="S16" s="0" t="n">
        <v>110</v>
      </c>
      <c r="T16" s="0" t="n">
        <f aca="false">Tabla35108131532[[#This Row],[efec]]+Tabla35108131532[[#This Row],[no_efe]]</f>
        <v>223</v>
      </c>
    </row>
    <row r="17" customFormat="false" ht="13.8" hidden="false" customHeight="false" outlineLevel="0" collapsed="false">
      <c r="A17" s="0" t="n">
        <v>35</v>
      </c>
      <c r="B17" s="0" t="n">
        <v>75</v>
      </c>
      <c r="C17" s="0" t="n">
        <v>35</v>
      </c>
      <c r="D17" s="0" t="n">
        <v>97</v>
      </c>
      <c r="E17" s="0" t="n">
        <v>16</v>
      </c>
      <c r="F17" s="0" t="n">
        <f aca="false">Tabla35108131532[[#This Row],[no_efec_cor]]+Tabla35108131532[[#This Row],[efec_cor]]</f>
        <v>172</v>
      </c>
      <c r="G17" s="0" t="n">
        <f aca="false">Tabla35108131532[[#This Row],[no_efec_inc]]+Tabla35108131532[[#This Row],[efect_inc]]</f>
        <v>51</v>
      </c>
      <c r="H17" s="9" t="n">
        <f aca="false">Tabla35108131532[[#This Row],[Correctos]]/Tabla35108131532[[#This Row],[total_sec]]</f>
        <v>0.771300448430493</v>
      </c>
      <c r="I17" s="9" t="n">
        <f aca="false">Tabla35108131532[[#This Row],[efec_cor]]/Tabla35108131532[[#This Row],[efec]]</f>
        <v>0.858407079646018</v>
      </c>
      <c r="J17" s="9" t="n">
        <f aca="false">Tabla35108131532[[#This Row],[efect_inc]]/Tabla35108131532[[#This Row],[efec]]</f>
        <v>0.141592920353982</v>
      </c>
      <c r="K17" s="9" t="n">
        <f aca="false">Tabla35108131532[[#This Row],[no_efec_cor]]/Tabla35108131532[[#This Row],[no_efe]]</f>
        <v>0.681818181818182</v>
      </c>
      <c r="L17" s="9" t="n">
        <f aca="false">Tabla35108131532[[#This Row],[no_efec_inc]]/Tabla35108131532[[#This Row],[no_efe]]</f>
        <v>0.318181818181818</v>
      </c>
      <c r="M17" s="9" t="n">
        <f aca="false">(Tabla35108131532[[#This Row],[% efe_cor]]+Tabla35108131532[[#This Row],[% no_efe_cor]])/2</f>
        <v>0.7701126307321</v>
      </c>
      <c r="N17" s="10" t="n">
        <f aca="false">(Tabla35108131532[[#This Row],[% efe_inc]]+Tabla35108131532[[#This Row],[% no_efect_inc]])/2</f>
        <v>0.2298873692679</v>
      </c>
      <c r="O17" s="11" t="n">
        <f aca="false">Tabla35108131532[[#This Row],[no_efec_cor]]/(Tabla35108131532[[#This Row],[efect_inc]]+Tabla35108131532[[#This Row],[no_efec_cor]])</f>
        <v>0.824175824175824</v>
      </c>
      <c r="P17" s="11" t="n">
        <f aca="false">Tabla35108131532[[#This Row],[efec_cor]]/(Tabla35108131532[[#This Row],[efec_cor]]+Tabla35108131532[[#This Row],[no_efec_inc]])</f>
        <v>0.734848484848485</v>
      </c>
      <c r="Q17" s="11" t="n">
        <f aca="false">(Tabla35108131532[[#This Row],[PNE]]+Tabla35108131532[[#This Row],[PE]])/2</f>
        <v>0.779512154512154</v>
      </c>
      <c r="R17" s="0" t="n">
        <v>113</v>
      </c>
      <c r="S17" s="0" t="n">
        <v>110</v>
      </c>
      <c r="T17" s="0" t="n">
        <f aca="false">Tabla35108131532[[#This Row],[efec]]+Tabla35108131532[[#This Row],[no_efe]]</f>
        <v>223</v>
      </c>
    </row>
    <row r="18" customFormat="false" ht="13.8" hidden="false" customHeight="false" outlineLevel="0" collapsed="false">
      <c r="A18" s="0" t="n">
        <v>39</v>
      </c>
      <c r="B18" s="0" t="n">
        <v>85</v>
      </c>
      <c r="C18" s="0" t="n">
        <v>25</v>
      </c>
      <c r="D18" s="0" t="n">
        <v>89</v>
      </c>
      <c r="E18" s="0" t="n">
        <v>24</v>
      </c>
      <c r="F18" s="0" t="n">
        <f aca="false">Tabla35108131532[[#This Row],[no_efec_cor]]+Tabla35108131532[[#This Row],[efec_cor]]</f>
        <v>174</v>
      </c>
      <c r="G18" s="0" t="n">
        <f aca="false">Tabla35108131532[[#This Row],[no_efec_inc]]+Tabla35108131532[[#This Row],[efect_inc]]</f>
        <v>49</v>
      </c>
      <c r="H18" s="9" t="n">
        <f aca="false">Tabla35108131532[[#This Row],[Correctos]]/Tabla35108131532[[#This Row],[total_sec]]</f>
        <v>0.780269058295964</v>
      </c>
      <c r="I18" s="9" t="n">
        <f aca="false">Tabla35108131532[[#This Row],[efec_cor]]/Tabla35108131532[[#This Row],[efec]]</f>
        <v>0.787610619469027</v>
      </c>
      <c r="J18" s="9" t="n">
        <f aca="false">Tabla35108131532[[#This Row],[efect_inc]]/Tabla35108131532[[#This Row],[efec]]</f>
        <v>0.212389380530973</v>
      </c>
      <c r="K18" s="9" t="n">
        <f aca="false">Tabla35108131532[[#This Row],[no_efec_cor]]/Tabla35108131532[[#This Row],[no_efe]]</f>
        <v>0.772727272727273</v>
      </c>
      <c r="L18" s="9" t="n">
        <f aca="false">Tabla35108131532[[#This Row],[no_efec_inc]]/Tabla35108131532[[#This Row],[no_efe]]</f>
        <v>0.227272727272727</v>
      </c>
      <c r="M18" s="9" t="n">
        <f aca="false">(Tabla35108131532[[#This Row],[% efe_cor]]+Tabla35108131532[[#This Row],[% no_efe_cor]])/2</f>
        <v>0.78016894609815</v>
      </c>
      <c r="N18" s="10" t="n">
        <f aca="false">(Tabla35108131532[[#This Row],[% efe_inc]]+Tabla35108131532[[#This Row],[% no_efect_inc]])/2</f>
        <v>0.21983105390185</v>
      </c>
      <c r="O18" s="11" t="n">
        <f aca="false">Tabla35108131532[[#This Row],[no_efec_cor]]/(Tabla35108131532[[#This Row],[efect_inc]]+Tabla35108131532[[#This Row],[no_efec_cor]])</f>
        <v>0.779816513761468</v>
      </c>
      <c r="P18" s="11" t="n">
        <f aca="false">Tabla35108131532[[#This Row],[efec_cor]]/(Tabla35108131532[[#This Row],[efec_cor]]+Tabla35108131532[[#This Row],[no_efec_inc]])</f>
        <v>0.780701754385965</v>
      </c>
      <c r="Q18" s="11" t="n">
        <f aca="false">(Tabla35108131532[[#This Row],[PNE]]+Tabla35108131532[[#This Row],[PE]])/2</f>
        <v>0.780259134073716</v>
      </c>
      <c r="R18" s="0" t="n">
        <v>113</v>
      </c>
      <c r="S18" s="0" t="n">
        <v>110</v>
      </c>
      <c r="T18" s="0" t="n">
        <f aca="false">Tabla35108131532[[#This Row],[efec]]+Tabla35108131532[[#This Row],[no_efe]]</f>
        <v>223</v>
      </c>
    </row>
    <row r="21" customFormat="false" ht="19.5" hidden="false" customHeight="false" outlineLevel="0" collapsed="false">
      <c r="A21" s="1" t="s">
        <v>34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15" hidden="false" customHeight="false" outlineLevel="0" collapsed="false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5" customFormat="false" ht="15.75" hidden="false" customHeight="false" outlineLevel="0" collapsed="false">
      <c r="A25" s="5" t="s">
        <v>5</v>
      </c>
      <c r="B25" s="5"/>
      <c r="C25" s="5"/>
      <c r="D25" s="5"/>
      <c r="E25" s="5"/>
      <c r="F25" s="5"/>
      <c r="G25" s="5"/>
      <c r="H25" s="5"/>
      <c r="I25" s="5"/>
    </row>
    <row r="26" customFormat="false" ht="15.75" hidden="false" customHeight="false" outlineLevel="0" collapsed="false">
      <c r="A26" s="7" t="s">
        <v>27</v>
      </c>
      <c r="B26" s="7" t="s">
        <v>28</v>
      </c>
      <c r="C26" s="8" t="s">
        <v>7</v>
      </c>
      <c r="D26" s="8" t="s">
        <v>8</v>
      </c>
      <c r="E26" s="8" t="s">
        <v>9</v>
      </c>
      <c r="F26" s="8" t="s">
        <v>10</v>
      </c>
      <c r="G26" s="8" t="s">
        <v>11</v>
      </c>
      <c r="H26" s="8" t="s">
        <v>12</v>
      </c>
      <c r="I26" s="7" t="s">
        <v>13</v>
      </c>
      <c r="J26" s="7" t="s">
        <v>14</v>
      </c>
      <c r="K26" s="7" t="s">
        <v>15</v>
      </c>
      <c r="L26" s="7" t="s">
        <v>16</v>
      </c>
      <c r="M26" s="7" t="s">
        <v>17</v>
      </c>
      <c r="N26" s="7" t="s">
        <v>18</v>
      </c>
      <c r="O26" s="7" t="s">
        <v>19</v>
      </c>
      <c r="P26" s="7" t="s">
        <v>20</v>
      </c>
      <c r="Q26" s="7" t="s">
        <v>21</v>
      </c>
      <c r="R26" s="7" t="s">
        <v>22</v>
      </c>
      <c r="S26" s="7" t="s">
        <v>23</v>
      </c>
      <c r="T26" s="7" t="s">
        <v>24</v>
      </c>
      <c r="U26" s="7" t="s">
        <v>25</v>
      </c>
    </row>
    <row r="27" customFormat="false" ht="13.8" hidden="false" customHeight="false" outlineLevel="0" collapsed="false">
      <c r="A27" s="0" t="n">
        <v>1</v>
      </c>
      <c r="B27" s="0" t="n">
        <v>0</v>
      </c>
      <c r="C27" s="0" t="n">
        <v>109</v>
      </c>
      <c r="D27" s="0" t="n">
        <v>1</v>
      </c>
      <c r="E27" s="0" t="n">
        <v>86</v>
      </c>
      <c r="F27" s="0" t="n">
        <v>27</v>
      </c>
      <c r="G27" s="0" t="n">
        <f aca="false">Tabla35108131534[[#This Row],[no_efec_cor]]+Tabla35108131534[[#This Row],[efec_cor]]</f>
        <v>195</v>
      </c>
      <c r="H27" s="0" t="n">
        <f aca="false">Tabla35108131534[[#This Row],[no_efec_inc]]+Tabla35108131534[[#This Row],[efect_inc]]</f>
        <v>28</v>
      </c>
      <c r="I27" s="9" t="n">
        <f aca="false">Tabla35108131534[[#This Row],[Correctos]]/Tabla35108131534[[#This Row],[total_sec]]</f>
        <v>0.874439461883408</v>
      </c>
      <c r="J27" s="9" t="n">
        <f aca="false">Tabla35108131534[[#This Row],[efec_cor]]/Tabla35108131534[[#This Row],[efec]]</f>
        <v>0.761061946902655</v>
      </c>
      <c r="K27" s="9" t="n">
        <f aca="false">Tabla35108131534[[#This Row],[efect_inc]]/Tabla35108131534[[#This Row],[efec]]</f>
        <v>0.238938053097345</v>
      </c>
      <c r="L27" s="9" t="n">
        <f aca="false">Tabla35108131534[[#This Row],[no_efec_cor]]/Tabla35108131534[[#This Row],[no_efe]]</f>
        <v>0.990909090909091</v>
      </c>
      <c r="M27" s="9" t="n">
        <f aca="false">Tabla35108131534[[#This Row],[no_efec_inc]]/Tabla35108131534[[#This Row],[no_efe]]</f>
        <v>0.00909090909090909</v>
      </c>
      <c r="N27" s="9" t="n">
        <f aca="false">(Tabla35108131534[[#This Row],[% efe_cor]]+Tabla35108131534[[#This Row],[% no_efe_cor]])/2</f>
        <v>0.875985518905873</v>
      </c>
      <c r="O27" s="10" t="n">
        <f aca="false">(Tabla35108131534[[#This Row],[% efe_inc]]+Tabla35108131534[[#This Row],[% no_efect_inc]])/2</f>
        <v>0.124014481094127</v>
      </c>
      <c r="P27" s="11" t="n">
        <f aca="false">Tabla35108131534[[#This Row],[no_efec_cor]]/(Tabla35108131534[[#This Row],[efect_inc]]+Tabla35108131534[[#This Row],[no_efec_cor]])</f>
        <v>0.801470588235294</v>
      </c>
      <c r="Q27" s="11" t="n">
        <f aca="false">Tabla35108131534[[#This Row],[efec_cor]]/(Tabla35108131534[[#This Row],[efec_cor]]+Tabla35108131534[[#This Row],[no_efec_inc]])</f>
        <v>0.988505747126437</v>
      </c>
      <c r="R27" s="11" t="n">
        <f aca="false">(Tabla35108131534[[#This Row],[PNE]]+Tabla35108131534[[#This Row],[PE]])/2</f>
        <v>0.894988167680866</v>
      </c>
      <c r="S27" s="0" t="n">
        <v>113</v>
      </c>
      <c r="T27" s="0" t="n">
        <v>110</v>
      </c>
      <c r="U27" s="0" t="n">
        <f aca="false">Tabla35108131534[[#This Row],[efec]]+Tabla35108131534[[#This Row],[no_efe]]</f>
        <v>223</v>
      </c>
    </row>
    <row r="28" customFormat="false" ht="13.8" hidden="false" customHeight="false" outlineLevel="0" collapsed="false">
      <c r="A28" s="0" t="n">
        <v>1</v>
      </c>
      <c r="B28" s="0" t="n">
        <v>0.1</v>
      </c>
      <c r="C28" s="0" t="n">
        <v>100</v>
      </c>
      <c r="D28" s="0" t="n">
        <v>10</v>
      </c>
      <c r="E28" s="0" t="n">
        <v>107</v>
      </c>
      <c r="F28" s="0" t="n">
        <v>6</v>
      </c>
      <c r="G28" s="0" t="n">
        <f aca="false">Tabla35108131534[[#This Row],[no_efec_cor]]+Tabla35108131534[[#This Row],[efec_cor]]</f>
        <v>207</v>
      </c>
      <c r="H28" s="0" t="n">
        <f aca="false">Tabla35108131534[[#This Row],[no_efec_inc]]+Tabla35108131534[[#This Row],[efect_inc]]</f>
        <v>16</v>
      </c>
      <c r="I28" s="9" t="n">
        <f aca="false">Tabla35108131534[[#This Row],[Correctos]]/Tabla35108131534[[#This Row],[total_sec]]</f>
        <v>0.928251121076233</v>
      </c>
      <c r="J28" s="9" t="n">
        <f aca="false">Tabla35108131534[[#This Row],[efec_cor]]/Tabla35108131534[[#This Row],[efec]]</f>
        <v>0.946902654867257</v>
      </c>
      <c r="K28" s="9" t="n">
        <f aca="false">Tabla35108131534[[#This Row],[efect_inc]]/Tabla35108131534[[#This Row],[efec]]</f>
        <v>0.0530973451327434</v>
      </c>
      <c r="L28" s="9" t="n">
        <f aca="false">Tabla35108131534[[#This Row],[no_efec_cor]]/Tabla35108131534[[#This Row],[no_efe]]</f>
        <v>0.909090909090909</v>
      </c>
      <c r="M28" s="9" t="n">
        <f aca="false">Tabla35108131534[[#This Row],[no_efec_inc]]/Tabla35108131534[[#This Row],[no_efe]]</f>
        <v>0.0909090909090909</v>
      </c>
      <c r="N28" s="9" t="n">
        <f aca="false">(Tabla35108131534[[#This Row],[% efe_cor]]+Tabla35108131534[[#This Row],[% no_efe_cor]])/2</f>
        <v>0.927996781979083</v>
      </c>
      <c r="O28" s="10" t="n">
        <f aca="false">(Tabla35108131534[[#This Row],[% efe_inc]]+Tabla35108131534[[#This Row],[% no_efect_inc]])/2</f>
        <v>0.0720032180209171</v>
      </c>
      <c r="P28" s="11" t="n">
        <f aca="false">Tabla35108131534[[#This Row],[no_efec_cor]]/(Tabla35108131534[[#This Row],[efect_inc]]+Tabla35108131534[[#This Row],[no_efec_cor]])</f>
        <v>0.943396226415094</v>
      </c>
      <c r="Q28" s="11" t="n">
        <f aca="false">Tabla35108131534[[#This Row],[efec_cor]]/(Tabla35108131534[[#This Row],[efec_cor]]+Tabla35108131534[[#This Row],[no_efec_inc]])</f>
        <v>0.914529914529915</v>
      </c>
      <c r="R28" s="11" t="n">
        <f aca="false">(Tabla35108131534[[#This Row],[PNE]]+Tabla35108131534[[#This Row],[PE]])/2</f>
        <v>0.928963070472504</v>
      </c>
      <c r="S28" s="0" t="n">
        <v>113</v>
      </c>
      <c r="T28" s="0" t="n">
        <v>110</v>
      </c>
      <c r="U28" s="0" t="n">
        <f aca="false">Tabla35108131534[[#This Row],[efec]]+Tabla35108131534[[#This Row],[no_efe]]</f>
        <v>223</v>
      </c>
    </row>
    <row r="29" customFormat="false" ht="13.8" hidden="false" customHeight="false" outlineLevel="0" collapsed="false">
      <c r="A29" s="0" t="n">
        <v>1</v>
      </c>
      <c r="B29" s="0" t="n">
        <v>0.5</v>
      </c>
      <c r="C29" s="0" t="n">
        <v>103</v>
      </c>
      <c r="D29" s="0" t="n">
        <v>7</v>
      </c>
      <c r="E29" s="0" t="n">
        <v>106</v>
      </c>
      <c r="F29" s="0" t="n">
        <v>7</v>
      </c>
      <c r="G29" s="0" t="n">
        <f aca="false">Tabla35108131534[[#This Row],[no_efec_cor]]+Tabla35108131534[[#This Row],[efec_cor]]</f>
        <v>209</v>
      </c>
      <c r="H29" s="0" t="n">
        <f aca="false">Tabla35108131534[[#This Row],[no_efec_inc]]+Tabla35108131534[[#This Row],[efect_inc]]</f>
        <v>14</v>
      </c>
      <c r="I29" s="9" t="n">
        <f aca="false">Tabla35108131534[[#This Row],[Correctos]]/Tabla35108131534[[#This Row],[total_sec]]</f>
        <v>0.937219730941704</v>
      </c>
      <c r="J29" s="9" t="n">
        <f aca="false">Tabla35108131534[[#This Row],[efec_cor]]/Tabla35108131534[[#This Row],[efec]]</f>
        <v>0.938053097345133</v>
      </c>
      <c r="K29" s="9" t="n">
        <f aca="false">Tabla35108131534[[#This Row],[efect_inc]]/Tabla35108131534[[#This Row],[efec]]</f>
        <v>0.0619469026548673</v>
      </c>
      <c r="L29" s="9" t="n">
        <f aca="false">Tabla35108131534[[#This Row],[no_efec_cor]]/Tabla35108131534[[#This Row],[no_efe]]</f>
        <v>0.936363636363636</v>
      </c>
      <c r="M29" s="9" t="n">
        <f aca="false">Tabla35108131534[[#This Row],[no_efec_inc]]/Tabla35108131534[[#This Row],[no_efe]]</f>
        <v>0.0636363636363636</v>
      </c>
      <c r="N29" s="9" t="n">
        <f aca="false">(Tabla35108131534[[#This Row],[% efe_cor]]+Tabla35108131534[[#This Row],[% no_efe_cor]])/2</f>
        <v>0.937208366854385</v>
      </c>
      <c r="O29" s="10" t="n">
        <f aca="false">(Tabla35108131534[[#This Row],[% efe_inc]]+Tabla35108131534[[#This Row],[% no_efect_inc]])/2</f>
        <v>0.0627916331456154</v>
      </c>
      <c r="P29" s="11" t="n">
        <f aca="false">Tabla35108131534[[#This Row],[no_efec_cor]]/(Tabla35108131534[[#This Row],[efect_inc]]+Tabla35108131534[[#This Row],[no_efec_cor]])</f>
        <v>0.936363636363636</v>
      </c>
      <c r="Q29" s="11" t="n">
        <f aca="false">Tabla35108131534[[#This Row],[efec_cor]]/(Tabla35108131534[[#This Row],[efec_cor]]+Tabla35108131534[[#This Row],[no_efec_inc]])</f>
        <v>0.938053097345133</v>
      </c>
      <c r="R29" s="11" t="n">
        <f aca="false">(Tabla35108131534[[#This Row],[PNE]]+Tabla35108131534[[#This Row],[PE]])/2</f>
        <v>0.937208366854385</v>
      </c>
      <c r="S29" s="0" t="n">
        <v>113</v>
      </c>
      <c r="T29" s="0" t="n">
        <v>110</v>
      </c>
      <c r="U29" s="0" t="n">
        <f aca="false">Tabla35108131534[[#This Row],[efec]]+Tabla35108131534[[#This Row],[no_efe]]</f>
        <v>223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102</v>
      </c>
      <c r="D30" s="0" t="n">
        <v>8</v>
      </c>
      <c r="E30" s="0" t="n">
        <v>104</v>
      </c>
      <c r="F30" s="0" t="n">
        <v>9</v>
      </c>
      <c r="G30" s="0" t="n">
        <f aca="false">Tabla35108131534[[#This Row],[no_efec_cor]]+Tabla35108131534[[#This Row],[efec_cor]]</f>
        <v>206</v>
      </c>
      <c r="H30" s="0" t="n">
        <f aca="false">Tabla35108131534[[#This Row],[no_efec_inc]]+Tabla35108131534[[#This Row],[efect_inc]]</f>
        <v>17</v>
      </c>
      <c r="I30" s="9" t="n">
        <f aca="false">Tabla35108131534[[#This Row],[Correctos]]/Tabla35108131534[[#This Row],[total_sec]]</f>
        <v>0.923766816143498</v>
      </c>
      <c r="J30" s="9" t="n">
        <f aca="false">Tabla35108131534[[#This Row],[efec_cor]]/Tabla35108131534[[#This Row],[efec]]</f>
        <v>0.920353982300885</v>
      </c>
      <c r="K30" s="9" t="n">
        <f aca="false">Tabla35108131534[[#This Row],[efect_inc]]/Tabla35108131534[[#This Row],[efec]]</f>
        <v>0.079646017699115</v>
      </c>
      <c r="L30" s="9" t="n">
        <f aca="false">Tabla35108131534[[#This Row],[no_efec_cor]]/Tabla35108131534[[#This Row],[no_efe]]</f>
        <v>0.927272727272727</v>
      </c>
      <c r="M30" s="9" t="n">
        <f aca="false">Tabla35108131534[[#This Row],[no_efec_inc]]/Tabla35108131534[[#This Row],[no_efe]]</f>
        <v>0.0727272727272727</v>
      </c>
      <c r="N30" s="9" t="n">
        <f aca="false">(Tabla35108131534[[#This Row],[% efe_cor]]+Tabla35108131534[[#This Row],[% no_efe_cor]])/2</f>
        <v>0.923813354786806</v>
      </c>
      <c r="O30" s="10" t="n">
        <f aca="false">(Tabla35108131534[[#This Row],[% efe_inc]]+Tabla35108131534[[#This Row],[% no_efect_inc]])/2</f>
        <v>0.0761866452131939</v>
      </c>
      <c r="P30" s="11" t="n">
        <f aca="false">Tabla35108131534[[#This Row],[no_efec_cor]]/(Tabla35108131534[[#This Row],[efect_inc]]+Tabla35108131534[[#This Row],[no_efec_cor]])</f>
        <v>0.918918918918919</v>
      </c>
      <c r="Q30" s="11" t="n">
        <f aca="false">Tabla35108131534[[#This Row],[efec_cor]]/(Tabla35108131534[[#This Row],[efec_cor]]+Tabla35108131534[[#This Row],[no_efec_inc]])</f>
        <v>0.928571428571429</v>
      </c>
      <c r="R30" s="11" t="n">
        <f aca="false">(Tabla35108131534[[#This Row],[PNE]]+Tabla35108131534[[#This Row],[PE]])/2</f>
        <v>0.923745173745174</v>
      </c>
      <c r="S30" s="0" t="n">
        <v>113</v>
      </c>
      <c r="T30" s="0" t="n">
        <v>110</v>
      </c>
      <c r="U30" s="0" t="n">
        <f aca="false">Tabla35108131534[[#This Row],[efec]]+Tabla35108131534[[#This Row],[no_efe]]</f>
        <v>223</v>
      </c>
    </row>
    <row r="31" customFormat="false" ht="13.8" hidden="false" customHeight="false" outlineLevel="0" collapsed="false">
      <c r="A31" s="0" t="n">
        <v>1</v>
      </c>
      <c r="B31" s="0" t="n">
        <v>2</v>
      </c>
      <c r="C31" s="0" t="n">
        <v>103</v>
      </c>
      <c r="D31" s="0" t="n">
        <v>7</v>
      </c>
      <c r="E31" s="0" t="n">
        <v>102</v>
      </c>
      <c r="F31" s="0" t="n">
        <v>11</v>
      </c>
      <c r="G31" s="0" t="n">
        <f aca="false">Tabla35108131534[[#This Row],[no_efec_cor]]+Tabla35108131534[[#This Row],[efec_cor]]</f>
        <v>205</v>
      </c>
      <c r="H31" s="0" t="n">
        <f aca="false">Tabla35108131534[[#This Row],[no_efec_inc]]+Tabla35108131534[[#This Row],[efect_inc]]</f>
        <v>18</v>
      </c>
      <c r="I31" s="9" t="n">
        <f aca="false">Tabla35108131534[[#This Row],[Correctos]]/Tabla35108131534[[#This Row],[total_sec]]</f>
        <v>0.919282511210762</v>
      </c>
      <c r="J31" s="9" t="n">
        <f aca="false">Tabla35108131534[[#This Row],[efec_cor]]/Tabla35108131534[[#This Row],[efec]]</f>
        <v>0.902654867256637</v>
      </c>
      <c r="K31" s="9" t="n">
        <f aca="false">Tabla35108131534[[#This Row],[efect_inc]]/Tabla35108131534[[#This Row],[efec]]</f>
        <v>0.0973451327433628</v>
      </c>
      <c r="L31" s="9" t="n">
        <f aca="false">Tabla35108131534[[#This Row],[no_efec_cor]]/Tabla35108131534[[#This Row],[no_efe]]</f>
        <v>0.936363636363636</v>
      </c>
      <c r="M31" s="9" t="n">
        <f aca="false">Tabla35108131534[[#This Row],[no_efec_inc]]/Tabla35108131534[[#This Row],[no_efe]]</f>
        <v>0.0636363636363636</v>
      </c>
      <c r="N31" s="9" t="n">
        <f aca="false">(Tabla35108131534[[#This Row],[% efe_cor]]+Tabla35108131534[[#This Row],[% no_efe_cor]])/2</f>
        <v>0.919509251810137</v>
      </c>
      <c r="O31" s="10" t="n">
        <f aca="false">(Tabla35108131534[[#This Row],[% efe_inc]]+Tabla35108131534[[#This Row],[% no_efect_inc]])/2</f>
        <v>0.0804907481898632</v>
      </c>
      <c r="P31" s="11" t="n">
        <f aca="false">Tabla35108131534[[#This Row],[no_efec_cor]]/(Tabla35108131534[[#This Row],[efect_inc]]+Tabla35108131534[[#This Row],[no_efec_cor]])</f>
        <v>0.903508771929825</v>
      </c>
      <c r="Q31" s="11" t="n">
        <f aca="false">Tabla35108131534[[#This Row],[efec_cor]]/(Tabla35108131534[[#This Row],[efec_cor]]+Tabla35108131534[[#This Row],[no_efec_inc]])</f>
        <v>0.935779816513761</v>
      </c>
      <c r="R31" s="11" t="n">
        <f aca="false">(Tabla35108131534[[#This Row],[PNE]]+Tabla35108131534[[#This Row],[PE]])/2</f>
        <v>0.919644294221793</v>
      </c>
      <c r="S31" s="0" t="n">
        <v>113</v>
      </c>
      <c r="T31" s="0" t="n">
        <v>110</v>
      </c>
      <c r="U31" s="0" t="n">
        <f aca="false">Tabla35108131534[[#This Row],[efec]]+Tabla35108131534[[#This Row],[no_efe]]</f>
        <v>223</v>
      </c>
    </row>
    <row r="32" customFormat="false" ht="13.8" hidden="false" customHeight="false" outlineLevel="0" collapsed="false">
      <c r="A32" s="0" t="n">
        <v>1</v>
      </c>
      <c r="B32" s="0" t="n">
        <v>3</v>
      </c>
      <c r="C32" s="0" t="n">
        <v>103</v>
      </c>
      <c r="D32" s="0" t="n">
        <v>7</v>
      </c>
      <c r="E32" s="0" t="n">
        <v>100</v>
      </c>
      <c r="F32" s="0" t="n">
        <v>13</v>
      </c>
      <c r="G32" s="0" t="n">
        <f aca="false">Tabla35108131534[[#This Row],[no_efec_cor]]+Tabla35108131534[[#This Row],[efec_cor]]</f>
        <v>203</v>
      </c>
      <c r="H32" s="0" t="n">
        <f aca="false">Tabla35108131534[[#This Row],[no_efec_inc]]+Tabla35108131534[[#This Row],[efect_inc]]</f>
        <v>20</v>
      </c>
      <c r="I32" s="9" t="n">
        <f aca="false">Tabla35108131534[[#This Row],[Correctos]]/Tabla35108131534[[#This Row],[total_sec]]</f>
        <v>0.910313901345291</v>
      </c>
      <c r="J32" s="9" t="n">
        <f aca="false">Tabla35108131534[[#This Row],[efec_cor]]/Tabla35108131534[[#This Row],[efec]]</f>
        <v>0.884955752212389</v>
      </c>
      <c r="K32" s="9" t="n">
        <f aca="false">Tabla35108131534[[#This Row],[efect_inc]]/Tabla35108131534[[#This Row],[efec]]</f>
        <v>0.115044247787611</v>
      </c>
      <c r="L32" s="9" t="n">
        <f aca="false">Tabla35108131534[[#This Row],[no_efec_cor]]/Tabla35108131534[[#This Row],[no_efe]]</f>
        <v>0.936363636363636</v>
      </c>
      <c r="M32" s="9" t="n">
        <f aca="false">Tabla35108131534[[#This Row],[no_efec_inc]]/Tabla35108131534[[#This Row],[no_efe]]</f>
        <v>0.0636363636363636</v>
      </c>
      <c r="N32" s="9" t="n">
        <f aca="false">(Tabla35108131534[[#This Row],[% efe_cor]]+Tabla35108131534[[#This Row],[% no_efe_cor]])/2</f>
        <v>0.910659694288013</v>
      </c>
      <c r="O32" s="10" t="n">
        <f aca="false">(Tabla35108131534[[#This Row],[% efe_inc]]+Tabla35108131534[[#This Row],[% no_efect_inc]])/2</f>
        <v>0.0893403057119871</v>
      </c>
      <c r="P32" s="11" t="n">
        <f aca="false">Tabla35108131534[[#This Row],[no_efec_cor]]/(Tabla35108131534[[#This Row],[efect_inc]]+Tabla35108131534[[#This Row],[no_efec_cor]])</f>
        <v>0.887931034482759</v>
      </c>
      <c r="Q32" s="11" t="n">
        <f aca="false">Tabla35108131534[[#This Row],[efec_cor]]/(Tabla35108131534[[#This Row],[efec_cor]]+Tabla35108131534[[#This Row],[no_efec_inc]])</f>
        <v>0.934579439252336</v>
      </c>
      <c r="R32" s="11" t="n">
        <f aca="false">(Tabla35108131534[[#This Row],[PNE]]+Tabla35108131534[[#This Row],[PE]])/2</f>
        <v>0.911255236867548</v>
      </c>
      <c r="S32" s="0" t="n">
        <v>113</v>
      </c>
      <c r="T32" s="0" t="n">
        <v>110</v>
      </c>
      <c r="U32" s="0" t="n">
        <f aca="false">Tabla35108131534[[#This Row],[efec]]+Tabla35108131534[[#This Row],[no_efe]]</f>
        <v>223</v>
      </c>
    </row>
    <row r="33" customFormat="false" ht="13.8" hidden="false" customHeight="false" outlineLevel="0" collapsed="false">
      <c r="A33" s="0" t="n">
        <v>1</v>
      </c>
      <c r="B33" s="0" t="n">
        <v>5</v>
      </c>
      <c r="C33" s="0" t="n">
        <v>106</v>
      </c>
      <c r="D33" s="0" t="n">
        <v>4</v>
      </c>
      <c r="E33" s="0" t="n">
        <v>94</v>
      </c>
      <c r="F33" s="0" t="n">
        <v>19</v>
      </c>
      <c r="G33" s="0" t="n">
        <f aca="false">Tabla35108131534[[#This Row],[no_efec_cor]]+Tabla35108131534[[#This Row],[efec_cor]]</f>
        <v>200</v>
      </c>
      <c r="H33" s="0" t="n">
        <f aca="false">Tabla35108131534[[#This Row],[no_efec_inc]]+Tabla35108131534[[#This Row],[efect_inc]]</f>
        <v>23</v>
      </c>
      <c r="I33" s="9" t="n">
        <f aca="false">Tabla35108131534[[#This Row],[Correctos]]/Tabla35108131534[[#This Row],[total_sec]]</f>
        <v>0.896860986547085</v>
      </c>
      <c r="J33" s="9" t="n">
        <f aca="false">Tabla35108131534[[#This Row],[efec_cor]]/Tabla35108131534[[#This Row],[efec]]</f>
        <v>0.831858407079646</v>
      </c>
      <c r="K33" s="9" t="n">
        <f aca="false">Tabla35108131534[[#This Row],[efect_inc]]/Tabla35108131534[[#This Row],[efec]]</f>
        <v>0.168141592920354</v>
      </c>
      <c r="L33" s="9" t="n">
        <f aca="false">Tabla35108131534[[#This Row],[no_efec_cor]]/Tabla35108131534[[#This Row],[no_efe]]</f>
        <v>0.963636363636364</v>
      </c>
      <c r="M33" s="9" t="n">
        <f aca="false">Tabla35108131534[[#This Row],[no_efec_inc]]/Tabla35108131534[[#This Row],[no_efe]]</f>
        <v>0.0363636363636364</v>
      </c>
      <c r="N33" s="9" t="n">
        <f aca="false">(Tabla35108131534[[#This Row],[% efe_cor]]+Tabla35108131534[[#This Row],[% no_efe_cor]])/2</f>
        <v>0.897747385358005</v>
      </c>
      <c r="O33" s="10" t="n">
        <f aca="false">(Tabla35108131534[[#This Row],[% efe_inc]]+Tabla35108131534[[#This Row],[% no_efect_inc]])/2</f>
        <v>0.102252614641995</v>
      </c>
      <c r="P33" s="11" t="n">
        <f aca="false">Tabla35108131534[[#This Row],[no_efec_cor]]/(Tabla35108131534[[#This Row],[efect_inc]]+Tabla35108131534[[#This Row],[no_efec_cor]])</f>
        <v>0.848</v>
      </c>
      <c r="Q33" s="11" t="n">
        <f aca="false">Tabla35108131534[[#This Row],[efec_cor]]/(Tabla35108131534[[#This Row],[efec_cor]]+Tabla35108131534[[#This Row],[no_efec_inc]])</f>
        <v>0.959183673469388</v>
      </c>
      <c r="R33" s="11" t="n">
        <f aca="false">(Tabla35108131534[[#This Row],[PNE]]+Tabla35108131534[[#This Row],[PE]])/2</f>
        <v>0.903591836734694</v>
      </c>
      <c r="S33" s="0" t="n">
        <v>113</v>
      </c>
      <c r="T33" s="0" t="n">
        <v>110</v>
      </c>
      <c r="U33" s="0" t="n">
        <f aca="false">Tabla35108131534[[#This Row],[efec]]+Tabla35108131534[[#This Row],[no_efe]]</f>
        <v>223</v>
      </c>
    </row>
    <row r="34" customFormat="false" ht="13.8" hidden="false" customHeight="false" outlineLevel="0" collapsed="false">
      <c r="A34" s="0" t="n">
        <v>2</v>
      </c>
      <c r="B34" s="0" t="n">
        <v>0.5</v>
      </c>
      <c r="C34" s="0" t="n">
        <v>102</v>
      </c>
      <c r="D34" s="0" t="n">
        <v>8</v>
      </c>
      <c r="E34" s="0" t="n">
        <v>106</v>
      </c>
      <c r="F34" s="0" t="n">
        <v>7</v>
      </c>
      <c r="G34" s="0" t="n">
        <f aca="false">Tabla35108131534[[#This Row],[no_efec_cor]]+Tabla35108131534[[#This Row],[efec_cor]]</f>
        <v>208</v>
      </c>
      <c r="H34" s="0" t="n">
        <f aca="false">Tabla35108131534[[#This Row],[no_efec_inc]]+Tabla35108131534[[#This Row],[efect_inc]]</f>
        <v>15</v>
      </c>
      <c r="I34" s="9" t="n">
        <f aca="false">Tabla35108131534[[#This Row],[Correctos]]/Tabla35108131534[[#This Row],[total_sec]]</f>
        <v>0.932735426008969</v>
      </c>
      <c r="J34" s="9" t="n">
        <f aca="false">Tabla35108131534[[#This Row],[efec_cor]]/Tabla35108131534[[#This Row],[efec]]</f>
        <v>0.938053097345133</v>
      </c>
      <c r="K34" s="9" t="n">
        <f aca="false">Tabla35108131534[[#This Row],[efect_inc]]/Tabla35108131534[[#This Row],[efec]]</f>
        <v>0.0619469026548673</v>
      </c>
      <c r="L34" s="9" t="n">
        <f aca="false">Tabla35108131534[[#This Row],[no_efec_cor]]/Tabla35108131534[[#This Row],[no_efe]]</f>
        <v>0.927272727272727</v>
      </c>
      <c r="M34" s="9" t="n">
        <f aca="false">Tabla35108131534[[#This Row],[no_efec_inc]]/Tabla35108131534[[#This Row],[no_efe]]</f>
        <v>0.0727272727272727</v>
      </c>
      <c r="N34" s="9" t="n">
        <f aca="false">(Tabla35108131534[[#This Row],[% efe_cor]]+Tabla35108131534[[#This Row],[% no_efe_cor]])/2</f>
        <v>0.93266291230893</v>
      </c>
      <c r="O34" s="10" t="n">
        <f aca="false">(Tabla35108131534[[#This Row],[% efe_inc]]+Tabla35108131534[[#This Row],[% no_efect_inc]])/2</f>
        <v>0.06733708769107</v>
      </c>
      <c r="P34" s="11" t="n">
        <f aca="false">Tabla35108131534[[#This Row],[no_efec_cor]]/(Tabla35108131534[[#This Row],[efect_inc]]+Tabla35108131534[[#This Row],[no_efec_cor]])</f>
        <v>0.935779816513761</v>
      </c>
      <c r="Q34" s="11" t="n">
        <f aca="false">Tabla35108131534[[#This Row],[efec_cor]]/(Tabla35108131534[[#This Row],[efec_cor]]+Tabla35108131534[[#This Row],[no_efec_inc]])</f>
        <v>0.929824561403509</v>
      </c>
      <c r="R34" s="11" t="n">
        <f aca="false">(Tabla35108131534[[#This Row],[PNE]]+Tabla35108131534[[#This Row],[PE]])/2</f>
        <v>0.932802188958635</v>
      </c>
      <c r="S34" s="0" t="n">
        <v>113</v>
      </c>
      <c r="T34" s="0" t="n">
        <v>110</v>
      </c>
      <c r="U34" s="0" t="n">
        <f aca="false">Tabla35108131534[[#This Row],[efec]]+Tabla35108131534[[#This Row],[no_efe]]</f>
        <v>223</v>
      </c>
    </row>
    <row r="35" customFormat="false" ht="13.8" hidden="false" customHeight="false" outlineLevel="0" collapsed="false">
      <c r="A35" s="0" t="n">
        <v>3</v>
      </c>
      <c r="B35" s="0" t="n">
        <v>0.5</v>
      </c>
      <c r="C35" s="0" t="n">
        <v>102</v>
      </c>
      <c r="D35" s="0" t="n">
        <v>8</v>
      </c>
      <c r="E35" s="0" t="n">
        <v>106</v>
      </c>
      <c r="F35" s="0" t="n">
        <v>7</v>
      </c>
      <c r="G35" s="0" t="n">
        <f aca="false">Tabla35108131534[[#This Row],[no_efec_cor]]+Tabla35108131534[[#This Row],[efec_cor]]</f>
        <v>208</v>
      </c>
      <c r="H35" s="0" t="n">
        <f aca="false">Tabla35108131534[[#This Row],[no_efec_inc]]+Tabla35108131534[[#This Row],[efect_inc]]</f>
        <v>15</v>
      </c>
      <c r="I35" s="9" t="n">
        <f aca="false">Tabla35108131534[[#This Row],[Correctos]]/Tabla35108131534[[#This Row],[total_sec]]</f>
        <v>0.932735426008969</v>
      </c>
      <c r="J35" s="9" t="n">
        <f aca="false">Tabla35108131534[[#This Row],[efec_cor]]/Tabla35108131534[[#This Row],[efec]]</f>
        <v>0.938053097345133</v>
      </c>
      <c r="K35" s="9" t="n">
        <f aca="false">Tabla35108131534[[#This Row],[efect_inc]]/Tabla35108131534[[#This Row],[efec]]</f>
        <v>0.0619469026548673</v>
      </c>
      <c r="L35" s="9" t="n">
        <f aca="false">Tabla35108131534[[#This Row],[no_efec_cor]]/Tabla35108131534[[#This Row],[no_efe]]</f>
        <v>0.927272727272727</v>
      </c>
      <c r="M35" s="9" t="n">
        <f aca="false">Tabla35108131534[[#This Row],[no_efec_inc]]/Tabla35108131534[[#This Row],[no_efe]]</f>
        <v>0.0727272727272727</v>
      </c>
      <c r="N35" s="9" t="n">
        <f aca="false">(Tabla35108131534[[#This Row],[% efe_cor]]+Tabla35108131534[[#This Row],[% no_efe_cor]])/2</f>
        <v>0.93266291230893</v>
      </c>
      <c r="O35" s="10" t="n">
        <f aca="false">(Tabla35108131534[[#This Row],[% efe_inc]]+Tabla35108131534[[#This Row],[% no_efect_inc]])/2</f>
        <v>0.06733708769107</v>
      </c>
      <c r="P35" s="11" t="n">
        <f aca="false">Tabla35108131534[[#This Row],[no_efec_cor]]/(Tabla35108131534[[#This Row],[efect_inc]]+Tabla35108131534[[#This Row],[no_efec_cor]])</f>
        <v>0.935779816513761</v>
      </c>
      <c r="Q35" s="11" t="n">
        <f aca="false">Tabla35108131534[[#This Row],[efec_cor]]/(Tabla35108131534[[#This Row],[efec_cor]]+Tabla35108131534[[#This Row],[no_efec_inc]])</f>
        <v>0.929824561403509</v>
      </c>
      <c r="R35" s="11" t="n">
        <f aca="false">(Tabla35108131534[[#This Row],[PNE]]+Tabla35108131534[[#This Row],[PE]])/2</f>
        <v>0.932802188958635</v>
      </c>
      <c r="S35" s="0" t="n">
        <v>113</v>
      </c>
      <c r="T35" s="0" t="n">
        <v>110</v>
      </c>
      <c r="U35" s="0" t="n">
        <f aca="false">Tabla35108131534[[#This Row],[efec]]+Tabla35108131534[[#This Row],[no_efe]]</f>
        <v>223</v>
      </c>
    </row>
    <row r="36" customFormat="false" ht="13.8" hidden="false" customHeight="false" outlineLevel="0" collapsed="false">
      <c r="A36" s="0" t="n">
        <v>5</v>
      </c>
      <c r="B36" s="0" t="n">
        <v>0.5</v>
      </c>
      <c r="C36" s="0" t="n">
        <v>101</v>
      </c>
      <c r="D36" s="0" t="n">
        <v>9</v>
      </c>
      <c r="E36" s="0" t="n">
        <v>106</v>
      </c>
      <c r="F36" s="0" t="n">
        <v>7</v>
      </c>
      <c r="G36" s="0" t="n">
        <f aca="false">Tabla35108131534[[#This Row],[no_efec_cor]]+Tabla35108131534[[#This Row],[efec_cor]]</f>
        <v>207</v>
      </c>
      <c r="H36" s="0" t="n">
        <f aca="false">Tabla35108131534[[#This Row],[no_efec_inc]]+Tabla35108131534[[#This Row],[efect_inc]]</f>
        <v>16</v>
      </c>
      <c r="I36" s="9" t="n">
        <f aca="false">Tabla35108131534[[#This Row],[Correctos]]/Tabla35108131534[[#This Row],[total_sec]]</f>
        <v>0.928251121076233</v>
      </c>
      <c r="J36" s="9" t="n">
        <f aca="false">Tabla35108131534[[#This Row],[efec_cor]]/Tabla35108131534[[#This Row],[efec]]</f>
        <v>0.938053097345133</v>
      </c>
      <c r="K36" s="9" t="n">
        <f aca="false">Tabla35108131534[[#This Row],[efect_inc]]/Tabla35108131534[[#This Row],[efec]]</f>
        <v>0.0619469026548673</v>
      </c>
      <c r="L36" s="9" t="n">
        <f aca="false">Tabla35108131534[[#This Row],[no_efec_cor]]/Tabla35108131534[[#This Row],[no_efe]]</f>
        <v>0.918181818181818</v>
      </c>
      <c r="M36" s="9" t="n">
        <f aca="false">Tabla35108131534[[#This Row],[no_efec_inc]]/Tabla35108131534[[#This Row],[no_efe]]</f>
        <v>0.0818181818181818</v>
      </c>
      <c r="N36" s="9" t="n">
        <f aca="false">(Tabla35108131534[[#This Row],[% efe_cor]]+Tabla35108131534[[#This Row],[% no_efe_cor]])/2</f>
        <v>0.928117457763475</v>
      </c>
      <c r="O36" s="10" t="n">
        <f aca="false">(Tabla35108131534[[#This Row],[% efe_inc]]+Tabla35108131534[[#This Row],[% no_efect_inc]])/2</f>
        <v>0.0718825422365245</v>
      </c>
      <c r="P36" s="11" t="n">
        <f aca="false">Tabla35108131534[[#This Row],[no_efec_cor]]/(Tabla35108131534[[#This Row],[efect_inc]]+Tabla35108131534[[#This Row],[no_efec_cor]])</f>
        <v>0.935185185185185</v>
      </c>
      <c r="Q36" s="11" t="n">
        <f aca="false">Tabla35108131534[[#This Row],[efec_cor]]/(Tabla35108131534[[#This Row],[efec_cor]]+Tabla35108131534[[#This Row],[no_efec_inc]])</f>
        <v>0.921739130434783</v>
      </c>
      <c r="R36" s="11" t="n">
        <f aca="false">(Tabla35108131534[[#This Row],[PNE]]+Tabla35108131534[[#This Row],[PE]])/2</f>
        <v>0.928462157809984</v>
      </c>
      <c r="S36" s="0" t="n">
        <v>113</v>
      </c>
      <c r="T36" s="0" t="n">
        <v>110</v>
      </c>
      <c r="U36" s="0" t="n">
        <f aca="false">Tabla35108131534[[#This Row],[efec]]+Tabla35108131534[[#This Row],[no_efe]]</f>
        <v>223</v>
      </c>
    </row>
    <row r="37" customFormat="false" ht="13.8" hidden="false" customHeight="false" outlineLevel="0" collapsed="false">
      <c r="A37" s="0" t="n">
        <v>5</v>
      </c>
      <c r="B37" s="0" t="n">
        <v>1</v>
      </c>
      <c r="C37" s="0" t="n">
        <v>107</v>
      </c>
      <c r="D37" s="0" t="n">
        <v>3</v>
      </c>
      <c r="E37" s="0" t="n">
        <v>106</v>
      </c>
      <c r="F37" s="0" t="n">
        <v>7</v>
      </c>
      <c r="G37" s="0" t="n">
        <f aca="false">Tabla35108131534[[#This Row],[no_efec_cor]]+Tabla35108131534[[#This Row],[efec_cor]]</f>
        <v>213</v>
      </c>
      <c r="H37" s="0" t="n">
        <f aca="false">Tabla35108131534[[#This Row],[no_efec_inc]]+Tabla35108131534[[#This Row],[efect_inc]]</f>
        <v>10</v>
      </c>
      <c r="I37" s="9" t="n">
        <f aca="false">Tabla35108131534[[#This Row],[Correctos]]/Tabla35108131534[[#This Row],[total_sec]]</f>
        <v>0.955156950672646</v>
      </c>
      <c r="J37" s="9" t="n">
        <f aca="false">Tabla35108131534[[#This Row],[efec_cor]]/Tabla35108131534[[#This Row],[efec]]</f>
        <v>0.938053097345133</v>
      </c>
      <c r="K37" s="9" t="n">
        <f aca="false">Tabla35108131534[[#This Row],[efect_inc]]/Tabla35108131534[[#This Row],[efec]]</f>
        <v>0.0619469026548673</v>
      </c>
      <c r="L37" s="9" t="n">
        <f aca="false">Tabla35108131534[[#This Row],[no_efec_cor]]/Tabla35108131534[[#This Row],[no_efe]]</f>
        <v>0.972727272727273</v>
      </c>
      <c r="M37" s="9" t="n">
        <f aca="false">Tabla35108131534[[#This Row],[no_efec_inc]]/Tabla35108131534[[#This Row],[no_efe]]</f>
        <v>0.0272727272727273</v>
      </c>
      <c r="N37" s="9" t="n">
        <f aca="false">(Tabla35108131534[[#This Row],[% efe_cor]]+Tabla35108131534[[#This Row],[% no_efe_cor]])/2</f>
        <v>0.955390185036203</v>
      </c>
      <c r="O37" s="10" t="n">
        <f aca="false">(Tabla35108131534[[#This Row],[% efe_inc]]+Tabla35108131534[[#This Row],[% no_efect_inc]])/2</f>
        <v>0.0446098149637973</v>
      </c>
      <c r="P37" s="11" t="n">
        <f aca="false">Tabla35108131534[[#This Row],[no_efec_cor]]/(Tabla35108131534[[#This Row],[efect_inc]]+Tabla35108131534[[#This Row],[no_efec_cor]])</f>
        <v>0.93859649122807</v>
      </c>
      <c r="Q37" s="11" t="n">
        <f aca="false">Tabla35108131534[[#This Row],[efec_cor]]/(Tabla35108131534[[#This Row],[efec_cor]]+Tabla35108131534[[#This Row],[no_efec_inc]])</f>
        <v>0.972477064220183</v>
      </c>
      <c r="R37" s="11" t="n">
        <f aca="false">(Tabla35108131534[[#This Row],[PNE]]+Tabla35108131534[[#This Row],[PE]])/2</f>
        <v>0.955536777724127</v>
      </c>
      <c r="S37" s="0" t="n">
        <v>113</v>
      </c>
      <c r="T37" s="0" t="n">
        <v>110</v>
      </c>
      <c r="U37" s="0" t="n">
        <f aca="false">Tabla35108131534[[#This Row],[efec]]+Tabla35108131534[[#This Row],[no_efe]]</f>
        <v>223</v>
      </c>
    </row>
    <row r="38" customFormat="false" ht="13.8" hidden="false" customHeight="false" outlineLevel="0" collapsed="false">
      <c r="A38" s="0" t="n">
        <v>0.5</v>
      </c>
      <c r="B38" s="0" t="n">
        <v>1</v>
      </c>
      <c r="C38" s="0" t="n">
        <v>104</v>
      </c>
      <c r="D38" s="0" t="n">
        <v>6</v>
      </c>
      <c r="E38" s="0" t="n">
        <v>104</v>
      </c>
      <c r="F38" s="0" t="n">
        <v>9</v>
      </c>
      <c r="G38" s="0" t="n">
        <f aca="false">Tabla35108131534[[#This Row],[no_efec_cor]]+Tabla35108131534[[#This Row],[efec_cor]]</f>
        <v>208</v>
      </c>
      <c r="H38" s="0" t="n">
        <f aca="false">Tabla35108131534[[#This Row],[no_efec_inc]]+Tabla35108131534[[#This Row],[efect_inc]]</f>
        <v>15</v>
      </c>
      <c r="I38" s="9" t="n">
        <f aca="false">Tabla35108131534[[#This Row],[Correctos]]/Tabla35108131534[[#This Row],[total_sec]]</f>
        <v>0.932735426008969</v>
      </c>
      <c r="J38" s="9" t="n">
        <f aca="false">Tabla35108131534[[#This Row],[efec_cor]]/Tabla35108131534[[#This Row],[efec]]</f>
        <v>0.920353982300885</v>
      </c>
      <c r="K38" s="9" t="n">
        <f aca="false">Tabla35108131534[[#This Row],[efect_inc]]/Tabla35108131534[[#This Row],[efec]]</f>
        <v>0.079646017699115</v>
      </c>
      <c r="L38" s="9" t="n">
        <f aca="false">Tabla35108131534[[#This Row],[no_efec_cor]]/Tabla35108131534[[#This Row],[no_efe]]</f>
        <v>0.945454545454545</v>
      </c>
      <c r="M38" s="9" t="n">
        <f aca="false">Tabla35108131534[[#This Row],[no_efec_inc]]/Tabla35108131534[[#This Row],[no_efe]]</f>
        <v>0.0545454545454545</v>
      </c>
      <c r="N38" s="9" t="n">
        <f aca="false">(Tabla35108131534[[#This Row],[% efe_cor]]+Tabla35108131534[[#This Row],[% no_efe_cor]])/2</f>
        <v>0.932904263877715</v>
      </c>
      <c r="O38" s="10" t="n">
        <f aca="false">(Tabla35108131534[[#This Row],[% efe_inc]]+Tabla35108131534[[#This Row],[% no_efect_inc]])/2</f>
        <v>0.0670957361222848</v>
      </c>
      <c r="P38" s="11" t="n">
        <f aca="false">Tabla35108131534[[#This Row],[no_efec_cor]]/(Tabla35108131534[[#This Row],[efect_inc]]+Tabla35108131534[[#This Row],[no_efec_cor]])</f>
        <v>0.920353982300885</v>
      </c>
      <c r="Q38" s="11" t="n">
        <f aca="false">Tabla35108131534[[#This Row],[efec_cor]]/(Tabla35108131534[[#This Row],[efec_cor]]+Tabla35108131534[[#This Row],[no_efec_inc]])</f>
        <v>0.945454545454545</v>
      </c>
      <c r="R38" s="11" t="n">
        <f aca="false">(Tabla35108131534[[#This Row],[PNE]]+Tabla35108131534[[#This Row],[PE]])/2</f>
        <v>0.932904263877715</v>
      </c>
      <c r="S38" s="0" t="n">
        <v>113</v>
      </c>
      <c r="T38" s="0" t="n">
        <v>110</v>
      </c>
      <c r="U38" s="0" t="n">
        <f aca="false">Tabla35108131534[[#This Row],[efec]]+Tabla35108131534[[#This Row],[no_efe]]</f>
        <v>223</v>
      </c>
    </row>
    <row r="39" customFormat="false" ht="13.8" hidden="false" customHeight="false" outlineLevel="0" collapsed="false">
      <c r="A39" s="0" t="n">
        <v>0.1</v>
      </c>
      <c r="B39" s="0" t="n">
        <v>1</v>
      </c>
      <c r="C39" s="0" t="n">
        <v>107</v>
      </c>
      <c r="D39" s="0" t="n">
        <v>3</v>
      </c>
      <c r="E39" s="0" t="n">
        <v>84</v>
      </c>
      <c r="F39" s="0" t="n">
        <v>29</v>
      </c>
      <c r="G39" s="0" t="n">
        <f aca="false">Tabla35108131534[[#This Row],[no_efec_cor]]+Tabla35108131534[[#This Row],[efec_cor]]</f>
        <v>191</v>
      </c>
      <c r="H39" s="0" t="n">
        <f aca="false">Tabla35108131534[[#This Row],[no_efec_inc]]+Tabla35108131534[[#This Row],[efect_inc]]</f>
        <v>32</v>
      </c>
      <c r="I39" s="9" t="n">
        <f aca="false">Tabla35108131534[[#This Row],[Correctos]]/Tabla35108131534[[#This Row],[total_sec]]</f>
        <v>0.856502242152466</v>
      </c>
      <c r="J39" s="9" t="n">
        <f aca="false">Tabla35108131534[[#This Row],[efec_cor]]/Tabla35108131534[[#This Row],[efec]]</f>
        <v>0.743362831858407</v>
      </c>
      <c r="K39" s="9" t="n">
        <f aca="false">Tabla35108131534[[#This Row],[efect_inc]]/Tabla35108131534[[#This Row],[efec]]</f>
        <v>0.256637168141593</v>
      </c>
      <c r="L39" s="9" t="n">
        <f aca="false">Tabla35108131534[[#This Row],[no_efec_cor]]/Tabla35108131534[[#This Row],[no_efe]]</f>
        <v>0.972727272727273</v>
      </c>
      <c r="M39" s="9" t="n">
        <f aca="false">Tabla35108131534[[#This Row],[no_efec_inc]]/Tabla35108131534[[#This Row],[no_efe]]</f>
        <v>0.0272727272727273</v>
      </c>
      <c r="N39" s="9" t="n">
        <f aca="false">(Tabla35108131534[[#This Row],[% efe_cor]]+Tabla35108131534[[#This Row],[% no_efe_cor]])/2</f>
        <v>0.85804505229284</v>
      </c>
      <c r="O39" s="10" t="n">
        <f aca="false">(Tabla35108131534[[#This Row],[% efe_inc]]+Tabla35108131534[[#This Row],[% no_efect_inc]])/2</f>
        <v>0.14195494770716</v>
      </c>
      <c r="P39" s="11" t="n">
        <f aca="false">Tabla35108131534[[#This Row],[no_efec_cor]]/(Tabla35108131534[[#This Row],[efect_inc]]+Tabla35108131534[[#This Row],[no_efec_cor]])</f>
        <v>0.786764705882353</v>
      </c>
      <c r="Q39" s="11" t="n">
        <f aca="false">Tabla35108131534[[#This Row],[efec_cor]]/(Tabla35108131534[[#This Row],[efec_cor]]+Tabla35108131534[[#This Row],[no_efec_inc]])</f>
        <v>0.96551724137931</v>
      </c>
      <c r="R39" s="11" t="n">
        <f aca="false">(Tabla35108131534[[#This Row],[PNE]]+Tabla35108131534[[#This Row],[PE]])/2</f>
        <v>0.876140973630832</v>
      </c>
      <c r="S39" s="0" t="n">
        <v>113</v>
      </c>
      <c r="T39" s="0" t="n">
        <v>110</v>
      </c>
      <c r="U39" s="0" t="n">
        <f aca="false">Tabla35108131534[[#This Row],[efec]]+Tabla35108131534[[#This Row],[no_efe]]</f>
        <v>223</v>
      </c>
    </row>
    <row r="40" customFormat="false" ht="13.8" hidden="false" customHeight="false" outlineLevel="0" collapsed="false">
      <c r="A40" s="0" t="n">
        <v>0.5</v>
      </c>
      <c r="B40" s="0" t="n">
        <v>0.5</v>
      </c>
      <c r="C40" s="0" t="n">
        <v>96</v>
      </c>
      <c r="D40" s="0" t="n">
        <v>14</v>
      </c>
      <c r="E40" s="0" t="n">
        <v>104</v>
      </c>
      <c r="F40" s="0" t="n">
        <v>9</v>
      </c>
      <c r="G40" s="0" t="n">
        <f aca="false">Tabla35108131534[[#This Row],[no_efec_cor]]+Tabla35108131534[[#This Row],[efec_cor]]</f>
        <v>200</v>
      </c>
      <c r="H40" s="0" t="n">
        <f aca="false">Tabla35108131534[[#This Row],[no_efec_inc]]+Tabla35108131534[[#This Row],[efect_inc]]</f>
        <v>23</v>
      </c>
      <c r="I40" s="9" t="n">
        <f aca="false">Tabla35108131534[[#This Row],[Correctos]]/Tabla35108131534[[#This Row],[total_sec]]</f>
        <v>0.896860986547085</v>
      </c>
      <c r="J40" s="9" t="n">
        <f aca="false">Tabla35108131534[[#This Row],[efec_cor]]/Tabla35108131534[[#This Row],[efec]]</f>
        <v>0.920353982300885</v>
      </c>
      <c r="K40" s="9" t="n">
        <f aca="false">Tabla35108131534[[#This Row],[efect_inc]]/Tabla35108131534[[#This Row],[efec]]</f>
        <v>0.079646017699115</v>
      </c>
      <c r="L40" s="9" t="n">
        <f aca="false">Tabla35108131534[[#This Row],[no_efec_cor]]/Tabla35108131534[[#This Row],[no_efe]]</f>
        <v>0.872727272727273</v>
      </c>
      <c r="M40" s="9" t="n">
        <f aca="false">Tabla35108131534[[#This Row],[no_efec_inc]]/Tabla35108131534[[#This Row],[no_efe]]</f>
        <v>0.127272727272727</v>
      </c>
      <c r="N40" s="9" t="n">
        <f aca="false">(Tabla35108131534[[#This Row],[% efe_cor]]+Tabla35108131534[[#This Row],[% no_efe_cor]])/2</f>
        <v>0.896540627514079</v>
      </c>
      <c r="O40" s="10" t="n">
        <f aca="false">(Tabla35108131534[[#This Row],[% efe_inc]]+Tabla35108131534[[#This Row],[% no_efect_inc]])/2</f>
        <v>0.103459372485921</v>
      </c>
      <c r="P40" s="11" t="n">
        <f aca="false">Tabla35108131534[[#This Row],[no_efec_cor]]/(Tabla35108131534[[#This Row],[efect_inc]]+Tabla35108131534[[#This Row],[no_efec_cor]])</f>
        <v>0.914285714285714</v>
      </c>
      <c r="Q40" s="11" t="n">
        <f aca="false">Tabla35108131534[[#This Row],[efec_cor]]/(Tabla35108131534[[#This Row],[efec_cor]]+Tabla35108131534[[#This Row],[no_efec_inc]])</f>
        <v>0.88135593220339</v>
      </c>
      <c r="R40" s="11" t="n">
        <f aca="false">(Tabla35108131534[[#This Row],[PNE]]+Tabla35108131534[[#This Row],[PE]])/2</f>
        <v>0.897820823244552</v>
      </c>
      <c r="S40" s="0" t="n">
        <v>113</v>
      </c>
      <c r="T40" s="0" t="n">
        <v>110</v>
      </c>
      <c r="U40" s="0" t="n">
        <f aca="false">Tabla35108131534[[#This Row],[efec]]+Tabla35108131534[[#This Row],[no_efe]]</f>
        <v>223</v>
      </c>
    </row>
  </sheetData>
  <mergeCells count="9">
    <mergeCell ref="A1:U1"/>
    <mergeCell ref="A2:U2"/>
    <mergeCell ref="A4:B4"/>
    <mergeCell ref="A5:B5"/>
    <mergeCell ref="A6:B6"/>
    <mergeCell ref="A8:I8"/>
    <mergeCell ref="A21:U21"/>
    <mergeCell ref="A22:U22"/>
    <mergeCell ref="A25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U39"/>
  <sheetViews>
    <sheetView showFormulas="false" showGridLines="true" showRowColHeaders="true" showZeros="true" rightToLeft="false" tabSelected="false" showOutlineSymbols="true" defaultGridColor="true" view="normal" topLeftCell="B4" colorId="64" zoomScale="100" zoomScaleNormal="100" zoomScalePageLayoutView="100" workbookViewId="0">
      <selection pane="topLeft" activeCell="E38" activeCellId="1" sqref="A74:F84 E38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110</v>
      </c>
    </row>
    <row r="5" customFormat="false" ht="15" hidden="false" customHeight="false" outlineLevel="0" collapsed="false">
      <c r="A5" s="3" t="s">
        <v>3</v>
      </c>
      <c r="B5" s="3"/>
      <c r="C5" s="4" t="n">
        <v>111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221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108</v>
      </c>
      <c r="C10" s="0" t="n">
        <v>3</v>
      </c>
      <c r="D10" s="0" t="n">
        <v>106</v>
      </c>
      <c r="E10" s="0" t="n">
        <v>4</v>
      </c>
      <c r="F10" s="0" t="n">
        <f aca="false">Tabla351081315327[[#This Row],[no_efec_cor]]+Tabla351081315327[[#This Row],[efec_cor]]</f>
        <v>214</v>
      </c>
      <c r="G10" s="0" t="n">
        <f aca="false">Tabla351081315327[[#This Row],[no_efec_inc]]+Tabla351081315327[[#This Row],[efect_inc]]</f>
        <v>7</v>
      </c>
      <c r="H10" s="9" t="n">
        <f aca="false">Tabla351081315327[[#This Row],[Correctos]]/Tabla351081315327[[#This Row],[total_sec]]</f>
        <v>0.968325791855204</v>
      </c>
      <c r="I10" s="9" t="n">
        <f aca="false">Tabla351081315327[[#This Row],[efec_cor]]/Tabla351081315327[[#This Row],[efec]]</f>
        <v>0.963636363636364</v>
      </c>
      <c r="J10" s="9" t="n">
        <f aca="false">Tabla351081315327[[#This Row],[efect_inc]]/Tabla351081315327[[#This Row],[efec]]</f>
        <v>0.0363636363636364</v>
      </c>
      <c r="K10" s="9" t="n">
        <f aca="false">Tabla351081315327[[#This Row],[no_efec_cor]]/Tabla351081315327[[#This Row],[no_efe]]</f>
        <v>0.972972972972973</v>
      </c>
      <c r="L10" s="9" t="n">
        <f aca="false">Tabla351081315327[[#This Row],[no_efec_inc]]/Tabla351081315327[[#This Row],[no_efe]]</f>
        <v>0.027027027027027</v>
      </c>
      <c r="M10" s="9" t="n">
        <f aca="false">(Tabla351081315327[[#This Row],[% efe_cor]]+Tabla351081315327[[#This Row],[% no_efe_cor]])/2</f>
        <v>0.968304668304668</v>
      </c>
      <c r="N10" s="10" t="n">
        <f aca="false">(Tabla351081315327[[#This Row],[% efe_inc]]+Tabla351081315327[[#This Row],[% no_efect_inc]])/2</f>
        <v>0.0316953316953317</v>
      </c>
      <c r="O10" s="11" t="n">
        <f aca="false">Tabla351081315327[[#This Row],[no_efec_cor]]/(Tabla351081315327[[#This Row],[efect_inc]]+Tabla351081315327[[#This Row],[no_efec_cor]])</f>
        <v>0.964285714285714</v>
      </c>
      <c r="P10" s="11" t="n">
        <f aca="false">Tabla351081315327[[#This Row],[efec_cor]]/(Tabla351081315327[[#This Row],[efec_cor]]+Tabla351081315327[[#This Row],[no_efec_inc]])</f>
        <v>0.972477064220183</v>
      </c>
      <c r="Q10" s="11" t="n">
        <f aca="false">(Tabla351081315327[[#This Row],[PNE]]+Tabla351081315327[[#This Row],[PE]])/2</f>
        <v>0.968381389252949</v>
      </c>
      <c r="R10" s="0" t="n">
        <v>110</v>
      </c>
      <c r="S10" s="0" t="n">
        <v>111</v>
      </c>
      <c r="T10" s="0" t="n">
        <f aca="false">Tabla351081315327[[#This Row],[efec]]+Tabla351081315327[[#This Row],[no_efe]]</f>
        <v>221</v>
      </c>
    </row>
    <row r="11" customFormat="false" ht="13.8" hidden="false" customHeight="false" outlineLevel="0" collapsed="false">
      <c r="A11" s="0" t="n">
        <v>5</v>
      </c>
      <c r="B11" s="0" t="n">
        <v>102</v>
      </c>
      <c r="C11" s="0" t="n">
        <v>9</v>
      </c>
      <c r="D11" s="0" t="n">
        <v>104</v>
      </c>
      <c r="E11" s="0" t="n">
        <v>6</v>
      </c>
      <c r="F11" s="0" t="n">
        <f aca="false">Tabla351081315327[[#This Row],[no_efec_cor]]+Tabla351081315327[[#This Row],[efec_cor]]</f>
        <v>206</v>
      </c>
      <c r="G11" s="0" t="n">
        <f aca="false">Tabla351081315327[[#This Row],[no_efec_inc]]+Tabla351081315327[[#This Row],[efect_inc]]</f>
        <v>15</v>
      </c>
      <c r="H11" s="9" t="n">
        <f aca="false">Tabla351081315327[[#This Row],[Correctos]]/Tabla351081315327[[#This Row],[total_sec]]</f>
        <v>0.932126696832579</v>
      </c>
      <c r="I11" s="9" t="n">
        <f aca="false">Tabla351081315327[[#This Row],[efec_cor]]/Tabla351081315327[[#This Row],[efec]]</f>
        <v>0.945454545454545</v>
      </c>
      <c r="J11" s="9" t="n">
        <f aca="false">Tabla351081315327[[#This Row],[efect_inc]]/Tabla351081315327[[#This Row],[efec]]</f>
        <v>0.0545454545454545</v>
      </c>
      <c r="K11" s="9" t="n">
        <f aca="false">Tabla351081315327[[#This Row],[no_efec_cor]]/Tabla351081315327[[#This Row],[no_efe]]</f>
        <v>0.918918918918919</v>
      </c>
      <c r="L11" s="9" t="n">
        <f aca="false">Tabla351081315327[[#This Row],[no_efec_inc]]/Tabla351081315327[[#This Row],[no_efe]]</f>
        <v>0.0810810810810811</v>
      </c>
      <c r="M11" s="9" t="n">
        <f aca="false">(Tabla351081315327[[#This Row],[% efe_cor]]+Tabla351081315327[[#This Row],[% no_efe_cor]])/2</f>
        <v>0.932186732186732</v>
      </c>
      <c r="N11" s="10" t="n">
        <f aca="false">(Tabla351081315327[[#This Row],[% efe_inc]]+Tabla351081315327[[#This Row],[% no_efect_inc]])/2</f>
        <v>0.0678132678132678</v>
      </c>
      <c r="O11" s="11" t="n">
        <f aca="false">Tabla351081315327[[#This Row],[no_efec_cor]]/(Tabla351081315327[[#This Row],[efect_inc]]+Tabla351081315327[[#This Row],[no_efec_cor]])</f>
        <v>0.944444444444444</v>
      </c>
      <c r="P11" s="11" t="n">
        <f aca="false">Tabla351081315327[[#This Row],[efec_cor]]/(Tabla351081315327[[#This Row],[efec_cor]]+Tabla351081315327[[#This Row],[no_efec_inc]])</f>
        <v>0.920353982300885</v>
      </c>
      <c r="Q11" s="11" t="n">
        <f aca="false">(Tabla351081315327[[#This Row],[PNE]]+Tabla351081315327[[#This Row],[PE]])/2</f>
        <v>0.932399213372665</v>
      </c>
      <c r="R11" s="0" t="n">
        <v>110</v>
      </c>
      <c r="S11" s="0" t="n">
        <v>111</v>
      </c>
      <c r="T11" s="0" t="n">
        <f aca="false">Tabla351081315327[[#This Row],[efec]]+Tabla351081315327[[#This Row],[no_efe]]</f>
        <v>221</v>
      </c>
    </row>
    <row r="12" customFormat="false" ht="13.8" hidden="false" customHeight="false" outlineLevel="0" collapsed="false">
      <c r="A12" s="0" t="n">
        <v>10</v>
      </c>
      <c r="B12" s="0" t="n">
        <v>96</v>
      </c>
      <c r="C12" s="0" t="n">
        <v>15</v>
      </c>
      <c r="D12" s="0" t="n">
        <v>102</v>
      </c>
      <c r="E12" s="0" t="n">
        <v>8</v>
      </c>
      <c r="F12" s="0" t="n">
        <f aca="false">Tabla351081315327[[#This Row],[no_efec_cor]]+Tabla351081315327[[#This Row],[efec_cor]]</f>
        <v>198</v>
      </c>
      <c r="G12" s="0" t="n">
        <f aca="false">Tabla351081315327[[#This Row],[no_efec_inc]]+Tabla351081315327[[#This Row],[efect_inc]]</f>
        <v>23</v>
      </c>
      <c r="H12" s="9" t="n">
        <f aca="false">Tabla351081315327[[#This Row],[Correctos]]/Tabla351081315327[[#This Row],[total_sec]]</f>
        <v>0.895927601809955</v>
      </c>
      <c r="I12" s="9" t="n">
        <f aca="false">Tabla351081315327[[#This Row],[efec_cor]]/Tabla351081315327[[#This Row],[efec]]</f>
        <v>0.927272727272727</v>
      </c>
      <c r="J12" s="9" t="n">
        <f aca="false">Tabla351081315327[[#This Row],[efect_inc]]/Tabla351081315327[[#This Row],[efec]]</f>
        <v>0.0727272727272727</v>
      </c>
      <c r="K12" s="9" t="n">
        <f aca="false">Tabla351081315327[[#This Row],[no_efec_cor]]/Tabla351081315327[[#This Row],[no_efe]]</f>
        <v>0.864864864864865</v>
      </c>
      <c r="L12" s="9" t="n">
        <f aca="false">Tabla351081315327[[#This Row],[no_efec_inc]]/Tabla351081315327[[#This Row],[no_efe]]</f>
        <v>0.135135135135135</v>
      </c>
      <c r="M12" s="9" t="n">
        <f aca="false">(Tabla351081315327[[#This Row],[% efe_cor]]+Tabla351081315327[[#This Row],[% no_efe_cor]])/2</f>
        <v>0.896068796068796</v>
      </c>
      <c r="N12" s="10" t="n">
        <f aca="false">(Tabla351081315327[[#This Row],[% efe_inc]]+Tabla351081315327[[#This Row],[% no_efect_inc]])/2</f>
        <v>0.103931203931204</v>
      </c>
      <c r="O12" s="11" t="n">
        <f aca="false">Tabla351081315327[[#This Row],[no_efec_cor]]/(Tabla351081315327[[#This Row],[efect_inc]]+Tabla351081315327[[#This Row],[no_efec_cor]])</f>
        <v>0.923076923076923</v>
      </c>
      <c r="P12" s="11" t="n">
        <f aca="false">Tabla351081315327[[#This Row],[efec_cor]]/(Tabla351081315327[[#This Row],[efec_cor]]+Tabla351081315327[[#This Row],[no_efec_inc]])</f>
        <v>0.871794871794872</v>
      </c>
      <c r="Q12" s="11" t="n">
        <f aca="false">(Tabla351081315327[[#This Row],[PNE]]+Tabla351081315327[[#This Row],[PE]])/2</f>
        <v>0.897435897435897</v>
      </c>
      <c r="R12" s="0" t="n">
        <v>110</v>
      </c>
      <c r="S12" s="0" t="n">
        <v>111</v>
      </c>
      <c r="T12" s="0" t="n">
        <f aca="false">Tabla351081315327[[#This Row],[efec]]+Tabla351081315327[[#This Row],[no_efe]]</f>
        <v>221</v>
      </c>
    </row>
    <row r="13" customFormat="false" ht="13.8" hidden="false" customHeight="false" outlineLevel="0" collapsed="false">
      <c r="A13" s="0" t="n">
        <v>15</v>
      </c>
      <c r="B13" s="0" t="n">
        <v>90</v>
      </c>
      <c r="C13" s="0" t="n">
        <v>21</v>
      </c>
      <c r="D13" s="0" t="n">
        <v>102</v>
      </c>
      <c r="E13" s="0" t="n">
        <v>8</v>
      </c>
      <c r="F13" s="0" t="n">
        <f aca="false">Tabla351081315327[[#This Row],[no_efec_cor]]+Tabla351081315327[[#This Row],[efec_cor]]</f>
        <v>192</v>
      </c>
      <c r="G13" s="0" t="n">
        <f aca="false">Tabla351081315327[[#This Row],[no_efec_inc]]+Tabla351081315327[[#This Row],[efect_inc]]</f>
        <v>29</v>
      </c>
      <c r="H13" s="9" t="n">
        <f aca="false">Tabla351081315327[[#This Row],[Correctos]]/Tabla351081315327[[#This Row],[total_sec]]</f>
        <v>0.868778280542986</v>
      </c>
      <c r="I13" s="9" t="n">
        <f aca="false">Tabla351081315327[[#This Row],[efec_cor]]/Tabla351081315327[[#This Row],[efec]]</f>
        <v>0.927272727272727</v>
      </c>
      <c r="J13" s="9" t="n">
        <f aca="false">Tabla351081315327[[#This Row],[efect_inc]]/Tabla351081315327[[#This Row],[efec]]</f>
        <v>0.0727272727272727</v>
      </c>
      <c r="K13" s="9" t="n">
        <f aca="false">Tabla351081315327[[#This Row],[no_efec_cor]]/Tabla351081315327[[#This Row],[no_efe]]</f>
        <v>0.810810810810811</v>
      </c>
      <c r="L13" s="9" t="n">
        <f aca="false">Tabla351081315327[[#This Row],[no_efec_inc]]/Tabla351081315327[[#This Row],[no_efe]]</f>
        <v>0.189189189189189</v>
      </c>
      <c r="M13" s="9" t="n">
        <f aca="false">(Tabla351081315327[[#This Row],[% efe_cor]]+Tabla351081315327[[#This Row],[% no_efe_cor]])/2</f>
        <v>0.869041769041769</v>
      </c>
      <c r="N13" s="10" t="n">
        <f aca="false">(Tabla351081315327[[#This Row],[% efe_inc]]+Tabla351081315327[[#This Row],[% no_efect_inc]])/2</f>
        <v>0.130958230958231</v>
      </c>
      <c r="O13" s="11" t="n">
        <f aca="false">Tabla351081315327[[#This Row],[no_efec_cor]]/(Tabla351081315327[[#This Row],[efect_inc]]+Tabla351081315327[[#This Row],[no_efec_cor]])</f>
        <v>0.918367346938775</v>
      </c>
      <c r="P13" s="11" t="n">
        <f aca="false">Tabla351081315327[[#This Row],[efec_cor]]/(Tabla351081315327[[#This Row],[efec_cor]]+Tabla351081315327[[#This Row],[no_efec_inc]])</f>
        <v>0.829268292682927</v>
      </c>
      <c r="Q13" s="11" t="n">
        <f aca="false">(Tabla351081315327[[#This Row],[PNE]]+Tabla351081315327[[#This Row],[PE]])/2</f>
        <v>0.873817819810851</v>
      </c>
      <c r="R13" s="0" t="n">
        <v>110</v>
      </c>
      <c r="S13" s="0" t="n">
        <v>111</v>
      </c>
      <c r="T13" s="0" t="n">
        <f aca="false">Tabla351081315327[[#This Row],[efec]]+Tabla351081315327[[#This Row],[no_efe]]</f>
        <v>221</v>
      </c>
    </row>
    <row r="14" customFormat="false" ht="13.8" hidden="false" customHeight="false" outlineLevel="0" collapsed="false">
      <c r="A14" s="0" t="n">
        <v>20</v>
      </c>
      <c r="B14" s="0" t="n">
        <v>87</v>
      </c>
      <c r="C14" s="0" t="n">
        <v>24</v>
      </c>
      <c r="D14" s="0" t="n">
        <v>102</v>
      </c>
      <c r="E14" s="0" t="n">
        <v>8</v>
      </c>
      <c r="F14" s="0" t="n">
        <f aca="false">Tabla351081315327[[#This Row],[no_efec_cor]]+Tabla351081315327[[#This Row],[efec_cor]]</f>
        <v>189</v>
      </c>
      <c r="G14" s="0" t="n">
        <f aca="false">Tabla351081315327[[#This Row],[no_efec_inc]]+Tabla351081315327[[#This Row],[efect_inc]]</f>
        <v>32</v>
      </c>
      <c r="H14" s="9" t="n">
        <f aca="false">Tabla351081315327[[#This Row],[Correctos]]/Tabla351081315327[[#This Row],[total_sec]]</f>
        <v>0.855203619909502</v>
      </c>
      <c r="I14" s="9" t="n">
        <f aca="false">Tabla351081315327[[#This Row],[efec_cor]]/Tabla351081315327[[#This Row],[efec]]</f>
        <v>0.927272727272727</v>
      </c>
      <c r="J14" s="9" t="n">
        <f aca="false">Tabla351081315327[[#This Row],[efect_inc]]/Tabla351081315327[[#This Row],[efec]]</f>
        <v>0.0727272727272727</v>
      </c>
      <c r="K14" s="9" t="n">
        <f aca="false">Tabla351081315327[[#This Row],[no_efec_cor]]/Tabla351081315327[[#This Row],[no_efe]]</f>
        <v>0.783783783783784</v>
      </c>
      <c r="L14" s="9" t="n">
        <f aca="false">Tabla351081315327[[#This Row],[no_efec_inc]]/Tabla351081315327[[#This Row],[no_efe]]</f>
        <v>0.216216216216216</v>
      </c>
      <c r="M14" s="9" t="n">
        <f aca="false">(Tabla351081315327[[#This Row],[% efe_cor]]+Tabla351081315327[[#This Row],[% no_efe_cor]])/2</f>
        <v>0.855528255528255</v>
      </c>
      <c r="N14" s="10" t="n">
        <f aca="false">(Tabla351081315327[[#This Row],[% efe_inc]]+Tabla351081315327[[#This Row],[% no_efect_inc]])/2</f>
        <v>0.144471744471745</v>
      </c>
      <c r="O14" s="11" t="n">
        <f aca="false">Tabla351081315327[[#This Row],[no_efec_cor]]/(Tabla351081315327[[#This Row],[efect_inc]]+Tabla351081315327[[#This Row],[no_efec_cor]])</f>
        <v>0.91578947368421</v>
      </c>
      <c r="P14" s="11" t="n">
        <f aca="false">Tabla351081315327[[#This Row],[efec_cor]]/(Tabla351081315327[[#This Row],[efec_cor]]+Tabla351081315327[[#This Row],[no_efec_inc]])</f>
        <v>0.80952380952381</v>
      </c>
      <c r="Q14" s="11" t="n">
        <f aca="false">(Tabla351081315327[[#This Row],[PNE]]+Tabla351081315327[[#This Row],[PE]])/2</f>
        <v>0.86265664160401</v>
      </c>
      <c r="R14" s="0" t="n">
        <v>110</v>
      </c>
      <c r="S14" s="0" t="n">
        <v>111</v>
      </c>
      <c r="T14" s="0" t="n">
        <f aca="false">Tabla351081315327[[#This Row],[efec]]+Tabla351081315327[[#This Row],[no_efe]]</f>
        <v>221</v>
      </c>
    </row>
    <row r="15" customFormat="false" ht="13.8" hidden="false" customHeight="false" outlineLevel="0" collapsed="false">
      <c r="A15" s="0" t="n">
        <v>25</v>
      </c>
      <c r="B15" s="0" t="n">
        <v>85</v>
      </c>
      <c r="C15" s="0" t="n">
        <v>26</v>
      </c>
      <c r="D15" s="0" t="n">
        <v>102</v>
      </c>
      <c r="E15" s="0" t="n">
        <v>8</v>
      </c>
      <c r="F15" s="0" t="n">
        <f aca="false">Tabla351081315327[[#This Row],[no_efec_cor]]+Tabla351081315327[[#This Row],[efec_cor]]</f>
        <v>187</v>
      </c>
      <c r="G15" s="0" t="n">
        <f aca="false">Tabla351081315327[[#This Row],[no_efec_inc]]+Tabla351081315327[[#This Row],[efect_inc]]</f>
        <v>34</v>
      </c>
      <c r="H15" s="9" t="n">
        <f aca="false">Tabla351081315327[[#This Row],[Correctos]]/Tabla351081315327[[#This Row],[total_sec]]</f>
        <v>0.846153846153846</v>
      </c>
      <c r="I15" s="9" t="n">
        <f aca="false">Tabla351081315327[[#This Row],[efec_cor]]/Tabla351081315327[[#This Row],[efec]]</f>
        <v>0.927272727272727</v>
      </c>
      <c r="J15" s="9" t="n">
        <f aca="false">Tabla351081315327[[#This Row],[efect_inc]]/Tabla351081315327[[#This Row],[efec]]</f>
        <v>0.0727272727272727</v>
      </c>
      <c r="K15" s="9" t="n">
        <f aca="false">Tabla351081315327[[#This Row],[no_efec_cor]]/Tabla351081315327[[#This Row],[no_efe]]</f>
        <v>0.765765765765766</v>
      </c>
      <c r="L15" s="9" t="n">
        <f aca="false">Tabla351081315327[[#This Row],[no_efec_inc]]/Tabla351081315327[[#This Row],[no_efe]]</f>
        <v>0.234234234234234</v>
      </c>
      <c r="M15" s="9" t="n">
        <f aca="false">(Tabla351081315327[[#This Row],[% efe_cor]]+Tabla351081315327[[#This Row],[% no_efe_cor]])/2</f>
        <v>0.846519246519246</v>
      </c>
      <c r="N15" s="10" t="n">
        <f aca="false">(Tabla351081315327[[#This Row],[% efe_inc]]+Tabla351081315327[[#This Row],[% no_efect_inc]])/2</f>
        <v>0.153480753480753</v>
      </c>
      <c r="O15" s="11" t="n">
        <f aca="false">Tabla351081315327[[#This Row],[no_efec_cor]]/(Tabla351081315327[[#This Row],[efect_inc]]+Tabla351081315327[[#This Row],[no_efec_cor]])</f>
        <v>0.913978494623656</v>
      </c>
      <c r="P15" s="11" t="n">
        <f aca="false">Tabla351081315327[[#This Row],[efec_cor]]/(Tabla351081315327[[#This Row],[efec_cor]]+Tabla351081315327[[#This Row],[no_efec_inc]])</f>
        <v>0.796875</v>
      </c>
      <c r="Q15" s="11" t="n">
        <f aca="false">(Tabla351081315327[[#This Row],[PNE]]+Tabla351081315327[[#This Row],[PE]])/2</f>
        <v>0.855426747311828</v>
      </c>
      <c r="R15" s="0" t="n">
        <v>110</v>
      </c>
      <c r="S15" s="0" t="n">
        <v>111</v>
      </c>
      <c r="T15" s="0" t="n">
        <f aca="false">Tabla351081315327[[#This Row],[efec]]+Tabla351081315327[[#This Row],[no_efe]]</f>
        <v>221</v>
      </c>
    </row>
    <row r="16" customFormat="false" ht="13.8" hidden="false" customHeight="false" outlineLevel="0" collapsed="false">
      <c r="A16" s="0" t="n">
        <v>30</v>
      </c>
      <c r="B16" s="0" t="n">
        <v>71</v>
      </c>
      <c r="C16" s="0" t="n">
        <v>40</v>
      </c>
      <c r="D16" s="0" t="n">
        <v>99</v>
      </c>
      <c r="E16" s="0" t="n">
        <v>11</v>
      </c>
      <c r="F16" s="0" t="n">
        <f aca="false">Tabla351081315327[[#This Row],[no_efec_cor]]+Tabla351081315327[[#This Row],[efec_cor]]</f>
        <v>170</v>
      </c>
      <c r="G16" s="0" t="n">
        <f aca="false">Tabla351081315327[[#This Row],[no_efec_inc]]+Tabla351081315327[[#This Row],[efect_inc]]</f>
        <v>51</v>
      </c>
      <c r="H16" s="9" t="n">
        <f aca="false">Tabla351081315327[[#This Row],[Correctos]]/Tabla351081315327[[#This Row],[total_sec]]</f>
        <v>0.769230769230769</v>
      </c>
      <c r="I16" s="9" t="n">
        <f aca="false">Tabla351081315327[[#This Row],[efec_cor]]/Tabla351081315327[[#This Row],[efec]]</f>
        <v>0.9</v>
      </c>
      <c r="J16" s="9" t="n">
        <f aca="false">Tabla351081315327[[#This Row],[efect_inc]]/Tabla351081315327[[#This Row],[efec]]</f>
        <v>0.1</v>
      </c>
      <c r="K16" s="9" t="n">
        <f aca="false">Tabla351081315327[[#This Row],[no_efec_cor]]/Tabla351081315327[[#This Row],[no_efe]]</f>
        <v>0.63963963963964</v>
      </c>
      <c r="L16" s="9" t="n">
        <f aca="false">Tabla351081315327[[#This Row],[no_efec_inc]]/Tabla351081315327[[#This Row],[no_efe]]</f>
        <v>0.36036036036036</v>
      </c>
      <c r="M16" s="9" t="n">
        <f aca="false">(Tabla351081315327[[#This Row],[% efe_cor]]+Tabla351081315327[[#This Row],[% no_efe_cor]])/2</f>
        <v>0.76981981981982</v>
      </c>
      <c r="N16" s="10" t="n">
        <f aca="false">(Tabla351081315327[[#This Row],[% efe_inc]]+Tabla351081315327[[#This Row],[% no_efect_inc]])/2</f>
        <v>0.23018018018018</v>
      </c>
      <c r="O16" s="11" t="n">
        <f aca="false">Tabla351081315327[[#This Row],[no_efec_cor]]/(Tabla351081315327[[#This Row],[efect_inc]]+Tabla351081315327[[#This Row],[no_efec_cor]])</f>
        <v>0.865853658536585</v>
      </c>
      <c r="P16" s="11" t="n">
        <f aca="false">Tabla351081315327[[#This Row],[efec_cor]]/(Tabla351081315327[[#This Row],[efec_cor]]+Tabla351081315327[[#This Row],[no_efec_inc]])</f>
        <v>0.712230215827338</v>
      </c>
      <c r="Q16" s="11" t="n">
        <f aca="false">(Tabla351081315327[[#This Row],[PNE]]+Tabla351081315327[[#This Row],[PE]])/2</f>
        <v>0.789041937181962</v>
      </c>
      <c r="R16" s="0" t="n">
        <v>110</v>
      </c>
      <c r="S16" s="0" t="n">
        <v>111</v>
      </c>
      <c r="T16" s="0" t="n">
        <f aca="false">Tabla351081315327[[#This Row],[efec]]+Tabla351081315327[[#This Row],[no_efe]]</f>
        <v>221</v>
      </c>
    </row>
    <row r="17" customFormat="false" ht="13.8" hidden="false" customHeight="false" outlineLevel="0" collapsed="false">
      <c r="A17" s="0" t="n">
        <v>35</v>
      </c>
      <c r="B17" s="0" t="n">
        <v>73</v>
      </c>
      <c r="C17" s="0" t="n">
        <v>38</v>
      </c>
      <c r="D17" s="0" t="n">
        <v>86</v>
      </c>
      <c r="E17" s="0" t="n">
        <v>24</v>
      </c>
      <c r="F17" s="0" t="n">
        <f aca="false">Tabla351081315327[[#This Row],[no_efec_cor]]+Tabla351081315327[[#This Row],[efec_cor]]</f>
        <v>159</v>
      </c>
      <c r="G17" s="0" t="n">
        <f aca="false">Tabla351081315327[[#This Row],[no_efec_inc]]+Tabla351081315327[[#This Row],[efect_inc]]</f>
        <v>62</v>
      </c>
      <c r="H17" s="9" t="n">
        <f aca="false">Tabla351081315327[[#This Row],[Correctos]]/Tabla351081315327[[#This Row],[total_sec]]</f>
        <v>0.719457013574661</v>
      </c>
      <c r="I17" s="9" t="n">
        <f aca="false">Tabla351081315327[[#This Row],[efec_cor]]/Tabla351081315327[[#This Row],[efec]]</f>
        <v>0.781818181818182</v>
      </c>
      <c r="J17" s="9" t="n">
        <f aca="false">Tabla351081315327[[#This Row],[efect_inc]]/Tabla351081315327[[#This Row],[efec]]</f>
        <v>0.218181818181818</v>
      </c>
      <c r="K17" s="9" t="n">
        <f aca="false">Tabla351081315327[[#This Row],[no_efec_cor]]/Tabla351081315327[[#This Row],[no_efe]]</f>
        <v>0.657657657657658</v>
      </c>
      <c r="L17" s="9" t="n">
        <f aca="false">Tabla351081315327[[#This Row],[no_efec_inc]]/Tabla351081315327[[#This Row],[no_efe]]</f>
        <v>0.342342342342342</v>
      </c>
      <c r="M17" s="9" t="n">
        <f aca="false">(Tabla351081315327[[#This Row],[% efe_cor]]+Tabla351081315327[[#This Row],[% no_efe_cor]])/2</f>
        <v>0.71973791973792</v>
      </c>
      <c r="N17" s="10" t="n">
        <f aca="false">(Tabla351081315327[[#This Row],[% efe_inc]]+Tabla351081315327[[#This Row],[% no_efect_inc]])/2</f>
        <v>0.28026208026208</v>
      </c>
      <c r="O17" s="11" t="n">
        <f aca="false">Tabla351081315327[[#This Row],[no_efec_cor]]/(Tabla351081315327[[#This Row],[efect_inc]]+Tabla351081315327[[#This Row],[no_efec_cor]])</f>
        <v>0.752577319587629</v>
      </c>
      <c r="P17" s="11" t="n">
        <f aca="false">Tabla351081315327[[#This Row],[efec_cor]]/(Tabla351081315327[[#This Row],[efec_cor]]+Tabla351081315327[[#This Row],[no_efec_inc]])</f>
        <v>0.693548387096774</v>
      </c>
      <c r="Q17" s="11" t="n">
        <f aca="false">(Tabla351081315327[[#This Row],[PNE]]+Tabla351081315327[[#This Row],[PE]])/2</f>
        <v>0.723062853342202</v>
      </c>
      <c r="R17" s="0" t="n">
        <v>110</v>
      </c>
      <c r="S17" s="0" t="n">
        <v>111</v>
      </c>
      <c r="T17" s="0" t="n">
        <f aca="false">Tabla351081315327[[#This Row],[efec]]+Tabla351081315327[[#This Row],[no_efe]]</f>
        <v>221</v>
      </c>
    </row>
    <row r="18" customFormat="false" ht="13.8" hidden="false" customHeight="false" outlineLevel="0" collapsed="false">
      <c r="A18" s="0" t="n">
        <v>39</v>
      </c>
      <c r="B18" s="0" t="n">
        <v>80</v>
      </c>
      <c r="C18" s="0" t="n">
        <v>31</v>
      </c>
      <c r="D18" s="0" t="n">
        <v>87</v>
      </c>
      <c r="E18" s="0" t="n">
        <v>23</v>
      </c>
      <c r="F18" s="0" t="n">
        <f aca="false">Tabla351081315327[[#This Row],[no_efec_cor]]+Tabla351081315327[[#This Row],[efec_cor]]</f>
        <v>167</v>
      </c>
      <c r="G18" s="0" t="n">
        <f aca="false">Tabla351081315327[[#This Row],[no_efec_inc]]+Tabla351081315327[[#This Row],[efect_inc]]</f>
        <v>54</v>
      </c>
      <c r="H18" s="9" t="n">
        <f aca="false">Tabla351081315327[[#This Row],[Correctos]]/Tabla351081315327[[#This Row],[total_sec]]</f>
        <v>0.755656108597285</v>
      </c>
      <c r="I18" s="9" t="n">
        <f aca="false">Tabla351081315327[[#This Row],[efec_cor]]/Tabla351081315327[[#This Row],[efec]]</f>
        <v>0.790909090909091</v>
      </c>
      <c r="J18" s="9" t="n">
        <f aca="false">Tabla351081315327[[#This Row],[efect_inc]]/Tabla351081315327[[#This Row],[efec]]</f>
        <v>0.209090909090909</v>
      </c>
      <c r="K18" s="9" t="n">
        <f aca="false">Tabla351081315327[[#This Row],[no_efec_cor]]/Tabla351081315327[[#This Row],[no_efe]]</f>
        <v>0.720720720720721</v>
      </c>
      <c r="L18" s="9" t="n">
        <f aca="false">Tabla351081315327[[#This Row],[no_efec_inc]]/Tabla351081315327[[#This Row],[no_efe]]</f>
        <v>0.279279279279279</v>
      </c>
      <c r="M18" s="9" t="n">
        <f aca="false">(Tabla351081315327[[#This Row],[% efe_cor]]+Tabla351081315327[[#This Row],[% no_efe_cor]])/2</f>
        <v>0.755814905814906</v>
      </c>
      <c r="N18" s="10" t="n">
        <f aca="false">(Tabla351081315327[[#This Row],[% efe_inc]]+Tabla351081315327[[#This Row],[% no_efect_inc]])/2</f>
        <v>0.244185094185094</v>
      </c>
      <c r="O18" s="11" t="n">
        <f aca="false">Tabla351081315327[[#This Row],[no_efec_cor]]/(Tabla351081315327[[#This Row],[efect_inc]]+Tabla351081315327[[#This Row],[no_efec_cor]])</f>
        <v>0.776699029126214</v>
      </c>
      <c r="P18" s="11" t="n">
        <f aca="false">Tabla351081315327[[#This Row],[efec_cor]]/(Tabla351081315327[[#This Row],[efec_cor]]+Tabla351081315327[[#This Row],[no_efec_inc]])</f>
        <v>0.73728813559322</v>
      </c>
      <c r="Q18" s="11" t="n">
        <f aca="false">(Tabla351081315327[[#This Row],[PNE]]+Tabla351081315327[[#This Row],[PE]])/2</f>
        <v>0.756993582359717</v>
      </c>
      <c r="R18" s="0" t="n">
        <v>110</v>
      </c>
      <c r="S18" s="0" t="n">
        <v>111</v>
      </c>
      <c r="T18" s="0" t="n">
        <f aca="false">Tabla351081315327[[#This Row],[efec]]+Tabla351081315327[[#This Row],[no_efe]]</f>
        <v>221</v>
      </c>
    </row>
    <row r="20" customFormat="false" ht="19.5" hidden="false" customHeight="false" outlineLevel="0" collapsed="false">
      <c r="A20" s="1" t="s">
        <v>35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</row>
    <row r="25" customFormat="false" ht="15.75" hidden="false" customHeight="false" outlineLevel="0" collapsed="false">
      <c r="A25" s="7" t="s">
        <v>27</v>
      </c>
      <c r="B25" s="7" t="s">
        <v>28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101</v>
      </c>
      <c r="D26" s="0" t="n">
        <v>10</v>
      </c>
      <c r="E26" s="0" t="n">
        <v>86</v>
      </c>
      <c r="F26" s="0" t="n">
        <v>24</v>
      </c>
      <c r="G26" s="0" t="n">
        <f aca="false">Tabla3510813153424[[#This Row],[no_efec_cor]]+Tabla3510813153424[[#This Row],[efec_cor]]</f>
        <v>187</v>
      </c>
      <c r="H26" s="0" t="n">
        <f aca="false">Tabla3510813153424[[#This Row],[no_efec_inc]]+Tabla3510813153424[[#This Row],[efect_inc]]</f>
        <v>34</v>
      </c>
      <c r="I26" s="9" t="n">
        <f aca="false">Tabla3510813153424[[#This Row],[Correctos]]/Tabla3510813153424[[#This Row],[total_sec]]</f>
        <v>0.846153846153846</v>
      </c>
      <c r="J26" s="9" t="n">
        <f aca="false">Tabla3510813153424[[#This Row],[efec_cor]]/Tabla3510813153424[[#This Row],[efec]]</f>
        <v>0.781818181818182</v>
      </c>
      <c r="K26" s="9" t="n">
        <f aca="false">Tabla3510813153424[[#This Row],[efect_inc]]/Tabla3510813153424[[#This Row],[efec]]</f>
        <v>0.218181818181818</v>
      </c>
      <c r="L26" s="9" t="n">
        <f aca="false">Tabla3510813153424[[#This Row],[no_efec_cor]]/Tabla3510813153424[[#This Row],[no_efe]]</f>
        <v>0.90990990990991</v>
      </c>
      <c r="M26" s="9" t="n">
        <f aca="false">Tabla3510813153424[[#This Row],[no_efec_inc]]/Tabla3510813153424[[#This Row],[no_efe]]</f>
        <v>0.0900900900900901</v>
      </c>
      <c r="N26" s="9" t="n">
        <f aca="false">(Tabla3510813153424[[#This Row],[% efe_cor]]+Tabla3510813153424[[#This Row],[% no_efe_cor]])/2</f>
        <v>0.845864045864046</v>
      </c>
      <c r="O26" s="10" t="n">
        <f aca="false">(Tabla3510813153424[[#This Row],[% efe_inc]]+Tabla3510813153424[[#This Row],[% no_efect_inc]])/2</f>
        <v>0.154135954135954</v>
      </c>
      <c r="P26" s="11" t="n">
        <f aca="false">Tabla3510813153424[[#This Row],[no_efec_cor]]/(Tabla3510813153424[[#This Row],[efect_inc]]+Tabla3510813153424[[#This Row],[no_efec_cor]])</f>
        <v>0.808</v>
      </c>
      <c r="Q26" s="11" t="n">
        <f aca="false">Tabla3510813153424[[#This Row],[efec_cor]]/(Tabla3510813153424[[#This Row],[efec_cor]]+Tabla3510813153424[[#This Row],[no_efec_inc]])</f>
        <v>0.895833333333333</v>
      </c>
      <c r="R26" s="11" t="n">
        <f aca="false">(Tabla3510813153424[[#This Row],[PNE]]+Tabla3510813153424[[#This Row],[PE]])/2</f>
        <v>0.851916666666667</v>
      </c>
      <c r="S26" s="0" t="n">
        <v>110</v>
      </c>
      <c r="T26" s="0" t="n">
        <v>111</v>
      </c>
      <c r="U26" s="0" t="n">
        <f aca="false">Tabla3510813153424[[#This Row],[efec]]+Tabla3510813153424[[#This Row],[no_efe]]</f>
        <v>221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105</v>
      </c>
      <c r="D27" s="0" t="n">
        <v>6</v>
      </c>
      <c r="E27" s="0" t="n">
        <v>104</v>
      </c>
      <c r="F27" s="0" t="n">
        <v>6</v>
      </c>
      <c r="G27" s="0" t="n">
        <f aca="false">Tabla3510813153424[[#This Row],[no_efec_cor]]+Tabla3510813153424[[#This Row],[efec_cor]]</f>
        <v>209</v>
      </c>
      <c r="H27" s="0" t="n">
        <f aca="false">Tabla3510813153424[[#This Row],[no_efec_inc]]+Tabla3510813153424[[#This Row],[efect_inc]]</f>
        <v>12</v>
      </c>
      <c r="I27" s="9" t="n">
        <f aca="false">Tabla3510813153424[[#This Row],[Correctos]]/Tabla3510813153424[[#This Row],[total_sec]]</f>
        <v>0.945701357466063</v>
      </c>
      <c r="J27" s="9" t="n">
        <f aca="false">Tabla3510813153424[[#This Row],[efec_cor]]/Tabla3510813153424[[#This Row],[efec]]</f>
        <v>0.945454545454545</v>
      </c>
      <c r="K27" s="9" t="n">
        <f aca="false">Tabla3510813153424[[#This Row],[efect_inc]]/Tabla3510813153424[[#This Row],[efec]]</f>
        <v>0.0545454545454545</v>
      </c>
      <c r="L27" s="9" t="n">
        <f aca="false">Tabla3510813153424[[#This Row],[no_efec_cor]]/Tabla3510813153424[[#This Row],[no_efe]]</f>
        <v>0.945945945945946</v>
      </c>
      <c r="M27" s="9" t="n">
        <f aca="false">Tabla3510813153424[[#This Row],[no_efec_inc]]/Tabla3510813153424[[#This Row],[no_efe]]</f>
        <v>0.0540540540540541</v>
      </c>
      <c r="N27" s="9" t="n">
        <f aca="false">(Tabla3510813153424[[#This Row],[% efe_cor]]+Tabla3510813153424[[#This Row],[% no_efe_cor]])/2</f>
        <v>0.945700245700246</v>
      </c>
      <c r="O27" s="10" t="n">
        <f aca="false">(Tabla3510813153424[[#This Row],[% efe_inc]]+Tabla3510813153424[[#This Row],[% no_efect_inc]])/2</f>
        <v>0.0542997542997543</v>
      </c>
      <c r="P27" s="11" t="n">
        <f aca="false">Tabla3510813153424[[#This Row],[no_efec_cor]]/(Tabla3510813153424[[#This Row],[efect_inc]]+Tabla3510813153424[[#This Row],[no_efec_cor]])</f>
        <v>0.945945945945946</v>
      </c>
      <c r="Q27" s="11" t="n">
        <f aca="false">Tabla3510813153424[[#This Row],[efec_cor]]/(Tabla3510813153424[[#This Row],[efec_cor]]+Tabla3510813153424[[#This Row],[no_efec_inc]])</f>
        <v>0.945454545454545</v>
      </c>
      <c r="R27" s="11" t="n">
        <f aca="false">(Tabla3510813153424[[#This Row],[PNE]]+Tabla3510813153424[[#This Row],[PE]])/2</f>
        <v>0.945700245700246</v>
      </c>
      <c r="S27" s="0" t="n">
        <v>110</v>
      </c>
      <c r="T27" s="0" t="n">
        <v>111</v>
      </c>
      <c r="U27" s="0" t="n">
        <f aca="false">Tabla3510813153424[[#This Row],[efec]]+Tabla3510813153424[[#This Row],[no_efe]]</f>
        <v>221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106</v>
      </c>
      <c r="D28" s="0" t="n">
        <v>5</v>
      </c>
      <c r="E28" s="0" t="n">
        <v>103</v>
      </c>
      <c r="F28" s="0" t="n">
        <v>7</v>
      </c>
      <c r="G28" s="0" t="n">
        <f aca="false">Tabla3510813153424[[#This Row],[no_efec_cor]]+Tabla3510813153424[[#This Row],[efec_cor]]</f>
        <v>209</v>
      </c>
      <c r="H28" s="0" t="n">
        <f aca="false">Tabla3510813153424[[#This Row],[no_efec_inc]]+Tabla3510813153424[[#This Row],[efect_inc]]</f>
        <v>12</v>
      </c>
      <c r="I28" s="9" t="n">
        <f aca="false">Tabla3510813153424[[#This Row],[Correctos]]/Tabla3510813153424[[#This Row],[total_sec]]</f>
        <v>0.945701357466063</v>
      </c>
      <c r="J28" s="9" t="n">
        <f aca="false">Tabla3510813153424[[#This Row],[efec_cor]]/Tabla3510813153424[[#This Row],[efec]]</f>
        <v>0.936363636363636</v>
      </c>
      <c r="K28" s="9" t="n">
        <f aca="false">Tabla3510813153424[[#This Row],[efect_inc]]/Tabla3510813153424[[#This Row],[efec]]</f>
        <v>0.0636363636363636</v>
      </c>
      <c r="L28" s="9" t="n">
        <f aca="false">Tabla3510813153424[[#This Row],[no_efec_cor]]/Tabla3510813153424[[#This Row],[no_efe]]</f>
        <v>0.954954954954955</v>
      </c>
      <c r="M28" s="9" t="n">
        <f aca="false">Tabla3510813153424[[#This Row],[no_efec_inc]]/Tabla3510813153424[[#This Row],[no_efe]]</f>
        <v>0.045045045045045</v>
      </c>
      <c r="N28" s="9" t="n">
        <f aca="false">(Tabla3510813153424[[#This Row],[% efe_cor]]+Tabla3510813153424[[#This Row],[% no_efe_cor]])/2</f>
        <v>0.945659295659296</v>
      </c>
      <c r="O28" s="10" t="n">
        <f aca="false">(Tabla3510813153424[[#This Row],[% efe_inc]]+Tabla3510813153424[[#This Row],[% no_efect_inc]])/2</f>
        <v>0.0543407043407043</v>
      </c>
      <c r="P28" s="11" t="n">
        <f aca="false">Tabla3510813153424[[#This Row],[no_efec_cor]]/(Tabla3510813153424[[#This Row],[efect_inc]]+Tabla3510813153424[[#This Row],[no_efec_cor]])</f>
        <v>0.938053097345133</v>
      </c>
      <c r="Q28" s="11" t="n">
        <f aca="false">Tabla3510813153424[[#This Row],[efec_cor]]/(Tabla3510813153424[[#This Row],[efec_cor]]+Tabla3510813153424[[#This Row],[no_efec_inc]])</f>
        <v>0.953703703703704</v>
      </c>
      <c r="R28" s="11" t="n">
        <f aca="false">(Tabla3510813153424[[#This Row],[PNE]]+Tabla3510813153424[[#This Row],[PE]])/2</f>
        <v>0.945878400524418</v>
      </c>
      <c r="S28" s="0" t="n">
        <v>110</v>
      </c>
      <c r="T28" s="0" t="n">
        <v>111</v>
      </c>
      <c r="U28" s="0" t="n">
        <f aca="false">Tabla3510813153424[[#This Row],[efec]]+Tabla3510813153424[[#This Row],[no_efe]]</f>
        <v>221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107</v>
      </c>
      <c r="D29" s="0" t="n">
        <v>4</v>
      </c>
      <c r="E29" s="0" t="n">
        <v>102</v>
      </c>
      <c r="F29" s="0" t="n">
        <v>8</v>
      </c>
      <c r="G29" s="0" t="n">
        <f aca="false">Tabla3510813153424[[#This Row],[no_efec_cor]]+Tabla3510813153424[[#This Row],[efec_cor]]</f>
        <v>209</v>
      </c>
      <c r="H29" s="0" t="n">
        <f aca="false">Tabla3510813153424[[#This Row],[no_efec_inc]]+Tabla3510813153424[[#This Row],[efect_inc]]</f>
        <v>12</v>
      </c>
      <c r="I29" s="9" t="n">
        <f aca="false">Tabla3510813153424[[#This Row],[Correctos]]/Tabla3510813153424[[#This Row],[total_sec]]</f>
        <v>0.945701357466063</v>
      </c>
      <c r="J29" s="9" t="n">
        <f aca="false">Tabla3510813153424[[#This Row],[efec_cor]]/Tabla3510813153424[[#This Row],[efec]]</f>
        <v>0.927272727272727</v>
      </c>
      <c r="K29" s="9" t="n">
        <f aca="false">Tabla3510813153424[[#This Row],[efect_inc]]/Tabla3510813153424[[#This Row],[efec]]</f>
        <v>0.0727272727272727</v>
      </c>
      <c r="L29" s="9" t="n">
        <f aca="false">Tabla3510813153424[[#This Row],[no_efec_cor]]/Tabla3510813153424[[#This Row],[no_efe]]</f>
        <v>0.963963963963964</v>
      </c>
      <c r="M29" s="9" t="n">
        <f aca="false">Tabla3510813153424[[#This Row],[no_efec_inc]]/Tabla3510813153424[[#This Row],[no_efe]]</f>
        <v>0.036036036036036</v>
      </c>
      <c r="N29" s="9" t="n">
        <f aca="false">(Tabla3510813153424[[#This Row],[% efe_cor]]+Tabla3510813153424[[#This Row],[% no_efe_cor]])/2</f>
        <v>0.945618345618346</v>
      </c>
      <c r="O29" s="10" t="n">
        <f aca="false">(Tabla3510813153424[[#This Row],[% efe_inc]]+Tabla3510813153424[[#This Row],[% no_efect_inc]])/2</f>
        <v>0.0543816543816544</v>
      </c>
      <c r="P29" s="11" t="n">
        <f aca="false">Tabla3510813153424[[#This Row],[no_efec_cor]]/(Tabla3510813153424[[#This Row],[efect_inc]]+Tabla3510813153424[[#This Row],[no_efec_cor]])</f>
        <v>0.930434782608696</v>
      </c>
      <c r="Q29" s="11" t="n">
        <f aca="false">Tabla3510813153424[[#This Row],[efec_cor]]/(Tabla3510813153424[[#This Row],[efec_cor]]+Tabla3510813153424[[#This Row],[no_efec_inc]])</f>
        <v>0.962264150943396</v>
      </c>
      <c r="R29" s="11" t="n">
        <f aca="false">(Tabla3510813153424[[#This Row],[PNE]]+Tabla3510813153424[[#This Row],[PE]])/2</f>
        <v>0.946349466776046</v>
      </c>
      <c r="S29" s="0" t="n">
        <v>110</v>
      </c>
      <c r="T29" s="0" t="n">
        <v>111</v>
      </c>
      <c r="U29" s="0" t="n">
        <f aca="false">Tabla3510813153424[[#This Row],[efec]]+Tabla3510813153424[[#This Row],[no_efe]]</f>
        <v>221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110</v>
      </c>
      <c r="D30" s="0" t="n">
        <v>1</v>
      </c>
      <c r="E30" s="0" t="n">
        <v>97</v>
      </c>
      <c r="F30" s="0" t="n">
        <v>13</v>
      </c>
      <c r="G30" s="0" t="n">
        <f aca="false">Tabla3510813153424[[#This Row],[no_efec_cor]]+Tabla3510813153424[[#This Row],[efec_cor]]</f>
        <v>207</v>
      </c>
      <c r="H30" s="0" t="n">
        <f aca="false">Tabla3510813153424[[#This Row],[no_efec_inc]]+Tabla3510813153424[[#This Row],[efect_inc]]</f>
        <v>14</v>
      </c>
      <c r="I30" s="9" t="n">
        <f aca="false">Tabla3510813153424[[#This Row],[Correctos]]/Tabla3510813153424[[#This Row],[total_sec]]</f>
        <v>0.936651583710407</v>
      </c>
      <c r="J30" s="9" t="n">
        <f aca="false">Tabla3510813153424[[#This Row],[efec_cor]]/Tabla3510813153424[[#This Row],[efec]]</f>
        <v>0.881818181818182</v>
      </c>
      <c r="K30" s="9" t="n">
        <f aca="false">Tabla3510813153424[[#This Row],[efect_inc]]/Tabla3510813153424[[#This Row],[efec]]</f>
        <v>0.118181818181818</v>
      </c>
      <c r="L30" s="9" t="n">
        <f aca="false">Tabla3510813153424[[#This Row],[no_efec_cor]]/Tabla3510813153424[[#This Row],[no_efe]]</f>
        <v>0.990990990990991</v>
      </c>
      <c r="M30" s="9" t="n">
        <f aca="false">Tabla3510813153424[[#This Row],[no_efec_inc]]/Tabla3510813153424[[#This Row],[no_efe]]</f>
        <v>0.00900900900900901</v>
      </c>
      <c r="N30" s="9" t="n">
        <f aca="false">(Tabla3510813153424[[#This Row],[% efe_cor]]+Tabla3510813153424[[#This Row],[% no_efe_cor]])/2</f>
        <v>0.936404586404586</v>
      </c>
      <c r="O30" s="10" t="n">
        <f aca="false">(Tabla3510813153424[[#This Row],[% efe_inc]]+Tabla3510813153424[[#This Row],[% no_efect_inc]])/2</f>
        <v>0.0635954135954136</v>
      </c>
      <c r="P30" s="11" t="n">
        <f aca="false">Tabla3510813153424[[#This Row],[no_efec_cor]]/(Tabla3510813153424[[#This Row],[efect_inc]]+Tabla3510813153424[[#This Row],[no_efec_cor]])</f>
        <v>0.894308943089431</v>
      </c>
      <c r="Q30" s="11" t="n">
        <f aca="false">Tabla3510813153424[[#This Row],[efec_cor]]/(Tabla3510813153424[[#This Row],[efec_cor]]+Tabla3510813153424[[#This Row],[no_efec_inc]])</f>
        <v>0.989795918367347</v>
      </c>
      <c r="R30" s="11" t="n">
        <f aca="false">(Tabla3510813153424[[#This Row],[PNE]]+Tabla3510813153424[[#This Row],[PE]])/2</f>
        <v>0.942052430728389</v>
      </c>
      <c r="S30" s="0" t="n">
        <v>110</v>
      </c>
      <c r="T30" s="0" t="n">
        <v>111</v>
      </c>
      <c r="U30" s="0" t="n">
        <f aca="false">Tabla3510813153424[[#This Row],[efec]]+Tabla3510813153424[[#This Row],[no_efe]]</f>
        <v>221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110</v>
      </c>
      <c r="D31" s="0" t="n">
        <v>1</v>
      </c>
      <c r="E31" s="0" t="n">
        <v>95</v>
      </c>
      <c r="F31" s="0" t="n">
        <v>15</v>
      </c>
      <c r="G31" s="0" t="n">
        <f aca="false">Tabla3510813153424[[#This Row],[no_efec_cor]]+Tabla3510813153424[[#This Row],[efec_cor]]</f>
        <v>205</v>
      </c>
      <c r="H31" s="0" t="n">
        <f aca="false">Tabla3510813153424[[#This Row],[no_efec_inc]]+Tabla3510813153424[[#This Row],[efect_inc]]</f>
        <v>16</v>
      </c>
      <c r="I31" s="9" t="n">
        <f aca="false">Tabla3510813153424[[#This Row],[Correctos]]/Tabla3510813153424[[#This Row],[total_sec]]</f>
        <v>0.927601809954751</v>
      </c>
      <c r="J31" s="9" t="n">
        <f aca="false">Tabla3510813153424[[#This Row],[efec_cor]]/Tabla3510813153424[[#This Row],[efec]]</f>
        <v>0.863636363636364</v>
      </c>
      <c r="K31" s="9" t="n">
        <f aca="false">Tabla3510813153424[[#This Row],[efect_inc]]/Tabla3510813153424[[#This Row],[efec]]</f>
        <v>0.136363636363636</v>
      </c>
      <c r="L31" s="9" t="n">
        <f aca="false">Tabla3510813153424[[#This Row],[no_efec_cor]]/Tabla3510813153424[[#This Row],[no_efe]]</f>
        <v>0.990990990990991</v>
      </c>
      <c r="M31" s="9" t="n">
        <f aca="false">Tabla3510813153424[[#This Row],[no_efec_inc]]/Tabla3510813153424[[#This Row],[no_efe]]</f>
        <v>0.00900900900900901</v>
      </c>
      <c r="N31" s="9" t="n">
        <f aca="false">(Tabla3510813153424[[#This Row],[% efe_cor]]+Tabla3510813153424[[#This Row],[% no_efe_cor]])/2</f>
        <v>0.927313677313677</v>
      </c>
      <c r="O31" s="10" t="n">
        <f aca="false">(Tabla3510813153424[[#This Row],[% efe_inc]]+Tabla3510813153424[[#This Row],[% no_efect_inc]])/2</f>
        <v>0.0726863226863227</v>
      </c>
      <c r="P31" s="11" t="n">
        <f aca="false">Tabla3510813153424[[#This Row],[no_efec_cor]]/(Tabla3510813153424[[#This Row],[efect_inc]]+Tabla3510813153424[[#This Row],[no_efec_cor]])</f>
        <v>0.88</v>
      </c>
      <c r="Q31" s="11" t="n">
        <f aca="false">Tabla3510813153424[[#This Row],[efec_cor]]/(Tabla3510813153424[[#This Row],[efec_cor]]+Tabla3510813153424[[#This Row],[no_efec_inc]])</f>
        <v>0.989583333333333</v>
      </c>
      <c r="R31" s="11" t="n">
        <f aca="false">(Tabla3510813153424[[#This Row],[PNE]]+Tabla3510813153424[[#This Row],[PE]])/2</f>
        <v>0.934791666666667</v>
      </c>
      <c r="S31" s="0" t="n">
        <v>110</v>
      </c>
      <c r="T31" s="0" t="n">
        <v>111</v>
      </c>
      <c r="U31" s="0" t="n">
        <f aca="false">Tabla3510813153424[[#This Row],[efec]]+Tabla3510813153424[[#This Row],[no_efe]]</f>
        <v>221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110</v>
      </c>
      <c r="D32" s="0" t="n">
        <v>1</v>
      </c>
      <c r="E32" s="0" t="n">
        <v>95</v>
      </c>
      <c r="F32" s="0" t="n">
        <v>15</v>
      </c>
      <c r="G32" s="0" t="n">
        <f aca="false">Tabla3510813153424[[#This Row],[no_efec_cor]]+Tabla3510813153424[[#This Row],[efec_cor]]</f>
        <v>205</v>
      </c>
      <c r="H32" s="0" t="n">
        <f aca="false">Tabla3510813153424[[#This Row],[no_efec_inc]]+Tabla3510813153424[[#This Row],[efect_inc]]</f>
        <v>16</v>
      </c>
      <c r="I32" s="9" t="n">
        <f aca="false">Tabla3510813153424[[#This Row],[Correctos]]/Tabla3510813153424[[#This Row],[total_sec]]</f>
        <v>0.927601809954751</v>
      </c>
      <c r="J32" s="9" t="n">
        <f aca="false">Tabla3510813153424[[#This Row],[efec_cor]]/Tabla3510813153424[[#This Row],[efec]]</f>
        <v>0.863636363636364</v>
      </c>
      <c r="K32" s="9" t="n">
        <f aca="false">Tabla3510813153424[[#This Row],[efect_inc]]/Tabla3510813153424[[#This Row],[efec]]</f>
        <v>0.136363636363636</v>
      </c>
      <c r="L32" s="9" t="n">
        <f aca="false">Tabla3510813153424[[#This Row],[no_efec_cor]]/Tabla3510813153424[[#This Row],[no_efe]]</f>
        <v>0.990990990990991</v>
      </c>
      <c r="M32" s="9" t="n">
        <f aca="false">Tabla3510813153424[[#This Row],[no_efec_inc]]/Tabla3510813153424[[#This Row],[no_efe]]</f>
        <v>0.00900900900900901</v>
      </c>
      <c r="N32" s="9" t="n">
        <f aca="false">(Tabla3510813153424[[#This Row],[% efe_cor]]+Tabla3510813153424[[#This Row],[% no_efe_cor]])/2</f>
        <v>0.927313677313677</v>
      </c>
      <c r="O32" s="10" t="n">
        <f aca="false">(Tabla3510813153424[[#This Row],[% efe_inc]]+Tabla3510813153424[[#This Row],[% no_efect_inc]])/2</f>
        <v>0.0726863226863227</v>
      </c>
      <c r="P32" s="11" t="n">
        <f aca="false">Tabla3510813153424[[#This Row],[no_efec_cor]]/(Tabla3510813153424[[#This Row],[efect_inc]]+Tabla3510813153424[[#This Row],[no_efec_cor]])</f>
        <v>0.88</v>
      </c>
      <c r="Q32" s="11" t="n">
        <f aca="false">Tabla3510813153424[[#This Row],[efec_cor]]/(Tabla3510813153424[[#This Row],[efec_cor]]+Tabla3510813153424[[#This Row],[no_efec_inc]])</f>
        <v>0.989583333333333</v>
      </c>
      <c r="R32" s="11" t="n">
        <f aca="false">(Tabla3510813153424[[#This Row],[PNE]]+Tabla3510813153424[[#This Row],[PE]])/2</f>
        <v>0.934791666666667</v>
      </c>
      <c r="S32" s="0" t="n">
        <v>110</v>
      </c>
      <c r="T32" s="0" t="n">
        <v>111</v>
      </c>
      <c r="U32" s="0" t="n">
        <f aca="false">Tabla3510813153424[[#This Row],[efec]]+Tabla3510813153424[[#This Row],[no_efe]]</f>
        <v>221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107</v>
      </c>
      <c r="D33" s="0" t="n">
        <v>4</v>
      </c>
      <c r="E33" s="0" t="n">
        <v>103</v>
      </c>
      <c r="F33" s="0" t="n">
        <v>7</v>
      </c>
      <c r="G33" s="0" t="n">
        <f aca="false">Tabla3510813153424[[#This Row],[no_efec_cor]]+Tabla3510813153424[[#This Row],[efec_cor]]</f>
        <v>210</v>
      </c>
      <c r="H33" s="0" t="n">
        <f aca="false">Tabla3510813153424[[#This Row],[no_efec_inc]]+Tabla3510813153424[[#This Row],[efect_inc]]</f>
        <v>11</v>
      </c>
      <c r="I33" s="9" t="n">
        <f aca="false">Tabla3510813153424[[#This Row],[Correctos]]/Tabla3510813153424[[#This Row],[total_sec]]</f>
        <v>0.950226244343891</v>
      </c>
      <c r="J33" s="9" t="n">
        <f aca="false">Tabla3510813153424[[#This Row],[efec_cor]]/Tabla3510813153424[[#This Row],[efec]]</f>
        <v>0.936363636363636</v>
      </c>
      <c r="K33" s="9" t="n">
        <f aca="false">Tabla3510813153424[[#This Row],[efect_inc]]/Tabla3510813153424[[#This Row],[efec]]</f>
        <v>0.0636363636363636</v>
      </c>
      <c r="L33" s="9" t="n">
        <f aca="false">Tabla3510813153424[[#This Row],[no_efec_cor]]/Tabla3510813153424[[#This Row],[no_efe]]</f>
        <v>0.963963963963964</v>
      </c>
      <c r="M33" s="9" t="n">
        <f aca="false">Tabla3510813153424[[#This Row],[no_efec_inc]]/Tabla3510813153424[[#This Row],[no_efe]]</f>
        <v>0.036036036036036</v>
      </c>
      <c r="N33" s="9" t="n">
        <f aca="false">(Tabla3510813153424[[#This Row],[% efe_cor]]+Tabla3510813153424[[#This Row],[% no_efe_cor]])/2</f>
        <v>0.9501638001638</v>
      </c>
      <c r="O33" s="10" t="n">
        <f aca="false">(Tabla3510813153424[[#This Row],[% efe_inc]]+Tabla3510813153424[[#This Row],[% no_efect_inc]])/2</f>
        <v>0.0498361998361998</v>
      </c>
      <c r="P33" s="11" t="n">
        <f aca="false">Tabla3510813153424[[#This Row],[no_efec_cor]]/(Tabla3510813153424[[#This Row],[efect_inc]]+Tabla3510813153424[[#This Row],[no_efec_cor]])</f>
        <v>0.93859649122807</v>
      </c>
      <c r="Q33" s="11" t="n">
        <f aca="false">Tabla3510813153424[[#This Row],[efec_cor]]/(Tabla3510813153424[[#This Row],[efec_cor]]+Tabla3510813153424[[#This Row],[no_efec_inc]])</f>
        <v>0.962616822429906</v>
      </c>
      <c r="R33" s="11" t="n">
        <f aca="false">(Tabla3510813153424[[#This Row],[PNE]]+Tabla3510813153424[[#This Row],[PE]])/2</f>
        <v>0.950606656828988</v>
      </c>
      <c r="S33" s="0" t="n">
        <v>110</v>
      </c>
      <c r="T33" s="0" t="n">
        <v>111</v>
      </c>
      <c r="U33" s="0" t="n">
        <f aca="false">Tabla3510813153424[[#This Row],[efec]]+Tabla3510813153424[[#This Row],[no_efe]]</f>
        <v>221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110</v>
      </c>
      <c r="D34" s="0" t="n">
        <v>1</v>
      </c>
      <c r="E34" s="0" t="n">
        <v>103</v>
      </c>
      <c r="F34" s="0" t="n">
        <v>7</v>
      </c>
      <c r="G34" s="0" t="n">
        <f aca="false">Tabla3510813153424[[#This Row],[no_efec_cor]]+Tabla3510813153424[[#This Row],[efec_cor]]</f>
        <v>213</v>
      </c>
      <c r="H34" s="0" t="n">
        <f aca="false">Tabla3510813153424[[#This Row],[no_efec_inc]]+Tabla3510813153424[[#This Row],[efect_inc]]</f>
        <v>8</v>
      </c>
      <c r="I34" s="9" t="n">
        <f aca="false">Tabla3510813153424[[#This Row],[Correctos]]/Tabla3510813153424[[#This Row],[total_sec]]</f>
        <v>0.963800904977376</v>
      </c>
      <c r="J34" s="9" t="n">
        <f aca="false">Tabla3510813153424[[#This Row],[efec_cor]]/Tabla3510813153424[[#This Row],[efec]]</f>
        <v>0.936363636363636</v>
      </c>
      <c r="K34" s="9" t="n">
        <f aca="false">Tabla3510813153424[[#This Row],[efect_inc]]/Tabla3510813153424[[#This Row],[efec]]</f>
        <v>0.0636363636363636</v>
      </c>
      <c r="L34" s="9" t="n">
        <f aca="false">Tabla3510813153424[[#This Row],[no_efec_cor]]/Tabla3510813153424[[#This Row],[no_efe]]</f>
        <v>0.990990990990991</v>
      </c>
      <c r="M34" s="9" t="n">
        <f aca="false">Tabla3510813153424[[#This Row],[no_efec_inc]]/Tabla3510813153424[[#This Row],[no_efe]]</f>
        <v>0.00900900900900901</v>
      </c>
      <c r="N34" s="9" t="n">
        <f aca="false">(Tabla3510813153424[[#This Row],[% efe_cor]]+Tabla3510813153424[[#This Row],[% no_efe_cor]])/2</f>
        <v>0.963677313677314</v>
      </c>
      <c r="O34" s="10" t="n">
        <f aca="false">(Tabla3510813153424[[#This Row],[% efe_inc]]+Tabla3510813153424[[#This Row],[% no_efect_inc]])/2</f>
        <v>0.0363226863226863</v>
      </c>
      <c r="P34" s="11" t="n">
        <f aca="false">Tabla3510813153424[[#This Row],[no_efec_cor]]/(Tabla3510813153424[[#This Row],[efect_inc]]+Tabla3510813153424[[#This Row],[no_efec_cor]])</f>
        <v>0.94017094017094</v>
      </c>
      <c r="Q34" s="11" t="n">
        <f aca="false">Tabla3510813153424[[#This Row],[efec_cor]]/(Tabla3510813153424[[#This Row],[efec_cor]]+Tabla3510813153424[[#This Row],[no_efec_inc]])</f>
        <v>0.990384615384615</v>
      </c>
      <c r="R34" s="11" t="n">
        <f aca="false">(Tabla3510813153424[[#This Row],[PNE]]+Tabla3510813153424[[#This Row],[PE]])/2</f>
        <v>0.965277777777778</v>
      </c>
      <c r="S34" s="0" t="n">
        <v>110</v>
      </c>
      <c r="T34" s="0" t="n">
        <v>111</v>
      </c>
      <c r="U34" s="0" t="n">
        <f aca="false">Tabla3510813153424[[#This Row],[efec]]+Tabla3510813153424[[#This Row],[no_efe]]</f>
        <v>221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109</v>
      </c>
      <c r="D35" s="0" t="n">
        <v>2</v>
      </c>
      <c r="E35" s="0" t="n">
        <v>103</v>
      </c>
      <c r="F35" s="0" t="n">
        <v>7</v>
      </c>
      <c r="G35" s="0" t="n">
        <f aca="false">Tabla3510813153424[[#This Row],[no_efec_cor]]+Tabla3510813153424[[#This Row],[efec_cor]]</f>
        <v>212</v>
      </c>
      <c r="H35" s="0" t="n">
        <f aca="false">Tabla3510813153424[[#This Row],[no_efec_inc]]+Tabla3510813153424[[#This Row],[efect_inc]]</f>
        <v>9</v>
      </c>
      <c r="I35" s="9" t="n">
        <f aca="false">Tabla3510813153424[[#This Row],[Correctos]]/Tabla3510813153424[[#This Row],[total_sec]]</f>
        <v>0.959276018099548</v>
      </c>
      <c r="J35" s="9" t="n">
        <f aca="false">Tabla3510813153424[[#This Row],[efec_cor]]/Tabla3510813153424[[#This Row],[efec]]</f>
        <v>0.936363636363636</v>
      </c>
      <c r="K35" s="9" t="n">
        <f aca="false">Tabla3510813153424[[#This Row],[efect_inc]]/Tabla3510813153424[[#This Row],[efec]]</f>
        <v>0.0636363636363636</v>
      </c>
      <c r="L35" s="9" t="n">
        <f aca="false">Tabla3510813153424[[#This Row],[no_efec_cor]]/Tabla3510813153424[[#This Row],[no_efe]]</f>
        <v>0.981981981981982</v>
      </c>
      <c r="M35" s="9" t="n">
        <f aca="false">Tabla3510813153424[[#This Row],[no_efec_inc]]/Tabla3510813153424[[#This Row],[no_efe]]</f>
        <v>0.018018018018018</v>
      </c>
      <c r="N35" s="9" t="n">
        <f aca="false">(Tabla3510813153424[[#This Row],[% efe_cor]]+Tabla3510813153424[[#This Row],[% no_efe_cor]])/2</f>
        <v>0.959172809172809</v>
      </c>
      <c r="O35" s="10" t="n">
        <f aca="false">(Tabla3510813153424[[#This Row],[% efe_inc]]+Tabla3510813153424[[#This Row],[% no_efect_inc]])/2</f>
        <v>0.0408271908271908</v>
      </c>
      <c r="P35" s="11" t="n">
        <f aca="false">Tabla3510813153424[[#This Row],[no_efec_cor]]/(Tabla3510813153424[[#This Row],[efect_inc]]+Tabla3510813153424[[#This Row],[no_efec_cor]])</f>
        <v>0.939655172413793</v>
      </c>
      <c r="Q35" s="11" t="n">
        <f aca="false">Tabla3510813153424[[#This Row],[efec_cor]]/(Tabla3510813153424[[#This Row],[efec_cor]]+Tabla3510813153424[[#This Row],[no_efec_inc]])</f>
        <v>0.980952380952381</v>
      </c>
      <c r="R35" s="11" t="n">
        <f aca="false">(Tabla3510813153424[[#This Row],[PNE]]+Tabla3510813153424[[#This Row],[PE]])/2</f>
        <v>0.960303776683087</v>
      </c>
      <c r="S35" s="0" t="n">
        <v>110</v>
      </c>
      <c r="T35" s="0" t="n">
        <v>111</v>
      </c>
      <c r="U35" s="0" t="n">
        <f aca="false">Tabla3510813153424[[#This Row],[efec]]+Tabla3510813153424[[#This Row],[no_efe]]</f>
        <v>221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110</v>
      </c>
      <c r="D36" s="0" t="n">
        <v>1</v>
      </c>
      <c r="E36" s="0" t="n">
        <v>102</v>
      </c>
      <c r="F36" s="0" t="n">
        <v>8</v>
      </c>
      <c r="G36" s="0" t="n">
        <f aca="false">Tabla3510813153424[[#This Row],[no_efec_cor]]+Tabla3510813153424[[#This Row],[efec_cor]]</f>
        <v>212</v>
      </c>
      <c r="H36" s="0" t="n">
        <f aca="false">Tabla3510813153424[[#This Row],[no_efec_inc]]+Tabla3510813153424[[#This Row],[efect_inc]]</f>
        <v>9</v>
      </c>
      <c r="I36" s="9" t="n">
        <f aca="false">Tabla3510813153424[[#This Row],[Correctos]]/Tabla3510813153424[[#This Row],[total_sec]]</f>
        <v>0.959276018099548</v>
      </c>
      <c r="J36" s="9" t="n">
        <f aca="false">Tabla3510813153424[[#This Row],[efec_cor]]/Tabla3510813153424[[#This Row],[efec]]</f>
        <v>0.927272727272727</v>
      </c>
      <c r="K36" s="9" t="n">
        <f aca="false">Tabla3510813153424[[#This Row],[efect_inc]]/Tabla3510813153424[[#This Row],[efec]]</f>
        <v>0.0727272727272727</v>
      </c>
      <c r="L36" s="9" t="n">
        <f aca="false">Tabla3510813153424[[#This Row],[no_efec_cor]]/Tabla3510813153424[[#This Row],[no_efe]]</f>
        <v>0.990990990990991</v>
      </c>
      <c r="M36" s="9" t="n">
        <f aca="false">Tabla3510813153424[[#This Row],[no_efec_inc]]/Tabla3510813153424[[#This Row],[no_efe]]</f>
        <v>0.00900900900900901</v>
      </c>
      <c r="N36" s="9" t="n">
        <f aca="false">(Tabla3510813153424[[#This Row],[% efe_cor]]+Tabla3510813153424[[#This Row],[% no_efe_cor]])/2</f>
        <v>0.959131859131859</v>
      </c>
      <c r="O36" s="10" t="n">
        <f aca="false">(Tabla3510813153424[[#This Row],[% efe_inc]]+Tabla3510813153424[[#This Row],[% no_efect_inc]])/2</f>
        <v>0.0408681408681409</v>
      </c>
      <c r="P36" s="11" t="n">
        <f aca="false">Tabla3510813153424[[#This Row],[no_efec_cor]]/(Tabla3510813153424[[#This Row],[efect_inc]]+Tabla3510813153424[[#This Row],[no_efec_cor]])</f>
        <v>0.932203389830508</v>
      </c>
      <c r="Q36" s="11" t="n">
        <f aca="false">Tabla3510813153424[[#This Row],[efec_cor]]/(Tabla3510813153424[[#This Row],[efec_cor]]+Tabla3510813153424[[#This Row],[no_efec_inc]])</f>
        <v>0.990291262135922</v>
      </c>
      <c r="R36" s="11" t="n">
        <f aca="false">(Tabla3510813153424[[#This Row],[PNE]]+Tabla3510813153424[[#This Row],[PE]])/2</f>
        <v>0.961247325983215</v>
      </c>
      <c r="S36" s="0" t="n">
        <v>110</v>
      </c>
      <c r="T36" s="0" t="n">
        <v>111</v>
      </c>
      <c r="U36" s="0" t="n">
        <f aca="false">Tabla3510813153424[[#This Row],[efec]]+Tabla3510813153424[[#This Row],[no_efe]]</f>
        <v>221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107</v>
      </c>
      <c r="D37" s="0" t="n">
        <v>4</v>
      </c>
      <c r="E37" s="0" t="n">
        <v>100</v>
      </c>
      <c r="F37" s="0" t="n">
        <v>10</v>
      </c>
      <c r="G37" s="0" t="n">
        <f aca="false">Tabla3510813153424[[#This Row],[no_efec_cor]]+Tabla3510813153424[[#This Row],[efec_cor]]</f>
        <v>207</v>
      </c>
      <c r="H37" s="0" t="n">
        <f aca="false">Tabla3510813153424[[#This Row],[no_efec_inc]]+Tabla3510813153424[[#This Row],[efect_inc]]</f>
        <v>14</v>
      </c>
      <c r="I37" s="9" t="n">
        <f aca="false">Tabla3510813153424[[#This Row],[Correctos]]/Tabla3510813153424[[#This Row],[total_sec]]</f>
        <v>0.936651583710407</v>
      </c>
      <c r="J37" s="9" t="n">
        <f aca="false">Tabla3510813153424[[#This Row],[efec_cor]]/Tabla3510813153424[[#This Row],[efec]]</f>
        <v>0.909090909090909</v>
      </c>
      <c r="K37" s="9" t="n">
        <f aca="false">Tabla3510813153424[[#This Row],[efect_inc]]/Tabla3510813153424[[#This Row],[efec]]</f>
        <v>0.0909090909090909</v>
      </c>
      <c r="L37" s="9" t="n">
        <f aca="false">Tabla3510813153424[[#This Row],[no_efec_cor]]/Tabla3510813153424[[#This Row],[no_efe]]</f>
        <v>0.963963963963964</v>
      </c>
      <c r="M37" s="9" t="n">
        <f aca="false">Tabla3510813153424[[#This Row],[no_efec_inc]]/Tabla3510813153424[[#This Row],[no_efe]]</f>
        <v>0.036036036036036</v>
      </c>
      <c r="N37" s="9" t="n">
        <f aca="false">(Tabla3510813153424[[#This Row],[% efe_cor]]+Tabla3510813153424[[#This Row],[% no_efe_cor]])/2</f>
        <v>0.936527436527437</v>
      </c>
      <c r="O37" s="10" t="n">
        <f aca="false">(Tabla3510813153424[[#This Row],[% efe_inc]]+Tabla3510813153424[[#This Row],[% no_efect_inc]])/2</f>
        <v>0.0634725634725635</v>
      </c>
      <c r="P37" s="11" t="n">
        <f aca="false">Tabla3510813153424[[#This Row],[no_efec_cor]]/(Tabla3510813153424[[#This Row],[efect_inc]]+Tabla3510813153424[[#This Row],[no_efec_cor]])</f>
        <v>0.914529914529915</v>
      </c>
      <c r="Q37" s="11" t="n">
        <f aca="false">Tabla3510813153424[[#This Row],[efec_cor]]/(Tabla3510813153424[[#This Row],[efec_cor]]+Tabla3510813153424[[#This Row],[no_efec_inc]])</f>
        <v>0.961538461538462</v>
      </c>
      <c r="R37" s="11" t="n">
        <f aca="false">(Tabla3510813153424[[#This Row],[PNE]]+Tabla3510813153424[[#This Row],[PE]])/2</f>
        <v>0.938034188034188</v>
      </c>
      <c r="S37" s="0" t="n">
        <v>110</v>
      </c>
      <c r="T37" s="0" t="n">
        <v>111</v>
      </c>
      <c r="U37" s="0" t="n">
        <f aca="false">Tabla3510813153424[[#This Row],[efec]]+Tabla3510813153424[[#This Row],[no_efe]]</f>
        <v>221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108</v>
      </c>
      <c r="D38" s="0" t="n">
        <v>3</v>
      </c>
      <c r="E38" s="0" t="n">
        <v>97</v>
      </c>
      <c r="F38" s="0" t="n">
        <v>13</v>
      </c>
      <c r="G38" s="0" t="n">
        <f aca="false">Tabla3510813153424[[#This Row],[no_efec_cor]]+Tabla3510813153424[[#This Row],[efec_cor]]</f>
        <v>205</v>
      </c>
      <c r="H38" s="0" t="n">
        <f aca="false">Tabla3510813153424[[#This Row],[no_efec_inc]]+Tabla3510813153424[[#This Row],[efect_inc]]</f>
        <v>16</v>
      </c>
      <c r="I38" s="9" t="n">
        <f aca="false">Tabla3510813153424[[#This Row],[Correctos]]/Tabla3510813153424[[#This Row],[total_sec]]</f>
        <v>0.927601809954751</v>
      </c>
      <c r="J38" s="9" t="n">
        <f aca="false">Tabla3510813153424[[#This Row],[efec_cor]]/Tabla3510813153424[[#This Row],[efec]]</f>
        <v>0.881818181818182</v>
      </c>
      <c r="K38" s="9" t="n">
        <f aca="false">Tabla3510813153424[[#This Row],[efect_inc]]/Tabla3510813153424[[#This Row],[efec]]</f>
        <v>0.118181818181818</v>
      </c>
      <c r="L38" s="9" t="n">
        <f aca="false">Tabla3510813153424[[#This Row],[no_efec_cor]]/Tabla3510813153424[[#This Row],[no_efe]]</f>
        <v>0.972972972972973</v>
      </c>
      <c r="M38" s="9" t="n">
        <f aca="false">Tabla3510813153424[[#This Row],[no_efec_inc]]/Tabla3510813153424[[#This Row],[no_efe]]</f>
        <v>0.027027027027027</v>
      </c>
      <c r="N38" s="9" t="n">
        <f aca="false">(Tabla3510813153424[[#This Row],[% efe_cor]]+Tabla3510813153424[[#This Row],[% no_efe_cor]])/2</f>
        <v>0.927395577395577</v>
      </c>
      <c r="O38" s="10" t="n">
        <f aca="false">(Tabla3510813153424[[#This Row],[% efe_inc]]+Tabla3510813153424[[#This Row],[% no_efect_inc]])/2</f>
        <v>0.0726044226044226</v>
      </c>
      <c r="P38" s="11" t="n">
        <f aca="false">Tabla3510813153424[[#This Row],[no_efec_cor]]/(Tabla3510813153424[[#This Row],[efect_inc]]+Tabla3510813153424[[#This Row],[no_efec_cor]])</f>
        <v>0.892561983471074</v>
      </c>
      <c r="Q38" s="11" t="n">
        <f aca="false">Tabla3510813153424[[#This Row],[efec_cor]]/(Tabla3510813153424[[#This Row],[efec_cor]]+Tabla3510813153424[[#This Row],[no_efec_inc]])</f>
        <v>0.97</v>
      </c>
      <c r="R38" s="11" t="n">
        <f aca="false">(Tabla3510813153424[[#This Row],[PNE]]+Tabla3510813153424[[#This Row],[PE]])/2</f>
        <v>0.931280991735537</v>
      </c>
      <c r="S38" s="0" t="n">
        <v>110</v>
      </c>
      <c r="T38" s="0" t="n">
        <v>111</v>
      </c>
      <c r="U38" s="0" t="n">
        <f aca="false">Tabla3510813153424[[#This Row],[efec]]+Tabla3510813153424[[#This Row],[no_efe]]</f>
        <v>221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105</v>
      </c>
      <c r="D39" s="0" t="n">
        <v>6</v>
      </c>
      <c r="E39" s="0" t="n">
        <v>103</v>
      </c>
      <c r="F39" s="0" t="n">
        <v>7</v>
      </c>
      <c r="G39" s="0" t="n">
        <f aca="false">Tabla3510813153424[[#This Row],[no_efec_cor]]+Tabla3510813153424[[#This Row],[efec_cor]]</f>
        <v>208</v>
      </c>
      <c r="H39" s="0" t="n">
        <f aca="false">Tabla3510813153424[[#This Row],[no_efec_inc]]+Tabla3510813153424[[#This Row],[efect_inc]]</f>
        <v>13</v>
      </c>
      <c r="I39" s="9" t="n">
        <f aca="false">Tabla3510813153424[[#This Row],[Correctos]]/Tabla3510813153424[[#This Row],[total_sec]]</f>
        <v>0.941176470588235</v>
      </c>
      <c r="J39" s="9" t="n">
        <f aca="false">Tabla3510813153424[[#This Row],[efec_cor]]/Tabla3510813153424[[#This Row],[efec]]</f>
        <v>0.936363636363636</v>
      </c>
      <c r="K39" s="9" t="n">
        <f aca="false">Tabla3510813153424[[#This Row],[efect_inc]]/Tabla3510813153424[[#This Row],[efec]]</f>
        <v>0.0636363636363636</v>
      </c>
      <c r="L39" s="9" t="n">
        <f aca="false">Tabla3510813153424[[#This Row],[no_efec_cor]]/Tabla3510813153424[[#This Row],[no_efe]]</f>
        <v>0.945945945945946</v>
      </c>
      <c r="M39" s="9" t="n">
        <f aca="false">Tabla3510813153424[[#This Row],[no_efec_inc]]/Tabla3510813153424[[#This Row],[no_efe]]</f>
        <v>0.0540540540540541</v>
      </c>
      <c r="N39" s="9" t="n">
        <f aca="false">(Tabla3510813153424[[#This Row],[% efe_cor]]+Tabla3510813153424[[#This Row],[% no_efe_cor]])/2</f>
        <v>0.941154791154791</v>
      </c>
      <c r="O39" s="10" t="n">
        <f aca="false">(Tabla3510813153424[[#This Row],[% efe_inc]]+Tabla3510813153424[[#This Row],[% no_efect_inc]])/2</f>
        <v>0.0588452088452088</v>
      </c>
      <c r="P39" s="11" t="n">
        <f aca="false">Tabla3510813153424[[#This Row],[no_efec_cor]]/(Tabla3510813153424[[#This Row],[efect_inc]]+Tabla3510813153424[[#This Row],[no_efec_cor]])</f>
        <v>0.9375</v>
      </c>
      <c r="Q39" s="11" t="n">
        <f aca="false">Tabla3510813153424[[#This Row],[efec_cor]]/(Tabla3510813153424[[#This Row],[efec_cor]]+Tabla3510813153424[[#This Row],[no_efec_inc]])</f>
        <v>0.944954128440367</v>
      </c>
      <c r="R39" s="11" t="n">
        <f aca="false">(Tabla3510813153424[[#This Row],[PNE]]+Tabla3510813153424[[#This Row],[PE]])/2</f>
        <v>0.941227064220183</v>
      </c>
      <c r="S39" s="0" t="n">
        <v>110</v>
      </c>
      <c r="T39" s="0" t="n">
        <v>111</v>
      </c>
      <c r="U39" s="0" t="n">
        <f aca="false">Tabla3510813153424[[#This Row],[efec]]+Tabla3510813153424[[#This Row],[no_efe]]</f>
        <v>221</v>
      </c>
    </row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U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9" activeCellId="1" sqref="A74:F84 E39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113</v>
      </c>
    </row>
    <row r="5" customFormat="false" ht="15" hidden="false" customHeight="false" outlineLevel="0" collapsed="false">
      <c r="A5" s="3" t="s">
        <v>3</v>
      </c>
      <c r="B5" s="3"/>
      <c r="C5" s="4" t="n">
        <v>106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219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101</v>
      </c>
      <c r="C10" s="0" t="n">
        <v>5</v>
      </c>
      <c r="D10" s="0" t="n">
        <v>105</v>
      </c>
      <c r="E10" s="0" t="n">
        <v>8</v>
      </c>
      <c r="F10" s="0" t="n">
        <f aca="false">Tabla351081315325[[#This Row],[no_efec_cor]]+Tabla351081315325[[#This Row],[efec_cor]]</f>
        <v>206</v>
      </c>
      <c r="G10" s="0" t="n">
        <f aca="false">Tabla351081315325[[#This Row],[no_efec_inc]]+Tabla351081315325[[#This Row],[efect_inc]]</f>
        <v>13</v>
      </c>
      <c r="H10" s="9" t="n">
        <f aca="false">Tabla351081315325[[#This Row],[Correctos]]/Tabla351081315325[[#This Row],[total_sec]]</f>
        <v>0.940639269406393</v>
      </c>
      <c r="I10" s="9" t="n">
        <f aca="false">Tabla351081315325[[#This Row],[efec_cor]]/Tabla351081315325[[#This Row],[efec]]</f>
        <v>0.929203539823009</v>
      </c>
      <c r="J10" s="9" t="n">
        <f aca="false">Tabla351081315325[[#This Row],[efect_inc]]/Tabla351081315325[[#This Row],[efec]]</f>
        <v>0.0707964601769911</v>
      </c>
      <c r="K10" s="9" t="n">
        <f aca="false">Tabla351081315325[[#This Row],[no_efec_cor]]/Tabla351081315325[[#This Row],[no_efe]]</f>
        <v>0.952830188679245</v>
      </c>
      <c r="L10" s="9" t="n">
        <f aca="false">Tabla351081315325[[#This Row],[no_efec_inc]]/Tabla351081315325[[#This Row],[no_efe]]</f>
        <v>0.0471698113207547</v>
      </c>
      <c r="M10" s="9" t="n">
        <f aca="false">(Tabla351081315325[[#This Row],[% efe_cor]]+Tabla351081315325[[#This Row],[% no_efe_cor]])/2</f>
        <v>0.941016864251127</v>
      </c>
      <c r="N10" s="10" t="n">
        <f aca="false">(Tabla351081315325[[#This Row],[% efe_inc]]+Tabla351081315325[[#This Row],[% no_efect_inc]])/2</f>
        <v>0.0589831357488729</v>
      </c>
      <c r="O10" s="11" t="n">
        <f aca="false">Tabla351081315325[[#This Row],[no_efec_cor]]/(Tabla351081315325[[#This Row],[efect_inc]]+Tabla351081315325[[#This Row],[no_efec_cor]])</f>
        <v>0.926605504587156</v>
      </c>
      <c r="P10" s="11" t="n">
        <f aca="false">Tabla351081315325[[#This Row],[efec_cor]]/(Tabla351081315325[[#This Row],[efec_cor]]+Tabla351081315325[[#This Row],[no_efec_inc]])</f>
        <v>0.954545454545455</v>
      </c>
      <c r="Q10" s="11" t="n">
        <f aca="false">(Tabla351081315325[[#This Row],[PNE]]+Tabla351081315325[[#This Row],[PE]])/2</f>
        <v>0.940575479566305</v>
      </c>
      <c r="R10" s="0" t="n">
        <v>113</v>
      </c>
      <c r="S10" s="0" t="n">
        <v>106</v>
      </c>
      <c r="T10" s="0" t="n">
        <f aca="false">Tabla351081315325[[#This Row],[efec]]+Tabla351081315325[[#This Row],[no_efe]]</f>
        <v>219</v>
      </c>
    </row>
    <row r="11" customFormat="false" ht="13.8" hidden="false" customHeight="false" outlineLevel="0" collapsed="false">
      <c r="A11" s="0" t="n">
        <v>5</v>
      </c>
      <c r="B11" s="0" t="n">
        <v>103</v>
      </c>
      <c r="C11" s="0" t="n">
        <v>3</v>
      </c>
      <c r="D11" s="0" t="n">
        <v>105</v>
      </c>
      <c r="E11" s="0" t="n">
        <v>8</v>
      </c>
      <c r="F11" s="0" t="n">
        <f aca="false">Tabla351081315325[[#This Row],[no_efec_cor]]+Tabla351081315325[[#This Row],[efec_cor]]</f>
        <v>208</v>
      </c>
      <c r="G11" s="0" t="n">
        <f aca="false">Tabla351081315325[[#This Row],[no_efec_inc]]+Tabla351081315325[[#This Row],[efect_inc]]</f>
        <v>11</v>
      </c>
      <c r="H11" s="9" t="n">
        <f aca="false">Tabla351081315325[[#This Row],[Correctos]]/Tabla351081315325[[#This Row],[total_sec]]</f>
        <v>0.949771689497717</v>
      </c>
      <c r="I11" s="9" t="n">
        <f aca="false">Tabla351081315325[[#This Row],[efec_cor]]/Tabla351081315325[[#This Row],[efec]]</f>
        <v>0.929203539823009</v>
      </c>
      <c r="J11" s="9" t="n">
        <f aca="false">Tabla351081315325[[#This Row],[efect_inc]]/Tabla351081315325[[#This Row],[efec]]</f>
        <v>0.0707964601769911</v>
      </c>
      <c r="K11" s="9" t="n">
        <f aca="false">Tabla351081315325[[#This Row],[no_efec_cor]]/Tabla351081315325[[#This Row],[no_efe]]</f>
        <v>0.971698113207547</v>
      </c>
      <c r="L11" s="9" t="n">
        <f aca="false">Tabla351081315325[[#This Row],[no_efec_inc]]/Tabla351081315325[[#This Row],[no_efe]]</f>
        <v>0.0283018867924528</v>
      </c>
      <c r="M11" s="9" t="n">
        <f aca="false">(Tabla351081315325[[#This Row],[% efe_cor]]+Tabla351081315325[[#This Row],[% no_efe_cor]])/2</f>
        <v>0.950450826515278</v>
      </c>
      <c r="N11" s="10" t="n">
        <f aca="false">(Tabla351081315325[[#This Row],[% efe_inc]]+Tabla351081315325[[#This Row],[% no_efect_inc]])/2</f>
        <v>0.049549173484722</v>
      </c>
      <c r="O11" s="11" t="n">
        <f aca="false">Tabla351081315325[[#This Row],[no_efec_cor]]/(Tabla351081315325[[#This Row],[efect_inc]]+Tabla351081315325[[#This Row],[no_efec_cor]])</f>
        <v>0.927927927927928</v>
      </c>
      <c r="P11" s="11" t="n">
        <f aca="false">Tabla351081315325[[#This Row],[efec_cor]]/(Tabla351081315325[[#This Row],[efec_cor]]+Tabla351081315325[[#This Row],[no_efec_inc]])</f>
        <v>0.972222222222222</v>
      </c>
      <c r="Q11" s="11" t="n">
        <f aca="false">(Tabla351081315325[[#This Row],[PNE]]+Tabla351081315325[[#This Row],[PE]])/2</f>
        <v>0.950075075075075</v>
      </c>
      <c r="R11" s="0" t="n">
        <v>113</v>
      </c>
      <c r="S11" s="0" t="n">
        <v>106</v>
      </c>
      <c r="T11" s="0" t="n">
        <f aca="false">Tabla351081315325[[#This Row],[efec]]+Tabla351081315325[[#This Row],[no_efe]]</f>
        <v>219</v>
      </c>
    </row>
    <row r="12" customFormat="false" ht="13.8" hidden="false" customHeight="false" outlineLevel="0" collapsed="false">
      <c r="A12" s="0" t="n">
        <v>10</v>
      </c>
      <c r="B12" s="0" t="n">
        <v>102</v>
      </c>
      <c r="C12" s="0" t="n">
        <v>4</v>
      </c>
      <c r="D12" s="0" t="n">
        <v>101</v>
      </c>
      <c r="E12" s="0" t="n">
        <v>12</v>
      </c>
      <c r="F12" s="0" t="n">
        <f aca="false">Tabla351081315325[[#This Row],[no_efec_cor]]+Tabla351081315325[[#This Row],[efec_cor]]</f>
        <v>203</v>
      </c>
      <c r="G12" s="0" t="n">
        <f aca="false">Tabla351081315325[[#This Row],[no_efec_inc]]+Tabla351081315325[[#This Row],[efect_inc]]</f>
        <v>16</v>
      </c>
      <c r="H12" s="9" t="n">
        <f aca="false">Tabla351081315325[[#This Row],[Correctos]]/Tabla351081315325[[#This Row],[total_sec]]</f>
        <v>0.926940639269406</v>
      </c>
      <c r="I12" s="9" t="n">
        <f aca="false">Tabla351081315325[[#This Row],[efec_cor]]/Tabla351081315325[[#This Row],[efec]]</f>
        <v>0.893805309734513</v>
      </c>
      <c r="J12" s="9" t="n">
        <f aca="false">Tabla351081315325[[#This Row],[efect_inc]]/Tabla351081315325[[#This Row],[efec]]</f>
        <v>0.106194690265487</v>
      </c>
      <c r="K12" s="9" t="n">
        <f aca="false">Tabla351081315325[[#This Row],[no_efec_cor]]/Tabla351081315325[[#This Row],[no_efe]]</f>
        <v>0.962264150943396</v>
      </c>
      <c r="L12" s="9" t="n">
        <f aca="false">Tabla351081315325[[#This Row],[no_efec_inc]]/Tabla351081315325[[#This Row],[no_efe]]</f>
        <v>0.0377358490566038</v>
      </c>
      <c r="M12" s="9" t="n">
        <f aca="false">(Tabla351081315325[[#This Row],[% efe_cor]]+Tabla351081315325[[#This Row],[% no_efe_cor]])/2</f>
        <v>0.928034730338955</v>
      </c>
      <c r="N12" s="10" t="n">
        <f aca="false">(Tabla351081315325[[#This Row],[% efe_inc]]+Tabla351081315325[[#This Row],[% no_efect_inc]])/2</f>
        <v>0.0719652696610452</v>
      </c>
      <c r="O12" s="11" t="n">
        <f aca="false">Tabla351081315325[[#This Row],[no_efec_cor]]/(Tabla351081315325[[#This Row],[efect_inc]]+Tabla351081315325[[#This Row],[no_efec_cor]])</f>
        <v>0.894736842105263</v>
      </c>
      <c r="P12" s="11" t="n">
        <f aca="false">Tabla351081315325[[#This Row],[efec_cor]]/(Tabla351081315325[[#This Row],[efec_cor]]+Tabla351081315325[[#This Row],[no_efec_inc]])</f>
        <v>0.961904761904762</v>
      </c>
      <c r="Q12" s="11" t="n">
        <f aca="false">(Tabla351081315325[[#This Row],[PNE]]+Tabla351081315325[[#This Row],[PE]])/2</f>
        <v>0.928320802005013</v>
      </c>
      <c r="R12" s="0" t="n">
        <v>113</v>
      </c>
      <c r="S12" s="0" t="n">
        <v>106</v>
      </c>
      <c r="T12" s="0" t="n">
        <f aca="false">Tabla351081315325[[#This Row],[efec]]+Tabla351081315325[[#This Row],[no_efe]]</f>
        <v>219</v>
      </c>
    </row>
    <row r="13" customFormat="false" ht="13.8" hidden="false" customHeight="false" outlineLevel="0" collapsed="false">
      <c r="A13" s="0" t="n">
        <v>15</v>
      </c>
      <c r="B13" s="0" t="n">
        <v>102</v>
      </c>
      <c r="C13" s="0" t="n">
        <v>4</v>
      </c>
      <c r="D13" s="0" t="n">
        <v>101</v>
      </c>
      <c r="E13" s="0" t="n">
        <v>12</v>
      </c>
      <c r="F13" s="0" t="n">
        <f aca="false">Tabla351081315325[[#This Row],[no_efec_cor]]+Tabla351081315325[[#This Row],[efec_cor]]</f>
        <v>203</v>
      </c>
      <c r="G13" s="0" t="n">
        <f aca="false">Tabla351081315325[[#This Row],[no_efec_inc]]+Tabla351081315325[[#This Row],[efect_inc]]</f>
        <v>16</v>
      </c>
      <c r="H13" s="9" t="n">
        <f aca="false">Tabla351081315325[[#This Row],[Correctos]]/Tabla351081315325[[#This Row],[total_sec]]</f>
        <v>0.926940639269406</v>
      </c>
      <c r="I13" s="9" t="n">
        <f aca="false">Tabla351081315325[[#This Row],[efec_cor]]/Tabla351081315325[[#This Row],[efec]]</f>
        <v>0.893805309734513</v>
      </c>
      <c r="J13" s="9" t="n">
        <f aca="false">Tabla351081315325[[#This Row],[efect_inc]]/Tabla351081315325[[#This Row],[efec]]</f>
        <v>0.106194690265487</v>
      </c>
      <c r="K13" s="9" t="n">
        <f aca="false">Tabla351081315325[[#This Row],[no_efec_cor]]/Tabla351081315325[[#This Row],[no_efe]]</f>
        <v>0.962264150943396</v>
      </c>
      <c r="L13" s="9" t="n">
        <f aca="false">Tabla351081315325[[#This Row],[no_efec_inc]]/Tabla351081315325[[#This Row],[no_efe]]</f>
        <v>0.0377358490566038</v>
      </c>
      <c r="M13" s="9" t="n">
        <f aca="false">(Tabla351081315325[[#This Row],[% efe_cor]]+Tabla351081315325[[#This Row],[% no_efe_cor]])/2</f>
        <v>0.928034730338955</v>
      </c>
      <c r="N13" s="10" t="n">
        <f aca="false">(Tabla351081315325[[#This Row],[% efe_inc]]+Tabla351081315325[[#This Row],[% no_efect_inc]])/2</f>
        <v>0.0719652696610452</v>
      </c>
      <c r="O13" s="11" t="n">
        <f aca="false">Tabla351081315325[[#This Row],[no_efec_cor]]/(Tabla351081315325[[#This Row],[efect_inc]]+Tabla351081315325[[#This Row],[no_efec_cor]])</f>
        <v>0.894736842105263</v>
      </c>
      <c r="P13" s="11" t="n">
        <f aca="false">Tabla351081315325[[#This Row],[efec_cor]]/(Tabla351081315325[[#This Row],[efec_cor]]+Tabla351081315325[[#This Row],[no_efec_inc]])</f>
        <v>0.961904761904762</v>
      </c>
      <c r="Q13" s="11" t="n">
        <f aca="false">(Tabla351081315325[[#This Row],[PNE]]+Tabla351081315325[[#This Row],[PE]])/2</f>
        <v>0.928320802005013</v>
      </c>
      <c r="R13" s="0" t="n">
        <v>113</v>
      </c>
      <c r="S13" s="0" t="n">
        <v>106</v>
      </c>
      <c r="T13" s="0" t="n">
        <f aca="false">Tabla351081315325[[#This Row],[efec]]+Tabla351081315325[[#This Row],[no_efe]]</f>
        <v>219</v>
      </c>
    </row>
    <row r="14" customFormat="false" ht="13.8" hidden="false" customHeight="false" outlineLevel="0" collapsed="false">
      <c r="A14" s="0" t="n">
        <v>20</v>
      </c>
      <c r="B14" s="0" t="n">
        <v>101</v>
      </c>
      <c r="C14" s="0" t="n">
        <v>5</v>
      </c>
      <c r="D14" s="0" t="n">
        <v>101</v>
      </c>
      <c r="E14" s="0" t="n">
        <v>12</v>
      </c>
      <c r="F14" s="0" t="n">
        <f aca="false">Tabla351081315325[[#This Row],[no_efec_cor]]+Tabla351081315325[[#This Row],[efec_cor]]</f>
        <v>202</v>
      </c>
      <c r="G14" s="0" t="n">
        <f aca="false">Tabla351081315325[[#This Row],[no_efec_inc]]+Tabla351081315325[[#This Row],[efect_inc]]</f>
        <v>17</v>
      </c>
      <c r="H14" s="9" t="n">
        <f aca="false">Tabla351081315325[[#This Row],[Correctos]]/Tabla351081315325[[#This Row],[total_sec]]</f>
        <v>0.922374429223744</v>
      </c>
      <c r="I14" s="9" t="n">
        <f aca="false">Tabla351081315325[[#This Row],[efec_cor]]/Tabla351081315325[[#This Row],[efec]]</f>
        <v>0.893805309734513</v>
      </c>
      <c r="J14" s="9" t="n">
        <f aca="false">Tabla351081315325[[#This Row],[efect_inc]]/Tabla351081315325[[#This Row],[efec]]</f>
        <v>0.106194690265487</v>
      </c>
      <c r="K14" s="9" t="n">
        <f aca="false">Tabla351081315325[[#This Row],[no_efec_cor]]/Tabla351081315325[[#This Row],[no_efe]]</f>
        <v>0.952830188679245</v>
      </c>
      <c r="L14" s="9" t="n">
        <f aca="false">Tabla351081315325[[#This Row],[no_efec_inc]]/Tabla351081315325[[#This Row],[no_efe]]</f>
        <v>0.0471698113207547</v>
      </c>
      <c r="M14" s="9" t="n">
        <f aca="false">(Tabla351081315325[[#This Row],[% efe_cor]]+Tabla351081315325[[#This Row],[% no_efe_cor]])/2</f>
        <v>0.923317749206879</v>
      </c>
      <c r="N14" s="10" t="n">
        <f aca="false">(Tabla351081315325[[#This Row],[% efe_inc]]+Tabla351081315325[[#This Row],[% no_efect_inc]])/2</f>
        <v>0.0766822507931207</v>
      </c>
      <c r="O14" s="11" t="n">
        <f aca="false">Tabla351081315325[[#This Row],[no_efec_cor]]/(Tabla351081315325[[#This Row],[efect_inc]]+Tabla351081315325[[#This Row],[no_efec_cor]])</f>
        <v>0.893805309734513</v>
      </c>
      <c r="P14" s="11" t="n">
        <f aca="false">Tabla351081315325[[#This Row],[efec_cor]]/(Tabla351081315325[[#This Row],[efec_cor]]+Tabla351081315325[[#This Row],[no_efec_inc]])</f>
        <v>0.952830188679245</v>
      </c>
      <c r="Q14" s="11" t="n">
        <f aca="false">(Tabla351081315325[[#This Row],[PNE]]+Tabla351081315325[[#This Row],[PE]])/2</f>
        <v>0.923317749206879</v>
      </c>
      <c r="R14" s="0" t="n">
        <v>113</v>
      </c>
      <c r="S14" s="0" t="n">
        <v>106</v>
      </c>
      <c r="T14" s="0" t="n">
        <f aca="false">Tabla351081315325[[#This Row],[efec]]+Tabla351081315325[[#This Row],[no_efe]]</f>
        <v>219</v>
      </c>
    </row>
    <row r="15" customFormat="false" ht="13.8" hidden="false" customHeight="false" outlineLevel="0" collapsed="false">
      <c r="A15" s="0" t="n">
        <v>25</v>
      </c>
      <c r="B15" s="0" t="n">
        <v>97</v>
      </c>
      <c r="C15" s="0" t="n">
        <v>9</v>
      </c>
      <c r="D15" s="0" t="n">
        <v>102</v>
      </c>
      <c r="E15" s="0" t="n">
        <v>11</v>
      </c>
      <c r="F15" s="0" t="n">
        <f aca="false">Tabla351081315325[[#This Row],[no_efec_cor]]+Tabla351081315325[[#This Row],[efec_cor]]</f>
        <v>199</v>
      </c>
      <c r="G15" s="0" t="n">
        <f aca="false">Tabla351081315325[[#This Row],[no_efec_inc]]+Tabla351081315325[[#This Row],[efect_inc]]</f>
        <v>20</v>
      </c>
      <c r="H15" s="9" t="n">
        <f aca="false">Tabla351081315325[[#This Row],[Correctos]]/Tabla351081315325[[#This Row],[total_sec]]</f>
        <v>0.908675799086758</v>
      </c>
      <c r="I15" s="9" t="n">
        <f aca="false">Tabla351081315325[[#This Row],[efec_cor]]/Tabla351081315325[[#This Row],[efec]]</f>
        <v>0.902654867256637</v>
      </c>
      <c r="J15" s="9" t="n">
        <f aca="false">Tabla351081315325[[#This Row],[efect_inc]]/Tabla351081315325[[#This Row],[efec]]</f>
        <v>0.0973451327433628</v>
      </c>
      <c r="K15" s="9" t="n">
        <f aca="false">Tabla351081315325[[#This Row],[no_efec_cor]]/Tabla351081315325[[#This Row],[no_efe]]</f>
        <v>0.915094339622642</v>
      </c>
      <c r="L15" s="9" t="n">
        <f aca="false">Tabla351081315325[[#This Row],[no_efec_inc]]/Tabla351081315325[[#This Row],[no_efe]]</f>
        <v>0.0849056603773585</v>
      </c>
      <c r="M15" s="9" t="n">
        <f aca="false">(Tabla351081315325[[#This Row],[% efe_cor]]+Tabla351081315325[[#This Row],[% no_efe_cor]])/2</f>
        <v>0.908874603439639</v>
      </c>
      <c r="N15" s="10" t="n">
        <f aca="false">(Tabla351081315325[[#This Row],[% efe_inc]]+Tabla351081315325[[#This Row],[% no_efect_inc]])/2</f>
        <v>0.0911253965603607</v>
      </c>
      <c r="O15" s="11" t="n">
        <f aca="false">Tabla351081315325[[#This Row],[no_efec_cor]]/(Tabla351081315325[[#This Row],[efect_inc]]+Tabla351081315325[[#This Row],[no_efec_cor]])</f>
        <v>0.898148148148148</v>
      </c>
      <c r="P15" s="11" t="n">
        <f aca="false">Tabla351081315325[[#This Row],[efec_cor]]/(Tabla351081315325[[#This Row],[efec_cor]]+Tabla351081315325[[#This Row],[no_efec_inc]])</f>
        <v>0.918918918918919</v>
      </c>
      <c r="Q15" s="11" t="n">
        <f aca="false">(Tabla351081315325[[#This Row],[PNE]]+Tabla351081315325[[#This Row],[PE]])/2</f>
        <v>0.908533533533534</v>
      </c>
      <c r="R15" s="0" t="n">
        <v>113</v>
      </c>
      <c r="S15" s="0" t="n">
        <v>106</v>
      </c>
      <c r="T15" s="0" t="n">
        <f aca="false">Tabla351081315325[[#This Row],[efec]]+Tabla351081315325[[#This Row],[no_efe]]</f>
        <v>219</v>
      </c>
    </row>
    <row r="16" customFormat="false" ht="13.8" hidden="false" customHeight="false" outlineLevel="0" collapsed="false">
      <c r="A16" s="0" t="n">
        <v>30</v>
      </c>
      <c r="B16" s="0" t="n">
        <v>88</v>
      </c>
      <c r="C16" s="0" t="n">
        <v>18</v>
      </c>
      <c r="D16" s="0" t="n">
        <v>103</v>
      </c>
      <c r="E16" s="0" t="n">
        <v>10</v>
      </c>
      <c r="F16" s="0" t="n">
        <f aca="false">Tabla351081315325[[#This Row],[no_efec_cor]]+Tabla351081315325[[#This Row],[efec_cor]]</f>
        <v>191</v>
      </c>
      <c r="G16" s="0" t="n">
        <f aca="false">Tabla351081315325[[#This Row],[no_efec_inc]]+Tabla351081315325[[#This Row],[efect_inc]]</f>
        <v>28</v>
      </c>
      <c r="H16" s="9" t="n">
        <f aca="false">Tabla351081315325[[#This Row],[Correctos]]/Tabla351081315325[[#This Row],[total_sec]]</f>
        <v>0.872146118721461</v>
      </c>
      <c r="I16" s="9" t="n">
        <f aca="false">Tabla351081315325[[#This Row],[efec_cor]]/Tabla351081315325[[#This Row],[efec]]</f>
        <v>0.911504424778761</v>
      </c>
      <c r="J16" s="9" t="n">
        <f aca="false">Tabla351081315325[[#This Row],[efect_inc]]/Tabla351081315325[[#This Row],[efec]]</f>
        <v>0.0884955752212389</v>
      </c>
      <c r="K16" s="9" t="n">
        <f aca="false">Tabla351081315325[[#This Row],[no_efec_cor]]/Tabla351081315325[[#This Row],[no_efe]]</f>
        <v>0.830188679245283</v>
      </c>
      <c r="L16" s="9" t="n">
        <f aca="false">Tabla351081315325[[#This Row],[no_efec_inc]]/Tabla351081315325[[#This Row],[no_efe]]</f>
        <v>0.169811320754717</v>
      </c>
      <c r="M16" s="9" t="n">
        <f aca="false">(Tabla351081315325[[#This Row],[% efe_cor]]+Tabla351081315325[[#This Row],[% no_efe_cor]])/2</f>
        <v>0.870846552012022</v>
      </c>
      <c r="N16" s="10" t="n">
        <f aca="false">(Tabla351081315325[[#This Row],[% efe_inc]]+Tabla351081315325[[#This Row],[% no_efect_inc]])/2</f>
        <v>0.129153447987978</v>
      </c>
      <c r="O16" s="11" t="n">
        <f aca="false">Tabla351081315325[[#This Row],[no_efec_cor]]/(Tabla351081315325[[#This Row],[efect_inc]]+Tabla351081315325[[#This Row],[no_efec_cor]])</f>
        <v>0.897959183673469</v>
      </c>
      <c r="P16" s="11" t="n">
        <f aca="false">Tabla351081315325[[#This Row],[efec_cor]]/(Tabla351081315325[[#This Row],[efec_cor]]+Tabla351081315325[[#This Row],[no_efec_inc]])</f>
        <v>0.851239669421488</v>
      </c>
      <c r="Q16" s="11" t="n">
        <f aca="false">(Tabla351081315325[[#This Row],[PNE]]+Tabla351081315325[[#This Row],[PE]])/2</f>
        <v>0.874599426547479</v>
      </c>
      <c r="R16" s="0" t="n">
        <v>113</v>
      </c>
      <c r="S16" s="0" t="n">
        <v>106</v>
      </c>
      <c r="T16" s="0" t="n">
        <f aca="false">Tabla351081315325[[#This Row],[efec]]+Tabla351081315325[[#This Row],[no_efe]]</f>
        <v>219</v>
      </c>
    </row>
    <row r="17" customFormat="false" ht="13.8" hidden="false" customHeight="false" outlineLevel="0" collapsed="false">
      <c r="A17" s="0" t="n">
        <v>35</v>
      </c>
      <c r="B17" s="0" t="n">
        <v>87</v>
      </c>
      <c r="C17" s="0" t="n">
        <v>19</v>
      </c>
      <c r="D17" s="0" t="n">
        <v>88</v>
      </c>
      <c r="E17" s="0" t="n">
        <v>25</v>
      </c>
      <c r="F17" s="0" t="n">
        <f aca="false">Tabla351081315325[[#This Row],[no_efec_cor]]+Tabla351081315325[[#This Row],[efec_cor]]</f>
        <v>175</v>
      </c>
      <c r="G17" s="0" t="n">
        <f aca="false">Tabla351081315325[[#This Row],[no_efec_inc]]+Tabla351081315325[[#This Row],[efect_inc]]</f>
        <v>44</v>
      </c>
      <c r="H17" s="9" t="n">
        <f aca="false">Tabla351081315325[[#This Row],[Correctos]]/Tabla351081315325[[#This Row],[total_sec]]</f>
        <v>0.799086757990868</v>
      </c>
      <c r="I17" s="9" t="n">
        <f aca="false">Tabla351081315325[[#This Row],[efec_cor]]/Tabla351081315325[[#This Row],[efec]]</f>
        <v>0.778761061946903</v>
      </c>
      <c r="J17" s="9" t="n">
        <f aca="false">Tabla351081315325[[#This Row],[efect_inc]]/Tabla351081315325[[#This Row],[efec]]</f>
        <v>0.221238938053097</v>
      </c>
      <c r="K17" s="9" t="n">
        <f aca="false">Tabla351081315325[[#This Row],[no_efec_cor]]/Tabla351081315325[[#This Row],[no_efe]]</f>
        <v>0.820754716981132</v>
      </c>
      <c r="L17" s="9" t="n">
        <f aca="false">Tabla351081315325[[#This Row],[no_efec_inc]]/Tabla351081315325[[#This Row],[no_efe]]</f>
        <v>0.179245283018868</v>
      </c>
      <c r="M17" s="9" t="n">
        <f aca="false">(Tabla351081315325[[#This Row],[% efe_cor]]+Tabla351081315325[[#This Row],[% no_efe_cor]])/2</f>
        <v>0.799757889464017</v>
      </c>
      <c r="N17" s="10" t="n">
        <f aca="false">(Tabla351081315325[[#This Row],[% efe_inc]]+Tabla351081315325[[#This Row],[% no_efect_inc]])/2</f>
        <v>0.200242110535983</v>
      </c>
      <c r="O17" s="11" t="n">
        <f aca="false">Tabla351081315325[[#This Row],[no_efec_cor]]/(Tabla351081315325[[#This Row],[efect_inc]]+Tabla351081315325[[#This Row],[no_efec_cor]])</f>
        <v>0.776785714285714</v>
      </c>
      <c r="P17" s="11" t="n">
        <f aca="false">Tabla351081315325[[#This Row],[efec_cor]]/(Tabla351081315325[[#This Row],[efec_cor]]+Tabla351081315325[[#This Row],[no_efec_inc]])</f>
        <v>0.822429906542056</v>
      </c>
      <c r="Q17" s="11" t="n">
        <f aca="false">(Tabla351081315325[[#This Row],[PNE]]+Tabla351081315325[[#This Row],[PE]])/2</f>
        <v>0.799607810413885</v>
      </c>
      <c r="R17" s="0" t="n">
        <v>113</v>
      </c>
      <c r="S17" s="0" t="n">
        <v>106</v>
      </c>
      <c r="T17" s="0" t="n">
        <f aca="false">Tabla351081315325[[#This Row],[efec]]+Tabla351081315325[[#This Row],[no_efe]]</f>
        <v>219</v>
      </c>
    </row>
    <row r="18" customFormat="false" ht="13.8" hidden="false" customHeight="false" outlineLevel="0" collapsed="false">
      <c r="A18" s="0" t="n">
        <v>39</v>
      </c>
      <c r="B18" s="0" t="n">
        <v>86</v>
      </c>
      <c r="C18" s="0" t="n">
        <v>20</v>
      </c>
      <c r="D18" s="0" t="n">
        <v>86</v>
      </c>
      <c r="E18" s="0" t="n">
        <v>27</v>
      </c>
      <c r="F18" s="0" t="n">
        <f aca="false">Tabla351081315325[[#This Row],[no_efec_cor]]+Tabla351081315325[[#This Row],[efec_cor]]</f>
        <v>172</v>
      </c>
      <c r="G18" s="0" t="n">
        <f aca="false">Tabla351081315325[[#This Row],[no_efec_inc]]+Tabla351081315325[[#This Row],[efect_inc]]</f>
        <v>47</v>
      </c>
      <c r="H18" s="9" t="n">
        <f aca="false">Tabla351081315325[[#This Row],[Correctos]]/Tabla351081315325[[#This Row],[total_sec]]</f>
        <v>0.785388127853881</v>
      </c>
      <c r="I18" s="9" t="n">
        <f aca="false">Tabla351081315325[[#This Row],[efec_cor]]/Tabla351081315325[[#This Row],[efec]]</f>
        <v>0.761061946902655</v>
      </c>
      <c r="J18" s="9" t="n">
        <f aca="false">Tabla351081315325[[#This Row],[efect_inc]]/Tabla351081315325[[#This Row],[efec]]</f>
        <v>0.238938053097345</v>
      </c>
      <c r="K18" s="9" t="n">
        <f aca="false">Tabla351081315325[[#This Row],[no_efec_cor]]/Tabla351081315325[[#This Row],[no_efe]]</f>
        <v>0.811320754716981</v>
      </c>
      <c r="L18" s="9" t="n">
        <f aca="false">Tabla351081315325[[#This Row],[no_efec_inc]]/Tabla351081315325[[#This Row],[no_efe]]</f>
        <v>0.188679245283019</v>
      </c>
      <c r="M18" s="9" t="n">
        <f aca="false">(Tabla351081315325[[#This Row],[% efe_cor]]+Tabla351081315325[[#This Row],[% no_efe_cor]])/2</f>
        <v>0.786191350809818</v>
      </c>
      <c r="N18" s="10" t="n">
        <f aca="false">(Tabla351081315325[[#This Row],[% efe_inc]]+Tabla351081315325[[#This Row],[% no_efect_inc]])/2</f>
        <v>0.213808649190182</v>
      </c>
      <c r="O18" s="11" t="n">
        <f aca="false">Tabla351081315325[[#This Row],[no_efec_cor]]/(Tabla351081315325[[#This Row],[efect_inc]]+Tabla351081315325[[#This Row],[no_efec_cor]])</f>
        <v>0.761061946902655</v>
      </c>
      <c r="P18" s="11" t="n">
        <f aca="false">Tabla351081315325[[#This Row],[efec_cor]]/(Tabla351081315325[[#This Row],[efec_cor]]+Tabla351081315325[[#This Row],[no_efec_inc]])</f>
        <v>0.811320754716981</v>
      </c>
      <c r="Q18" s="11" t="n">
        <f aca="false">(Tabla351081315325[[#This Row],[PNE]]+Tabla351081315325[[#This Row],[PE]])/2</f>
        <v>0.786191350809818</v>
      </c>
      <c r="R18" s="0" t="n">
        <v>113</v>
      </c>
      <c r="S18" s="0" t="n">
        <v>106</v>
      </c>
      <c r="T18" s="0" t="n">
        <f aca="false">Tabla351081315325[[#This Row],[efec]]+Tabla351081315325[[#This Row],[no_efe]]</f>
        <v>219</v>
      </c>
    </row>
    <row r="20" customFormat="false" ht="19.5" hidden="false" customHeight="false" outlineLevel="0" collapsed="false">
      <c r="A20" s="1" t="s">
        <v>36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</row>
    <row r="25" customFormat="false" ht="15.75" hidden="false" customHeight="false" outlineLevel="0" collapsed="false">
      <c r="A25" s="7" t="s">
        <v>27</v>
      </c>
      <c r="B25" s="7" t="s">
        <v>28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89</v>
      </c>
      <c r="D26" s="0" t="n">
        <v>17</v>
      </c>
      <c r="E26" s="0" t="n">
        <v>103</v>
      </c>
      <c r="F26" s="0" t="n">
        <v>10</v>
      </c>
      <c r="G26" s="0" t="n">
        <f aca="false">Tabla3510813153423[[#This Row],[no_efec_cor]]+Tabla3510813153423[[#This Row],[efec_cor]]</f>
        <v>192</v>
      </c>
      <c r="H26" s="0" t="n">
        <f aca="false">Tabla3510813153423[[#This Row],[no_efec_inc]]+Tabla3510813153423[[#This Row],[efect_inc]]</f>
        <v>27</v>
      </c>
      <c r="I26" s="9" t="n">
        <f aca="false">Tabla3510813153423[[#This Row],[Correctos]]/Tabla3510813153423[[#This Row],[total_sec]]</f>
        <v>0.876712328767123</v>
      </c>
      <c r="J26" s="9" t="n">
        <f aca="false">Tabla3510813153423[[#This Row],[efec_cor]]/Tabla3510813153423[[#This Row],[efec]]</f>
        <v>0.911504424778761</v>
      </c>
      <c r="K26" s="9" t="n">
        <f aca="false">Tabla3510813153423[[#This Row],[efect_inc]]/Tabla3510813153423[[#This Row],[efec]]</f>
        <v>0.0884955752212389</v>
      </c>
      <c r="L26" s="9" t="n">
        <f aca="false">Tabla3510813153423[[#This Row],[no_efec_cor]]/Tabla3510813153423[[#This Row],[no_efe]]</f>
        <v>0.839622641509434</v>
      </c>
      <c r="M26" s="9" t="n">
        <f aca="false">Tabla3510813153423[[#This Row],[no_efec_inc]]/Tabla3510813153423[[#This Row],[no_efe]]</f>
        <v>0.160377358490566</v>
      </c>
      <c r="N26" s="9" t="n">
        <f aca="false">(Tabla3510813153423[[#This Row],[% efe_cor]]+Tabla3510813153423[[#This Row],[% no_efe_cor]])/2</f>
        <v>0.875563533144097</v>
      </c>
      <c r="O26" s="10" t="n">
        <f aca="false">(Tabla3510813153423[[#This Row],[% efe_inc]]+Tabla3510813153423[[#This Row],[% no_efect_inc]])/2</f>
        <v>0.124436466855902</v>
      </c>
      <c r="P26" s="11" t="n">
        <f aca="false">Tabla3510813153423[[#This Row],[no_efec_cor]]/(Tabla3510813153423[[#This Row],[efect_inc]]+Tabla3510813153423[[#This Row],[no_efec_cor]])</f>
        <v>0.898989898989899</v>
      </c>
      <c r="Q26" s="11" t="n">
        <f aca="false">Tabla3510813153423[[#This Row],[efec_cor]]/(Tabla3510813153423[[#This Row],[efec_cor]]+Tabla3510813153423[[#This Row],[no_efec_inc]])</f>
        <v>0.858333333333333</v>
      </c>
      <c r="R26" s="11" t="n">
        <f aca="false">(Tabla3510813153423[[#This Row],[PNE]]+Tabla3510813153423[[#This Row],[PE]])/2</f>
        <v>0.878661616161616</v>
      </c>
      <c r="S26" s="0" t="n">
        <v>113</v>
      </c>
      <c r="T26" s="0" t="n">
        <v>106</v>
      </c>
      <c r="U26" s="0" t="n">
        <f aca="false">Tabla3510813153423[[#This Row],[efec]]+Tabla3510813153423[[#This Row],[no_efe]]</f>
        <v>219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103</v>
      </c>
      <c r="D27" s="0" t="n">
        <v>3</v>
      </c>
      <c r="E27" s="0" t="n">
        <v>102</v>
      </c>
      <c r="F27" s="0" t="n">
        <v>11</v>
      </c>
      <c r="G27" s="0" t="n">
        <f aca="false">Tabla3510813153423[[#This Row],[no_efec_cor]]+Tabla3510813153423[[#This Row],[efec_cor]]</f>
        <v>205</v>
      </c>
      <c r="H27" s="0" t="n">
        <f aca="false">Tabla3510813153423[[#This Row],[no_efec_inc]]+Tabla3510813153423[[#This Row],[efect_inc]]</f>
        <v>14</v>
      </c>
      <c r="I27" s="9" t="n">
        <f aca="false">Tabla3510813153423[[#This Row],[Correctos]]/Tabla3510813153423[[#This Row],[total_sec]]</f>
        <v>0.936073059360731</v>
      </c>
      <c r="J27" s="9" t="n">
        <f aca="false">Tabla3510813153423[[#This Row],[efec_cor]]/Tabla3510813153423[[#This Row],[efec]]</f>
        <v>0.902654867256637</v>
      </c>
      <c r="K27" s="9" t="n">
        <f aca="false">Tabla3510813153423[[#This Row],[efect_inc]]/Tabla3510813153423[[#This Row],[efec]]</f>
        <v>0.0973451327433628</v>
      </c>
      <c r="L27" s="9" t="n">
        <f aca="false">Tabla3510813153423[[#This Row],[no_efec_cor]]/Tabla3510813153423[[#This Row],[no_efe]]</f>
        <v>0.971698113207547</v>
      </c>
      <c r="M27" s="9" t="n">
        <f aca="false">Tabla3510813153423[[#This Row],[no_efec_inc]]/Tabla3510813153423[[#This Row],[no_efe]]</f>
        <v>0.0283018867924528</v>
      </c>
      <c r="N27" s="9" t="n">
        <f aca="false">(Tabla3510813153423[[#This Row],[% efe_cor]]+Tabla3510813153423[[#This Row],[% no_efe_cor]])/2</f>
        <v>0.937176490232092</v>
      </c>
      <c r="O27" s="10" t="n">
        <f aca="false">(Tabla3510813153423[[#This Row],[% efe_inc]]+Tabla3510813153423[[#This Row],[% no_efect_inc]])/2</f>
        <v>0.0628235097679078</v>
      </c>
      <c r="P27" s="11" t="n">
        <f aca="false">Tabla3510813153423[[#This Row],[no_efec_cor]]/(Tabla3510813153423[[#This Row],[efect_inc]]+Tabla3510813153423[[#This Row],[no_efec_cor]])</f>
        <v>0.903508771929825</v>
      </c>
      <c r="Q27" s="11" t="n">
        <f aca="false">Tabla3510813153423[[#This Row],[efec_cor]]/(Tabla3510813153423[[#This Row],[efec_cor]]+Tabla3510813153423[[#This Row],[no_efec_inc]])</f>
        <v>0.971428571428571</v>
      </c>
      <c r="R27" s="11" t="n">
        <f aca="false">(Tabla3510813153423[[#This Row],[PNE]]+Tabla3510813153423[[#This Row],[PE]])/2</f>
        <v>0.937468671679198</v>
      </c>
      <c r="S27" s="0" t="n">
        <v>113</v>
      </c>
      <c r="T27" s="0" t="n">
        <v>106</v>
      </c>
      <c r="U27" s="0" t="n">
        <f aca="false">Tabla3510813153423[[#This Row],[efec]]+Tabla3510813153423[[#This Row],[no_efe]]</f>
        <v>219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106</v>
      </c>
      <c r="D28" s="0" t="n">
        <v>0</v>
      </c>
      <c r="E28" s="0" t="n">
        <v>103</v>
      </c>
      <c r="F28" s="0" t="n">
        <v>10</v>
      </c>
      <c r="G28" s="0" t="n">
        <f aca="false">Tabla3510813153423[[#This Row],[no_efec_cor]]+Tabla3510813153423[[#This Row],[efec_cor]]</f>
        <v>209</v>
      </c>
      <c r="H28" s="0" t="n">
        <f aca="false">Tabla3510813153423[[#This Row],[no_efec_inc]]+Tabla3510813153423[[#This Row],[efect_inc]]</f>
        <v>10</v>
      </c>
      <c r="I28" s="9" t="n">
        <f aca="false">Tabla3510813153423[[#This Row],[Correctos]]/Tabla3510813153423[[#This Row],[total_sec]]</f>
        <v>0.954337899543379</v>
      </c>
      <c r="J28" s="9" t="n">
        <f aca="false">Tabla3510813153423[[#This Row],[efec_cor]]/Tabla3510813153423[[#This Row],[efec]]</f>
        <v>0.911504424778761</v>
      </c>
      <c r="K28" s="9" t="n">
        <f aca="false">Tabla3510813153423[[#This Row],[efect_inc]]/Tabla3510813153423[[#This Row],[efec]]</f>
        <v>0.0884955752212389</v>
      </c>
      <c r="L28" s="9" t="n">
        <f aca="false">Tabla3510813153423[[#This Row],[no_efec_cor]]/Tabla3510813153423[[#This Row],[no_efe]]</f>
        <v>1</v>
      </c>
      <c r="M28" s="9" t="n">
        <f aca="false">Tabla3510813153423[[#This Row],[no_efec_inc]]/Tabla3510813153423[[#This Row],[no_efe]]</f>
        <v>0</v>
      </c>
      <c r="N28" s="9" t="n">
        <f aca="false">(Tabla3510813153423[[#This Row],[% efe_cor]]+Tabla3510813153423[[#This Row],[% no_efe_cor]])/2</f>
        <v>0.95575221238938</v>
      </c>
      <c r="O28" s="10" t="n">
        <f aca="false">(Tabla3510813153423[[#This Row],[% efe_inc]]+Tabla3510813153423[[#This Row],[% no_efect_inc]])/2</f>
        <v>0.0442477876106195</v>
      </c>
      <c r="P28" s="11" t="n">
        <f aca="false">Tabla3510813153423[[#This Row],[no_efec_cor]]/(Tabla3510813153423[[#This Row],[efect_inc]]+Tabla3510813153423[[#This Row],[no_efec_cor]])</f>
        <v>0.913793103448276</v>
      </c>
      <c r="Q28" s="11" t="n">
        <f aca="false">Tabla3510813153423[[#This Row],[efec_cor]]/(Tabla3510813153423[[#This Row],[efec_cor]]+Tabla3510813153423[[#This Row],[no_efec_inc]])</f>
        <v>1</v>
      </c>
      <c r="R28" s="11" t="n">
        <f aca="false">(Tabla3510813153423[[#This Row],[PNE]]+Tabla3510813153423[[#This Row],[PE]])/2</f>
        <v>0.956896551724138</v>
      </c>
      <c r="S28" s="0" t="n">
        <v>113</v>
      </c>
      <c r="T28" s="0" t="n">
        <v>106</v>
      </c>
      <c r="U28" s="0" t="n">
        <f aca="false">Tabla3510813153423[[#This Row],[efec]]+Tabla3510813153423[[#This Row],[no_efe]]</f>
        <v>219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106</v>
      </c>
      <c r="D29" s="0" t="n">
        <v>0</v>
      </c>
      <c r="E29" s="0" t="n">
        <v>103</v>
      </c>
      <c r="F29" s="0" t="n">
        <v>10</v>
      </c>
      <c r="G29" s="0" t="n">
        <f aca="false">Tabla3510813153423[[#This Row],[no_efec_cor]]+Tabla3510813153423[[#This Row],[efec_cor]]</f>
        <v>209</v>
      </c>
      <c r="H29" s="0" t="n">
        <f aca="false">Tabla3510813153423[[#This Row],[no_efec_inc]]+Tabla3510813153423[[#This Row],[efect_inc]]</f>
        <v>10</v>
      </c>
      <c r="I29" s="9" t="n">
        <f aca="false">Tabla3510813153423[[#This Row],[Correctos]]/Tabla3510813153423[[#This Row],[total_sec]]</f>
        <v>0.954337899543379</v>
      </c>
      <c r="J29" s="9" t="n">
        <f aca="false">Tabla3510813153423[[#This Row],[efec_cor]]/Tabla3510813153423[[#This Row],[efec]]</f>
        <v>0.911504424778761</v>
      </c>
      <c r="K29" s="9" t="n">
        <f aca="false">Tabla3510813153423[[#This Row],[efect_inc]]/Tabla3510813153423[[#This Row],[efec]]</f>
        <v>0.0884955752212389</v>
      </c>
      <c r="L29" s="9" t="n">
        <f aca="false">Tabla3510813153423[[#This Row],[no_efec_cor]]/Tabla3510813153423[[#This Row],[no_efe]]</f>
        <v>1</v>
      </c>
      <c r="M29" s="9" t="n">
        <f aca="false">Tabla3510813153423[[#This Row],[no_efec_inc]]/Tabla3510813153423[[#This Row],[no_efe]]</f>
        <v>0</v>
      </c>
      <c r="N29" s="9" t="n">
        <f aca="false">(Tabla3510813153423[[#This Row],[% efe_cor]]+Tabla3510813153423[[#This Row],[% no_efe_cor]])/2</f>
        <v>0.95575221238938</v>
      </c>
      <c r="O29" s="10" t="n">
        <f aca="false">(Tabla3510813153423[[#This Row],[% efe_inc]]+Tabla3510813153423[[#This Row],[% no_efect_inc]])/2</f>
        <v>0.0442477876106195</v>
      </c>
      <c r="P29" s="11" t="n">
        <f aca="false">Tabla3510813153423[[#This Row],[no_efec_cor]]/(Tabla3510813153423[[#This Row],[efect_inc]]+Tabla3510813153423[[#This Row],[no_efec_cor]])</f>
        <v>0.913793103448276</v>
      </c>
      <c r="Q29" s="11" t="n">
        <f aca="false">Tabla3510813153423[[#This Row],[efec_cor]]/(Tabla3510813153423[[#This Row],[efec_cor]]+Tabla3510813153423[[#This Row],[no_efec_inc]])</f>
        <v>1</v>
      </c>
      <c r="R29" s="11" t="n">
        <f aca="false">(Tabla3510813153423[[#This Row],[PNE]]+Tabla3510813153423[[#This Row],[PE]])/2</f>
        <v>0.956896551724138</v>
      </c>
      <c r="S29" s="0" t="n">
        <v>113</v>
      </c>
      <c r="T29" s="0" t="n">
        <v>106</v>
      </c>
      <c r="U29" s="0" t="n">
        <f aca="false">Tabla3510813153423[[#This Row],[efec]]+Tabla3510813153423[[#This Row],[no_efe]]</f>
        <v>219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106</v>
      </c>
      <c r="D30" s="0" t="n">
        <v>0</v>
      </c>
      <c r="E30" s="0" t="n">
        <v>101</v>
      </c>
      <c r="F30" s="0" t="n">
        <v>12</v>
      </c>
      <c r="G30" s="0" t="n">
        <f aca="false">Tabla3510813153423[[#This Row],[no_efec_cor]]+Tabla3510813153423[[#This Row],[efec_cor]]</f>
        <v>207</v>
      </c>
      <c r="H30" s="0" t="n">
        <f aca="false">Tabla3510813153423[[#This Row],[no_efec_inc]]+Tabla3510813153423[[#This Row],[efect_inc]]</f>
        <v>12</v>
      </c>
      <c r="I30" s="9" t="n">
        <f aca="false">Tabla3510813153423[[#This Row],[Correctos]]/Tabla3510813153423[[#This Row],[total_sec]]</f>
        <v>0.945205479452055</v>
      </c>
      <c r="J30" s="9" t="n">
        <f aca="false">Tabla3510813153423[[#This Row],[efec_cor]]/Tabla3510813153423[[#This Row],[efec]]</f>
        <v>0.893805309734513</v>
      </c>
      <c r="K30" s="9" t="n">
        <f aca="false">Tabla3510813153423[[#This Row],[efect_inc]]/Tabla3510813153423[[#This Row],[efec]]</f>
        <v>0.106194690265487</v>
      </c>
      <c r="L30" s="9" t="n">
        <f aca="false">Tabla3510813153423[[#This Row],[no_efec_cor]]/Tabla3510813153423[[#This Row],[no_efe]]</f>
        <v>1</v>
      </c>
      <c r="M30" s="9" t="n">
        <f aca="false">Tabla3510813153423[[#This Row],[no_efec_inc]]/Tabla3510813153423[[#This Row],[no_efe]]</f>
        <v>0</v>
      </c>
      <c r="N30" s="9" t="n">
        <f aca="false">(Tabla3510813153423[[#This Row],[% efe_cor]]+Tabla3510813153423[[#This Row],[% no_efe_cor]])/2</f>
        <v>0.946902654867256</v>
      </c>
      <c r="O30" s="10" t="n">
        <f aca="false">(Tabla3510813153423[[#This Row],[% efe_inc]]+Tabla3510813153423[[#This Row],[% no_efect_inc]])/2</f>
        <v>0.0530973451327434</v>
      </c>
      <c r="P30" s="11" t="n">
        <f aca="false">Tabla3510813153423[[#This Row],[no_efec_cor]]/(Tabla3510813153423[[#This Row],[efect_inc]]+Tabla3510813153423[[#This Row],[no_efec_cor]])</f>
        <v>0.898305084745763</v>
      </c>
      <c r="Q30" s="11" t="n">
        <f aca="false">Tabla3510813153423[[#This Row],[efec_cor]]/(Tabla3510813153423[[#This Row],[efec_cor]]+Tabla3510813153423[[#This Row],[no_efec_inc]])</f>
        <v>1</v>
      </c>
      <c r="R30" s="11" t="n">
        <f aca="false">(Tabla3510813153423[[#This Row],[PNE]]+Tabla3510813153423[[#This Row],[PE]])/2</f>
        <v>0.949152542372881</v>
      </c>
      <c r="S30" s="0" t="n">
        <v>113</v>
      </c>
      <c r="T30" s="0" t="n">
        <v>106</v>
      </c>
      <c r="U30" s="0" t="n">
        <f aca="false">Tabla3510813153423[[#This Row],[efec]]+Tabla3510813153423[[#This Row],[no_efe]]</f>
        <v>219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106</v>
      </c>
      <c r="D31" s="0" t="n">
        <v>0</v>
      </c>
      <c r="E31" s="0" t="n">
        <v>99</v>
      </c>
      <c r="F31" s="0" t="n">
        <v>14</v>
      </c>
      <c r="G31" s="0" t="n">
        <f aca="false">Tabla3510813153423[[#This Row],[no_efec_cor]]+Tabla3510813153423[[#This Row],[efec_cor]]</f>
        <v>205</v>
      </c>
      <c r="H31" s="0" t="n">
        <f aca="false">Tabla3510813153423[[#This Row],[no_efec_inc]]+Tabla3510813153423[[#This Row],[efect_inc]]</f>
        <v>14</v>
      </c>
      <c r="I31" s="9" t="n">
        <f aca="false">Tabla3510813153423[[#This Row],[Correctos]]/Tabla3510813153423[[#This Row],[total_sec]]</f>
        <v>0.936073059360731</v>
      </c>
      <c r="J31" s="9" t="n">
        <f aca="false">Tabla3510813153423[[#This Row],[efec_cor]]/Tabla3510813153423[[#This Row],[efec]]</f>
        <v>0.876106194690265</v>
      </c>
      <c r="K31" s="9" t="n">
        <f aca="false">Tabla3510813153423[[#This Row],[efect_inc]]/Tabla3510813153423[[#This Row],[efec]]</f>
        <v>0.123893805309735</v>
      </c>
      <c r="L31" s="9" t="n">
        <f aca="false">Tabla3510813153423[[#This Row],[no_efec_cor]]/Tabla3510813153423[[#This Row],[no_efe]]</f>
        <v>1</v>
      </c>
      <c r="M31" s="9" t="n">
        <f aca="false">Tabla3510813153423[[#This Row],[no_efec_inc]]/Tabla3510813153423[[#This Row],[no_efe]]</f>
        <v>0</v>
      </c>
      <c r="N31" s="9" t="n">
        <f aca="false">(Tabla3510813153423[[#This Row],[% efe_cor]]+Tabla3510813153423[[#This Row],[% no_efe_cor]])/2</f>
        <v>0.938053097345133</v>
      </c>
      <c r="O31" s="10" t="n">
        <f aca="false">(Tabla3510813153423[[#This Row],[% efe_inc]]+Tabla3510813153423[[#This Row],[% no_efect_inc]])/2</f>
        <v>0.0619469026548673</v>
      </c>
      <c r="P31" s="11" t="n">
        <f aca="false">Tabla3510813153423[[#This Row],[no_efec_cor]]/(Tabla3510813153423[[#This Row],[efect_inc]]+Tabla3510813153423[[#This Row],[no_efec_cor]])</f>
        <v>0.883333333333333</v>
      </c>
      <c r="Q31" s="11" t="n">
        <f aca="false">Tabla3510813153423[[#This Row],[efec_cor]]/(Tabla3510813153423[[#This Row],[efec_cor]]+Tabla3510813153423[[#This Row],[no_efec_inc]])</f>
        <v>1</v>
      </c>
      <c r="R31" s="11" t="n">
        <f aca="false">(Tabla3510813153423[[#This Row],[PNE]]+Tabla3510813153423[[#This Row],[PE]])/2</f>
        <v>0.941666666666667</v>
      </c>
      <c r="S31" s="0" t="n">
        <v>113</v>
      </c>
      <c r="T31" s="0" t="n">
        <v>106</v>
      </c>
      <c r="U31" s="0" t="n">
        <f aca="false">Tabla3510813153423[[#This Row],[efec]]+Tabla3510813153423[[#This Row],[no_efe]]</f>
        <v>219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105</v>
      </c>
      <c r="D32" s="0" t="n">
        <v>1</v>
      </c>
      <c r="E32" s="0" t="n">
        <v>98</v>
      </c>
      <c r="F32" s="0" t="n">
        <v>15</v>
      </c>
      <c r="G32" s="0" t="n">
        <f aca="false">Tabla3510813153423[[#This Row],[no_efec_cor]]+Tabla3510813153423[[#This Row],[efec_cor]]</f>
        <v>203</v>
      </c>
      <c r="H32" s="0" t="n">
        <f aca="false">Tabla3510813153423[[#This Row],[no_efec_inc]]+Tabla3510813153423[[#This Row],[efect_inc]]</f>
        <v>16</v>
      </c>
      <c r="I32" s="9" t="n">
        <f aca="false">Tabla3510813153423[[#This Row],[Correctos]]/Tabla3510813153423[[#This Row],[total_sec]]</f>
        <v>0.926940639269406</v>
      </c>
      <c r="J32" s="9" t="n">
        <f aca="false">Tabla3510813153423[[#This Row],[efec_cor]]/Tabla3510813153423[[#This Row],[efec]]</f>
        <v>0.867256637168142</v>
      </c>
      <c r="K32" s="9" t="n">
        <f aca="false">Tabla3510813153423[[#This Row],[efect_inc]]/Tabla3510813153423[[#This Row],[efec]]</f>
        <v>0.132743362831858</v>
      </c>
      <c r="L32" s="9" t="n">
        <f aca="false">Tabla3510813153423[[#This Row],[no_efec_cor]]/Tabla3510813153423[[#This Row],[no_efe]]</f>
        <v>0.990566037735849</v>
      </c>
      <c r="M32" s="9" t="n">
        <f aca="false">Tabla3510813153423[[#This Row],[no_efec_inc]]/Tabla3510813153423[[#This Row],[no_efe]]</f>
        <v>0.00943396226415094</v>
      </c>
      <c r="N32" s="9" t="n">
        <f aca="false">(Tabla3510813153423[[#This Row],[% efe_cor]]+Tabla3510813153423[[#This Row],[% no_efe_cor]])/2</f>
        <v>0.928911337451995</v>
      </c>
      <c r="O32" s="10" t="n">
        <f aca="false">(Tabla3510813153423[[#This Row],[% efe_inc]]+Tabla3510813153423[[#This Row],[% no_efect_inc]])/2</f>
        <v>0.0710886625480047</v>
      </c>
      <c r="P32" s="11" t="n">
        <f aca="false">Tabla3510813153423[[#This Row],[no_efec_cor]]/(Tabla3510813153423[[#This Row],[efect_inc]]+Tabla3510813153423[[#This Row],[no_efec_cor]])</f>
        <v>0.875</v>
      </c>
      <c r="Q32" s="11" t="n">
        <f aca="false">Tabla3510813153423[[#This Row],[efec_cor]]/(Tabla3510813153423[[#This Row],[efec_cor]]+Tabla3510813153423[[#This Row],[no_efec_inc]])</f>
        <v>0.98989898989899</v>
      </c>
      <c r="R32" s="11" t="n">
        <f aca="false">(Tabla3510813153423[[#This Row],[PNE]]+Tabla3510813153423[[#This Row],[PE]])/2</f>
        <v>0.932449494949495</v>
      </c>
      <c r="S32" s="0" t="n">
        <v>113</v>
      </c>
      <c r="T32" s="0" t="n">
        <v>106</v>
      </c>
      <c r="U32" s="0" t="n">
        <f aca="false">Tabla3510813153423[[#This Row],[efec]]+Tabla3510813153423[[#This Row],[no_efe]]</f>
        <v>219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104</v>
      </c>
      <c r="D33" s="0" t="n">
        <v>2</v>
      </c>
      <c r="E33" s="0" t="n">
        <v>103</v>
      </c>
      <c r="F33" s="0" t="n">
        <v>10</v>
      </c>
      <c r="G33" s="0" t="n">
        <f aca="false">Tabla3510813153423[[#This Row],[no_efec_cor]]+Tabla3510813153423[[#This Row],[efec_cor]]</f>
        <v>207</v>
      </c>
      <c r="H33" s="0" t="n">
        <f aca="false">Tabla3510813153423[[#This Row],[no_efec_inc]]+Tabla3510813153423[[#This Row],[efect_inc]]</f>
        <v>12</v>
      </c>
      <c r="I33" s="9" t="n">
        <f aca="false">Tabla3510813153423[[#This Row],[Correctos]]/Tabla3510813153423[[#This Row],[total_sec]]</f>
        <v>0.945205479452055</v>
      </c>
      <c r="J33" s="9" t="n">
        <f aca="false">Tabla3510813153423[[#This Row],[efec_cor]]/Tabla3510813153423[[#This Row],[efec]]</f>
        <v>0.911504424778761</v>
      </c>
      <c r="K33" s="9" t="n">
        <f aca="false">Tabla3510813153423[[#This Row],[efect_inc]]/Tabla3510813153423[[#This Row],[efec]]</f>
        <v>0.0884955752212389</v>
      </c>
      <c r="L33" s="9" t="n">
        <f aca="false">Tabla3510813153423[[#This Row],[no_efec_cor]]/Tabla3510813153423[[#This Row],[no_efe]]</f>
        <v>0.981132075471698</v>
      </c>
      <c r="M33" s="9" t="n">
        <f aca="false">Tabla3510813153423[[#This Row],[no_efec_inc]]/Tabla3510813153423[[#This Row],[no_efe]]</f>
        <v>0.0188679245283019</v>
      </c>
      <c r="N33" s="9" t="n">
        <f aca="false">(Tabla3510813153423[[#This Row],[% efe_cor]]+Tabla3510813153423[[#This Row],[% no_efe_cor]])/2</f>
        <v>0.94631825012523</v>
      </c>
      <c r="O33" s="10" t="n">
        <f aca="false">(Tabla3510813153423[[#This Row],[% efe_inc]]+Tabla3510813153423[[#This Row],[% no_efect_inc]])/2</f>
        <v>0.0536817498747704</v>
      </c>
      <c r="P33" s="11" t="n">
        <f aca="false">Tabla3510813153423[[#This Row],[no_efec_cor]]/(Tabla3510813153423[[#This Row],[efect_inc]]+Tabla3510813153423[[#This Row],[no_efec_cor]])</f>
        <v>0.912280701754386</v>
      </c>
      <c r="Q33" s="11" t="n">
        <f aca="false">Tabla3510813153423[[#This Row],[efec_cor]]/(Tabla3510813153423[[#This Row],[efec_cor]]+Tabla3510813153423[[#This Row],[no_efec_inc]])</f>
        <v>0.980952380952381</v>
      </c>
      <c r="R33" s="11" t="n">
        <f aca="false">(Tabla3510813153423[[#This Row],[PNE]]+Tabla3510813153423[[#This Row],[PE]])/2</f>
        <v>0.946616541353383</v>
      </c>
      <c r="S33" s="0" t="n">
        <v>113</v>
      </c>
      <c r="T33" s="0" t="n">
        <v>106</v>
      </c>
      <c r="U33" s="0" t="n">
        <f aca="false">Tabla3510813153423[[#This Row],[efec]]+Tabla3510813153423[[#This Row],[no_efe]]</f>
        <v>219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103</v>
      </c>
      <c r="D34" s="0" t="n">
        <v>3</v>
      </c>
      <c r="E34" s="0" t="n">
        <v>103</v>
      </c>
      <c r="F34" s="0" t="n">
        <v>10</v>
      </c>
      <c r="G34" s="0" t="n">
        <f aca="false">Tabla3510813153423[[#This Row],[no_efec_cor]]+Tabla3510813153423[[#This Row],[efec_cor]]</f>
        <v>206</v>
      </c>
      <c r="H34" s="0" t="n">
        <f aca="false">Tabla3510813153423[[#This Row],[no_efec_inc]]+Tabla3510813153423[[#This Row],[efect_inc]]</f>
        <v>13</v>
      </c>
      <c r="I34" s="9" t="n">
        <f aca="false">Tabla3510813153423[[#This Row],[Correctos]]/Tabla3510813153423[[#This Row],[total_sec]]</f>
        <v>0.940639269406393</v>
      </c>
      <c r="J34" s="9" t="n">
        <f aca="false">Tabla3510813153423[[#This Row],[efec_cor]]/Tabla3510813153423[[#This Row],[efec]]</f>
        <v>0.911504424778761</v>
      </c>
      <c r="K34" s="9" t="n">
        <f aca="false">Tabla3510813153423[[#This Row],[efect_inc]]/Tabla3510813153423[[#This Row],[efec]]</f>
        <v>0.0884955752212389</v>
      </c>
      <c r="L34" s="9" t="n">
        <f aca="false">Tabla3510813153423[[#This Row],[no_efec_cor]]/Tabla3510813153423[[#This Row],[no_efe]]</f>
        <v>0.971698113207547</v>
      </c>
      <c r="M34" s="9" t="n">
        <f aca="false">Tabla3510813153423[[#This Row],[no_efec_inc]]/Tabla3510813153423[[#This Row],[no_efe]]</f>
        <v>0.0283018867924528</v>
      </c>
      <c r="N34" s="9" t="n">
        <f aca="false">(Tabla3510813153423[[#This Row],[% efe_cor]]+Tabla3510813153423[[#This Row],[% no_efe_cor]])/2</f>
        <v>0.941601268993154</v>
      </c>
      <c r="O34" s="10" t="n">
        <f aca="false">(Tabla3510813153423[[#This Row],[% efe_inc]]+Tabla3510813153423[[#This Row],[% no_efect_inc]])/2</f>
        <v>0.0583987310068459</v>
      </c>
      <c r="P34" s="11" t="n">
        <f aca="false">Tabla3510813153423[[#This Row],[no_efec_cor]]/(Tabla3510813153423[[#This Row],[efect_inc]]+Tabla3510813153423[[#This Row],[no_efec_cor]])</f>
        <v>0.911504424778761</v>
      </c>
      <c r="Q34" s="11" t="n">
        <f aca="false">Tabla3510813153423[[#This Row],[efec_cor]]/(Tabla3510813153423[[#This Row],[efec_cor]]+Tabla3510813153423[[#This Row],[no_efec_inc]])</f>
        <v>0.971698113207547</v>
      </c>
      <c r="R34" s="11" t="n">
        <f aca="false">(Tabla3510813153423[[#This Row],[PNE]]+Tabla3510813153423[[#This Row],[PE]])/2</f>
        <v>0.941601268993154</v>
      </c>
      <c r="S34" s="0" t="n">
        <v>113</v>
      </c>
      <c r="T34" s="0" t="n">
        <v>106</v>
      </c>
      <c r="U34" s="0" t="n">
        <f aca="false">Tabla3510813153423[[#This Row],[efec]]+Tabla3510813153423[[#This Row],[no_efe]]</f>
        <v>219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103</v>
      </c>
      <c r="D35" s="0" t="n">
        <v>3</v>
      </c>
      <c r="E35" s="0" t="n">
        <v>103</v>
      </c>
      <c r="F35" s="0" t="n">
        <v>10</v>
      </c>
      <c r="G35" s="0" t="n">
        <f aca="false">Tabla3510813153423[[#This Row],[no_efec_cor]]+Tabla3510813153423[[#This Row],[efec_cor]]</f>
        <v>206</v>
      </c>
      <c r="H35" s="0" t="n">
        <f aca="false">Tabla3510813153423[[#This Row],[no_efec_inc]]+Tabla3510813153423[[#This Row],[efect_inc]]</f>
        <v>13</v>
      </c>
      <c r="I35" s="9" t="n">
        <f aca="false">Tabla3510813153423[[#This Row],[Correctos]]/Tabla3510813153423[[#This Row],[total_sec]]</f>
        <v>0.940639269406393</v>
      </c>
      <c r="J35" s="9" t="n">
        <f aca="false">Tabla3510813153423[[#This Row],[efec_cor]]/Tabla3510813153423[[#This Row],[efec]]</f>
        <v>0.911504424778761</v>
      </c>
      <c r="K35" s="9" t="n">
        <f aca="false">Tabla3510813153423[[#This Row],[efect_inc]]/Tabla3510813153423[[#This Row],[efec]]</f>
        <v>0.0884955752212389</v>
      </c>
      <c r="L35" s="9" t="n">
        <f aca="false">Tabla3510813153423[[#This Row],[no_efec_cor]]/Tabla3510813153423[[#This Row],[no_efe]]</f>
        <v>0.971698113207547</v>
      </c>
      <c r="M35" s="9" t="n">
        <f aca="false">Tabla3510813153423[[#This Row],[no_efec_inc]]/Tabla3510813153423[[#This Row],[no_efe]]</f>
        <v>0.0283018867924528</v>
      </c>
      <c r="N35" s="9" t="n">
        <f aca="false">(Tabla3510813153423[[#This Row],[% efe_cor]]+Tabla3510813153423[[#This Row],[% no_efe_cor]])/2</f>
        <v>0.941601268993154</v>
      </c>
      <c r="O35" s="10" t="n">
        <f aca="false">(Tabla3510813153423[[#This Row],[% efe_inc]]+Tabla3510813153423[[#This Row],[% no_efect_inc]])/2</f>
        <v>0.0583987310068459</v>
      </c>
      <c r="P35" s="11" t="n">
        <f aca="false">Tabla3510813153423[[#This Row],[no_efec_cor]]/(Tabla3510813153423[[#This Row],[efect_inc]]+Tabla3510813153423[[#This Row],[no_efec_cor]])</f>
        <v>0.911504424778761</v>
      </c>
      <c r="Q35" s="11" t="n">
        <f aca="false">Tabla3510813153423[[#This Row],[efec_cor]]/(Tabla3510813153423[[#This Row],[efec_cor]]+Tabla3510813153423[[#This Row],[no_efec_inc]])</f>
        <v>0.971698113207547</v>
      </c>
      <c r="R35" s="11" t="n">
        <f aca="false">(Tabla3510813153423[[#This Row],[PNE]]+Tabla3510813153423[[#This Row],[PE]])/2</f>
        <v>0.941601268993154</v>
      </c>
      <c r="S35" s="0" t="n">
        <v>113</v>
      </c>
      <c r="T35" s="0" t="n">
        <v>106</v>
      </c>
      <c r="U35" s="0" t="n">
        <f aca="false">Tabla3510813153423[[#This Row],[efec]]+Tabla3510813153423[[#This Row],[no_efe]]</f>
        <v>219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105</v>
      </c>
      <c r="D36" s="0" t="n">
        <v>1</v>
      </c>
      <c r="E36" s="0" t="n">
        <v>103</v>
      </c>
      <c r="F36" s="0" t="n">
        <v>10</v>
      </c>
      <c r="G36" s="0" t="n">
        <f aca="false">Tabla3510813153423[[#This Row],[no_efec_cor]]+Tabla3510813153423[[#This Row],[efec_cor]]</f>
        <v>208</v>
      </c>
      <c r="H36" s="0" t="n">
        <f aca="false">Tabla3510813153423[[#This Row],[no_efec_inc]]+Tabla3510813153423[[#This Row],[efect_inc]]</f>
        <v>11</v>
      </c>
      <c r="I36" s="9" t="n">
        <f aca="false">Tabla3510813153423[[#This Row],[Correctos]]/Tabla3510813153423[[#This Row],[total_sec]]</f>
        <v>0.949771689497717</v>
      </c>
      <c r="J36" s="9" t="n">
        <f aca="false">Tabla3510813153423[[#This Row],[efec_cor]]/Tabla3510813153423[[#This Row],[efec]]</f>
        <v>0.911504424778761</v>
      </c>
      <c r="K36" s="9" t="n">
        <f aca="false">Tabla3510813153423[[#This Row],[efect_inc]]/Tabla3510813153423[[#This Row],[efec]]</f>
        <v>0.0884955752212389</v>
      </c>
      <c r="L36" s="9" t="n">
        <f aca="false">Tabla3510813153423[[#This Row],[no_efec_cor]]/Tabla3510813153423[[#This Row],[no_efe]]</f>
        <v>0.990566037735849</v>
      </c>
      <c r="M36" s="9" t="n">
        <f aca="false">Tabla3510813153423[[#This Row],[no_efec_inc]]/Tabla3510813153423[[#This Row],[no_efe]]</f>
        <v>0.00943396226415094</v>
      </c>
      <c r="N36" s="9" t="n">
        <f aca="false">(Tabla3510813153423[[#This Row],[% efe_cor]]+Tabla3510813153423[[#This Row],[% no_efe_cor]])/2</f>
        <v>0.951035231257305</v>
      </c>
      <c r="O36" s="10" t="n">
        <f aca="false">(Tabla3510813153423[[#This Row],[% efe_inc]]+Tabla3510813153423[[#This Row],[% no_efect_inc]])/2</f>
        <v>0.0489647687426949</v>
      </c>
      <c r="P36" s="11" t="n">
        <f aca="false">Tabla3510813153423[[#This Row],[no_efec_cor]]/(Tabla3510813153423[[#This Row],[efect_inc]]+Tabla3510813153423[[#This Row],[no_efec_cor]])</f>
        <v>0.91304347826087</v>
      </c>
      <c r="Q36" s="11" t="n">
        <f aca="false">Tabla3510813153423[[#This Row],[efec_cor]]/(Tabla3510813153423[[#This Row],[efec_cor]]+Tabla3510813153423[[#This Row],[no_efec_inc]])</f>
        <v>0.990384615384615</v>
      </c>
      <c r="R36" s="11" t="n">
        <f aca="false">(Tabla3510813153423[[#This Row],[PNE]]+Tabla3510813153423[[#This Row],[PE]])/2</f>
        <v>0.951714046822742</v>
      </c>
      <c r="S36" s="0" t="n">
        <v>113</v>
      </c>
      <c r="T36" s="0" t="n">
        <v>106</v>
      </c>
      <c r="U36" s="0" t="n">
        <f aca="false">Tabla3510813153423[[#This Row],[efec]]+Tabla3510813153423[[#This Row],[no_efe]]</f>
        <v>219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106</v>
      </c>
      <c r="D37" s="0" t="n">
        <v>0</v>
      </c>
      <c r="E37" s="0" t="n">
        <v>100</v>
      </c>
      <c r="F37" s="0" t="n">
        <v>13</v>
      </c>
      <c r="G37" s="0" t="n">
        <f aca="false">Tabla3510813153423[[#This Row],[no_efec_cor]]+Tabla3510813153423[[#This Row],[efec_cor]]</f>
        <v>206</v>
      </c>
      <c r="H37" s="0" t="n">
        <f aca="false">Tabla3510813153423[[#This Row],[no_efec_inc]]+Tabla3510813153423[[#This Row],[efect_inc]]</f>
        <v>13</v>
      </c>
      <c r="I37" s="9" t="n">
        <f aca="false">Tabla3510813153423[[#This Row],[Correctos]]/Tabla3510813153423[[#This Row],[total_sec]]</f>
        <v>0.940639269406393</v>
      </c>
      <c r="J37" s="9" t="n">
        <f aca="false">Tabla3510813153423[[#This Row],[efec_cor]]/Tabla3510813153423[[#This Row],[efec]]</f>
        <v>0.884955752212389</v>
      </c>
      <c r="K37" s="9" t="n">
        <f aca="false">Tabla3510813153423[[#This Row],[efect_inc]]/Tabla3510813153423[[#This Row],[efec]]</f>
        <v>0.115044247787611</v>
      </c>
      <c r="L37" s="9" t="n">
        <f aca="false">Tabla3510813153423[[#This Row],[no_efec_cor]]/Tabla3510813153423[[#This Row],[no_efe]]</f>
        <v>1</v>
      </c>
      <c r="M37" s="9" t="n">
        <f aca="false">Tabla3510813153423[[#This Row],[no_efec_inc]]/Tabla3510813153423[[#This Row],[no_efe]]</f>
        <v>0</v>
      </c>
      <c r="N37" s="9" t="n">
        <f aca="false">(Tabla3510813153423[[#This Row],[% efe_cor]]+Tabla3510813153423[[#This Row],[% no_efe_cor]])/2</f>
        <v>0.942477876106195</v>
      </c>
      <c r="O37" s="10" t="n">
        <f aca="false">(Tabla3510813153423[[#This Row],[% efe_inc]]+Tabla3510813153423[[#This Row],[% no_efect_inc]])/2</f>
        <v>0.0575221238938053</v>
      </c>
      <c r="P37" s="11" t="n">
        <f aca="false">Tabla3510813153423[[#This Row],[no_efec_cor]]/(Tabla3510813153423[[#This Row],[efect_inc]]+Tabla3510813153423[[#This Row],[no_efec_cor]])</f>
        <v>0.890756302521008</v>
      </c>
      <c r="Q37" s="11" t="n">
        <f aca="false">Tabla3510813153423[[#This Row],[efec_cor]]/(Tabla3510813153423[[#This Row],[efec_cor]]+Tabla3510813153423[[#This Row],[no_efec_inc]])</f>
        <v>1</v>
      </c>
      <c r="R37" s="11" t="n">
        <f aca="false">(Tabla3510813153423[[#This Row],[PNE]]+Tabla3510813153423[[#This Row],[PE]])/2</f>
        <v>0.945378151260504</v>
      </c>
      <c r="S37" s="0" t="n">
        <v>113</v>
      </c>
      <c r="T37" s="0" t="n">
        <v>106</v>
      </c>
      <c r="U37" s="0" t="n">
        <f aca="false">Tabla3510813153423[[#This Row],[efec]]+Tabla3510813153423[[#This Row],[no_efe]]</f>
        <v>219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106</v>
      </c>
      <c r="D38" s="0" t="n">
        <v>0</v>
      </c>
      <c r="E38" s="0" t="n">
        <v>101</v>
      </c>
      <c r="F38" s="0" t="n">
        <v>12</v>
      </c>
      <c r="G38" s="0" t="n">
        <f aca="false">Tabla3510813153423[[#This Row],[no_efec_cor]]+Tabla3510813153423[[#This Row],[efec_cor]]</f>
        <v>207</v>
      </c>
      <c r="H38" s="0" t="n">
        <f aca="false">Tabla3510813153423[[#This Row],[no_efec_inc]]+Tabla3510813153423[[#This Row],[efect_inc]]</f>
        <v>12</v>
      </c>
      <c r="I38" s="9" t="n">
        <f aca="false">Tabla3510813153423[[#This Row],[Correctos]]/Tabla3510813153423[[#This Row],[total_sec]]</f>
        <v>0.945205479452055</v>
      </c>
      <c r="J38" s="9" t="n">
        <f aca="false">Tabla3510813153423[[#This Row],[efec_cor]]/Tabla3510813153423[[#This Row],[efec]]</f>
        <v>0.893805309734513</v>
      </c>
      <c r="K38" s="9" t="n">
        <f aca="false">Tabla3510813153423[[#This Row],[efect_inc]]/Tabla3510813153423[[#This Row],[efec]]</f>
        <v>0.106194690265487</v>
      </c>
      <c r="L38" s="9" t="n">
        <f aca="false">Tabla3510813153423[[#This Row],[no_efec_cor]]/Tabla3510813153423[[#This Row],[no_efe]]</f>
        <v>1</v>
      </c>
      <c r="M38" s="9" t="n">
        <f aca="false">Tabla3510813153423[[#This Row],[no_efec_inc]]/Tabla3510813153423[[#This Row],[no_efe]]</f>
        <v>0</v>
      </c>
      <c r="N38" s="9" t="n">
        <f aca="false">(Tabla3510813153423[[#This Row],[% efe_cor]]+Tabla3510813153423[[#This Row],[% no_efe_cor]])/2</f>
        <v>0.946902654867256</v>
      </c>
      <c r="O38" s="10" t="n">
        <f aca="false">(Tabla3510813153423[[#This Row],[% efe_inc]]+Tabla3510813153423[[#This Row],[% no_efect_inc]])/2</f>
        <v>0.0530973451327434</v>
      </c>
      <c r="P38" s="11" t="n">
        <f aca="false">Tabla3510813153423[[#This Row],[no_efec_cor]]/(Tabla3510813153423[[#This Row],[efect_inc]]+Tabla3510813153423[[#This Row],[no_efec_cor]])</f>
        <v>0.898305084745763</v>
      </c>
      <c r="Q38" s="11" t="n">
        <f aca="false">Tabla3510813153423[[#This Row],[efec_cor]]/(Tabla3510813153423[[#This Row],[efec_cor]]+Tabla3510813153423[[#This Row],[no_efec_inc]])</f>
        <v>1</v>
      </c>
      <c r="R38" s="11" t="n">
        <f aca="false">(Tabla3510813153423[[#This Row],[PNE]]+Tabla3510813153423[[#This Row],[PE]])/2</f>
        <v>0.949152542372881</v>
      </c>
      <c r="S38" s="0" t="n">
        <v>113</v>
      </c>
      <c r="T38" s="0" t="n">
        <v>106</v>
      </c>
      <c r="U38" s="0" t="n">
        <f aca="false">Tabla3510813153423[[#This Row],[efec]]+Tabla3510813153423[[#This Row],[no_efe]]</f>
        <v>219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106</v>
      </c>
      <c r="D39" s="0" t="n">
        <v>0</v>
      </c>
      <c r="E39" s="0" t="n">
        <v>101</v>
      </c>
      <c r="F39" s="0" t="n">
        <v>12</v>
      </c>
      <c r="G39" s="0" t="n">
        <f aca="false">Tabla3510813153423[[#This Row],[no_efec_cor]]+Tabla3510813153423[[#This Row],[efec_cor]]</f>
        <v>207</v>
      </c>
      <c r="H39" s="0" t="n">
        <f aca="false">Tabla3510813153423[[#This Row],[no_efec_inc]]+Tabla3510813153423[[#This Row],[efect_inc]]</f>
        <v>12</v>
      </c>
      <c r="I39" s="9" t="n">
        <f aca="false">Tabla3510813153423[[#This Row],[Correctos]]/Tabla3510813153423[[#This Row],[total_sec]]</f>
        <v>0.945205479452055</v>
      </c>
      <c r="J39" s="9" t="n">
        <f aca="false">Tabla3510813153423[[#This Row],[efec_cor]]/Tabla3510813153423[[#This Row],[efec]]</f>
        <v>0.893805309734513</v>
      </c>
      <c r="K39" s="9" t="n">
        <f aca="false">Tabla3510813153423[[#This Row],[efect_inc]]/Tabla3510813153423[[#This Row],[efec]]</f>
        <v>0.106194690265487</v>
      </c>
      <c r="L39" s="9" t="n">
        <f aca="false">Tabla3510813153423[[#This Row],[no_efec_cor]]/Tabla3510813153423[[#This Row],[no_efe]]</f>
        <v>1</v>
      </c>
      <c r="M39" s="9" t="n">
        <f aca="false">Tabla3510813153423[[#This Row],[no_efec_inc]]/Tabla3510813153423[[#This Row],[no_efe]]</f>
        <v>0</v>
      </c>
      <c r="N39" s="9" t="n">
        <f aca="false">(Tabla3510813153423[[#This Row],[% efe_cor]]+Tabla3510813153423[[#This Row],[% no_efe_cor]])/2</f>
        <v>0.946902654867256</v>
      </c>
      <c r="O39" s="10" t="n">
        <f aca="false">(Tabla3510813153423[[#This Row],[% efe_inc]]+Tabla3510813153423[[#This Row],[% no_efect_inc]])/2</f>
        <v>0.0530973451327434</v>
      </c>
      <c r="P39" s="11" t="n">
        <f aca="false">Tabla3510813153423[[#This Row],[no_efec_cor]]/(Tabla3510813153423[[#This Row],[efect_inc]]+Tabla3510813153423[[#This Row],[no_efec_cor]])</f>
        <v>0.898305084745763</v>
      </c>
      <c r="Q39" s="11" t="n">
        <f aca="false">Tabla3510813153423[[#This Row],[efec_cor]]/(Tabla3510813153423[[#This Row],[efec_cor]]+Tabla3510813153423[[#This Row],[no_efec_inc]])</f>
        <v>1</v>
      </c>
      <c r="R39" s="11" t="n">
        <f aca="false">(Tabla3510813153423[[#This Row],[PNE]]+Tabla3510813153423[[#This Row],[PE]])/2</f>
        <v>0.949152542372881</v>
      </c>
      <c r="S39" s="0" t="n">
        <v>113</v>
      </c>
      <c r="T39" s="0" t="n">
        <v>106</v>
      </c>
      <c r="U39" s="0" t="n">
        <f aca="false">Tabla3510813153423[[#This Row],[efec]]+Tabla3510813153423[[#This Row],[no_efe]]</f>
        <v>219</v>
      </c>
    </row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30A0"/>
    <pageSetUpPr fitToPage="false"/>
  </sheetPr>
  <dimension ref="A1:T102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A74" activeCellId="0" sqref="A74:F84"/>
    </sheetView>
  </sheetViews>
  <sheetFormatPr defaultColWidth="10.54296875" defaultRowHeight="15" zeroHeight="false" outlineLevelRow="0" outlineLevelCol="0"/>
  <cols>
    <col collapsed="false" customWidth="true" hidden="false" outlineLevel="0" max="2" min="1" style="0" width="14.22"/>
    <col collapsed="false" customWidth="true" hidden="false" outlineLevel="0" max="3" min="3" style="0" width="9.59"/>
    <col collapsed="false" customWidth="true" hidden="false" outlineLevel="0" max="4" min="4" style="0" width="8.05"/>
    <col collapsed="false" customWidth="true" hidden="false" outlineLevel="0" max="5" min="5" style="0" width="11.43"/>
    <col collapsed="false" customWidth="true" hidden="false" outlineLevel="0" max="6" min="6" style="0" width="12.71"/>
    <col collapsed="false" customWidth="true" hidden="false" outlineLevel="0" max="7" min="7" style="0" width="13.28"/>
    <col collapsed="false" customWidth="true" hidden="false" outlineLevel="0" max="9" min="9" style="0" width="14.57"/>
    <col collapsed="false" customWidth="true" hidden="false" outlineLevel="0" max="10" min="10" style="0" width="15.71"/>
    <col collapsed="false" customWidth="true" hidden="false" outlineLevel="0" max="11" min="11" style="0" width="16.14"/>
    <col collapsed="false" customWidth="true" hidden="false" outlineLevel="0" max="12" min="12" style="0" width="18.57"/>
    <col collapsed="false" customWidth="true" hidden="false" outlineLevel="0" max="13" min="13" style="0" width="11.43"/>
  </cols>
  <sheetData>
    <row r="1" customFormat="false" ht="19.5" hidden="false" customHeight="false" outlineLevel="0" collapsed="false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customFormat="false" ht="15" hidden="false" customHeight="false" outlineLevel="0" collapsed="false">
      <c r="A3" s="3" t="s">
        <v>2</v>
      </c>
      <c r="B3" s="3"/>
      <c r="C3" s="4" t="n">
        <v>124</v>
      </c>
    </row>
    <row r="4" customFormat="false" ht="15" hidden="false" customHeight="false" outlineLevel="0" collapsed="false">
      <c r="A4" s="3" t="s">
        <v>3</v>
      </c>
      <c r="B4" s="3"/>
      <c r="C4" s="4" t="n">
        <v>124</v>
      </c>
    </row>
    <row r="5" customFormat="false" ht="15" hidden="false" customHeight="false" outlineLevel="0" collapsed="false">
      <c r="A5" s="3" t="s">
        <v>4</v>
      </c>
      <c r="B5" s="3"/>
      <c r="C5" s="4" t="n">
        <f aca="false">SUM(C3:C4)</f>
        <v>248</v>
      </c>
    </row>
    <row r="7" customFormat="false" ht="15" hidden="false" customHeight="false" outlineLevel="0" collapsed="false">
      <c r="A7" s="13" t="s">
        <v>5</v>
      </c>
      <c r="B7" s="13"/>
      <c r="C7" s="13"/>
      <c r="D7" s="13"/>
      <c r="E7" s="13"/>
      <c r="F7" s="13"/>
      <c r="G7" s="13"/>
      <c r="H7" s="12"/>
      <c r="I7" s="12"/>
    </row>
    <row r="8" customFormat="false" ht="16.5" hidden="false" customHeight="false" outlineLevel="0" collapsed="false">
      <c r="A8" s="14" t="s">
        <v>38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customFormat="false" ht="15.75" hidden="false" customHeight="false" outlineLevel="0" collapsed="false">
      <c r="A9" s="7" t="s">
        <v>39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s">
        <v>40</v>
      </c>
      <c r="B10" s="0" t="n">
        <v>109</v>
      </c>
      <c r="C10" s="0" t="n">
        <v>5</v>
      </c>
      <c r="D10" s="0" t="n">
        <v>79</v>
      </c>
      <c r="E10" s="0" t="n">
        <v>28</v>
      </c>
      <c r="F10" s="0" t="n">
        <f aca="false">Tabla3510813153[[#This Row],[no_efec_cor]]+Tabla3510813153[[#This Row],[efec_cor]]</f>
        <v>188</v>
      </c>
      <c r="G10" s="0" t="n">
        <f aca="false">Tabla3510813153[[#This Row],[no_efec_inc]]+Tabla3510813153[[#This Row],[efect_inc]]</f>
        <v>33</v>
      </c>
      <c r="H10" s="9" t="n">
        <f aca="false">Tabla3510813153[[#This Row],[Correctos]]/Tabla3510813153[[#This Row],[total_sec]]</f>
        <v>0.850678733031674</v>
      </c>
      <c r="I10" s="9" t="n">
        <f aca="false">Tabla3510813153[[#This Row],[efec_cor]]/Tabla3510813153[[#This Row],[efec]]</f>
        <v>0.692982456140351</v>
      </c>
      <c r="J10" s="9" t="n">
        <f aca="false">Tabla3510813153[[#This Row],[efect_inc]]/Tabla3510813153[[#This Row],[efec]]</f>
        <v>0.245614035087719</v>
      </c>
      <c r="K10" s="9" t="n">
        <f aca="false">Tabla3510813153[[#This Row],[no_efec_cor]]/Tabla3510813153[[#This Row],[no_efe]]</f>
        <v>1.01869158878505</v>
      </c>
      <c r="L10" s="9" t="n">
        <f aca="false">Tabla3510813153[[#This Row],[no_efec_inc]]/Tabla3510813153[[#This Row],[no_efe]]</f>
        <v>0.0467289719626168</v>
      </c>
      <c r="M10" s="9" t="n">
        <f aca="false">(Tabla3510813153[[#This Row],[% efe_cor]]+Tabla3510813153[[#This Row],[% no_efe_cor]])/2</f>
        <v>0.855837022462699</v>
      </c>
      <c r="N10" s="9" t="n">
        <f aca="false">(Tabla3510813153[[#This Row],[% efe_inc]]+Tabla3510813153[[#This Row],[% no_efect_inc]])/2</f>
        <v>0.146171503525168</v>
      </c>
      <c r="O10" s="11" t="n">
        <f aca="false">Tabla3510813153[[#This Row],[no_efec_cor]]/(Tabla3510813153[[#This Row],[efect_inc]]+Tabla3510813153[[#This Row],[no_efec_cor]])</f>
        <v>0.795620437956204</v>
      </c>
      <c r="P10" s="11" t="n">
        <f aca="false">Tabla3510813153[[#This Row],[efec_cor]]/(Tabla3510813153[[#This Row],[efec_cor]]+Tabla3510813153[[#This Row],[no_efec_inc]])</f>
        <v>0.94047619047619</v>
      </c>
      <c r="Q10" s="11" t="n">
        <f aca="false">(Tabla3510813153[[#This Row],[PNE]]+Tabla3510813153[[#This Row],[PE]])/2</f>
        <v>0.868048314216197</v>
      </c>
      <c r="R10" s="0" t="n">
        <v>114</v>
      </c>
      <c r="S10" s="0" t="n">
        <v>107</v>
      </c>
      <c r="T10" s="0" t="n">
        <f aca="false">Tabla3510813153[[#This Row],[efec]]+Tabla3510813153[[#This Row],[no_efe]]</f>
        <v>221</v>
      </c>
    </row>
    <row r="11" customFormat="false" ht="13.8" hidden="false" customHeight="false" outlineLevel="0" collapsed="false">
      <c r="A11" s="0" t="s">
        <v>41</v>
      </c>
      <c r="B11" s="0" t="n">
        <v>99</v>
      </c>
      <c r="C11" s="0" t="n">
        <v>15</v>
      </c>
      <c r="D11" s="0" t="n">
        <v>52</v>
      </c>
      <c r="E11" s="0" t="n">
        <v>63</v>
      </c>
      <c r="F11" s="0" t="n">
        <f aca="false">Tabla3510813153[[#This Row],[no_efec_cor]]+Tabla3510813153[[#This Row],[efec_cor]]</f>
        <v>151</v>
      </c>
      <c r="G11" s="0" t="n">
        <f aca="false">Tabla3510813153[[#This Row],[no_efec_inc]]+Tabla3510813153[[#This Row],[efect_inc]]</f>
        <v>78</v>
      </c>
      <c r="H11" s="9" t="n">
        <f aca="false">Tabla3510813153[[#This Row],[Correctos]]/Tabla3510813153[[#This Row],[total_sec]]</f>
        <v>0.65938864628821</v>
      </c>
      <c r="I11" s="9" t="n">
        <f aca="false">Tabla3510813153[[#This Row],[efec_cor]]/Tabla3510813153[[#This Row],[efec]]</f>
        <v>0.456140350877193</v>
      </c>
      <c r="J11" s="9" t="n">
        <f aca="false">Tabla3510813153[[#This Row],[efect_inc]]/Tabla3510813153[[#This Row],[efec]]</f>
        <v>0.552631578947368</v>
      </c>
      <c r="K11" s="9" t="n">
        <f aca="false">Tabla3510813153[[#This Row],[no_efec_cor]]/Tabla3510813153[[#This Row],[no_efe]]</f>
        <v>0.860869565217391</v>
      </c>
      <c r="L11" s="9" t="n">
        <f aca="false">Tabla3510813153[[#This Row],[no_efec_inc]]/Tabla3510813153[[#This Row],[no_efe]]</f>
        <v>0.130434782608696</v>
      </c>
      <c r="M11" s="9" t="n">
        <f aca="false">(Tabla3510813153[[#This Row],[% efe_cor]]+Tabla3510813153[[#This Row],[% no_efe_cor]])/2</f>
        <v>0.658504958047292</v>
      </c>
      <c r="N11" s="9" t="n">
        <f aca="false">(Tabla3510813153[[#This Row],[% efe_inc]]+Tabla3510813153[[#This Row],[% no_efect_inc]])/2</f>
        <v>0.341533180778032</v>
      </c>
      <c r="O11" s="11" t="n">
        <f aca="false">Tabla3510813153[[#This Row],[no_efec_cor]]/(Tabla3510813153[[#This Row],[efect_inc]]+Tabla3510813153[[#This Row],[no_efec_cor]])</f>
        <v>0.611111111111111</v>
      </c>
      <c r="P11" s="11" t="n">
        <f aca="false">Tabla3510813153[[#This Row],[efec_cor]]/(Tabla3510813153[[#This Row],[efec_cor]]+Tabla3510813153[[#This Row],[no_efec_inc]])</f>
        <v>0.776119402985075</v>
      </c>
      <c r="Q11" s="11" t="n">
        <f aca="false">(Tabla3510813153[[#This Row],[PNE]]+Tabla3510813153[[#This Row],[PE]])/2</f>
        <v>0.693615257048093</v>
      </c>
      <c r="R11" s="0" t="n">
        <v>114</v>
      </c>
      <c r="S11" s="0" t="n">
        <v>115</v>
      </c>
      <c r="T11" s="0" t="n">
        <f aca="false">Tabla3510813153[[#This Row],[efec]]+Tabla3510813153[[#This Row],[no_efe]]</f>
        <v>229</v>
      </c>
    </row>
    <row r="12" customFormat="false" ht="13.8" hidden="false" customHeight="false" outlineLevel="0" collapsed="false">
      <c r="A12" s="0" t="s">
        <v>42</v>
      </c>
      <c r="B12" s="0" t="n">
        <v>64</v>
      </c>
      <c r="C12" s="0" t="n">
        <v>52</v>
      </c>
      <c r="D12" s="0" t="n">
        <v>103</v>
      </c>
      <c r="E12" s="0" t="n">
        <v>15</v>
      </c>
      <c r="F12" s="0" t="n">
        <f aca="false">Tabla3510813153[[#This Row],[no_efec_cor]]+Tabla3510813153[[#This Row],[efec_cor]]</f>
        <v>167</v>
      </c>
      <c r="G12" s="0" t="n">
        <f aca="false">Tabla3510813153[[#This Row],[no_efec_inc]]+Tabla3510813153[[#This Row],[efect_inc]]</f>
        <v>67</v>
      </c>
      <c r="H12" s="9" t="n">
        <f aca="false">Tabla3510813153[[#This Row],[Correctos]]/Tabla3510813153[[#This Row],[total_sec]]</f>
        <v>0.713675213675214</v>
      </c>
      <c r="I12" s="9" t="n">
        <f aca="false">Tabla3510813153[[#This Row],[efec_cor]]/Tabla3510813153[[#This Row],[efec]]</f>
        <v>0.887931034482759</v>
      </c>
      <c r="J12" s="9" t="n">
        <f aca="false">Tabla3510813153[[#This Row],[efect_inc]]/Tabla3510813153[[#This Row],[efec]]</f>
        <v>0.129310344827586</v>
      </c>
      <c r="K12" s="9" t="n">
        <f aca="false">Tabla3510813153[[#This Row],[no_efec_cor]]/Tabla3510813153[[#This Row],[no_efe]]</f>
        <v>0.542372881355932</v>
      </c>
      <c r="L12" s="9" t="n">
        <f aca="false">Tabla3510813153[[#This Row],[no_efec_inc]]/Tabla3510813153[[#This Row],[no_efe]]</f>
        <v>0.440677966101695</v>
      </c>
      <c r="M12" s="9" t="n">
        <f aca="false">(Tabla3510813153[[#This Row],[% efe_cor]]+Tabla3510813153[[#This Row],[% no_efe_cor]])/2</f>
        <v>0.715151957919345</v>
      </c>
      <c r="N12" s="10" t="n">
        <f aca="false">(Tabla3510813153[[#This Row],[% efe_inc]]+Tabla3510813153[[#This Row],[% no_efect_inc]])/2</f>
        <v>0.284994155464641</v>
      </c>
      <c r="O12" s="11" t="n">
        <f aca="false">Tabla3510813153[[#This Row],[no_efec_cor]]/(Tabla3510813153[[#This Row],[efect_inc]]+Tabla3510813153[[#This Row],[no_efec_cor]])</f>
        <v>0.810126582278481</v>
      </c>
      <c r="P12" s="11" t="n">
        <f aca="false">Tabla3510813153[[#This Row],[efec_cor]]/(Tabla3510813153[[#This Row],[efec_cor]]+Tabla3510813153[[#This Row],[no_efec_inc]])</f>
        <v>0.664516129032258</v>
      </c>
      <c r="Q12" s="11" t="n">
        <f aca="false">(Tabla3510813153[[#This Row],[PNE]]+Tabla3510813153[[#This Row],[PE]])/2</f>
        <v>0.737321355655369</v>
      </c>
      <c r="R12" s="0" t="n">
        <v>116</v>
      </c>
      <c r="S12" s="0" t="n">
        <v>118</v>
      </c>
      <c r="T12" s="0" t="n">
        <f aca="false">Tabla3510813153[[#This Row],[efec]]+Tabla3510813153[[#This Row],[no_efe]]</f>
        <v>234</v>
      </c>
    </row>
    <row r="13" customFormat="false" ht="13.8" hidden="false" customHeight="false" outlineLevel="0" collapsed="false">
      <c r="A13" s="0" t="s">
        <v>43</v>
      </c>
      <c r="B13" s="0" t="n">
        <v>79</v>
      </c>
      <c r="C13" s="0" t="n">
        <v>34</v>
      </c>
      <c r="D13" s="0" t="n">
        <v>86</v>
      </c>
      <c r="E13" s="0" t="n">
        <v>24</v>
      </c>
      <c r="F13" s="0" t="n">
        <f aca="false">Tabla3510813153[[#This Row],[no_efec_cor]]+Tabla3510813153[[#This Row],[efec_cor]]</f>
        <v>165</v>
      </c>
      <c r="G13" s="0" t="n">
        <f aca="false">Tabla3510813153[[#This Row],[no_efec_inc]]+Tabla3510813153[[#This Row],[efect_inc]]</f>
        <v>58</v>
      </c>
      <c r="H13" s="9" t="n">
        <f aca="false">Tabla3510813153[[#This Row],[Correctos]]/Tabla3510813153[[#This Row],[total_sec]]</f>
        <v>0.739910313901345</v>
      </c>
      <c r="I13" s="9" t="n">
        <f aca="false">Tabla3510813153[[#This Row],[efec_cor]]/Tabla3510813153[[#This Row],[efec]]</f>
        <v>0.761061946902655</v>
      </c>
      <c r="J13" s="9" t="n">
        <f aca="false">Tabla3510813153[[#This Row],[efect_inc]]/Tabla3510813153[[#This Row],[efec]]</f>
        <v>0.212389380530973</v>
      </c>
      <c r="K13" s="9" t="n">
        <f aca="false">Tabla3510813153[[#This Row],[no_efec_cor]]/Tabla3510813153[[#This Row],[no_efe]]</f>
        <v>0.718181818181818</v>
      </c>
      <c r="L13" s="9" t="n">
        <f aca="false">Tabla3510813153[[#This Row],[no_efec_inc]]/Tabla3510813153[[#This Row],[no_efe]]</f>
        <v>0.309090909090909</v>
      </c>
      <c r="M13" s="9" t="n">
        <f aca="false">(Tabla3510813153[[#This Row],[% efe_cor]]+Tabla3510813153[[#This Row],[% no_efe_cor]])/2</f>
        <v>0.739621882542236</v>
      </c>
      <c r="N13" s="10" t="n">
        <f aca="false">(Tabla3510813153[[#This Row],[% efe_inc]]+Tabla3510813153[[#This Row],[% no_efect_inc]])/2</f>
        <v>0.260740144810941</v>
      </c>
      <c r="O13" s="11" t="n">
        <f aca="false">Tabla3510813153[[#This Row],[no_efec_cor]]/(Tabla3510813153[[#This Row],[efect_inc]]+Tabla3510813153[[#This Row],[no_efec_cor]])</f>
        <v>0.766990291262136</v>
      </c>
      <c r="P13" s="11" t="n">
        <f aca="false">Tabla3510813153[[#This Row],[efec_cor]]/(Tabla3510813153[[#This Row],[efec_cor]]+Tabla3510813153[[#This Row],[no_efec_inc]])</f>
        <v>0.716666666666667</v>
      </c>
      <c r="Q13" s="11" t="n">
        <f aca="false">(Tabla3510813153[[#This Row],[PNE]]+Tabla3510813153[[#This Row],[PE]])/2</f>
        <v>0.741828478964401</v>
      </c>
      <c r="R13" s="0" t="n">
        <v>113</v>
      </c>
      <c r="S13" s="0" t="n">
        <v>110</v>
      </c>
      <c r="T13" s="0" t="n">
        <f aca="false">Tabla3510813153[[#This Row],[efec]]+Tabla3510813153[[#This Row],[no_efe]]</f>
        <v>223</v>
      </c>
    </row>
    <row r="14" customFormat="false" ht="13.8" hidden="false" customHeight="false" outlineLevel="0" collapsed="false">
      <c r="A14" s="0" t="s">
        <v>44</v>
      </c>
      <c r="B14" s="0" t="n">
        <v>41</v>
      </c>
      <c r="C14" s="0" t="n">
        <v>69</v>
      </c>
      <c r="D14" s="0" t="n">
        <v>111</v>
      </c>
      <c r="E14" s="0" t="n">
        <v>0</v>
      </c>
      <c r="F14" s="0" t="n">
        <f aca="false">Tabla3510813153[[#This Row],[no_efec_cor]]+Tabla3510813153[[#This Row],[efec_cor]]</f>
        <v>152</v>
      </c>
      <c r="G14" s="0" t="n">
        <f aca="false">Tabla3510813153[[#This Row],[no_efec_inc]]+Tabla3510813153[[#This Row],[efect_inc]]</f>
        <v>69</v>
      </c>
      <c r="H14" s="9" t="n">
        <f aca="false">Tabla3510813153[[#This Row],[Correctos]]/Tabla3510813153[[#This Row],[total_sec]]</f>
        <v>0.687782805429864</v>
      </c>
      <c r="I14" s="9" t="n">
        <f aca="false">Tabla3510813153[[#This Row],[efec_cor]]/Tabla3510813153[[#This Row],[efec]]</f>
        <v>1.00909090909091</v>
      </c>
      <c r="J14" s="9" t="n">
        <f aca="false">Tabla3510813153[[#This Row],[efect_inc]]/Tabla3510813153[[#This Row],[efec]]</f>
        <v>0</v>
      </c>
      <c r="K14" s="9" t="n">
        <f aca="false">Tabla3510813153[[#This Row],[no_efec_cor]]/Tabla3510813153[[#This Row],[no_efe]]</f>
        <v>0.369369369369369</v>
      </c>
      <c r="L14" s="9" t="n">
        <f aca="false">Tabla3510813153[[#This Row],[no_efec_inc]]/Tabla3510813153[[#This Row],[no_efe]]</f>
        <v>0.621621621621622</v>
      </c>
      <c r="M14" s="9" t="n">
        <f aca="false">(Tabla3510813153[[#This Row],[% efe_cor]]+Tabla3510813153[[#This Row],[% no_efe_cor]])/2</f>
        <v>0.689230139230139</v>
      </c>
      <c r="N14" s="10" t="n">
        <f aca="false">(Tabla3510813153[[#This Row],[% efe_inc]]+Tabla3510813153[[#This Row],[% no_efect_inc]])/2</f>
        <v>0.310810810810811</v>
      </c>
      <c r="O14" s="11" t="n">
        <f aca="false">Tabla3510813153[[#This Row],[no_efec_cor]]/(Tabla3510813153[[#This Row],[efect_inc]]+Tabla3510813153[[#This Row],[no_efec_cor]])</f>
        <v>1</v>
      </c>
      <c r="P14" s="11" t="n">
        <f aca="false">Tabla3510813153[[#This Row],[efec_cor]]/(Tabla3510813153[[#This Row],[efec_cor]]+Tabla3510813153[[#This Row],[no_efec_inc]])</f>
        <v>0.616666666666667</v>
      </c>
      <c r="Q14" s="11" t="n">
        <f aca="false">(Tabla3510813153[[#This Row],[PNE]]+Tabla3510813153[[#This Row],[PE]])/2</f>
        <v>0.808333333333333</v>
      </c>
      <c r="R14" s="0" t="n">
        <v>110</v>
      </c>
      <c r="S14" s="0" t="n">
        <v>111</v>
      </c>
      <c r="T14" s="0" t="n">
        <f aca="false">Tabla3510813153[[#This Row],[efec]]+Tabla3510813153[[#This Row],[no_efe]]</f>
        <v>221</v>
      </c>
    </row>
    <row r="15" customFormat="false" ht="13.8" hidden="false" customHeight="false" outlineLevel="0" collapsed="false">
      <c r="A15" s="0" t="s">
        <v>45</v>
      </c>
      <c r="B15" s="0" t="n">
        <v>111</v>
      </c>
      <c r="C15" s="0" t="n">
        <v>2</v>
      </c>
      <c r="D15" s="0" t="n">
        <v>53</v>
      </c>
      <c r="E15" s="0" t="n">
        <v>53</v>
      </c>
      <c r="F15" s="0" t="n">
        <f aca="false">Tabla3510813153[[#This Row],[no_efec_cor]]+Tabla3510813153[[#This Row],[efec_cor]]</f>
        <v>164</v>
      </c>
      <c r="G15" s="0" t="n">
        <f aca="false">Tabla3510813153[[#This Row],[no_efec_inc]]+Tabla3510813153[[#This Row],[efect_inc]]</f>
        <v>55</v>
      </c>
      <c r="H15" s="9" t="n">
        <f aca="false">Tabla3510813153[[#This Row],[Correctos]]/Tabla3510813153[[#This Row],[total_sec]]</f>
        <v>0.748858447488584</v>
      </c>
      <c r="I15" s="9" t="n">
        <f aca="false">Tabla3510813153[[#This Row],[efec_cor]]/Tabla3510813153[[#This Row],[efec]]</f>
        <v>0.469026548672566</v>
      </c>
      <c r="J15" s="9" t="n">
        <f aca="false">Tabla3510813153[[#This Row],[efect_inc]]/Tabla3510813153[[#This Row],[efec]]</f>
        <v>0.469026548672566</v>
      </c>
      <c r="K15" s="9" t="n">
        <f aca="false">Tabla3510813153[[#This Row],[no_efec_cor]]/Tabla3510813153[[#This Row],[no_efe]]</f>
        <v>1.04716981132075</v>
      </c>
      <c r="L15" s="9" t="n">
        <f aca="false">Tabla3510813153[[#This Row],[no_efec_inc]]/Tabla3510813153[[#This Row],[no_efe]]</f>
        <v>0.0188679245283019</v>
      </c>
      <c r="M15" s="9" t="n">
        <f aca="false">(Tabla3510813153[[#This Row],[% efe_cor]]+Tabla3510813153[[#This Row],[% no_efe_cor]])/2</f>
        <v>0.758098179996661</v>
      </c>
      <c r="N15" s="10" t="n">
        <f aca="false">(Tabla3510813153[[#This Row],[% efe_inc]]+Tabla3510813153[[#This Row],[% no_efect_inc]])/2</f>
        <v>0.243947236600434</v>
      </c>
      <c r="O15" s="11" t="n">
        <f aca="false">Tabla3510813153[[#This Row],[no_efec_cor]]/(Tabla3510813153[[#This Row],[efect_inc]]+Tabla3510813153[[#This Row],[no_efec_cor]])</f>
        <v>0.676829268292683</v>
      </c>
      <c r="P15" s="11" t="n">
        <f aca="false">Tabla3510813153[[#This Row],[efec_cor]]/(Tabla3510813153[[#This Row],[efec_cor]]+Tabla3510813153[[#This Row],[no_efec_inc]])</f>
        <v>0.963636363636364</v>
      </c>
      <c r="Q15" s="11" t="n">
        <f aca="false">(Tabla3510813153[[#This Row],[PNE]]+Tabla3510813153[[#This Row],[PE]])/2</f>
        <v>0.820232815964523</v>
      </c>
      <c r="R15" s="0" t="n">
        <v>113</v>
      </c>
      <c r="S15" s="0" t="n">
        <v>106</v>
      </c>
      <c r="T15" s="0" t="n">
        <f aca="false">Tabla3510813153[[#This Row],[efec]]+Tabla3510813153[[#This Row],[no_efe]]</f>
        <v>219</v>
      </c>
    </row>
    <row r="16" customFormat="false" ht="15" hidden="false" customHeight="false" outlineLevel="0" collapsed="false">
      <c r="H16" s="10"/>
      <c r="I16" s="11"/>
      <c r="J16" s="11"/>
      <c r="K16" s="11"/>
    </row>
    <row r="17" customFormat="false" ht="15" hidden="false" customHeight="false" outlineLevel="0" collapsed="false">
      <c r="A17" s="13" t="s">
        <v>5</v>
      </c>
      <c r="B17" s="13"/>
      <c r="C17" s="13"/>
      <c r="D17" s="13"/>
      <c r="E17" s="13"/>
      <c r="F17" s="13"/>
      <c r="G17" s="13"/>
    </row>
    <row r="18" customFormat="false" ht="16.5" hidden="false" customHeight="false" outlineLevel="0" collapsed="false">
      <c r="A18" s="14" t="s">
        <v>46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customFormat="false" ht="15.75" hidden="false" customHeight="false" outlineLevel="0" collapsed="false">
      <c r="A19" s="7" t="s">
        <v>39</v>
      </c>
      <c r="B19" s="8" t="s">
        <v>7</v>
      </c>
      <c r="C19" s="8" t="s">
        <v>8</v>
      </c>
      <c r="D19" s="8" t="s">
        <v>9</v>
      </c>
      <c r="E19" s="8" t="s">
        <v>10</v>
      </c>
      <c r="F19" s="8" t="s">
        <v>11</v>
      </c>
      <c r="G19" s="8" t="s">
        <v>12</v>
      </c>
      <c r="H19" s="7" t="s">
        <v>13</v>
      </c>
      <c r="I19" s="7" t="s">
        <v>14</v>
      </c>
      <c r="J19" s="7" t="s">
        <v>15</v>
      </c>
      <c r="K19" s="7" t="s">
        <v>16</v>
      </c>
      <c r="L19" s="7" t="s">
        <v>17</v>
      </c>
      <c r="M19" s="7" t="s">
        <v>18</v>
      </c>
      <c r="N19" s="7" t="s">
        <v>19</v>
      </c>
      <c r="O19" s="7" t="s">
        <v>20</v>
      </c>
      <c r="P19" s="7" t="s">
        <v>21</v>
      </c>
      <c r="Q19" s="7" t="s">
        <v>22</v>
      </c>
      <c r="R19" s="7" t="s">
        <v>23</v>
      </c>
      <c r="S19" s="7" t="s">
        <v>24</v>
      </c>
      <c r="T19" s="7" t="s">
        <v>25</v>
      </c>
    </row>
    <row r="20" customFormat="false" ht="13.8" hidden="false" customHeight="false" outlineLevel="0" collapsed="false">
      <c r="A20" s="0" t="s">
        <v>40</v>
      </c>
      <c r="B20" s="0" t="n">
        <v>107</v>
      </c>
      <c r="C20" s="0" t="n">
        <v>7</v>
      </c>
      <c r="D20" s="0" t="n">
        <v>93</v>
      </c>
      <c r="E20" s="0" t="n">
        <v>14</v>
      </c>
      <c r="F20" s="0" t="n">
        <f aca="false">Tabla35108131536[[#This Row],[no_efec_cor]]+Tabla35108131536[[#This Row],[efec_cor]]</f>
        <v>200</v>
      </c>
      <c r="G20" s="0" t="n">
        <f aca="false">Tabla35108131536[[#This Row],[no_efec_inc]]+Tabla35108131536[[#This Row],[efect_inc]]</f>
        <v>21</v>
      </c>
      <c r="H20" s="9" t="n">
        <f aca="false">Tabla35108131536[[#This Row],[Correctos]]/Tabla35108131536[[#This Row],[total_sec]]</f>
        <v>0.904977375565611</v>
      </c>
      <c r="I20" s="9" t="n">
        <f aca="false">Tabla35108131536[[#This Row],[efec_cor]]/Tabla35108131536[[#This Row],[efec]]</f>
        <v>0.81578947368421</v>
      </c>
      <c r="J20" s="9" t="n">
        <f aca="false">Tabla35108131536[[#This Row],[efect_inc]]/Tabla35108131536[[#This Row],[efec]]</f>
        <v>0.12280701754386</v>
      </c>
      <c r="K20" s="9" t="n">
        <f aca="false">Tabla35108131536[[#This Row],[no_efec_cor]]/Tabla35108131536[[#This Row],[no_efe]]</f>
        <v>1</v>
      </c>
      <c r="L20" s="9" t="n">
        <f aca="false">Tabla35108131536[[#This Row],[no_efec_inc]]/Tabla35108131536[[#This Row],[no_efe]]</f>
        <v>0.0654205607476635</v>
      </c>
      <c r="M20" s="9" t="n">
        <f aca="false">(Tabla35108131536[[#This Row],[% efe_cor]]+Tabla35108131536[[#This Row],[% no_efe_cor]])/2</f>
        <v>0.907894736842105</v>
      </c>
      <c r="N20" s="10" t="n">
        <f aca="false">(Tabla35108131536[[#This Row],[% efe_inc]]+Tabla35108131536[[#This Row],[% no_efect_inc]])/2</f>
        <v>0.0941137891457616</v>
      </c>
      <c r="O20" s="11" t="n">
        <f aca="false">Tabla35108131536[[#This Row],[no_efec_cor]]/(Tabla35108131536[[#This Row],[efect_inc]]+Tabla35108131536[[#This Row],[no_efec_cor]])</f>
        <v>0.884297520661157</v>
      </c>
      <c r="P20" s="11" t="n">
        <f aca="false">Tabla35108131536[[#This Row],[efec_cor]]/(Tabla35108131536[[#This Row],[efec_cor]]+Tabla35108131536[[#This Row],[no_efec_inc]])</f>
        <v>0.93</v>
      </c>
      <c r="Q20" s="11" t="n">
        <f aca="false">(Tabla35108131536[[#This Row],[PNE]]+Tabla35108131536[[#This Row],[PE]])/2</f>
        <v>0.907148760330579</v>
      </c>
      <c r="R20" s="0" t="n">
        <v>114</v>
      </c>
      <c r="S20" s="0" t="n">
        <v>107</v>
      </c>
      <c r="T20" s="0" t="n">
        <f aca="false">Tabla35108131536[[#This Row],[efec]]+Tabla35108131536[[#This Row],[no_efe]]</f>
        <v>221</v>
      </c>
    </row>
    <row r="21" customFormat="false" ht="13.8" hidden="false" customHeight="false" outlineLevel="0" collapsed="false">
      <c r="A21" s="0" t="s">
        <v>41</v>
      </c>
      <c r="B21" s="0" t="n">
        <v>99</v>
      </c>
      <c r="C21" s="0" t="n">
        <v>15</v>
      </c>
      <c r="D21" s="0" t="n">
        <v>86</v>
      </c>
      <c r="E21" s="0" t="n">
        <v>29</v>
      </c>
      <c r="F21" s="0" t="n">
        <f aca="false">Tabla35108131536[[#This Row],[no_efec_cor]]+Tabla35108131536[[#This Row],[efec_cor]]</f>
        <v>185</v>
      </c>
      <c r="G21" s="0" t="n">
        <f aca="false">Tabla35108131536[[#This Row],[no_efec_inc]]+Tabla35108131536[[#This Row],[efect_inc]]</f>
        <v>44</v>
      </c>
      <c r="H21" s="9" t="n">
        <f aca="false">Tabla35108131536[[#This Row],[Correctos]]/Tabla35108131536[[#This Row],[total_sec]]</f>
        <v>0.807860262008734</v>
      </c>
      <c r="I21" s="9" t="n">
        <f aca="false">Tabla35108131536[[#This Row],[efec_cor]]/Tabla35108131536[[#This Row],[efec]]</f>
        <v>0.754385964912281</v>
      </c>
      <c r="J21" s="9" t="n">
        <f aca="false">Tabla35108131536[[#This Row],[efect_inc]]/Tabla35108131536[[#This Row],[efec]]</f>
        <v>0.254385964912281</v>
      </c>
      <c r="K21" s="9" t="n">
        <f aca="false">Tabla35108131536[[#This Row],[no_efec_cor]]/Tabla35108131536[[#This Row],[no_efe]]</f>
        <v>0.860869565217391</v>
      </c>
      <c r="L21" s="9" t="n">
        <f aca="false">Tabla35108131536[[#This Row],[no_efec_inc]]/Tabla35108131536[[#This Row],[no_efe]]</f>
        <v>0.130434782608696</v>
      </c>
      <c r="M21" s="9" t="n">
        <f aca="false">(Tabla35108131536[[#This Row],[% efe_cor]]+Tabla35108131536[[#This Row],[% no_efe_cor]])/2</f>
        <v>0.807627765064836</v>
      </c>
      <c r="N21" s="10" t="n">
        <f aca="false">(Tabla35108131536[[#This Row],[% efe_inc]]+Tabla35108131536[[#This Row],[% no_efect_inc]])/2</f>
        <v>0.192410373760488</v>
      </c>
      <c r="O21" s="11" t="n">
        <f aca="false">Tabla35108131536[[#This Row],[no_efec_cor]]/(Tabla35108131536[[#This Row],[efect_inc]]+Tabla35108131536[[#This Row],[no_efec_cor]])</f>
        <v>0.7734375</v>
      </c>
      <c r="P21" s="11" t="n">
        <f aca="false">Tabla35108131536[[#This Row],[efec_cor]]/(Tabla35108131536[[#This Row],[efec_cor]]+Tabla35108131536[[#This Row],[no_efec_inc]])</f>
        <v>0.851485148514851</v>
      </c>
      <c r="Q21" s="11" t="n">
        <f aca="false">(Tabla35108131536[[#This Row],[PNE]]+Tabla35108131536[[#This Row],[PE]])/2</f>
        <v>0.812461324257426</v>
      </c>
      <c r="R21" s="0" t="n">
        <v>114</v>
      </c>
      <c r="S21" s="0" t="n">
        <v>115</v>
      </c>
      <c r="T21" s="0" t="n">
        <f aca="false">Tabla35108131536[[#This Row],[efec]]+Tabla35108131536[[#This Row],[no_efe]]</f>
        <v>229</v>
      </c>
    </row>
    <row r="22" customFormat="false" ht="13.8" hidden="false" customHeight="false" outlineLevel="0" collapsed="false">
      <c r="A22" s="0" t="s">
        <v>42</v>
      </c>
      <c r="B22" s="0" t="n">
        <v>89</v>
      </c>
      <c r="C22" s="0" t="n">
        <v>27</v>
      </c>
      <c r="D22" s="0" t="n">
        <v>109</v>
      </c>
      <c r="E22" s="0" t="n">
        <v>9</v>
      </c>
      <c r="F22" s="0" t="n">
        <f aca="false">Tabla35108131536[[#This Row],[no_efec_cor]]+Tabla35108131536[[#This Row],[efec_cor]]</f>
        <v>198</v>
      </c>
      <c r="G22" s="0" t="n">
        <f aca="false">Tabla35108131536[[#This Row],[no_efec_inc]]+Tabla35108131536[[#This Row],[efect_inc]]</f>
        <v>36</v>
      </c>
      <c r="H22" s="9" t="n">
        <f aca="false">Tabla35108131536[[#This Row],[Correctos]]/Tabla35108131536[[#This Row],[total_sec]]</f>
        <v>0.846153846153846</v>
      </c>
      <c r="I22" s="9" t="n">
        <f aca="false">Tabla35108131536[[#This Row],[efec_cor]]/Tabla35108131536[[#This Row],[efec]]</f>
        <v>0.939655172413793</v>
      </c>
      <c r="J22" s="9" t="n">
        <f aca="false">Tabla35108131536[[#This Row],[efect_inc]]/Tabla35108131536[[#This Row],[efec]]</f>
        <v>0.0775862068965517</v>
      </c>
      <c r="K22" s="9" t="n">
        <f aca="false">Tabla35108131536[[#This Row],[no_efec_cor]]/Tabla35108131536[[#This Row],[no_efe]]</f>
        <v>0.754237288135593</v>
      </c>
      <c r="L22" s="9" t="n">
        <f aca="false">Tabla35108131536[[#This Row],[no_efec_inc]]/Tabla35108131536[[#This Row],[no_efe]]</f>
        <v>0.228813559322034</v>
      </c>
      <c r="M22" s="9" t="n">
        <f aca="false">(Tabla35108131536[[#This Row],[% efe_cor]]+Tabla35108131536[[#This Row],[% no_efe_cor]])/2</f>
        <v>0.846946230274693</v>
      </c>
      <c r="N22" s="10" t="n">
        <f aca="false">(Tabla35108131536[[#This Row],[% efe_inc]]+Tabla35108131536[[#This Row],[% no_efect_inc]])/2</f>
        <v>0.153199883109293</v>
      </c>
      <c r="O22" s="11" t="n">
        <f aca="false">Tabla35108131536[[#This Row],[no_efec_cor]]/(Tabla35108131536[[#This Row],[efect_inc]]+Tabla35108131536[[#This Row],[no_efec_cor]])</f>
        <v>0.908163265306122</v>
      </c>
      <c r="P22" s="11" t="n">
        <f aca="false">Tabla35108131536[[#This Row],[efec_cor]]/(Tabla35108131536[[#This Row],[efec_cor]]+Tabla35108131536[[#This Row],[no_efec_inc]])</f>
        <v>0.801470588235294</v>
      </c>
      <c r="Q22" s="11" t="n">
        <f aca="false">(Tabla35108131536[[#This Row],[PNE]]+Tabla35108131536[[#This Row],[PE]])/2</f>
        <v>0.854816926770708</v>
      </c>
      <c r="R22" s="0" t="n">
        <v>116</v>
      </c>
      <c r="S22" s="0" t="n">
        <v>118</v>
      </c>
      <c r="T22" s="0" t="n">
        <f aca="false">Tabla35108131536[[#This Row],[efec]]+Tabla35108131536[[#This Row],[no_efe]]</f>
        <v>234</v>
      </c>
    </row>
    <row r="23" customFormat="false" ht="13.8" hidden="false" customHeight="false" outlineLevel="0" collapsed="false">
      <c r="A23" s="0" t="s">
        <v>43</v>
      </c>
      <c r="B23" s="0" t="n">
        <v>96</v>
      </c>
      <c r="C23" s="0" t="n">
        <v>17</v>
      </c>
      <c r="D23" s="0" t="n">
        <v>52</v>
      </c>
      <c r="E23" s="0" t="n">
        <v>58</v>
      </c>
      <c r="F23" s="0" t="n">
        <f aca="false">Tabla35108131536[[#This Row],[no_efec_cor]]+Tabla35108131536[[#This Row],[efec_cor]]</f>
        <v>148</v>
      </c>
      <c r="G23" s="0" t="n">
        <f aca="false">Tabla35108131536[[#This Row],[no_efec_inc]]+Tabla35108131536[[#This Row],[efect_inc]]</f>
        <v>75</v>
      </c>
      <c r="H23" s="9" t="n">
        <f aca="false">Tabla35108131536[[#This Row],[Correctos]]/Tabla35108131536[[#This Row],[total_sec]]</f>
        <v>0.663677130044843</v>
      </c>
      <c r="I23" s="9" t="n">
        <f aca="false">Tabla35108131536[[#This Row],[efec_cor]]/Tabla35108131536[[#This Row],[efec]]</f>
        <v>0.460176991150443</v>
      </c>
      <c r="J23" s="9" t="n">
        <f aca="false">Tabla35108131536[[#This Row],[efect_inc]]/Tabla35108131536[[#This Row],[efec]]</f>
        <v>0.513274336283186</v>
      </c>
      <c r="K23" s="9" t="n">
        <f aca="false">Tabla35108131536[[#This Row],[no_efec_cor]]/Tabla35108131536[[#This Row],[no_efe]]</f>
        <v>0.872727272727273</v>
      </c>
      <c r="L23" s="9" t="n">
        <f aca="false">Tabla35108131536[[#This Row],[no_efec_inc]]/Tabla35108131536[[#This Row],[no_efe]]</f>
        <v>0.154545454545455</v>
      </c>
      <c r="M23" s="9" t="n">
        <f aca="false">(Tabla35108131536[[#This Row],[% efe_cor]]+Tabla35108131536[[#This Row],[% no_efe_cor]])/2</f>
        <v>0.666452131938858</v>
      </c>
      <c r="N23" s="10" t="n">
        <f aca="false">(Tabla35108131536[[#This Row],[% efe_inc]]+Tabla35108131536[[#This Row],[% no_efect_inc]])/2</f>
        <v>0.33390989541432</v>
      </c>
      <c r="O23" s="11" t="n">
        <f aca="false">Tabla35108131536[[#This Row],[no_efec_cor]]/(Tabla35108131536[[#This Row],[efect_inc]]+Tabla35108131536[[#This Row],[no_efec_cor]])</f>
        <v>0.623376623376623</v>
      </c>
      <c r="P23" s="11" t="n">
        <f aca="false">Tabla35108131536[[#This Row],[efec_cor]]/(Tabla35108131536[[#This Row],[efec_cor]]+Tabla35108131536[[#This Row],[no_efec_inc]])</f>
        <v>0.753623188405797</v>
      </c>
      <c r="Q23" s="11" t="n">
        <f aca="false">(Tabla35108131536[[#This Row],[PNE]]+Tabla35108131536[[#This Row],[PE]])/2</f>
        <v>0.68849990589121</v>
      </c>
      <c r="R23" s="0" t="n">
        <v>113</v>
      </c>
      <c r="S23" s="0" t="n">
        <v>110</v>
      </c>
      <c r="T23" s="0" t="n">
        <f aca="false">Tabla35108131536[[#This Row],[efec]]+Tabla35108131536[[#This Row],[no_efe]]</f>
        <v>223</v>
      </c>
    </row>
    <row r="24" customFormat="false" ht="13.8" hidden="false" customHeight="false" outlineLevel="0" collapsed="false">
      <c r="A24" s="0" t="s">
        <v>44</v>
      </c>
      <c r="B24" s="0" t="n">
        <v>75</v>
      </c>
      <c r="C24" s="0" t="n">
        <v>35</v>
      </c>
      <c r="D24" s="0" t="n">
        <v>95</v>
      </c>
      <c r="E24" s="0" t="n">
        <v>16</v>
      </c>
      <c r="F24" s="0" t="n">
        <f aca="false">Tabla35108131536[[#This Row],[no_efec_cor]]+Tabla35108131536[[#This Row],[efec_cor]]</f>
        <v>170</v>
      </c>
      <c r="G24" s="0" t="n">
        <f aca="false">Tabla35108131536[[#This Row],[no_efec_inc]]+Tabla35108131536[[#This Row],[efect_inc]]</f>
        <v>51</v>
      </c>
      <c r="H24" s="9" t="n">
        <f aca="false">Tabla35108131536[[#This Row],[Correctos]]/Tabla35108131536[[#This Row],[total_sec]]</f>
        <v>0.769230769230769</v>
      </c>
      <c r="I24" s="9" t="n">
        <f aca="false">Tabla35108131536[[#This Row],[efec_cor]]/Tabla35108131536[[#This Row],[efec]]</f>
        <v>0.863636363636364</v>
      </c>
      <c r="J24" s="9" t="n">
        <f aca="false">Tabla35108131536[[#This Row],[efect_inc]]/Tabla35108131536[[#This Row],[efec]]</f>
        <v>0.145454545454545</v>
      </c>
      <c r="K24" s="9" t="n">
        <f aca="false">Tabla35108131536[[#This Row],[no_efec_cor]]/Tabla35108131536[[#This Row],[no_efe]]</f>
        <v>0.675675675675676</v>
      </c>
      <c r="L24" s="9" t="n">
        <f aca="false">Tabla35108131536[[#This Row],[no_efec_inc]]/Tabla35108131536[[#This Row],[no_efe]]</f>
        <v>0.315315315315315</v>
      </c>
      <c r="M24" s="9" t="n">
        <f aca="false">(Tabla35108131536[[#This Row],[% efe_cor]]+Tabla35108131536[[#This Row],[% no_efe_cor]])/2</f>
        <v>0.76965601965602</v>
      </c>
      <c r="N24" s="10" t="n">
        <f aca="false">(Tabla35108131536[[#This Row],[% efe_inc]]+Tabla35108131536[[#This Row],[% no_efect_inc]])/2</f>
        <v>0.23038493038493</v>
      </c>
      <c r="O24" s="11" t="n">
        <f aca="false">Tabla35108131536[[#This Row],[no_efec_cor]]/(Tabla35108131536[[#This Row],[efect_inc]]+Tabla35108131536[[#This Row],[no_efec_cor]])</f>
        <v>0.824175824175824</v>
      </c>
      <c r="P24" s="11" t="n">
        <f aca="false">Tabla35108131536[[#This Row],[efec_cor]]/(Tabla35108131536[[#This Row],[efec_cor]]+Tabla35108131536[[#This Row],[no_efec_inc]])</f>
        <v>0.730769230769231</v>
      </c>
      <c r="Q24" s="11" t="n">
        <f aca="false">(Tabla35108131536[[#This Row],[PNE]]+Tabla35108131536[[#This Row],[PE]])/2</f>
        <v>0.777472527472527</v>
      </c>
      <c r="R24" s="0" t="n">
        <v>110</v>
      </c>
      <c r="S24" s="0" t="n">
        <v>111</v>
      </c>
      <c r="T24" s="0" t="n">
        <f aca="false">Tabla35108131536[[#This Row],[efec]]+Tabla35108131536[[#This Row],[no_efe]]</f>
        <v>221</v>
      </c>
    </row>
    <row r="25" customFormat="false" ht="13.8" hidden="false" customHeight="false" outlineLevel="0" collapsed="false">
      <c r="A25" s="0" t="s">
        <v>45</v>
      </c>
      <c r="B25" s="0" t="n">
        <v>111</v>
      </c>
      <c r="C25" s="0" t="n">
        <v>2</v>
      </c>
      <c r="D25" s="0" t="n">
        <v>50</v>
      </c>
      <c r="E25" s="0" t="n">
        <v>56</v>
      </c>
      <c r="F25" s="0" t="n">
        <f aca="false">Tabla35108131536[[#This Row],[no_efec_cor]]+Tabla35108131536[[#This Row],[efec_cor]]</f>
        <v>161</v>
      </c>
      <c r="G25" s="0" t="n">
        <f aca="false">Tabla35108131536[[#This Row],[no_efec_inc]]+Tabla35108131536[[#This Row],[efect_inc]]</f>
        <v>58</v>
      </c>
      <c r="H25" s="9" t="n">
        <f aca="false">Tabla35108131536[[#This Row],[Correctos]]/Tabla35108131536[[#This Row],[total_sec]]</f>
        <v>0.735159817351598</v>
      </c>
      <c r="I25" s="9" t="n">
        <f aca="false">Tabla35108131536[[#This Row],[efec_cor]]/Tabla35108131536[[#This Row],[efec]]</f>
        <v>0.442477876106195</v>
      </c>
      <c r="J25" s="9" t="n">
        <f aca="false">Tabla35108131536[[#This Row],[efect_inc]]/Tabla35108131536[[#This Row],[efec]]</f>
        <v>0.495575221238938</v>
      </c>
      <c r="K25" s="9" t="n">
        <f aca="false">Tabla35108131536[[#This Row],[no_efec_cor]]/Tabla35108131536[[#This Row],[no_efe]]</f>
        <v>1.04716981132075</v>
      </c>
      <c r="L25" s="9" t="n">
        <f aca="false">Tabla35108131536[[#This Row],[no_efec_inc]]/Tabla35108131536[[#This Row],[no_efe]]</f>
        <v>0.0188679245283019</v>
      </c>
      <c r="M25" s="9" t="n">
        <f aca="false">(Tabla35108131536[[#This Row],[% efe_cor]]+Tabla35108131536[[#This Row],[% no_efe_cor]])/2</f>
        <v>0.744823843713475</v>
      </c>
      <c r="N25" s="10" t="n">
        <f aca="false">(Tabla35108131536[[#This Row],[% efe_inc]]+Tabla35108131536[[#This Row],[% no_efect_inc]])/2</f>
        <v>0.25722157288362</v>
      </c>
      <c r="O25" s="11" t="n">
        <f aca="false">Tabla35108131536[[#This Row],[no_efec_cor]]/(Tabla35108131536[[#This Row],[efect_inc]]+Tabla35108131536[[#This Row],[no_efec_cor]])</f>
        <v>0.664670658682635</v>
      </c>
      <c r="P25" s="11" t="n">
        <f aca="false">Tabla35108131536[[#This Row],[efec_cor]]/(Tabla35108131536[[#This Row],[efec_cor]]+Tabla35108131536[[#This Row],[no_efec_inc]])</f>
        <v>0.961538461538462</v>
      </c>
      <c r="Q25" s="11" t="n">
        <f aca="false">(Tabla35108131536[[#This Row],[PNE]]+Tabla35108131536[[#This Row],[PE]])/2</f>
        <v>0.813104560110548</v>
      </c>
      <c r="R25" s="0" t="n">
        <v>113</v>
      </c>
      <c r="S25" s="0" t="n">
        <v>106</v>
      </c>
      <c r="T25" s="0" t="n">
        <f aca="false">Tabla35108131536[[#This Row],[efec]]+Tabla35108131536[[#This Row],[no_efe]]</f>
        <v>219</v>
      </c>
    </row>
    <row r="27" customFormat="false" ht="15" hidden="false" customHeight="false" outlineLevel="0" collapsed="false">
      <c r="A27" s="13" t="s">
        <v>5</v>
      </c>
      <c r="B27" s="13"/>
      <c r="C27" s="13"/>
      <c r="D27" s="13"/>
      <c r="E27" s="13"/>
      <c r="F27" s="13"/>
      <c r="G27" s="13"/>
    </row>
    <row r="28" customFormat="false" ht="16.5" hidden="false" customHeight="false" outlineLevel="0" collapsed="false">
      <c r="A28" s="14" t="s">
        <v>47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customFormat="false" ht="15.75" hidden="false" customHeight="false" outlineLevel="0" collapsed="false">
      <c r="A29" s="7" t="s">
        <v>39</v>
      </c>
      <c r="B29" s="8" t="s">
        <v>7</v>
      </c>
      <c r="C29" s="8" t="s">
        <v>8</v>
      </c>
      <c r="D29" s="8" t="s">
        <v>9</v>
      </c>
      <c r="E29" s="8" t="s">
        <v>10</v>
      </c>
      <c r="F29" s="8" t="s">
        <v>11</v>
      </c>
      <c r="G29" s="8" t="s">
        <v>12</v>
      </c>
      <c r="H29" s="7" t="s">
        <v>13</v>
      </c>
      <c r="I29" s="7" t="s">
        <v>14</v>
      </c>
      <c r="J29" s="7" t="s">
        <v>15</v>
      </c>
      <c r="K29" s="7" t="s">
        <v>16</v>
      </c>
      <c r="L29" s="7" t="s">
        <v>17</v>
      </c>
      <c r="M29" s="7" t="s">
        <v>18</v>
      </c>
      <c r="N29" s="7" t="s">
        <v>19</v>
      </c>
      <c r="O29" s="7" t="s">
        <v>20</v>
      </c>
      <c r="P29" s="7" t="s">
        <v>21</v>
      </c>
      <c r="Q29" s="7" t="s">
        <v>22</v>
      </c>
      <c r="R29" s="7" t="s">
        <v>23</v>
      </c>
      <c r="S29" s="7" t="s">
        <v>24</v>
      </c>
      <c r="T29" s="7" t="s">
        <v>25</v>
      </c>
    </row>
    <row r="30" customFormat="false" ht="13.8" hidden="false" customHeight="false" outlineLevel="0" collapsed="false">
      <c r="A30" s="0" t="s">
        <v>40</v>
      </c>
      <c r="B30" s="0" t="n">
        <v>108</v>
      </c>
      <c r="C30" s="0" t="n">
        <v>6</v>
      </c>
      <c r="D30" s="0" t="n">
        <v>106</v>
      </c>
      <c r="E30" s="0" t="n">
        <v>1</v>
      </c>
      <c r="F30" s="0" t="n">
        <f aca="false">Tabla351081315368[[#This Row],[no_efec_cor]]+Tabla351081315368[[#This Row],[efec_cor]]</f>
        <v>214</v>
      </c>
      <c r="G30" s="0" t="n">
        <f aca="false">Tabla351081315368[[#This Row],[no_efec_inc]]+Tabla351081315368[[#This Row],[efect_inc]]</f>
        <v>7</v>
      </c>
      <c r="H30" s="9" t="n">
        <f aca="false">Tabla351081315368[[#This Row],[Correctos]]/Tabla351081315368[[#This Row],[total_sec]]</f>
        <v>0.968325791855204</v>
      </c>
      <c r="I30" s="9" t="n">
        <f aca="false">Tabla351081315368[[#This Row],[efec_cor]]/Tabla351081315368[[#This Row],[efec]]</f>
        <v>0.929824561403509</v>
      </c>
      <c r="J30" s="9" t="n">
        <f aca="false">Tabla351081315368[[#This Row],[efect_inc]]/Tabla351081315368[[#This Row],[efec]]</f>
        <v>0.0087719298245614</v>
      </c>
      <c r="K30" s="9" t="n">
        <f aca="false">Tabla351081315368[[#This Row],[no_efec_cor]]/Tabla351081315368[[#This Row],[no_efe]]</f>
        <v>1.00934579439252</v>
      </c>
      <c r="L30" s="9" t="n">
        <f aca="false">Tabla351081315368[[#This Row],[no_efec_inc]]/Tabla351081315368[[#This Row],[no_efe]]</f>
        <v>0.0560747663551402</v>
      </c>
      <c r="M30" s="9" t="n">
        <f aca="false">(Tabla351081315368[[#This Row],[% efe_cor]]+Tabla351081315368[[#This Row],[% no_efe_cor]])/2</f>
        <v>0.969585177898016</v>
      </c>
      <c r="N30" s="10" t="n">
        <f aca="false">(Tabla351081315368[[#This Row],[% efe_inc]]+Tabla351081315368[[#This Row],[% no_efect_inc]])/2</f>
        <v>0.0324233480898508</v>
      </c>
      <c r="O30" s="11" t="n">
        <f aca="false">Tabla351081315368[[#This Row],[no_efec_cor]]/(Tabla351081315368[[#This Row],[efect_inc]]+Tabla351081315368[[#This Row],[no_efec_cor]])</f>
        <v>0.990825688073394</v>
      </c>
      <c r="P30" s="11" t="n">
        <f aca="false">Tabla351081315368[[#This Row],[efec_cor]]/(Tabla351081315368[[#This Row],[efec_cor]]+Tabla351081315368[[#This Row],[no_efec_inc]])</f>
        <v>0.946428571428571</v>
      </c>
      <c r="Q30" s="11" t="n">
        <f aca="false">(Tabla351081315368[[#This Row],[PNE]]+Tabla351081315368[[#This Row],[PE]])/2</f>
        <v>0.968627129750983</v>
      </c>
      <c r="R30" s="0" t="n">
        <v>114</v>
      </c>
      <c r="S30" s="0" t="n">
        <v>107</v>
      </c>
      <c r="T30" s="0" t="n">
        <f aca="false">Tabla351081315368[[#This Row],[efec]]+Tabla351081315368[[#This Row],[no_efe]]</f>
        <v>221</v>
      </c>
    </row>
    <row r="31" customFormat="false" ht="13.8" hidden="false" customHeight="false" outlineLevel="0" collapsed="false">
      <c r="A31" s="0" t="s">
        <v>41</v>
      </c>
      <c r="B31" s="0" t="n">
        <v>100</v>
      </c>
      <c r="C31" s="0" t="n">
        <v>14</v>
      </c>
      <c r="D31" s="0" t="n">
        <v>96</v>
      </c>
      <c r="E31" s="0" t="n">
        <v>19</v>
      </c>
      <c r="F31" s="0" t="n">
        <f aca="false">Tabla351081315368[[#This Row],[no_efec_cor]]+Tabla351081315368[[#This Row],[efec_cor]]</f>
        <v>196</v>
      </c>
      <c r="G31" s="0" t="n">
        <f aca="false">Tabla351081315368[[#This Row],[no_efec_inc]]+Tabla351081315368[[#This Row],[efect_inc]]</f>
        <v>33</v>
      </c>
      <c r="H31" s="9" t="n">
        <f aca="false">Tabla351081315368[[#This Row],[Correctos]]/Tabla351081315368[[#This Row],[total_sec]]</f>
        <v>0.85589519650655</v>
      </c>
      <c r="I31" s="9" t="n">
        <f aca="false">Tabla351081315368[[#This Row],[efec_cor]]/Tabla351081315368[[#This Row],[efec]]</f>
        <v>0.842105263157895</v>
      </c>
      <c r="J31" s="9" t="n">
        <f aca="false">Tabla351081315368[[#This Row],[efect_inc]]/Tabla351081315368[[#This Row],[efec]]</f>
        <v>0.166666666666667</v>
      </c>
      <c r="K31" s="9" t="n">
        <f aca="false">Tabla351081315368[[#This Row],[no_efec_cor]]/Tabla351081315368[[#This Row],[no_efe]]</f>
        <v>0.869565217391304</v>
      </c>
      <c r="L31" s="9" t="n">
        <f aca="false">Tabla351081315368[[#This Row],[no_efec_inc]]/Tabla351081315368[[#This Row],[no_efe]]</f>
        <v>0.121739130434783</v>
      </c>
      <c r="M31" s="9" t="n">
        <f aca="false">(Tabla351081315368[[#This Row],[% efe_cor]]+Tabla351081315368[[#This Row],[% no_efe_cor]])/2</f>
        <v>0.855835240274599</v>
      </c>
      <c r="N31" s="10" t="n">
        <f aca="false">(Tabla351081315368[[#This Row],[% efe_inc]]+Tabla351081315368[[#This Row],[% no_efect_inc]])/2</f>
        <v>0.144202898550725</v>
      </c>
      <c r="O31" s="11" t="n">
        <f aca="false">Tabla351081315368[[#This Row],[no_efec_cor]]/(Tabla351081315368[[#This Row],[efect_inc]]+Tabla351081315368[[#This Row],[no_efec_cor]])</f>
        <v>0.840336134453782</v>
      </c>
      <c r="P31" s="11" t="n">
        <f aca="false">Tabla351081315368[[#This Row],[efec_cor]]/(Tabla351081315368[[#This Row],[efec_cor]]+Tabla351081315368[[#This Row],[no_efec_inc]])</f>
        <v>0.872727272727273</v>
      </c>
      <c r="Q31" s="11" t="n">
        <f aca="false">(Tabla351081315368[[#This Row],[PNE]]+Tabla351081315368[[#This Row],[PE]])/2</f>
        <v>0.856531703590527</v>
      </c>
      <c r="R31" s="0" t="n">
        <v>114</v>
      </c>
      <c r="S31" s="0" t="n">
        <v>115</v>
      </c>
      <c r="T31" s="0" t="n">
        <f aca="false">Tabla351081315368[[#This Row],[efec]]+Tabla351081315368[[#This Row],[no_efe]]</f>
        <v>229</v>
      </c>
    </row>
    <row r="32" customFormat="false" ht="13.8" hidden="false" customHeight="false" outlineLevel="0" collapsed="false">
      <c r="A32" s="0" t="s">
        <v>42</v>
      </c>
      <c r="B32" s="0" t="n">
        <v>98</v>
      </c>
      <c r="C32" s="0" t="n">
        <v>18</v>
      </c>
      <c r="D32" s="0" t="n">
        <v>113</v>
      </c>
      <c r="E32" s="0" t="n">
        <v>5</v>
      </c>
      <c r="F32" s="0" t="n">
        <f aca="false">Tabla351081315368[[#This Row],[no_efec_cor]]+Tabla351081315368[[#This Row],[efec_cor]]</f>
        <v>211</v>
      </c>
      <c r="G32" s="0" t="n">
        <f aca="false">Tabla351081315368[[#This Row],[no_efec_inc]]+Tabla351081315368[[#This Row],[efect_inc]]</f>
        <v>23</v>
      </c>
      <c r="H32" s="9" t="n">
        <f aca="false">Tabla351081315368[[#This Row],[Correctos]]/Tabla351081315368[[#This Row],[total_sec]]</f>
        <v>0.901709401709402</v>
      </c>
      <c r="I32" s="9" t="n">
        <f aca="false">Tabla351081315368[[#This Row],[efec_cor]]/Tabla351081315368[[#This Row],[efec]]</f>
        <v>0.974137931034483</v>
      </c>
      <c r="J32" s="9" t="n">
        <f aca="false">Tabla351081315368[[#This Row],[efect_inc]]/Tabla351081315368[[#This Row],[efec]]</f>
        <v>0.0431034482758621</v>
      </c>
      <c r="K32" s="9" t="n">
        <f aca="false">Tabla351081315368[[#This Row],[no_efec_cor]]/Tabla351081315368[[#This Row],[no_efe]]</f>
        <v>0.830508474576271</v>
      </c>
      <c r="L32" s="9" t="n">
        <f aca="false">Tabla351081315368[[#This Row],[no_efec_inc]]/Tabla351081315368[[#This Row],[no_efe]]</f>
        <v>0.152542372881356</v>
      </c>
      <c r="M32" s="9" t="n">
        <f aca="false">(Tabla351081315368[[#This Row],[% efe_cor]]+Tabla351081315368[[#This Row],[% no_efe_cor]])/2</f>
        <v>0.902323202805377</v>
      </c>
      <c r="N32" s="10" t="n">
        <f aca="false">(Tabla351081315368[[#This Row],[% efe_inc]]+Tabla351081315368[[#This Row],[% no_efect_inc]])/2</f>
        <v>0.097822910578609</v>
      </c>
      <c r="O32" s="11" t="n">
        <f aca="false">Tabla351081315368[[#This Row],[no_efec_cor]]/(Tabla351081315368[[#This Row],[efect_inc]]+Tabla351081315368[[#This Row],[no_efec_cor]])</f>
        <v>0.951456310679612</v>
      </c>
      <c r="P32" s="11" t="n">
        <f aca="false">Tabla351081315368[[#This Row],[efec_cor]]/(Tabla351081315368[[#This Row],[efec_cor]]+Tabla351081315368[[#This Row],[no_efec_inc]])</f>
        <v>0.862595419847328</v>
      </c>
      <c r="Q32" s="11" t="n">
        <f aca="false">(Tabla351081315368[[#This Row],[PNE]]+Tabla351081315368[[#This Row],[PE]])/2</f>
        <v>0.90702586526347</v>
      </c>
      <c r="R32" s="0" t="n">
        <v>116</v>
      </c>
      <c r="S32" s="0" t="n">
        <v>118</v>
      </c>
      <c r="T32" s="0" t="n">
        <f aca="false">Tabla351081315368[[#This Row],[efec]]+Tabla351081315368[[#This Row],[no_efe]]</f>
        <v>234</v>
      </c>
    </row>
    <row r="33" customFormat="false" ht="13.8" hidden="false" customHeight="false" outlineLevel="0" collapsed="false">
      <c r="A33" s="0" t="s">
        <v>43</v>
      </c>
      <c r="B33" s="0" t="n">
        <v>85</v>
      </c>
      <c r="C33" s="0" t="n">
        <v>28</v>
      </c>
      <c r="D33" s="0" t="n">
        <v>91</v>
      </c>
      <c r="E33" s="0" t="n">
        <v>19</v>
      </c>
      <c r="F33" s="0" t="n">
        <f aca="false">Tabla351081315368[[#This Row],[no_efec_cor]]+Tabla351081315368[[#This Row],[efec_cor]]</f>
        <v>176</v>
      </c>
      <c r="G33" s="0" t="n">
        <f aca="false">Tabla351081315368[[#This Row],[no_efec_inc]]+Tabla351081315368[[#This Row],[efect_inc]]</f>
        <v>47</v>
      </c>
      <c r="H33" s="9" t="n">
        <f aca="false">Tabla351081315368[[#This Row],[Correctos]]/Tabla351081315368[[#This Row],[total_sec]]</f>
        <v>0.789237668161435</v>
      </c>
      <c r="I33" s="9" t="n">
        <f aca="false">Tabla351081315368[[#This Row],[efec_cor]]/Tabla351081315368[[#This Row],[efec]]</f>
        <v>0.805309734513274</v>
      </c>
      <c r="J33" s="9" t="n">
        <f aca="false">Tabla351081315368[[#This Row],[efect_inc]]/Tabla351081315368[[#This Row],[efec]]</f>
        <v>0.168141592920354</v>
      </c>
      <c r="K33" s="9" t="n">
        <f aca="false">Tabla351081315368[[#This Row],[no_efec_cor]]/Tabla351081315368[[#This Row],[no_efe]]</f>
        <v>0.772727272727273</v>
      </c>
      <c r="L33" s="9" t="n">
        <f aca="false">Tabla351081315368[[#This Row],[no_efec_inc]]/Tabla351081315368[[#This Row],[no_efe]]</f>
        <v>0.254545454545454</v>
      </c>
      <c r="M33" s="9" t="n">
        <f aca="false">(Tabla351081315368[[#This Row],[% efe_cor]]+Tabla351081315368[[#This Row],[% no_efe_cor]])/2</f>
        <v>0.789018503620274</v>
      </c>
      <c r="N33" s="10" t="n">
        <f aca="false">(Tabla351081315368[[#This Row],[% efe_inc]]+Tabla351081315368[[#This Row],[% no_efect_inc]])/2</f>
        <v>0.211343523732904</v>
      </c>
      <c r="O33" s="11" t="n">
        <f aca="false">Tabla351081315368[[#This Row],[no_efec_cor]]/(Tabla351081315368[[#This Row],[efect_inc]]+Tabla351081315368[[#This Row],[no_efec_cor]])</f>
        <v>0.817307692307692</v>
      </c>
      <c r="P33" s="11" t="n">
        <f aca="false">Tabla351081315368[[#This Row],[efec_cor]]/(Tabla351081315368[[#This Row],[efec_cor]]+Tabla351081315368[[#This Row],[no_efec_inc]])</f>
        <v>0.764705882352941</v>
      </c>
      <c r="Q33" s="11" t="n">
        <f aca="false">(Tabla351081315368[[#This Row],[PNE]]+Tabla351081315368[[#This Row],[PE]])/2</f>
        <v>0.791006787330317</v>
      </c>
      <c r="R33" s="0" t="n">
        <v>113</v>
      </c>
      <c r="S33" s="0" t="n">
        <v>110</v>
      </c>
      <c r="T33" s="0" t="n">
        <f aca="false">Tabla351081315368[[#This Row],[efec]]+Tabla351081315368[[#This Row],[no_efe]]</f>
        <v>223</v>
      </c>
    </row>
    <row r="34" customFormat="false" ht="13.8" hidden="false" customHeight="false" outlineLevel="0" collapsed="false">
      <c r="A34" s="0" t="s">
        <v>44</v>
      </c>
      <c r="B34" s="0" t="n">
        <v>95</v>
      </c>
      <c r="C34" s="0" t="n">
        <v>15</v>
      </c>
      <c r="D34" s="0" t="n">
        <v>107</v>
      </c>
      <c r="E34" s="0" t="n">
        <v>4</v>
      </c>
      <c r="F34" s="0" t="n">
        <f aca="false">Tabla351081315368[[#This Row],[no_efec_cor]]+Tabla351081315368[[#This Row],[efec_cor]]</f>
        <v>202</v>
      </c>
      <c r="G34" s="0" t="n">
        <f aca="false">Tabla351081315368[[#This Row],[no_efec_inc]]+Tabla351081315368[[#This Row],[efect_inc]]</f>
        <v>19</v>
      </c>
      <c r="H34" s="9" t="n">
        <f aca="false">Tabla351081315368[[#This Row],[Correctos]]/Tabla351081315368[[#This Row],[total_sec]]</f>
        <v>0.914027149321267</v>
      </c>
      <c r="I34" s="9" t="n">
        <f aca="false">Tabla351081315368[[#This Row],[efec_cor]]/Tabla351081315368[[#This Row],[efec]]</f>
        <v>0.972727272727273</v>
      </c>
      <c r="J34" s="9" t="n">
        <f aca="false">Tabla351081315368[[#This Row],[efect_inc]]/Tabla351081315368[[#This Row],[efec]]</f>
        <v>0.0363636363636364</v>
      </c>
      <c r="K34" s="9" t="n">
        <f aca="false">Tabla351081315368[[#This Row],[no_efec_cor]]/Tabla351081315368[[#This Row],[no_efe]]</f>
        <v>0.855855855855856</v>
      </c>
      <c r="L34" s="9" t="n">
        <f aca="false">Tabla351081315368[[#This Row],[no_efec_inc]]/Tabla351081315368[[#This Row],[no_efe]]</f>
        <v>0.135135135135135</v>
      </c>
      <c r="M34" s="9" t="n">
        <f aca="false">(Tabla351081315368[[#This Row],[% efe_cor]]+Tabla351081315368[[#This Row],[% no_efe_cor]])/2</f>
        <v>0.914291564291564</v>
      </c>
      <c r="N34" s="10" t="n">
        <f aca="false">(Tabla351081315368[[#This Row],[% efe_inc]]+Tabla351081315368[[#This Row],[% no_efect_inc]])/2</f>
        <v>0.0857493857493858</v>
      </c>
      <c r="O34" s="11" t="n">
        <f aca="false">Tabla351081315368[[#This Row],[no_efec_cor]]/(Tabla351081315368[[#This Row],[efect_inc]]+Tabla351081315368[[#This Row],[no_efec_cor]])</f>
        <v>0.95959595959596</v>
      </c>
      <c r="P34" s="11" t="n">
        <f aca="false">Tabla351081315368[[#This Row],[efec_cor]]/(Tabla351081315368[[#This Row],[efec_cor]]+Tabla351081315368[[#This Row],[no_efec_inc]])</f>
        <v>0.877049180327869</v>
      </c>
      <c r="Q34" s="11" t="n">
        <f aca="false">(Tabla351081315368[[#This Row],[PNE]]+Tabla351081315368[[#This Row],[PE]])/2</f>
        <v>0.918322569961914</v>
      </c>
      <c r="R34" s="0" t="n">
        <v>110</v>
      </c>
      <c r="S34" s="0" t="n">
        <v>111</v>
      </c>
      <c r="T34" s="0" t="n">
        <f aca="false">Tabla351081315368[[#This Row],[efec]]+Tabla351081315368[[#This Row],[no_efe]]</f>
        <v>221</v>
      </c>
    </row>
    <row r="35" customFormat="false" ht="13.8" hidden="false" customHeight="false" outlineLevel="0" collapsed="false">
      <c r="A35" s="0" t="s">
        <v>45</v>
      </c>
      <c r="B35" s="0" t="n">
        <v>106</v>
      </c>
      <c r="C35" s="0" t="n">
        <v>7</v>
      </c>
      <c r="D35" s="0" t="n">
        <v>81</v>
      </c>
      <c r="E35" s="0" t="n">
        <v>25</v>
      </c>
      <c r="F35" s="0" t="n">
        <f aca="false">Tabla351081315368[[#This Row],[no_efec_cor]]+Tabla351081315368[[#This Row],[efec_cor]]</f>
        <v>187</v>
      </c>
      <c r="G35" s="0" t="n">
        <f aca="false">Tabla351081315368[[#This Row],[no_efec_inc]]+Tabla351081315368[[#This Row],[efect_inc]]</f>
        <v>32</v>
      </c>
      <c r="H35" s="9" t="n">
        <f aca="false">Tabla351081315368[[#This Row],[Correctos]]/Tabla351081315368[[#This Row],[total_sec]]</f>
        <v>0.853881278538813</v>
      </c>
      <c r="I35" s="9" t="n">
        <f aca="false">Tabla351081315368[[#This Row],[efec_cor]]/Tabla351081315368[[#This Row],[efec]]</f>
        <v>0.716814159292035</v>
      </c>
      <c r="J35" s="9" t="n">
        <f aca="false">Tabla351081315368[[#This Row],[efect_inc]]/Tabla351081315368[[#This Row],[efec]]</f>
        <v>0.221238938053097</v>
      </c>
      <c r="K35" s="9" t="n">
        <f aca="false">Tabla351081315368[[#This Row],[no_efec_cor]]/Tabla351081315368[[#This Row],[no_efe]]</f>
        <v>1</v>
      </c>
      <c r="L35" s="9" t="n">
        <f aca="false">Tabla351081315368[[#This Row],[no_efec_inc]]/Tabla351081315368[[#This Row],[no_efe]]</f>
        <v>0.0660377358490566</v>
      </c>
      <c r="M35" s="9" t="n">
        <f aca="false">(Tabla351081315368[[#This Row],[% efe_cor]]+Tabla351081315368[[#This Row],[% no_efe_cor]])/2</f>
        <v>0.858407079646018</v>
      </c>
      <c r="N35" s="10" t="n">
        <f aca="false">(Tabla351081315368[[#This Row],[% efe_inc]]+Tabla351081315368[[#This Row],[% no_efect_inc]])/2</f>
        <v>0.143638336951077</v>
      </c>
      <c r="O35" s="11" t="n">
        <f aca="false">Tabla351081315368[[#This Row],[no_efec_cor]]/(Tabla351081315368[[#This Row],[efect_inc]]+Tabla351081315368[[#This Row],[no_efec_cor]])</f>
        <v>0.809160305343511</v>
      </c>
      <c r="P35" s="11" t="n">
        <f aca="false">Tabla351081315368[[#This Row],[efec_cor]]/(Tabla351081315368[[#This Row],[efec_cor]]+Tabla351081315368[[#This Row],[no_efec_inc]])</f>
        <v>0.920454545454545</v>
      </c>
      <c r="Q35" s="11" t="n">
        <f aca="false">(Tabla351081315368[[#This Row],[PNE]]+Tabla351081315368[[#This Row],[PE]])/2</f>
        <v>0.864807425399028</v>
      </c>
      <c r="R35" s="0" t="n">
        <v>113</v>
      </c>
      <c r="S35" s="0" t="n">
        <v>106</v>
      </c>
      <c r="T35" s="0" t="n">
        <f aca="false">Tabla351081315368[[#This Row],[efec]]+Tabla351081315368[[#This Row],[no_efe]]</f>
        <v>219</v>
      </c>
    </row>
    <row r="37" customFormat="false" ht="15" hidden="false" customHeight="false" outlineLevel="0" collapsed="false">
      <c r="A37" s="13" t="s">
        <v>5</v>
      </c>
      <c r="B37" s="13"/>
      <c r="C37" s="13"/>
      <c r="D37" s="13"/>
      <c r="E37" s="13"/>
      <c r="F37" s="13"/>
      <c r="G37" s="13"/>
    </row>
    <row r="38" customFormat="false" ht="16.5" hidden="false" customHeight="false" outlineLevel="0" collapsed="false">
      <c r="A38" s="14" t="s">
        <v>48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customFormat="false" ht="15.75" hidden="false" customHeight="false" outlineLevel="0" collapsed="false">
      <c r="A39" s="7" t="s">
        <v>39</v>
      </c>
      <c r="B39" s="8" t="s">
        <v>7</v>
      </c>
      <c r="C39" s="8" t="s">
        <v>8</v>
      </c>
      <c r="D39" s="8" t="s">
        <v>9</v>
      </c>
      <c r="E39" s="8" t="s">
        <v>10</v>
      </c>
      <c r="F39" s="8" t="s">
        <v>11</v>
      </c>
      <c r="G39" s="8" t="s">
        <v>12</v>
      </c>
      <c r="H39" s="7" t="s">
        <v>13</v>
      </c>
      <c r="I39" s="7" t="s">
        <v>14</v>
      </c>
      <c r="J39" s="7" t="s">
        <v>15</v>
      </c>
      <c r="K39" s="7" t="s">
        <v>16</v>
      </c>
      <c r="L39" s="7" t="s">
        <v>17</v>
      </c>
      <c r="M39" s="7" t="s">
        <v>18</v>
      </c>
      <c r="N39" s="7" t="s">
        <v>19</v>
      </c>
      <c r="O39" s="7" t="s">
        <v>20</v>
      </c>
      <c r="P39" s="7" t="s">
        <v>21</v>
      </c>
      <c r="Q39" s="7" t="s">
        <v>22</v>
      </c>
      <c r="R39" s="7" t="s">
        <v>23</v>
      </c>
      <c r="S39" s="7" t="s">
        <v>24</v>
      </c>
      <c r="T39" s="7" t="s">
        <v>25</v>
      </c>
    </row>
    <row r="40" customFormat="false" ht="13.8" hidden="false" customHeight="false" outlineLevel="0" collapsed="false">
      <c r="A40" s="0" t="s">
        <v>40</v>
      </c>
      <c r="B40" s="0" t="n">
        <v>101</v>
      </c>
      <c r="C40" s="0" t="n">
        <v>13</v>
      </c>
      <c r="D40" s="0" t="n">
        <v>92</v>
      </c>
      <c r="E40" s="0" t="n">
        <v>15</v>
      </c>
      <c r="F40" s="0" t="n">
        <f aca="false">Tabla351081315369[[#This Row],[no_efec_cor]]+Tabla351081315369[[#This Row],[efec_cor]]</f>
        <v>193</v>
      </c>
      <c r="G40" s="0" t="n">
        <f aca="false">Tabla351081315369[[#This Row],[no_efec_inc]]+Tabla351081315369[[#This Row],[efect_inc]]</f>
        <v>28</v>
      </c>
      <c r="H40" s="9" t="n">
        <f aca="false">Tabla351081315369[[#This Row],[Correctos]]/Tabla351081315369[[#This Row],[total_sec]]</f>
        <v>0.873303167420814</v>
      </c>
      <c r="I40" s="9" t="n">
        <f aca="false">Tabla351081315369[[#This Row],[efec_cor]]/Tabla351081315369[[#This Row],[efec]]</f>
        <v>0.807017543859649</v>
      </c>
      <c r="J40" s="9" t="n">
        <f aca="false">Tabla351081315369[[#This Row],[efect_inc]]/Tabla351081315369[[#This Row],[efec]]</f>
        <v>0.131578947368421</v>
      </c>
      <c r="K40" s="9" t="n">
        <f aca="false">Tabla351081315369[[#This Row],[no_efec_cor]]/Tabla351081315369[[#This Row],[no_efe]]</f>
        <v>0.94392523364486</v>
      </c>
      <c r="L40" s="9" t="n">
        <f aca="false">Tabla351081315369[[#This Row],[no_efec_inc]]/Tabla351081315369[[#This Row],[no_efe]]</f>
        <v>0.121495327102804</v>
      </c>
      <c r="M40" s="9" t="n">
        <f aca="false">(Tabla351081315369[[#This Row],[% efe_cor]]+Tabla351081315369[[#This Row],[% no_efe_cor]])/2</f>
        <v>0.875471388752255</v>
      </c>
      <c r="N40" s="10" t="n">
        <f aca="false">(Tabla351081315369[[#This Row],[% efe_inc]]+Tabla351081315369[[#This Row],[% no_efect_inc]])/2</f>
        <v>0.126537137235612</v>
      </c>
      <c r="O40" s="11" t="n">
        <f aca="false">Tabla351081315369[[#This Row],[no_efec_cor]]/(Tabla351081315369[[#This Row],[efect_inc]]+Tabla351081315369[[#This Row],[no_efec_cor]])</f>
        <v>0.870689655172414</v>
      </c>
      <c r="P40" s="11" t="n">
        <f aca="false">Tabla351081315369[[#This Row],[efec_cor]]/(Tabla351081315369[[#This Row],[efec_cor]]+Tabla351081315369[[#This Row],[no_efec_inc]])</f>
        <v>0.876190476190476</v>
      </c>
      <c r="Q40" s="11" t="n">
        <f aca="false">(Tabla351081315369[[#This Row],[PNE]]+Tabla351081315369[[#This Row],[PE]])/2</f>
        <v>0.873440065681445</v>
      </c>
      <c r="R40" s="0" t="n">
        <v>114</v>
      </c>
      <c r="S40" s="0" t="n">
        <v>107</v>
      </c>
      <c r="T40" s="0" t="n">
        <f aca="false">Tabla351081315369[[#This Row],[efec]]+Tabla351081315369[[#This Row],[no_efe]]</f>
        <v>221</v>
      </c>
    </row>
    <row r="41" customFormat="false" ht="13.8" hidden="false" customHeight="false" outlineLevel="0" collapsed="false">
      <c r="A41" s="0" t="s">
        <v>41</v>
      </c>
      <c r="B41" s="0" t="n">
        <v>106</v>
      </c>
      <c r="C41" s="0" t="n">
        <v>8</v>
      </c>
      <c r="D41" s="0" t="n">
        <v>110</v>
      </c>
      <c r="E41" s="0" t="n">
        <v>5</v>
      </c>
      <c r="F41" s="0" t="n">
        <f aca="false">Tabla351081315369[[#This Row],[no_efec_cor]]+Tabla351081315369[[#This Row],[efec_cor]]</f>
        <v>216</v>
      </c>
      <c r="G41" s="0" t="n">
        <f aca="false">Tabla351081315369[[#This Row],[no_efec_inc]]+Tabla351081315369[[#This Row],[efect_inc]]</f>
        <v>13</v>
      </c>
      <c r="H41" s="9" t="n">
        <f aca="false">Tabla351081315369[[#This Row],[Correctos]]/Tabla351081315369[[#This Row],[total_sec]]</f>
        <v>0.943231441048035</v>
      </c>
      <c r="I41" s="9" t="n">
        <f aca="false">Tabla351081315369[[#This Row],[efec_cor]]/Tabla351081315369[[#This Row],[efec]]</f>
        <v>0.964912280701754</v>
      </c>
      <c r="J41" s="9" t="n">
        <f aca="false">Tabla351081315369[[#This Row],[efect_inc]]/Tabla351081315369[[#This Row],[efec]]</f>
        <v>0.043859649122807</v>
      </c>
      <c r="K41" s="9" t="n">
        <f aca="false">Tabla351081315369[[#This Row],[no_efec_cor]]/Tabla351081315369[[#This Row],[no_efe]]</f>
        <v>0.921739130434783</v>
      </c>
      <c r="L41" s="9" t="n">
        <f aca="false">Tabla351081315369[[#This Row],[no_efec_inc]]/Tabla351081315369[[#This Row],[no_efe]]</f>
        <v>0.0695652173913043</v>
      </c>
      <c r="M41" s="9" t="n">
        <f aca="false">(Tabla351081315369[[#This Row],[% efe_cor]]+Tabla351081315369[[#This Row],[% no_efe_cor]])/2</f>
        <v>0.943325705568268</v>
      </c>
      <c r="N41" s="10" t="n">
        <f aca="false">(Tabla351081315369[[#This Row],[% efe_inc]]+Tabla351081315369[[#This Row],[% no_efect_inc]])/2</f>
        <v>0.0567124332570557</v>
      </c>
      <c r="O41" s="11" t="n">
        <f aca="false">Tabla351081315369[[#This Row],[no_efec_cor]]/(Tabla351081315369[[#This Row],[efect_inc]]+Tabla351081315369[[#This Row],[no_efec_cor]])</f>
        <v>0.954954954954955</v>
      </c>
      <c r="P41" s="11" t="n">
        <f aca="false">Tabla351081315369[[#This Row],[efec_cor]]/(Tabla351081315369[[#This Row],[efec_cor]]+Tabla351081315369[[#This Row],[no_efec_inc]])</f>
        <v>0.932203389830508</v>
      </c>
      <c r="Q41" s="11" t="n">
        <f aca="false">(Tabla351081315369[[#This Row],[PNE]]+Tabla351081315369[[#This Row],[PE]])/2</f>
        <v>0.943579172392732</v>
      </c>
      <c r="R41" s="0" t="n">
        <v>114</v>
      </c>
      <c r="S41" s="0" t="n">
        <v>115</v>
      </c>
      <c r="T41" s="0" t="n">
        <f aca="false">Tabla351081315369[[#This Row],[efec]]+Tabla351081315369[[#This Row],[no_efe]]</f>
        <v>229</v>
      </c>
    </row>
    <row r="42" customFormat="false" ht="13.8" hidden="false" customHeight="false" outlineLevel="0" collapsed="false">
      <c r="A42" s="0" t="s">
        <v>42</v>
      </c>
      <c r="B42" s="0" t="n">
        <v>106</v>
      </c>
      <c r="C42" s="0" t="n">
        <v>10</v>
      </c>
      <c r="D42" s="0" t="n">
        <v>110</v>
      </c>
      <c r="E42" s="0" t="n">
        <v>8</v>
      </c>
      <c r="F42" s="0" t="n">
        <f aca="false">Tabla351081315369[[#This Row],[no_efec_cor]]+Tabla351081315369[[#This Row],[efec_cor]]</f>
        <v>216</v>
      </c>
      <c r="G42" s="0" t="n">
        <f aca="false">Tabla351081315369[[#This Row],[no_efec_inc]]+Tabla351081315369[[#This Row],[efect_inc]]</f>
        <v>18</v>
      </c>
      <c r="H42" s="9" t="n">
        <f aca="false">Tabla351081315369[[#This Row],[Correctos]]/Tabla351081315369[[#This Row],[total_sec]]</f>
        <v>0.923076923076923</v>
      </c>
      <c r="I42" s="9" t="n">
        <f aca="false">Tabla351081315369[[#This Row],[efec_cor]]/Tabla351081315369[[#This Row],[efec]]</f>
        <v>0.948275862068966</v>
      </c>
      <c r="J42" s="9" t="n">
        <f aca="false">Tabla351081315369[[#This Row],[efect_inc]]/Tabla351081315369[[#This Row],[efec]]</f>
        <v>0.0689655172413793</v>
      </c>
      <c r="K42" s="9" t="n">
        <f aca="false">Tabla351081315369[[#This Row],[no_efec_cor]]/Tabla351081315369[[#This Row],[no_efe]]</f>
        <v>0.898305084745763</v>
      </c>
      <c r="L42" s="9" t="n">
        <f aca="false">Tabla351081315369[[#This Row],[no_efec_inc]]/Tabla351081315369[[#This Row],[no_efe]]</f>
        <v>0.0847457627118644</v>
      </c>
      <c r="M42" s="9" t="n">
        <f aca="false">(Tabla351081315369[[#This Row],[% efe_cor]]+Tabla351081315369[[#This Row],[% no_efe_cor]])/2</f>
        <v>0.923290473407364</v>
      </c>
      <c r="N42" s="10" t="n">
        <f aca="false">(Tabla351081315369[[#This Row],[% efe_inc]]+Tabla351081315369[[#This Row],[% no_efect_inc]])/2</f>
        <v>0.0768556399766219</v>
      </c>
      <c r="O42" s="11" t="n">
        <f aca="false">Tabla351081315369[[#This Row],[no_efec_cor]]/(Tabla351081315369[[#This Row],[efect_inc]]+Tabla351081315369[[#This Row],[no_efec_cor]])</f>
        <v>0.929824561403509</v>
      </c>
      <c r="P42" s="11" t="n">
        <f aca="false">Tabla351081315369[[#This Row],[efec_cor]]/(Tabla351081315369[[#This Row],[efec_cor]]+Tabla351081315369[[#This Row],[no_efec_inc]])</f>
        <v>0.916666666666667</v>
      </c>
      <c r="Q42" s="11" t="n">
        <f aca="false">(Tabla351081315369[[#This Row],[PNE]]+Tabla351081315369[[#This Row],[PE]])/2</f>
        <v>0.923245614035088</v>
      </c>
      <c r="R42" s="0" t="n">
        <v>116</v>
      </c>
      <c r="S42" s="0" t="n">
        <v>118</v>
      </c>
      <c r="T42" s="0" t="n">
        <f aca="false">Tabla351081315369[[#This Row],[efec]]+Tabla351081315369[[#This Row],[no_efe]]</f>
        <v>234</v>
      </c>
    </row>
    <row r="43" customFormat="false" ht="13.8" hidden="false" customHeight="false" outlineLevel="0" collapsed="false">
      <c r="A43" s="0" t="s">
        <v>43</v>
      </c>
      <c r="B43" s="0" t="n">
        <v>104</v>
      </c>
      <c r="C43" s="0" t="n">
        <v>9</v>
      </c>
      <c r="D43" s="0" t="n">
        <v>103</v>
      </c>
      <c r="E43" s="0" t="n">
        <v>7</v>
      </c>
      <c r="F43" s="0" t="n">
        <f aca="false">Tabla351081315369[[#This Row],[no_efec_cor]]+Tabla351081315369[[#This Row],[efec_cor]]</f>
        <v>207</v>
      </c>
      <c r="G43" s="0" t="n">
        <f aca="false">Tabla351081315369[[#This Row],[no_efec_inc]]+Tabla351081315369[[#This Row],[efect_inc]]</f>
        <v>16</v>
      </c>
      <c r="H43" s="9" t="n">
        <f aca="false">Tabla351081315369[[#This Row],[Correctos]]/Tabla351081315369[[#This Row],[total_sec]]</f>
        <v>0.928251121076233</v>
      </c>
      <c r="I43" s="9" t="n">
        <f aca="false">Tabla351081315369[[#This Row],[efec_cor]]/Tabla351081315369[[#This Row],[efec]]</f>
        <v>0.911504424778761</v>
      </c>
      <c r="J43" s="9" t="n">
        <f aca="false">Tabla351081315369[[#This Row],[efect_inc]]/Tabla351081315369[[#This Row],[efec]]</f>
        <v>0.0619469026548673</v>
      </c>
      <c r="K43" s="9" t="n">
        <f aca="false">Tabla351081315369[[#This Row],[no_efec_cor]]/Tabla351081315369[[#This Row],[no_efe]]</f>
        <v>0.945454545454545</v>
      </c>
      <c r="L43" s="9" t="n">
        <f aca="false">Tabla351081315369[[#This Row],[no_efec_inc]]/Tabla351081315369[[#This Row],[no_efe]]</f>
        <v>0.0818181818181818</v>
      </c>
      <c r="M43" s="9" t="n">
        <f aca="false">(Tabla351081315369[[#This Row],[% efe_cor]]+Tabla351081315369[[#This Row],[% no_efe_cor]])/2</f>
        <v>0.928479485116653</v>
      </c>
      <c r="N43" s="10" t="n">
        <f aca="false">(Tabla351081315369[[#This Row],[% efe_inc]]+Tabla351081315369[[#This Row],[% no_efect_inc]])/2</f>
        <v>0.0718825422365245</v>
      </c>
      <c r="O43" s="11" t="n">
        <f aca="false">Tabla351081315369[[#This Row],[no_efec_cor]]/(Tabla351081315369[[#This Row],[efect_inc]]+Tabla351081315369[[#This Row],[no_efec_cor]])</f>
        <v>0.936936936936937</v>
      </c>
      <c r="P43" s="11" t="n">
        <f aca="false">Tabla351081315369[[#This Row],[efec_cor]]/(Tabla351081315369[[#This Row],[efec_cor]]+Tabla351081315369[[#This Row],[no_efec_inc]])</f>
        <v>0.919642857142857</v>
      </c>
      <c r="Q43" s="11" t="n">
        <f aca="false">(Tabla351081315369[[#This Row],[PNE]]+Tabla351081315369[[#This Row],[PE]])/2</f>
        <v>0.928289897039897</v>
      </c>
      <c r="R43" s="0" t="n">
        <v>113</v>
      </c>
      <c r="S43" s="0" t="n">
        <v>110</v>
      </c>
      <c r="T43" s="0" t="n">
        <f aca="false">Tabla351081315369[[#This Row],[efec]]+Tabla351081315369[[#This Row],[no_efe]]</f>
        <v>223</v>
      </c>
    </row>
    <row r="44" customFormat="false" ht="13.8" hidden="false" customHeight="false" outlineLevel="0" collapsed="false">
      <c r="A44" s="0" t="s">
        <v>44</v>
      </c>
      <c r="B44" s="0" t="n">
        <v>105</v>
      </c>
      <c r="C44" s="0" t="n">
        <v>5</v>
      </c>
      <c r="D44" s="0" t="n">
        <v>106</v>
      </c>
      <c r="E44" s="0" t="n">
        <v>5</v>
      </c>
      <c r="F44" s="0" t="n">
        <f aca="false">Tabla351081315369[[#This Row],[no_efec_cor]]+Tabla351081315369[[#This Row],[efec_cor]]</f>
        <v>211</v>
      </c>
      <c r="G44" s="0" t="n">
        <f aca="false">Tabla351081315369[[#This Row],[no_efec_inc]]+Tabla351081315369[[#This Row],[efect_inc]]</f>
        <v>10</v>
      </c>
      <c r="H44" s="9" t="n">
        <f aca="false">Tabla351081315369[[#This Row],[Correctos]]/Tabla351081315369[[#This Row],[total_sec]]</f>
        <v>0.954751131221719</v>
      </c>
      <c r="I44" s="9" t="n">
        <f aca="false">Tabla351081315369[[#This Row],[efec_cor]]/Tabla351081315369[[#This Row],[efec]]</f>
        <v>0.963636363636364</v>
      </c>
      <c r="J44" s="9" t="n">
        <f aca="false">Tabla351081315369[[#This Row],[efect_inc]]/Tabla351081315369[[#This Row],[efec]]</f>
        <v>0.0454545454545455</v>
      </c>
      <c r="K44" s="9" t="n">
        <f aca="false">Tabla351081315369[[#This Row],[no_efec_cor]]/Tabla351081315369[[#This Row],[no_efe]]</f>
        <v>0.945945945945946</v>
      </c>
      <c r="L44" s="9" t="n">
        <f aca="false">Tabla351081315369[[#This Row],[no_efec_inc]]/Tabla351081315369[[#This Row],[no_efe]]</f>
        <v>0.045045045045045</v>
      </c>
      <c r="M44" s="9" t="n">
        <f aca="false">(Tabla351081315369[[#This Row],[% efe_cor]]+Tabla351081315369[[#This Row],[% no_efe_cor]])/2</f>
        <v>0.954791154791155</v>
      </c>
      <c r="N44" s="10" t="n">
        <f aca="false">(Tabla351081315369[[#This Row],[% efe_inc]]+Tabla351081315369[[#This Row],[% no_efect_inc]])/2</f>
        <v>0.0452497952497953</v>
      </c>
      <c r="O44" s="11" t="n">
        <f aca="false">Tabla351081315369[[#This Row],[no_efec_cor]]/(Tabla351081315369[[#This Row],[efect_inc]]+Tabla351081315369[[#This Row],[no_efec_cor]])</f>
        <v>0.954545454545455</v>
      </c>
      <c r="P44" s="11" t="n">
        <f aca="false">Tabla351081315369[[#This Row],[efec_cor]]/(Tabla351081315369[[#This Row],[efec_cor]]+Tabla351081315369[[#This Row],[no_efec_inc]])</f>
        <v>0.954954954954955</v>
      </c>
      <c r="Q44" s="11" t="n">
        <f aca="false">(Tabla351081315369[[#This Row],[PNE]]+Tabla351081315369[[#This Row],[PE]])/2</f>
        <v>0.954750204750205</v>
      </c>
      <c r="R44" s="0" t="n">
        <v>110</v>
      </c>
      <c r="S44" s="0" t="n">
        <v>111</v>
      </c>
      <c r="T44" s="0" t="n">
        <f aca="false">Tabla351081315369[[#This Row],[efec]]+Tabla351081315369[[#This Row],[no_efe]]</f>
        <v>221</v>
      </c>
    </row>
    <row r="45" customFormat="false" ht="13.8" hidden="false" customHeight="false" outlineLevel="0" collapsed="false">
      <c r="A45" s="0" t="s">
        <v>45</v>
      </c>
      <c r="B45" s="0" t="n">
        <v>105</v>
      </c>
      <c r="C45" s="0" t="n">
        <v>8</v>
      </c>
      <c r="D45" s="0" t="n">
        <v>101</v>
      </c>
      <c r="E45" s="0" t="n">
        <v>5</v>
      </c>
      <c r="F45" s="0" t="n">
        <f aca="false">Tabla351081315369[[#This Row],[no_efec_cor]]+Tabla351081315369[[#This Row],[efec_cor]]</f>
        <v>206</v>
      </c>
      <c r="G45" s="0" t="n">
        <f aca="false">Tabla351081315369[[#This Row],[no_efec_inc]]+Tabla351081315369[[#This Row],[efect_inc]]</f>
        <v>13</v>
      </c>
      <c r="H45" s="9" t="n">
        <f aca="false">Tabla351081315369[[#This Row],[Correctos]]/Tabla351081315369[[#This Row],[total_sec]]</f>
        <v>0.940639269406393</v>
      </c>
      <c r="I45" s="9" t="n">
        <f aca="false">Tabla351081315369[[#This Row],[efec_cor]]/Tabla351081315369[[#This Row],[efec]]</f>
        <v>0.893805309734513</v>
      </c>
      <c r="J45" s="9" t="n">
        <f aca="false">Tabla351081315369[[#This Row],[efect_inc]]/Tabla351081315369[[#This Row],[efec]]</f>
        <v>0.0442477876106195</v>
      </c>
      <c r="K45" s="9" t="n">
        <f aca="false">Tabla351081315369[[#This Row],[no_efec_cor]]/Tabla351081315369[[#This Row],[no_efe]]</f>
        <v>0.990566037735849</v>
      </c>
      <c r="L45" s="9" t="n">
        <f aca="false">Tabla351081315369[[#This Row],[no_efec_inc]]/Tabla351081315369[[#This Row],[no_efe]]</f>
        <v>0.0754716981132075</v>
      </c>
      <c r="M45" s="9" t="n">
        <f aca="false">(Tabla351081315369[[#This Row],[% efe_cor]]+Tabla351081315369[[#This Row],[% no_efe_cor]])/2</f>
        <v>0.942185673735181</v>
      </c>
      <c r="N45" s="10" t="n">
        <f aca="false">(Tabla351081315369[[#This Row],[% efe_inc]]+Tabla351081315369[[#This Row],[% no_efect_inc]])/2</f>
        <v>0.0598597428619135</v>
      </c>
      <c r="O45" s="11" t="n">
        <f aca="false">Tabla351081315369[[#This Row],[no_efec_cor]]/(Tabla351081315369[[#This Row],[efect_inc]]+Tabla351081315369[[#This Row],[no_efec_cor]])</f>
        <v>0.954545454545455</v>
      </c>
      <c r="P45" s="11" t="n">
        <f aca="false">Tabla351081315369[[#This Row],[efec_cor]]/(Tabla351081315369[[#This Row],[efec_cor]]+Tabla351081315369[[#This Row],[no_efec_inc]])</f>
        <v>0.926605504587156</v>
      </c>
      <c r="Q45" s="11" t="n">
        <f aca="false">(Tabla351081315369[[#This Row],[PNE]]+Tabla351081315369[[#This Row],[PE]])/2</f>
        <v>0.940575479566305</v>
      </c>
      <c r="R45" s="0" t="n">
        <v>113</v>
      </c>
      <c r="S45" s="0" t="n">
        <v>106</v>
      </c>
      <c r="T45" s="0" t="n">
        <f aca="false">Tabla351081315369[[#This Row],[efec]]+Tabla351081315369[[#This Row],[no_efe]]</f>
        <v>219</v>
      </c>
    </row>
    <row r="47" customFormat="false" ht="15" hidden="false" customHeight="false" outlineLevel="0" collapsed="false">
      <c r="A47" s="13" t="s">
        <v>5</v>
      </c>
      <c r="B47" s="13"/>
      <c r="C47" s="13"/>
      <c r="D47" s="13"/>
      <c r="E47" s="13"/>
      <c r="F47" s="13"/>
      <c r="G47" s="13"/>
    </row>
    <row r="48" customFormat="false" ht="16.5" hidden="false" customHeight="false" outlineLevel="0" collapsed="false">
      <c r="A48" s="14" t="s">
        <v>49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customFormat="false" ht="15.75" hidden="false" customHeight="false" outlineLevel="0" collapsed="false">
      <c r="A49" s="7" t="s">
        <v>39</v>
      </c>
      <c r="B49" s="8" t="s">
        <v>7</v>
      </c>
      <c r="C49" s="8" t="s">
        <v>8</v>
      </c>
      <c r="D49" s="8" t="s">
        <v>9</v>
      </c>
      <c r="E49" s="8" t="s">
        <v>10</v>
      </c>
      <c r="F49" s="8" t="s">
        <v>11</v>
      </c>
      <c r="G49" s="8" t="s">
        <v>12</v>
      </c>
      <c r="H49" s="7" t="s">
        <v>13</v>
      </c>
      <c r="I49" s="7" t="s">
        <v>14</v>
      </c>
      <c r="J49" s="7" t="s">
        <v>15</v>
      </c>
      <c r="K49" s="7" t="s">
        <v>16</v>
      </c>
      <c r="L49" s="7" t="s">
        <v>17</v>
      </c>
      <c r="M49" s="7" t="s">
        <v>18</v>
      </c>
      <c r="N49" s="7" t="s">
        <v>19</v>
      </c>
      <c r="O49" s="7" t="s">
        <v>20</v>
      </c>
      <c r="P49" s="7" t="s">
        <v>21</v>
      </c>
      <c r="Q49" s="7" t="s">
        <v>22</v>
      </c>
      <c r="R49" s="7" t="s">
        <v>23</v>
      </c>
      <c r="S49" s="7" t="s">
        <v>24</v>
      </c>
      <c r="T49" s="7" t="s">
        <v>25</v>
      </c>
    </row>
    <row r="50" customFormat="false" ht="13.8" hidden="false" customHeight="false" outlineLevel="0" collapsed="false">
      <c r="A50" s="0" t="s">
        <v>40</v>
      </c>
      <c r="B50" s="0" t="n">
        <v>110</v>
      </c>
      <c r="C50" s="0" t="n">
        <v>4</v>
      </c>
      <c r="D50" s="0" t="n">
        <v>105</v>
      </c>
      <c r="E50" s="0" t="n">
        <v>2</v>
      </c>
      <c r="F50" s="0" t="n">
        <f aca="false">Tabla3510813153610[[#This Row],[no_efec_cor]]+Tabla3510813153610[[#This Row],[efec_cor]]</f>
        <v>215</v>
      </c>
      <c r="G50" s="0" t="n">
        <f aca="false">Tabla3510813153610[[#This Row],[no_efec_inc]]+Tabla3510813153610[[#This Row],[efect_inc]]</f>
        <v>6</v>
      </c>
      <c r="H50" s="9" t="n">
        <f aca="false">Tabla3510813153610[[#This Row],[Correctos]]/Tabla3510813153610[[#This Row],[total_sec]]</f>
        <v>0.972850678733032</v>
      </c>
      <c r="I50" s="9" t="n">
        <f aca="false">Tabla3510813153610[[#This Row],[efec_cor]]/Tabla3510813153610[[#This Row],[efec]]</f>
        <v>0.921052631578947</v>
      </c>
      <c r="J50" s="9" t="n">
        <f aca="false">Tabla3510813153610[[#This Row],[efect_inc]]/Tabla3510813153610[[#This Row],[efec]]</f>
        <v>0.0175438596491228</v>
      </c>
      <c r="K50" s="9" t="n">
        <f aca="false">Tabla3510813153610[[#This Row],[no_efec_cor]]/Tabla3510813153610[[#This Row],[no_efe]]</f>
        <v>1.02803738317757</v>
      </c>
      <c r="L50" s="9" t="n">
        <f aca="false">Tabla3510813153610[[#This Row],[no_efec_inc]]/Tabla3510813153610[[#This Row],[no_efe]]</f>
        <v>0.0373831775700935</v>
      </c>
      <c r="M50" s="9" t="n">
        <f aca="false">(Tabla3510813153610[[#This Row],[% efe_cor]]+Tabla3510813153610[[#This Row],[% no_efe_cor]])/2</f>
        <v>0.974545007378259</v>
      </c>
      <c r="N50" s="10" t="n">
        <f aca="false">(Tabla3510813153610[[#This Row],[% efe_inc]]+Tabla3510813153610[[#This Row],[% no_efect_inc]])/2</f>
        <v>0.0274635186096081</v>
      </c>
      <c r="O50" s="11" t="n">
        <f aca="false">Tabla3510813153610[[#This Row],[no_efec_cor]]/(Tabla3510813153610[[#This Row],[efect_inc]]+Tabla3510813153610[[#This Row],[no_efec_cor]])</f>
        <v>0.982142857142857</v>
      </c>
      <c r="P50" s="11" t="n">
        <f aca="false">Tabla3510813153610[[#This Row],[efec_cor]]/(Tabla3510813153610[[#This Row],[efec_cor]]+Tabla3510813153610[[#This Row],[no_efec_inc]])</f>
        <v>0.963302752293578</v>
      </c>
      <c r="Q50" s="11" t="n">
        <f aca="false">(Tabla3510813153610[[#This Row],[PNE]]+Tabla3510813153610[[#This Row],[PE]])/2</f>
        <v>0.972722804718218</v>
      </c>
      <c r="R50" s="0" t="n">
        <v>114</v>
      </c>
      <c r="S50" s="0" t="n">
        <v>107</v>
      </c>
      <c r="T50" s="0" t="n">
        <f aca="false">Tabla3510813153610[[#This Row],[efec]]+Tabla3510813153610[[#This Row],[no_efe]]</f>
        <v>221</v>
      </c>
    </row>
    <row r="51" customFormat="false" ht="13.8" hidden="false" customHeight="false" outlineLevel="0" collapsed="false">
      <c r="A51" s="0" t="s">
        <v>41</v>
      </c>
      <c r="B51" s="0" t="n">
        <v>106</v>
      </c>
      <c r="C51" s="0" t="n">
        <v>8</v>
      </c>
      <c r="D51" s="0" t="n">
        <v>110</v>
      </c>
      <c r="E51" s="0" t="n">
        <v>5</v>
      </c>
      <c r="F51" s="0" t="n">
        <f aca="false">Tabla3510813153610[[#This Row],[no_efec_cor]]+Tabla3510813153610[[#This Row],[efec_cor]]</f>
        <v>216</v>
      </c>
      <c r="G51" s="0" t="n">
        <f aca="false">Tabla3510813153610[[#This Row],[no_efec_inc]]+Tabla3510813153610[[#This Row],[efect_inc]]</f>
        <v>13</v>
      </c>
      <c r="H51" s="9" t="n">
        <f aca="false">Tabla3510813153610[[#This Row],[Correctos]]/Tabla3510813153610[[#This Row],[total_sec]]</f>
        <v>0.943231441048035</v>
      </c>
      <c r="I51" s="9" t="n">
        <f aca="false">Tabla3510813153610[[#This Row],[efec_cor]]/Tabla3510813153610[[#This Row],[efec]]</f>
        <v>0.964912280701754</v>
      </c>
      <c r="J51" s="9" t="n">
        <f aca="false">Tabla3510813153610[[#This Row],[efect_inc]]/Tabla3510813153610[[#This Row],[efec]]</f>
        <v>0.043859649122807</v>
      </c>
      <c r="K51" s="9" t="n">
        <f aca="false">Tabla3510813153610[[#This Row],[no_efec_cor]]/Tabla3510813153610[[#This Row],[no_efe]]</f>
        <v>0.921739130434783</v>
      </c>
      <c r="L51" s="9" t="n">
        <f aca="false">Tabla3510813153610[[#This Row],[no_efec_inc]]/Tabla3510813153610[[#This Row],[no_efe]]</f>
        <v>0.0695652173913043</v>
      </c>
      <c r="M51" s="9" t="n">
        <f aca="false">(Tabla3510813153610[[#This Row],[% efe_cor]]+Tabla3510813153610[[#This Row],[% no_efe_cor]])/2</f>
        <v>0.943325705568268</v>
      </c>
      <c r="N51" s="10" t="n">
        <f aca="false">(Tabla3510813153610[[#This Row],[% efe_inc]]+Tabla3510813153610[[#This Row],[% no_efect_inc]])/2</f>
        <v>0.0567124332570557</v>
      </c>
      <c r="O51" s="11" t="n">
        <f aca="false">Tabla3510813153610[[#This Row],[no_efec_cor]]/(Tabla3510813153610[[#This Row],[efect_inc]]+Tabla3510813153610[[#This Row],[no_efec_cor]])</f>
        <v>0.954954954954955</v>
      </c>
      <c r="P51" s="11" t="n">
        <f aca="false">Tabla3510813153610[[#This Row],[efec_cor]]/(Tabla3510813153610[[#This Row],[efec_cor]]+Tabla3510813153610[[#This Row],[no_efec_inc]])</f>
        <v>0.932203389830508</v>
      </c>
      <c r="Q51" s="11" t="n">
        <f aca="false">(Tabla3510813153610[[#This Row],[PNE]]+Tabla3510813153610[[#This Row],[PE]])/2</f>
        <v>0.943579172392732</v>
      </c>
      <c r="R51" s="0" t="n">
        <v>114</v>
      </c>
      <c r="S51" s="0" t="n">
        <v>115</v>
      </c>
      <c r="T51" s="0" t="n">
        <f aca="false">Tabla3510813153610[[#This Row],[efec]]+Tabla3510813153610[[#This Row],[no_efe]]</f>
        <v>229</v>
      </c>
    </row>
    <row r="52" customFormat="false" ht="13.8" hidden="false" customHeight="false" outlineLevel="0" collapsed="false">
      <c r="A52" s="0" t="s">
        <v>42</v>
      </c>
      <c r="B52" s="0" t="n">
        <v>107</v>
      </c>
      <c r="C52" s="0" t="n">
        <v>9</v>
      </c>
      <c r="D52" s="0" t="n">
        <v>109</v>
      </c>
      <c r="E52" s="0" t="n">
        <v>9</v>
      </c>
      <c r="F52" s="0" t="n">
        <f aca="false">Tabla3510813153610[[#This Row],[no_efec_cor]]+Tabla3510813153610[[#This Row],[efec_cor]]</f>
        <v>216</v>
      </c>
      <c r="G52" s="0" t="n">
        <f aca="false">Tabla3510813153610[[#This Row],[no_efec_inc]]+Tabla3510813153610[[#This Row],[efect_inc]]</f>
        <v>18</v>
      </c>
      <c r="H52" s="9" t="n">
        <f aca="false">Tabla3510813153610[[#This Row],[Correctos]]/Tabla3510813153610[[#This Row],[total_sec]]</f>
        <v>0.923076923076923</v>
      </c>
      <c r="I52" s="9" t="n">
        <f aca="false">Tabla3510813153610[[#This Row],[efec_cor]]/Tabla3510813153610[[#This Row],[efec]]</f>
        <v>0.939655172413793</v>
      </c>
      <c r="J52" s="9" t="n">
        <f aca="false">Tabla3510813153610[[#This Row],[efect_inc]]/Tabla3510813153610[[#This Row],[efec]]</f>
        <v>0.0775862068965517</v>
      </c>
      <c r="K52" s="9" t="n">
        <f aca="false">Tabla3510813153610[[#This Row],[no_efec_cor]]/Tabla3510813153610[[#This Row],[no_efe]]</f>
        <v>0.906779661016949</v>
      </c>
      <c r="L52" s="9" t="n">
        <f aca="false">Tabla3510813153610[[#This Row],[no_efec_inc]]/Tabla3510813153610[[#This Row],[no_efe]]</f>
        <v>0.076271186440678</v>
      </c>
      <c r="M52" s="9" t="n">
        <f aca="false">(Tabla3510813153610[[#This Row],[% efe_cor]]+Tabla3510813153610[[#This Row],[% no_efe_cor]])/2</f>
        <v>0.923217416715371</v>
      </c>
      <c r="N52" s="10" t="n">
        <f aca="false">(Tabla3510813153610[[#This Row],[% efe_inc]]+Tabla3510813153610[[#This Row],[% no_efect_inc]])/2</f>
        <v>0.0769286966686149</v>
      </c>
      <c r="O52" s="11" t="n">
        <f aca="false">Tabla3510813153610[[#This Row],[no_efec_cor]]/(Tabla3510813153610[[#This Row],[efect_inc]]+Tabla3510813153610[[#This Row],[no_efec_cor]])</f>
        <v>0.922413793103448</v>
      </c>
      <c r="P52" s="11" t="n">
        <f aca="false">Tabla3510813153610[[#This Row],[efec_cor]]/(Tabla3510813153610[[#This Row],[efec_cor]]+Tabla3510813153610[[#This Row],[no_efec_inc]])</f>
        <v>0.923728813559322</v>
      </c>
      <c r="Q52" s="11" t="n">
        <f aca="false">(Tabla3510813153610[[#This Row],[PNE]]+Tabla3510813153610[[#This Row],[PE]])/2</f>
        <v>0.923071303331385</v>
      </c>
      <c r="R52" s="0" t="n">
        <v>116</v>
      </c>
      <c r="S52" s="0" t="n">
        <v>118</v>
      </c>
      <c r="T52" s="0" t="n">
        <f aca="false">Tabla3510813153610[[#This Row],[efec]]+Tabla3510813153610[[#This Row],[no_efe]]</f>
        <v>234</v>
      </c>
    </row>
    <row r="53" customFormat="false" ht="13.8" hidden="false" customHeight="false" outlineLevel="0" collapsed="false">
      <c r="A53" s="0" t="s">
        <v>43</v>
      </c>
      <c r="B53" s="0" t="n">
        <v>107</v>
      </c>
      <c r="C53" s="0" t="n">
        <v>6</v>
      </c>
      <c r="D53" s="0" t="n">
        <v>104</v>
      </c>
      <c r="E53" s="0" t="n">
        <v>6</v>
      </c>
      <c r="F53" s="0" t="n">
        <f aca="false">Tabla3510813153610[[#This Row],[no_efec_cor]]+Tabla3510813153610[[#This Row],[efec_cor]]</f>
        <v>211</v>
      </c>
      <c r="G53" s="0" t="n">
        <f aca="false">Tabla3510813153610[[#This Row],[no_efec_inc]]+Tabla3510813153610[[#This Row],[efect_inc]]</f>
        <v>12</v>
      </c>
      <c r="H53" s="9" t="n">
        <f aca="false">Tabla3510813153610[[#This Row],[Correctos]]/Tabla3510813153610[[#This Row],[total_sec]]</f>
        <v>0.946188340807175</v>
      </c>
      <c r="I53" s="9" t="n">
        <f aca="false">Tabla3510813153610[[#This Row],[efec_cor]]/Tabla3510813153610[[#This Row],[efec]]</f>
        <v>0.920353982300885</v>
      </c>
      <c r="J53" s="9" t="n">
        <f aca="false">Tabla3510813153610[[#This Row],[efect_inc]]/Tabla3510813153610[[#This Row],[efec]]</f>
        <v>0.0530973451327434</v>
      </c>
      <c r="K53" s="9" t="n">
        <f aca="false">Tabla3510813153610[[#This Row],[no_efec_cor]]/Tabla3510813153610[[#This Row],[no_efe]]</f>
        <v>0.972727272727273</v>
      </c>
      <c r="L53" s="9" t="n">
        <f aca="false">Tabla3510813153610[[#This Row],[no_efec_inc]]/Tabla3510813153610[[#This Row],[no_efe]]</f>
        <v>0.0545454545454545</v>
      </c>
      <c r="M53" s="9" t="n">
        <f aca="false">(Tabla3510813153610[[#This Row],[% efe_cor]]+Tabla3510813153610[[#This Row],[% no_efe_cor]])/2</f>
        <v>0.946540627514079</v>
      </c>
      <c r="N53" s="10" t="n">
        <f aca="false">(Tabla3510813153610[[#This Row],[% efe_inc]]+Tabla3510813153610[[#This Row],[% no_efect_inc]])/2</f>
        <v>0.0538213998390989</v>
      </c>
      <c r="O53" s="11" t="n">
        <f aca="false">Tabla3510813153610[[#This Row],[no_efec_cor]]/(Tabla3510813153610[[#This Row],[efect_inc]]+Tabla3510813153610[[#This Row],[no_efec_cor]])</f>
        <v>0.946902654867257</v>
      </c>
      <c r="P53" s="11" t="n">
        <f aca="false">Tabla3510813153610[[#This Row],[efec_cor]]/(Tabla3510813153610[[#This Row],[efec_cor]]+Tabla3510813153610[[#This Row],[no_efec_inc]])</f>
        <v>0.945454545454545</v>
      </c>
      <c r="Q53" s="11" t="n">
        <f aca="false">(Tabla3510813153610[[#This Row],[PNE]]+Tabla3510813153610[[#This Row],[PE]])/2</f>
        <v>0.946178600160901</v>
      </c>
      <c r="R53" s="0" t="n">
        <v>113</v>
      </c>
      <c r="S53" s="0" t="n">
        <v>110</v>
      </c>
      <c r="T53" s="0" t="n">
        <f aca="false">Tabla3510813153610[[#This Row],[efec]]+Tabla3510813153610[[#This Row],[no_efe]]</f>
        <v>223</v>
      </c>
    </row>
    <row r="54" customFormat="false" ht="13.8" hidden="false" customHeight="false" outlineLevel="0" collapsed="false">
      <c r="A54" s="0" t="s">
        <v>44</v>
      </c>
      <c r="B54" s="0" t="n">
        <v>103</v>
      </c>
      <c r="C54" s="0" t="n">
        <v>7</v>
      </c>
      <c r="D54" s="0" t="n">
        <v>107</v>
      </c>
      <c r="E54" s="0" t="n">
        <v>1</v>
      </c>
      <c r="F54" s="0" t="n">
        <f aca="false">Tabla3510813153610[[#This Row],[no_efec_cor]]+Tabla3510813153610[[#This Row],[efec_cor]]</f>
        <v>210</v>
      </c>
      <c r="G54" s="0" t="n">
        <f aca="false">Tabla3510813153610[[#This Row],[no_efec_inc]]+Tabla3510813153610[[#This Row],[efect_inc]]</f>
        <v>8</v>
      </c>
      <c r="H54" s="9" t="n">
        <f aca="false">Tabla3510813153610[[#This Row],[Correctos]]/Tabla3510813153610[[#This Row],[total_sec]]</f>
        <v>0.950226244343891</v>
      </c>
      <c r="I54" s="9" t="n">
        <f aca="false">Tabla3510813153610[[#This Row],[efec_cor]]/Tabla3510813153610[[#This Row],[efec]]</f>
        <v>0.972727272727273</v>
      </c>
      <c r="J54" s="9" t="n">
        <f aca="false">Tabla3510813153610[[#This Row],[efect_inc]]/Tabla3510813153610[[#This Row],[efec]]</f>
        <v>0.00909090909090909</v>
      </c>
      <c r="K54" s="9" t="n">
        <f aca="false">Tabla3510813153610[[#This Row],[no_efec_cor]]/Tabla3510813153610[[#This Row],[no_efe]]</f>
        <v>0.927927927927928</v>
      </c>
      <c r="L54" s="9" t="n">
        <f aca="false">Tabla3510813153610[[#This Row],[no_efec_inc]]/Tabla3510813153610[[#This Row],[no_efe]]</f>
        <v>0.0630630630630631</v>
      </c>
      <c r="M54" s="9" t="n">
        <f aca="false">(Tabla3510813153610[[#This Row],[% efe_cor]]+Tabla3510813153610[[#This Row],[% no_efe_cor]])/2</f>
        <v>0.9503276003276</v>
      </c>
      <c r="N54" s="10" t="n">
        <f aca="false">(Tabla3510813153610[[#This Row],[% efe_inc]]+Tabla3510813153610[[#This Row],[% no_efect_inc]])/2</f>
        <v>0.0360769860769861</v>
      </c>
      <c r="O54" s="11" t="n">
        <f aca="false">Tabla3510813153610[[#This Row],[no_efec_cor]]/(Tabla3510813153610[[#This Row],[efect_inc]]+Tabla3510813153610[[#This Row],[no_efec_cor]])</f>
        <v>0.990384615384615</v>
      </c>
      <c r="P54" s="11" t="n">
        <f aca="false">Tabla3510813153610[[#This Row],[efec_cor]]/(Tabla3510813153610[[#This Row],[efec_cor]]+Tabla3510813153610[[#This Row],[no_efec_inc]])</f>
        <v>0.93859649122807</v>
      </c>
      <c r="Q54" s="11" t="n">
        <f aca="false">(Tabla3510813153610[[#This Row],[PNE]]+Tabla3510813153610[[#This Row],[PE]])/2</f>
        <v>0.964490553306343</v>
      </c>
      <c r="R54" s="0" t="n">
        <v>110</v>
      </c>
      <c r="S54" s="0" t="n">
        <v>111</v>
      </c>
      <c r="T54" s="0" t="n">
        <f aca="false">Tabla3510813153610[[#This Row],[efec]]+Tabla3510813153610[[#This Row],[no_efe]]</f>
        <v>221</v>
      </c>
    </row>
    <row r="55" customFormat="false" ht="13.8" hidden="false" customHeight="false" outlineLevel="0" collapsed="false">
      <c r="A55" s="0" t="s">
        <v>45</v>
      </c>
      <c r="B55" s="0" t="n">
        <v>108</v>
      </c>
      <c r="C55" s="0" t="n">
        <v>5</v>
      </c>
      <c r="D55" s="0" t="n">
        <v>99</v>
      </c>
      <c r="E55" s="0" t="n">
        <v>7</v>
      </c>
      <c r="F55" s="0" t="n">
        <f aca="false">Tabla3510813153610[[#This Row],[no_efec_cor]]+Tabla3510813153610[[#This Row],[efec_cor]]</f>
        <v>207</v>
      </c>
      <c r="G55" s="0" t="n">
        <f aca="false">Tabla3510813153610[[#This Row],[no_efec_inc]]+Tabla3510813153610[[#This Row],[efect_inc]]</f>
        <v>12</v>
      </c>
      <c r="H55" s="9" t="n">
        <f aca="false">Tabla3510813153610[[#This Row],[Correctos]]/Tabla3510813153610[[#This Row],[total_sec]]</f>
        <v>0.945205479452055</v>
      </c>
      <c r="I55" s="9" t="n">
        <f aca="false">Tabla3510813153610[[#This Row],[efec_cor]]/Tabla3510813153610[[#This Row],[efec]]</f>
        <v>0.876106194690265</v>
      </c>
      <c r="J55" s="9" t="n">
        <f aca="false">Tabla3510813153610[[#This Row],[efect_inc]]/Tabla3510813153610[[#This Row],[efec]]</f>
        <v>0.0619469026548673</v>
      </c>
      <c r="K55" s="9" t="n">
        <f aca="false">Tabla3510813153610[[#This Row],[no_efec_cor]]/Tabla3510813153610[[#This Row],[no_efe]]</f>
        <v>1.0188679245283</v>
      </c>
      <c r="L55" s="9" t="n">
        <f aca="false">Tabla3510813153610[[#This Row],[no_efec_inc]]/Tabla3510813153610[[#This Row],[no_efe]]</f>
        <v>0.0471698113207547</v>
      </c>
      <c r="M55" s="9" t="n">
        <f aca="false">(Tabla3510813153610[[#This Row],[% efe_cor]]+Tabla3510813153610[[#This Row],[% no_efe_cor]])/2</f>
        <v>0.947487059609284</v>
      </c>
      <c r="N55" s="10" t="n">
        <f aca="false">(Tabla3510813153610[[#This Row],[% efe_inc]]+Tabla3510813153610[[#This Row],[% no_efect_inc]])/2</f>
        <v>0.054558356987811</v>
      </c>
      <c r="O55" s="11" t="n">
        <f aca="false">Tabla3510813153610[[#This Row],[no_efec_cor]]/(Tabla3510813153610[[#This Row],[efect_inc]]+Tabla3510813153610[[#This Row],[no_efec_cor]])</f>
        <v>0.939130434782609</v>
      </c>
      <c r="P55" s="11" t="n">
        <f aca="false">Tabla3510813153610[[#This Row],[efec_cor]]/(Tabla3510813153610[[#This Row],[efec_cor]]+Tabla3510813153610[[#This Row],[no_efec_inc]])</f>
        <v>0.951923076923077</v>
      </c>
      <c r="Q55" s="11" t="n">
        <f aca="false">(Tabla3510813153610[[#This Row],[PNE]]+Tabla3510813153610[[#This Row],[PE]])/2</f>
        <v>0.945526755852843</v>
      </c>
      <c r="R55" s="0" t="n">
        <v>113</v>
      </c>
      <c r="S55" s="0" t="n">
        <v>106</v>
      </c>
      <c r="T55" s="0" t="n">
        <f aca="false">Tabla3510813153610[[#This Row],[efec]]+Tabla3510813153610[[#This Row],[no_efe]]</f>
        <v>219</v>
      </c>
    </row>
    <row r="58" customFormat="false" ht="15" hidden="false" customHeight="false" outlineLevel="0" collapsed="false">
      <c r="A58" s="0" t="s">
        <v>50</v>
      </c>
      <c r="B58" s="0" t="s">
        <v>51</v>
      </c>
    </row>
    <row r="59" customFormat="false" ht="15" hidden="false" customHeight="false" outlineLevel="0" collapsed="false">
      <c r="A59" s="0" t="s">
        <v>52</v>
      </c>
      <c r="B59" s="0" t="s">
        <v>53</v>
      </c>
    </row>
    <row r="60" customFormat="false" ht="15" hidden="false" customHeight="false" outlineLevel="0" collapsed="false">
      <c r="A60" s="0" t="s">
        <v>54</v>
      </c>
      <c r="B60" s="0" t="s">
        <v>55</v>
      </c>
    </row>
    <row r="61" customFormat="false" ht="15.65" hidden="false" customHeight="true" outlineLevel="0" collapsed="false">
      <c r="A61" s="0" t="s">
        <v>56</v>
      </c>
      <c r="B61" s="0" t="s">
        <v>57</v>
      </c>
    </row>
    <row r="62" customFormat="false" ht="15" hidden="false" customHeight="false" outlineLevel="0" collapsed="false">
      <c r="A62" s="0" t="s">
        <v>58</v>
      </c>
      <c r="B62" s="0" t="s">
        <v>59</v>
      </c>
    </row>
    <row r="64" customFormat="false" ht="15" hidden="false" customHeight="false" outlineLevel="0" collapsed="false">
      <c r="A64" s="15" t="s">
        <v>13</v>
      </c>
      <c r="B64" s="15"/>
      <c r="C64" s="15"/>
      <c r="D64" s="15"/>
      <c r="E64" s="15"/>
      <c r="F64" s="15"/>
      <c r="G64" s="15"/>
      <c r="I64" s="15" t="s">
        <v>22</v>
      </c>
      <c r="J64" s="15"/>
      <c r="K64" s="15"/>
      <c r="L64" s="15"/>
      <c r="M64" s="15"/>
      <c r="N64" s="15"/>
      <c r="O64" s="15"/>
    </row>
    <row r="65" customFormat="false" ht="15" hidden="false" customHeight="false" outlineLevel="0" collapsed="false">
      <c r="A65" s="7" t="s">
        <v>39</v>
      </c>
      <c r="B65" s="7" t="s">
        <v>50</v>
      </c>
      <c r="C65" s="7" t="s">
        <v>52</v>
      </c>
      <c r="D65" s="7" t="s">
        <v>54</v>
      </c>
      <c r="E65" s="7" t="s">
        <v>60</v>
      </c>
      <c r="F65" s="7" t="s">
        <v>58</v>
      </c>
      <c r="G65" s="7" t="s">
        <v>61</v>
      </c>
      <c r="I65" s="7" t="s">
        <v>39</v>
      </c>
      <c r="J65" s="7" t="s">
        <v>50</v>
      </c>
      <c r="K65" s="7" t="s">
        <v>52</v>
      </c>
      <c r="L65" s="7" t="s">
        <v>54</v>
      </c>
      <c r="M65" s="7" t="s">
        <v>60</v>
      </c>
      <c r="N65" s="7" t="s">
        <v>58</v>
      </c>
      <c r="O65" s="7" t="s">
        <v>61</v>
      </c>
    </row>
    <row r="66" customFormat="false" ht="13.8" hidden="false" customHeight="false" outlineLevel="0" collapsed="false">
      <c r="A66" s="0" t="s">
        <v>40</v>
      </c>
      <c r="B66" s="0" t="n">
        <v>85.0679</v>
      </c>
      <c r="C66" s="0" t="n">
        <v>90.4977</v>
      </c>
      <c r="D66" s="0" t="n">
        <v>96.8326</v>
      </c>
      <c r="E66" s="0" t="n">
        <v>87.3303</v>
      </c>
      <c r="F66" s="0" t="n">
        <v>97.2851</v>
      </c>
      <c r="G66" s="0" t="n">
        <f aca="false">AVERAGE(B66:F66)</f>
        <v>91.40272</v>
      </c>
      <c r="I66" s="0" t="s">
        <v>44</v>
      </c>
      <c r="J66" s="0" t="n">
        <v>73.991</v>
      </c>
      <c r="K66" s="0" t="n">
        <v>76.9231</v>
      </c>
      <c r="L66" s="0" t="n">
        <v>91.4027</v>
      </c>
      <c r="M66" s="0" t="n">
        <v>95.4751</v>
      </c>
      <c r="N66" s="0" t="n">
        <v>95.0226</v>
      </c>
      <c r="O66" s="16" t="n">
        <f aca="false">AVERAGE(J66:N66)</f>
        <v>86.5629</v>
      </c>
    </row>
    <row r="67" customFormat="false" ht="13.8" hidden="false" customHeight="false" outlineLevel="0" collapsed="false">
      <c r="A67" s="0" t="s">
        <v>41</v>
      </c>
      <c r="B67" s="0" t="n">
        <v>65.9389</v>
      </c>
      <c r="C67" s="0" t="n">
        <v>80.786</v>
      </c>
      <c r="D67" s="0" t="n">
        <v>85.5895</v>
      </c>
      <c r="E67" s="0" t="n">
        <v>94.3231</v>
      </c>
      <c r="F67" s="0" t="n">
        <v>94.3231</v>
      </c>
      <c r="G67" s="0" t="n">
        <f aca="false">AVERAGE(B67:F67)</f>
        <v>84.19212</v>
      </c>
      <c r="I67" s="0" t="s">
        <v>45</v>
      </c>
      <c r="J67" s="0" t="n">
        <v>74.8858</v>
      </c>
      <c r="K67" s="0" t="n">
        <v>73.516</v>
      </c>
      <c r="L67" s="0" t="n">
        <v>85.3881</v>
      </c>
      <c r="M67" s="0" t="n">
        <v>94.0639</v>
      </c>
      <c r="N67" s="0" t="n">
        <v>94.5205</v>
      </c>
      <c r="O67" s="17" t="n">
        <f aca="false">AVERAGE(J67:N67)</f>
        <v>84.47486</v>
      </c>
    </row>
    <row r="68" customFormat="false" ht="13.8" hidden="false" customHeight="false" outlineLevel="0" collapsed="false">
      <c r="A68" s="0" t="s">
        <v>42</v>
      </c>
      <c r="B68" s="0" t="n">
        <v>71.3675</v>
      </c>
      <c r="C68" s="0" t="n">
        <v>84.6154</v>
      </c>
      <c r="D68" s="0" t="n">
        <v>90.1709</v>
      </c>
      <c r="E68" s="0" t="n">
        <v>92.3077</v>
      </c>
      <c r="F68" s="0" t="n">
        <v>92.3077</v>
      </c>
      <c r="G68" s="0" t="n">
        <f aca="false">AVERAGE(B68:F68)</f>
        <v>86.15384</v>
      </c>
      <c r="I68" s="0" t="s">
        <v>43</v>
      </c>
      <c r="J68" s="0" t="n">
        <v>68.7783</v>
      </c>
      <c r="K68" s="0" t="n">
        <v>66.3677</v>
      </c>
      <c r="L68" s="0" t="n">
        <v>78.9238</v>
      </c>
      <c r="M68" s="0" t="n">
        <v>92.8251</v>
      </c>
      <c r="N68" s="0" t="n">
        <v>94.6188</v>
      </c>
      <c r="O68" s="16" t="n">
        <f aca="false">AVERAGE(J68:N68)</f>
        <v>80.30274</v>
      </c>
    </row>
    <row r="69" customFormat="false" ht="13.8" hidden="false" customHeight="false" outlineLevel="0" collapsed="false">
      <c r="A69" s="0" t="s">
        <v>43</v>
      </c>
      <c r="B69" s="0" t="n">
        <v>68.7783</v>
      </c>
      <c r="C69" s="0" t="n">
        <v>66.3677</v>
      </c>
      <c r="D69" s="0" t="n">
        <v>78.9238</v>
      </c>
      <c r="E69" s="0" t="n">
        <v>92.8251</v>
      </c>
      <c r="F69" s="0" t="n">
        <v>94.6188</v>
      </c>
      <c r="G69" s="18" t="n">
        <f aca="false">AVERAGE(B69:F69)</f>
        <v>80.30274</v>
      </c>
      <c r="I69" s="0" t="s">
        <v>40</v>
      </c>
      <c r="J69" s="0" t="n">
        <v>85.0679</v>
      </c>
      <c r="K69" s="0" t="n">
        <v>90.4977</v>
      </c>
      <c r="L69" s="0" t="n">
        <v>96.8326</v>
      </c>
      <c r="M69" s="0" t="n">
        <v>87.3303</v>
      </c>
      <c r="N69" s="0" t="n">
        <v>97.2851</v>
      </c>
      <c r="O69" s="19" t="n">
        <f aca="false">AVERAGE(J69:N69)</f>
        <v>91.40272</v>
      </c>
    </row>
    <row r="70" customFormat="false" ht="13.8" hidden="false" customHeight="false" outlineLevel="0" collapsed="false">
      <c r="A70" s="0" t="s">
        <v>44</v>
      </c>
      <c r="B70" s="0" t="n">
        <v>73.991</v>
      </c>
      <c r="C70" s="0" t="n">
        <v>76.9231</v>
      </c>
      <c r="D70" s="0" t="n">
        <v>91.4027</v>
      </c>
      <c r="E70" s="0" t="n">
        <v>95.4751</v>
      </c>
      <c r="F70" s="0" t="n">
        <v>95.0226</v>
      </c>
      <c r="G70" s="0" t="n">
        <f aca="false">AVERAGE(B70:F70)</f>
        <v>86.5629</v>
      </c>
      <c r="I70" s="0" t="s">
        <v>42</v>
      </c>
      <c r="J70" s="0" t="n">
        <v>71.3675</v>
      </c>
      <c r="K70" s="0" t="n">
        <v>84.6154</v>
      </c>
      <c r="L70" s="0" t="n">
        <v>90.1709</v>
      </c>
      <c r="M70" s="0" t="n">
        <v>92.3077</v>
      </c>
      <c r="N70" s="0" t="n">
        <v>92.3077</v>
      </c>
      <c r="O70" s="16" t="n">
        <f aca="false">AVERAGE(J70:N70)</f>
        <v>86.15384</v>
      </c>
    </row>
    <row r="71" customFormat="false" ht="13.8" hidden="false" customHeight="false" outlineLevel="0" collapsed="false">
      <c r="A71" s="0" t="s">
        <v>45</v>
      </c>
      <c r="B71" s="0" t="n">
        <v>74.8858</v>
      </c>
      <c r="C71" s="0" t="n">
        <v>73.516</v>
      </c>
      <c r="D71" s="0" t="n">
        <v>85.3881</v>
      </c>
      <c r="E71" s="0" t="n">
        <v>94.0639</v>
      </c>
      <c r="F71" s="0" t="n">
        <v>94.5205</v>
      </c>
      <c r="G71" s="0" t="n">
        <f aca="false">AVERAGE(B71:F71)</f>
        <v>84.47486</v>
      </c>
      <c r="I71" s="0" t="s">
        <v>41</v>
      </c>
      <c r="J71" s="0" t="n">
        <v>65.9389</v>
      </c>
      <c r="K71" s="0" t="n">
        <v>80.786</v>
      </c>
      <c r="L71" s="0" t="n">
        <v>85.5895</v>
      </c>
      <c r="M71" s="0" t="n">
        <v>94.3231</v>
      </c>
      <c r="N71" s="0" t="n">
        <v>94.3231</v>
      </c>
      <c r="O71" s="17" t="n">
        <f aca="false">AVERAGE(J71:N71)</f>
        <v>84.19212</v>
      </c>
    </row>
    <row r="72" customFormat="false" ht="15" hidden="false" customHeight="false" outlineLevel="0" collapsed="false">
      <c r="A72" s="0" t="s">
        <v>61</v>
      </c>
      <c r="B72" s="0" t="n">
        <f aca="false">AVERAGE(B66:B71)</f>
        <v>73.3382333333333</v>
      </c>
      <c r="C72" s="0" t="n">
        <f aca="false">AVERAGE(C66:C71)</f>
        <v>78.7843166666667</v>
      </c>
      <c r="D72" s="0" t="n">
        <f aca="false">AVERAGE(D66:D71)</f>
        <v>88.0512666666667</v>
      </c>
      <c r="E72" s="0" t="n">
        <f aca="false">AVERAGE(E66:E71)</f>
        <v>92.7208666666667</v>
      </c>
      <c r="F72" s="18" t="n">
        <f aca="false">AVERAGE(F66:F71)</f>
        <v>94.6796333333333</v>
      </c>
      <c r="G72" s="0" t="n">
        <f aca="false">AVERAGE(G66:G71)</f>
        <v>85.5148633333333</v>
      </c>
      <c r="I72" s="0" t="s">
        <v>61</v>
      </c>
      <c r="J72" s="20" t="n">
        <f aca="false">AVERAGE(J66:J71)</f>
        <v>73.3382333333333</v>
      </c>
      <c r="K72" s="20" t="n">
        <f aca="false">AVERAGE(K66:K71)</f>
        <v>78.7843166666667</v>
      </c>
      <c r="L72" s="20" t="n">
        <f aca="false">AVERAGE(L66:L71)</f>
        <v>88.0512666666667</v>
      </c>
      <c r="M72" s="20" t="n">
        <f aca="false">AVERAGE(M66:M71)</f>
        <v>92.7208666666667</v>
      </c>
      <c r="N72" s="21" t="n">
        <f aca="false">AVERAGE(N66:N71)</f>
        <v>94.6796333333333</v>
      </c>
      <c r="O72" s="22" t="n">
        <f aca="false">AVERAGE(O66:O71)</f>
        <v>85.5148633333333</v>
      </c>
    </row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</sheetData>
  <mergeCells count="16">
    <mergeCell ref="A1:T1"/>
    <mergeCell ref="A3:B3"/>
    <mergeCell ref="A4:B4"/>
    <mergeCell ref="A5:B5"/>
    <mergeCell ref="A7:G7"/>
    <mergeCell ref="A8:T8"/>
    <mergeCell ref="A17:G17"/>
    <mergeCell ref="A18:T18"/>
    <mergeCell ref="A27:G27"/>
    <mergeCell ref="A28:T28"/>
    <mergeCell ref="A37:G37"/>
    <mergeCell ref="A38:T38"/>
    <mergeCell ref="A47:G47"/>
    <mergeCell ref="A48:T48"/>
    <mergeCell ref="A64:G64"/>
    <mergeCell ref="I64:O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43C0B"/>
    <pageSetUpPr fitToPage="false"/>
  </sheetPr>
  <dimension ref="A1:V13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T16" activeCellId="1" sqref="A74:F84 T1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3.89"/>
    <col collapsed="false" customWidth="true" hidden="false" outlineLevel="0" max="3" min="3" style="0" width="11.9"/>
    <col collapsed="false" customWidth="true" hidden="false" outlineLevel="0" max="4" min="4" style="0" width="14.14"/>
    <col collapsed="false" customWidth="true" hidden="false" outlineLevel="0" max="5" min="5" style="0" width="12.71"/>
    <col collapsed="false" customWidth="true" hidden="false" outlineLevel="0" max="6" min="6" style="0" width="11.02"/>
    <col collapsed="false" customWidth="true" hidden="false" outlineLevel="0" max="7" min="7" style="0" width="10.03"/>
  </cols>
  <sheetData>
    <row r="1" customFormat="false" ht="19.5" hidden="false" customHeight="false" outlineLevel="0" collapsed="false">
      <c r="A1" s="1" t="s">
        <v>62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3" customFormat="false" ht="15" hidden="false" customHeight="false" outlineLevel="0" collapsed="false">
      <c r="A3" s="13" t="s">
        <v>5</v>
      </c>
      <c r="B3" s="13"/>
      <c r="C3" s="13"/>
      <c r="D3" s="13"/>
      <c r="E3" s="13"/>
      <c r="F3" s="13"/>
      <c r="G3" s="13"/>
    </row>
    <row r="4" customFormat="false" ht="15.75" hidden="false" customHeight="false" outlineLevel="0" collapsed="false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Format="false" ht="15.75" hidden="false" customHeight="false" outlineLevel="0" collapsed="false">
      <c r="A5" s="7" t="s">
        <v>39</v>
      </c>
      <c r="B5" s="7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7" t="s">
        <v>13</v>
      </c>
      <c r="J5" s="7" t="s">
        <v>14</v>
      </c>
      <c r="K5" s="7" t="s">
        <v>15</v>
      </c>
      <c r="L5" s="7" t="s">
        <v>16</v>
      </c>
      <c r="M5" s="7" t="s">
        <v>17</v>
      </c>
      <c r="N5" s="7" t="s">
        <v>18</v>
      </c>
      <c r="O5" s="7" t="s">
        <v>19</v>
      </c>
      <c r="P5" s="7" t="s">
        <v>20</v>
      </c>
      <c r="Q5" s="7" t="s">
        <v>21</v>
      </c>
      <c r="R5" s="7" t="s">
        <v>22</v>
      </c>
      <c r="S5" s="7" t="s">
        <v>23</v>
      </c>
      <c r="T5" s="7" t="s">
        <v>24</v>
      </c>
      <c r="U5" s="7" t="s">
        <v>25</v>
      </c>
    </row>
    <row r="6" customFormat="false" ht="13.8" hidden="false" customHeight="false" outlineLevel="0" collapsed="false">
      <c r="A6" s="0" t="s">
        <v>40</v>
      </c>
      <c r="B6" s="0" t="n">
        <v>1</v>
      </c>
      <c r="C6" s="0" t="n">
        <v>103</v>
      </c>
      <c r="D6" s="0" t="n">
        <v>4</v>
      </c>
      <c r="E6" s="0" t="n">
        <v>109</v>
      </c>
      <c r="F6" s="0" t="n">
        <v>5</v>
      </c>
      <c r="G6" s="0" t="n">
        <f aca="false">Tabla351081315361014[[#This Row],[no_efec_cor]]+Tabla351081315361014[[#This Row],[efec_cor]]</f>
        <v>212</v>
      </c>
      <c r="H6" s="0" t="n">
        <f aca="false">Tabla351081315361014[[#This Row],[no_efec_inc]]+Tabla351081315361014[[#This Row],[efect_inc]]</f>
        <v>9</v>
      </c>
      <c r="I6" s="9" t="n">
        <f aca="false">Tabla351081315361014[[#This Row],[Correctos]]/Tabla351081315361014[[#This Row],[total_sec]]</f>
        <v>0.959276018099548</v>
      </c>
      <c r="J6" s="9" t="n">
        <f aca="false">Tabla351081315361014[[#This Row],[efec_cor]]/Tabla351081315361014[[#This Row],[efec]]</f>
        <v>0.956140350877193</v>
      </c>
      <c r="K6" s="9" t="n">
        <f aca="false">Tabla351081315361014[[#This Row],[efect_inc]]/Tabla351081315361014[[#This Row],[efec]]</f>
        <v>0.043859649122807</v>
      </c>
      <c r="L6" s="9" t="n">
        <f aca="false">Tabla351081315361014[[#This Row],[no_efec_cor]]/Tabla351081315361014[[#This Row],[no_efe]]</f>
        <v>0.962616822429906</v>
      </c>
      <c r="M6" s="9" t="n">
        <f aca="false">Tabla351081315361014[[#This Row],[no_efec_inc]]/Tabla351081315361014[[#This Row],[no_efe]]</f>
        <v>0.0373831775700935</v>
      </c>
      <c r="N6" s="9" t="n">
        <f aca="false">(Tabla351081315361014[[#This Row],[% efe_cor]]+Tabla351081315361014[[#This Row],[% no_efe_cor]])/2</f>
        <v>0.95937858665355</v>
      </c>
      <c r="O6" s="10" t="n">
        <f aca="false">(Tabla351081315361014[[#This Row],[% efe_inc]]+Tabla351081315361014[[#This Row],[% no_efect_inc]])/2</f>
        <v>0.0406214133464502</v>
      </c>
      <c r="P6" s="11" t="n">
        <f aca="false">Tabla351081315361014[[#This Row],[no_efec_cor]]/(Tabla351081315361014[[#This Row],[efect_inc]]+Tabla351081315361014[[#This Row],[no_efec_cor]])</f>
        <v>0.953703703703704</v>
      </c>
      <c r="Q6" s="11" t="n">
        <f aca="false">Tabla351081315361014[[#This Row],[efec_cor]]/(Tabla351081315361014[[#This Row],[efec_cor]]+Tabla351081315361014[[#This Row],[no_efec_inc]])</f>
        <v>0.964601769911504</v>
      </c>
      <c r="R6" s="11" t="n">
        <f aca="false">(Tabla351081315361014[[#This Row],[PNE]]+Tabla351081315361014[[#This Row],[PE]])/2</f>
        <v>0.959152736807604</v>
      </c>
      <c r="S6" s="0" t="n">
        <v>114</v>
      </c>
      <c r="T6" s="0" t="n">
        <v>107</v>
      </c>
      <c r="U6" s="0" t="n">
        <f aca="false">Tabla351081315361014[[#This Row],[efec]]+Tabla351081315361014[[#This Row],[no_efe]]</f>
        <v>221</v>
      </c>
    </row>
    <row r="7" customFormat="false" ht="13.8" hidden="false" customHeight="false" outlineLevel="0" collapsed="false">
      <c r="A7" s="0" t="s">
        <v>41</v>
      </c>
      <c r="B7" s="0" t="n">
        <v>1</v>
      </c>
      <c r="C7" s="0" t="n">
        <v>112</v>
      </c>
      <c r="D7" s="0" t="n">
        <v>3</v>
      </c>
      <c r="E7" s="0" t="n">
        <v>107</v>
      </c>
      <c r="F7" s="0" t="n">
        <v>7</v>
      </c>
      <c r="G7" s="0" t="n">
        <f aca="false">Tabla351081315361014[[#This Row],[no_efec_cor]]+Tabla351081315361014[[#This Row],[efec_cor]]</f>
        <v>219</v>
      </c>
      <c r="H7" s="0" t="n">
        <f aca="false">Tabla351081315361014[[#This Row],[no_efec_inc]]+Tabla351081315361014[[#This Row],[efect_inc]]</f>
        <v>10</v>
      </c>
      <c r="I7" s="9" t="n">
        <f aca="false">Tabla351081315361014[[#This Row],[Correctos]]/Tabla351081315361014[[#This Row],[total_sec]]</f>
        <v>0.956331877729258</v>
      </c>
      <c r="J7" s="9" t="n">
        <f aca="false">Tabla351081315361014[[#This Row],[efec_cor]]/Tabla351081315361014[[#This Row],[efec]]</f>
        <v>0.93859649122807</v>
      </c>
      <c r="K7" s="9" t="n">
        <f aca="false">Tabla351081315361014[[#This Row],[efect_inc]]/Tabla351081315361014[[#This Row],[efec]]</f>
        <v>0.0614035087719298</v>
      </c>
      <c r="L7" s="9" t="n">
        <f aca="false">Tabla351081315361014[[#This Row],[no_efec_cor]]/Tabla351081315361014[[#This Row],[no_efe]]</f>
        <v>0.973913043478261</v>
      </c>
      <c r="M7" s="9" t="n">
        <f aca="false">Tabla351081315361014[[#This Row],[no_efec_inc]]/Tabla351081315361014[[#This Row],[no_efe]]</f>
        <v>0.0260869565217391</v>
      </c>
      <c r="N7" s="9" t="n">
        <f aca="false">(Tabla351081315361014[[#This Row],[% efe_cor]]+Tabla351081315361014[[#This Row],[% no_efe_cor]])/2</f>
        <v>0.956254767353166</v>
      </c>
      <c r="O7" s="10" t="n">
        <f aca="false">(Tabla351081315361014[[#This Row],[% efe_inc]]+Tabla351081315361014[[#This Row],[% no_efect_inc]])/2</f>
        <v>0.0437452326468345</v>
      </c>
      <c r="P7" s="11" t="n">
        <f aca="false">Tabla351081315361014[[#This Row],[no_efec_cor]]/(Tabla351081315361014[[#This Row],[efect_inc]]+Tabla351081315361014[[#This Row],[no_efec_cor]])</f>
        <v>0.941176470588235</v>
      </c>
      <c r="Q7" s="11" t="n">
        <f aca="false">Tabla351081315361014[[#This Row],[efec_cor]]/(Tabla351081315361014[[#This Row],[efec_cor]]+Tabla351081315361014[[#This Row],[no_efec_inc]])</f>
        <v>0.972727272727273</v>
      </c>
      <c r="R7" s="11" t="n">
        <f aca="false">(Tabla351081315361014[[#This Row],[PNE]]+Tabla351081315361014[[#This Row],[PE]])/2</f>
        <v>0.956951871657754</v>
      </c>
      <c r="S7" s="0" t="n">
        <v>114</v>
      </c>
      <c r="T7" s="0" t="n">
        <v>115</v>
      </c>
      <c r="U7" s="0" t="n">
        <f aca="false">Tabla351081315361014[[#This Row],[efec]]+Tabla351081315361014[[#This Row],[no_efe]]</f>
        <v>229</v>
      </c>
    </row>
    <row r="8" customFormat="false" ht="13.8" hidden="false" customHeight="false" outlineLevel="0" collapsed="false">
      <c r="A8" s="0" t="s">
        <v>42</v>
      </c>
      <c r="B8" s="0" t="n">
        <v>5</v>
      </c>
      <c r="C8" s="0" t="n">
        <v>113</v>
      </c>
      <c r="D8" s="0" t="n">
        <v>5</v>
      </c>
      <c r="E8" s="0" t="n">
        <v>107</v>
      </c>
      <c r="F8" s="0" t="n">
        <v>9</v>
      </c>
      <c r="G8" s="0" t="n">
        <f aca="false">Tabla351081315361014[[#This Row],[no_efec_cor]]+Tabla351081315361014[[#This Row],[efec_cor]]</f>
        <v>220</v>
      </c>
      <c r="H8" s="0" t="n">
        <f aca="false">Tabla351081315361014[[#This Row],[no_efec_inc]]+Tabla351081315361014[[#This Row],[efect_inc]]</f>
        <v>14</v>
      </c>
      <c r="I8" s="9" t="n">
        <f aca="false">Tabla351081315361014[[#This Row],[Correctos]]/Tabla351081315361014[[#This Row],[total_sec]]</f>
        <v>0.94017094017094</v>
      </c>
      <c r="J8" s="9" t="n">
        <f aca="false">Tabla351081315361014[[#This Row],[efec_cor]]/Tabla351081315361014[[#This Row],[efec]]</f>
        <v>0.922413793103448</v>
      </c>
      <c r="K8" s="9" t="n">
        <f aca="false">Tabla351081315361014[[#This Row],[efect_inc]]/Tabla351081315361014[[#This Row],[efec]]</f>
        <v>0.0775862068965517</v>
      </c>
      <c r="L8" s="9" t="n">
        <f aca="false">Tabla351081315361014[[#This Row],[no_efec_cor]]/Tabla351081315361014[[#This Row],[no_efe]]</f>
        <v>0.957627118644068</v>
      </c>
      <c r="M8" s="9" t="n">
        <f aca="false">Tabla351081315361014[[#This Row],[no_efec_inc]]/Tabla351081315361014[[#This Row],[no_efe]]</f>
        <v>0.0423728813559322</v>
      </c>
      <c r="N8" s="9" t="n">
        <f aca="false">(Tabla351081315361014[[#This Row],[% efe_cor]]+Tabla351081315361014[[#This Row],[% no_efe_cor]])/2</f>
        <v>0.940020455873758</v>
      </c>
      <c r="O8" s="10" t="n">
        <f aca="false">(Tabla351081315361014[[#This Row],[% efe_inc]]+Tabla351081315361014[[#This Row],[% no_efect_inc]])/2</f>
        <v>0.059979544126242</v>
      </c>
      <c r="P8" s="11" t="n">
        <f aca="false">Tabla351081315361014[[#This Row],[no_efec_cor]]/(Tabla351081315361014[[#This Row],[efect_inc]]+Tabla351081315361014[[#This Row],[no_efec_cor]])</f>
        <v>0.926229508196721</v>
      </c>
      <c r="Q8" s="11" t="n">
        <f aca="false">Tabla351081315361014[[#This Row],[efec_cor]]/(Tabla351081315361014[[#This Row],[efec_cor]]+Tabla351081315361014[[#This Row],[no_efec_inc]])</f>
        <v>0.955357142857143</v>
      </c>
      <c r="R8" s="11" t="n">
        <f aca="false">(Tabla351081315361014[[#This Row],[PNE]]+Tabla351081315361014[[#This Row],[PE]])/2</f>
        <v>0.940793325526932</v>
      </c>
      <c r="S8" s="0" t="n">
        <v>116</v>
      </c>
      <c r="T8" s="0" t="n">
        <v>118</v>
      </c>
      <c r="U8" s="0" t="n">
        <f aca="false">Tabla351081315361014[[#This Row],[efec]]+Tabla351081315361014[[#This Row],[no_efe]]</f>
        <v>234</v>
      </c>
    </row>
    <row r="9" customFormat="false" ht="13.8" hidden="false" customHeight="false" outlineLevel="0" collapsed="false">
      <c r="A9" s="0" t="s">
        <v>43</v>
      </c>
      <c r="B9" s="0" t="n">
        <v>1</v>
      </c>
      <c r="C9" s="0" t="n">
        <v>104</v>
      </c>
      <c r="D9" s="0" t="n">
        <v>6</v>
      </c>
      <c r="E9" s="0" t="n">
        <v>107</v>
      </c>
      <c r="F9" s="0" t="n">
        <v>6</v>
      </c>
      <c r="G9" s="0" t="n">
        <f aca="false">Tabla351081315361014[[#This Row],[no_efec_cor]]+Tabla351081315361014[[#This Row],[efec_cor]]</f>
        <v>211</v>
      </c>
      <c r="H9" s="0" t="n">
        <f aca="false">Tabla351081315361014[[#This Row],[no_efec_inc]]+Tabla351081315361014[[#This Row],[efect_inc]]</f>
        <v>12</v>
      </c>
      <c r="I9" s="9" t="n">
        <f aca="false">Tabla351081315361014[[#This Row],[Correctos]]/Tabla351081315361014[[#This Row],[total_sec]]</f>
        <v>0.946188340807175</v>
      </c>
      <c r="J9" s="9" t="n">
        <f aca="false">Tabla351081315361014[[#This Row],[efec_cor]]/Tabla351081315361014[[#This Row],[efec]]</f>
        <v>0.946902654867257</v>
      </c>
      <c r="K9" s="9" t="n">
        <f aca="false">Tabla351081315361014[[#This Row],[efect_inc]]/Tabla351081315361014[[#This Row],[efec]]</f>
        <v>0.0530973451327434</v>
      </c>
      <c r="L9" s="9" t="n">
        <f aca="false">Tabla351081315361014[[#This Row],[no_efec_cor]]/Tabla351081315361014[[#This Row],[no_efe]]</f>
        <v>0.945454545454545</v>
      </c>
      <c r="M9" s="9" t="n">
        <f aca="false">Tabla351081315361014[[#This Row],[no_efec_inc]]/Tabla351081315361014[[#This Row],[no_efe]]</f>
        <v>0.0545454545454545</v>
      </c>
      <c r="N9" s="9" t="n">
        <f aca="false">(Tabla351081315361014[[#This Row],[% efe_cor]]+Tabla351081315361014[[#This Row],[% no_efe_cor]])/2</f>
        <v>0.946178600160901</v>
      </c>
      <c r="O9" s="10" t="n">
        <f aca="false">(Tabla351081315361014[[#This Row],[% efe_inc]]+Tabla351081315361014[[#This Row],[% no_efect_inc]])/2</f>
        <v>0.0538213998390989</v>
      </c>
      <c r="P9" s="11" t="n">
        <f aca="false">Tabla351081315361014[[#This Row],[no_efec_cor]]/(Tabla351081315361014[[#This Row],[efect_inc]]+Tabla351081315361014[[#This Row],[no_efec_cor]])</f>
        <v>0.945454545454545</v>
      </c>
      <c r="Q9" s="11" t="n">
        <f aca="false">Tabla351081315361014[[#This Row],[efec_cor]]/(Tabla351081315361014[[#This Row],[efec_cor]]+Tabla351081315361014[[#This Row],[no_efec_inc]])</f>
        <v>0.946902654867257</v>
      </c>
      <c r="R9" s="11" t="n">
        <f aca="false">(Tabla351081315361014[[#This Row],[PNE]]+Tabla351081315361014[[#This Row],[PE]])/2</f>
        <v>0.946178600160901</v>
      </c>
      <c r="S9" s="0" t="n">
        <v>113</v>
      </c>
      <c r="T9" s="0" t="n">
        <v>110</v>
      </c>
      <c r="U9" s="0" t="n">
        <f aca="false">Tabla351081315361014[[#This Row],[efec]]+Tabla351081315361014[[#This Row],[no_efe]]</f>
        <v>223</v>
      </c>
    </row>
    <row r="10" customFormat="false" ht="13.8" hidden="false" customHeight="false" outlineLevel="0" collapsed="false">
      <c r="A10" s="0" t="s">
        <v>44</v>
      </c>
      <c r="B10" s="0" t="n">
        <v>1</v>
      </c>
      <c r="C10" s="0" t="n">
        <v>108</v>
      </c>
      <c r="D10" s="0" t="n">
        <v>3</v>
      </c>
      <c r="E10" s="0" t="n">
        <v>106</v>
      </c>
      <c r="F10" s="0" t="n">
        <v>4</v>
      </c>
      <c r="G10" s="0" t="n">
        <f aca="false">Tabla351081315361014[[#This Row],[no_efec_cor]]+Tabla351081315361014[[#This Row],[efec_cor]]</f>
        <v>214</v>
      </c>
      <c r="H10" s="0" t="n">
        <f aca="false">Tabla351081315361014[[#This Row],[no_efec_inc]]+Tabla351081315361014[[#This Row],[efect_inc]]</f>
        <v>7</v>
      </c>
      <c r="I10" s="9" t="n">
        <f aca="false">Tabla351081315361014[[#This Row],[Correctos]]/Tabla351081315361014[[#This Row],[total_sec]]</f>
        <v>0.968325791855204</v>
      </c>
      <c r="J10" s="9" t="n">
        <f aca="false">Tabla351081315361014[[#This Row],[efec_cor]]/Tabla351081315361014[[#This Row],[efec]]</f>
        <v>0.963636363636364</v>
      </c>
      <c r="K10" s="9" t="n">
        <f aca="false">Tabla351081315361014[[#This Row],[efect_inc]]/Tabla351081315361014[[#This Row],[efec]]</f>
        <v>0.0363636363636364</v>
      </c>
      <c r="L10" s="9" t="n">
        <f aca="false">Tabla351081315361014[[#This Row],[no_efec_cor]]/Tabla351081315361014[[#This Row],[no_efe]]</f>
        <v>0.972972972972973</v>
      </c>
      <c r="M10" s="9" t="n">
        <f aca="false">Tabla351081315361014[[#This Row],[no_efec_inc]]/Tabla351081315361014[[#This Row],[no_efe]]</f>
        <v>0.027027027027027</v>
      </c>
      <c r="N10" s="9" t="n">
        <f aca="false">(Tabla351081315361014[[#This Row],[% efe_cor]]+Tabla351081315361014[[#This Row],[% no_efe_cor]])/2</f>
        <v>0.968304668304668</v>
      </c>
      <c r="O10" s="10" t="n">
        <f aca="false">(Tabla351081315361014[[#This Row],[% efe_inc]]+Tabla351081315361014[[#This Row],[% no_efect_inc]])/2</f>
        <v>0.0316953316953317</v>
      </c>
      <c r="P10" s="11" t="n">
        <f aca="false">Tabla351081315361014[[#This Row],[no_efec_cor]]/(Tabla351081315361014[[#This Row],[efect_inc]]+Tabla351081315361014[[#This Row],[no_efec_cor]])</f>
        <v>0.964285714285714</v>
      </c>
      <c r="Q10" s="11" t="n">
        <f aca="false">Tabla351081315361014[[#This Row],[efec_cor]]/(Tabla351081315361014[[#This Row],[efec_cor]]+Tabla351081315361014[[#This Row],[no_efec_inc]])</f>
        <v>0.972477064220183</v>
      </c>
      <c r="R10" s="11" t="n">
        <f aca="false">(Tabla351081315361014[[#This Row],[PNE]]+Tabla351081315361014[[#This Row],[PE]])/2</f>
        <v>0.968381389252949</v>
      </c>
      <c r="S10" s="0" t="n">
        <v>110</v>
      </c>
      <c r="T10" s="0" t="n">
        <v>111</v>
      </c>
      <c r="U10" s="0" t="n">
        <f aca="false">Tabla351081315361014[[#This Row],[efec]]+Tabla351081315361014[[#This Row],[no_efe]]</f>
        <v>221</v>
      </c>
    </row>
    <row r="11" customFormat="false" ht="13.8" hidden="false" customHeight="false" outlineLevel="0" collapsed="false">
      <c r="A11" s="0" t="s">
        <v>45</v>
      </c>
      <c r="B11" s="0" t="n">
        <v>5</v>
      </c>
      <c r="C11" s="0" t="n">
        <v>103</v>
      </c>
      <c r="D11" s="0" t="n">
        <v>3</v>
      </c>
      <c r="E11" s="0" t="n">
        <v>105</v>
      </c>
      <c r="F11" s="0" t="n">
        <v>8</v>
      </c>
      <c r="G11" s="0" t="n">
        <f aca="false">Tabla351081315361014[[#This Row],[no_efec_cor]]+Tabla351081315361014[[#This Row],[efec_cor]]</f>
        <v>208</v>
      </c>
      <c r="H11" s="0" t="n">
        <f aca="false">Tabla351081315361014[[#This Row],[no_efec_inc]]+Tabla351081315361014[[#This Row],[efect_inc]]</f>
        <v>11</v>
      </c>
      <c r="I11" s="9" t="n">
        <f aca="false">Tabla351081315361014[[#This Row],[Correctos]]/Tabla351081315361014[[#This Row],[total_sec]]</f>
        <v>0.949771689497717</v>
      </c>
      <c r="J11" s="9" t="n">
        <f aca="false">Tabla351081315361014[[#This Row],[efec_cor]]/Tabla351081315361014[[#This Row],[efec]]</f>
        <v>0.929203539823009</v>
      </c>
      <c r="K11" s="9" t="n">
        <f aca="false">Tabla351081315361014[[#This Row],[efect_inc]]/Tabla351081315361014[[#This Row],[efec]]</f>
        <v>0.0707964601769911</v>
      </c>
      <c r="L11" s="9" t="n">
        <f aca="false">Tabla351081315361014[[#This Row],[no_efec_cor]]/Tabla351081315361014[[#This Row],[no_efe]]</f>
        <v>0.971698113207547</v>
      </c>
      <c r="M11" s="9" t="n">
        <f aca="false">Tabla351081315361014[[#This Row],[no_efec_inc]]/Tabla351081315361014[[#This Row],[no_efe]]</f>
        <v>0.0283018867924528</v>
      </c>
      <c r="N11" s="9" t="n">
        <f aca="false">(Tabla351081315361014[[#This Row],[% efe_cor]]+Tabla351081315361014[[#This Row],[% no_efe_cor]])/2</f>
        <v>0.950450826515278</v>
      </c>
      <c r="O11" s="10" t="n">
        <f aca="false">(Tabla351081315361014[[#This Row],[% efe_inc]]+Tabla351081315361014[[#This Row],[% no_efect_inc]])/2</f>
        <v>0.049549173484722</v>
      </c>
      <c r="P11" s="11" t="n">
        <f aca="false">Tabla351081315361014[[#This Row],[no_efec_cor]]/(Tabla351081315361014[[#This Row],[efect_inc]]+Tabla351081315361014[[#This Row],[no_efec_cor]])</f>
        <v>0.927927927927928</v>
      </c>
      <c r="Q11" s="11" t="n">
        <f aca="false">Tabla351081315361014[[#This Row],[efec_cor]]/(Tabla351081315361014[[#This Row],[efec_cor]]+Tabla351081315361014[[#This Row],[no_efec_inc]])</f>
        <v>0.972222222222222</v>
      </c>
      <c r="R11" s="11" t="n">
        <f aca="false">(Tabla351081315361014[[#This Row],[PNE]]+Tabla351081315361014[[#This Row],[PE]])/2</f>
        <v>0.950075075075075</v>
      </c>
      <c r="S11" s="0" t="n">
        <v>113</v>
      </c>
      <c r="T11" s="0" t="n">
        <v>106</v>
      </c>
      <c r="U11" s="0" t="n">
        <f aca="false">Tabla351081315361014[[#This Row],[efec]]+Tabla351081315361014[[#This Row],[no_efe]]</f>
        <v>219</v>
      </c>
    </row>
    <row r="13" customFormat="false" ht="15" hidden="false" customHeight="false" outlineLevel="0" collapsed="false">
      <c r="A13" s="13" t="s">
        <v>5</v>
      </c>
      <c r="B13" s="13"/>
      <c r="C13" s="13"/>
      <c r="D13" s="13"/>
      <c r="E13" s="13"/>
      <c r="F13" s="13"/>
      <c r="G13" s="13"/>
    </row>
    <row r="14" customFormat="false" ht="15.75" hidden="false" customHeight="false" outlineLevel="0" collapsed="false">
      <c r="A14" s="2" t="s">
        <v>63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15.75" hidden="false" customHeight="false" outlineLevel="0" collapsed="false">
      <c r="A15" s="7" t="s">
        <v>39</v>
      </c>
      <c r="B15" s="7" t="s">
        <v>27</v>
      </c>
      <c r="C15" s="7" t="s">
        <v>28</v>
      </c>
      <c r="D15" s="8" t="s">
        <v>7</v>
      </c>
      <c r="E15" s="8" t="s">
        <v>8</v>
      </c>
      <c r="F15" s="8" t="s">
        <v>9</v>
      </c>
      <c r="G15" s="8" t="s">
        <v>10</v>
      </c>
      <c r="H15" s="8" t="s">
        <v>11</v>
      </c>
      <c r="I15" s="8" t="s">
        <v>12</v>
      </c>
      <c r="J15" s="7" t="s">
        <v>13</v>
      </c>
      <c r="K15" s="7" t="s">
        <v>14</v>
      </c>
      <c r="L15" s="7" t="s">
        <v>15</v>
      </c>
      <c r="M15" s="7" t="s">
        <v>16</v>
      </c>
      <c r="N15" s="7" t="s">
        <v>17</v>
      </c>
      <c r="O15" s="7" t="s">
        <v>18</v>
      </c>
      <c r="P15" s="7" t="s">
        <v>19</v>
      </c>
      <c r="Q15" s="7" t="s">
        <v>20</v>
      </c>
      <c r="R15" s="7" t="s">
        <v>21</v>
      </c>
      <c r="S15" s="7" t="s">
        <v>22</v>
      </c>
      <c r="T15" s="7" t="s">
        <v>23</v>
      </c>
      <c r="U15" s="7" t="s">
        <v>24</v>
      </c>
      <c r="V15" s="7" t="s">
        <v>25</v>
      </c>
    </row>
    <row r="16" customFormat="false" ht="13.8" hidden="false" customHeight="false" outlineLevel="0" collapsed="false">
      <c r="A16" s="0" t="s">
        <v>40</v>
      </c>
      <c r="B16" s="0" t="n">
        <v>1</v>
      </c>
      <c r="C16" s="0" t="n">
        <v>0.5</v>
      </c>
      <c r="D16" s="0" t="n">
        <v>106</v>
      </c>
      <c r="E16" s="0" t="n">
        <v>1</v>
      </c>
      <c r="F16" s="0" t="n">
        <v>107</v>
      </c>
      <c r="G16" s="0" t="n">
        <v>7</v>
      </c>
      <c r="H16" s="0" t="n">
        <f aca="false">Tabla35108131536101415[[#This Row],[no_efec_cor]]+Tabla35108131536101415[[#This Row],[efec_cor]]</f>
        <v>213</v>
      </c>
      <c r="I16" s="0" t="n">
        <f aca="false">Tabla35108131536101415[[#This Row],[no_efec_inc]]+Tabla35108131536101415[[#This Row],[efect_inc]]</f>
        <v>8</v>
      </c>
      <c r="J16" s="9" t="n">
        <f aca="false">Tabla35108131536101415[[#This Row],[Correctos]]/Tabla35108131536101415[[#This Row],[total_sec]]</f>
        <v>0.963800904977376</v>
      </c>
      <c r="K16" s="9" t="n">
        <f aca="false">Tabla35108131536101415[[#This Row],[efec_cor]]/Tabla35108131536101415[[#This Row],[efec]]</f>
        <v>0.93859649122807</v>
      </c>
      <c r="L16" s="9" t="n">
        <f aca="false">Tabla35108131536101415[[#This Row],[efect_inc]]/Tabla35108131536101415[[#This Row],[efec]]</f>
        <v>0.0614035087719298</v>
      </c>
      <c r="M16" s="9" t="n">
        <f aca="false">Tabla35108131536101415[[#This Row],[no_efec_cor]]/Tabla35108131536101415[[#This Row],[no_efe]]</f>
        <v>0.990654205607477</v>
      </c>
      <c r="N16" s="9" t="n">
        <f aca="false">Tabla35108131536101415[[#This Row],[no_efec_inc]]/Tabla35108131536101415[[#This Row],[no_efe]]</f>
        <v>0.00934579439252336</v>
      </c>
      <c r="O16" s="9" t="n">
        <f aca="false">(Tabla35108131536101415[[#This Row],[% efe_cor]]+Tabla35108131536101415[[#This Row],[% no_efe_cor]])/2</f>
        <v>0.964625348417773</v>
      </c>
      <c r="P16" s="10" t="n">
        <f aca="false">(Tabla35108131536101415[[#This Row],[% efe_inc]]+Tabla35108131536101415[[#This Row],[% no_efect_inc]])/2</f>
        <v>0.0353746515822266</v>
      </c>
      <c r="Q16" s="11" t="n">
        <f aca="false">Tabla35108131536101415[[#This Row],[no_efec_cor]]/(Tabla35108131536101415[[#This Row],[efect_inc]]+Tabla35108131536101415[[#This Row],[no_efec_cor]])</f>
        <v>0.938053097345133</v>
      </c>
      <c r="R16" s="11" t="n">
        <f aca="false">Tabla35108131536101415[[#This Row],[efec_cor]]/(Tabla35108131536101415[[#This Row],[efec_cor]]+Tabla35108131536101415[[#This Row],[no_efec_inc]])</f>
        <v>0.990740740740741</v>
      </c>
      <c r="S16" s="11" t="n">
        <f aca="false">(Tabla35108131536101415[[#This Row],[PNE]]+Tabla35108131536101415[[#This Row],[PE]])/2</f>
        <v>0.964396919042937</v>
      </c>
      <c r="T16" s="0" t="n">
        <v>114</v>
      </c>
      <c r="U16" s="0" t="n">
        <v>107</v>
      </c>
      <c r="V16" s="0" t="n">
        <f aca="false">Tabla35108131536101415[[#This Row],[efec]]+Tabla35108131536101415[[#This Row],[no_efe]]</f>
        <v>221</v>
      </c>
    </row>
    <row r="17" customFormat="false" ht="13.8" hidden="false" customHeight="false" outlineLevel="0" collapsed="false">
      <c r="A17" s="0" t="s">
        <v>41</v>
      </c>
      <c r="B17" s="0" t="n">
        <v>1</v>
      </c>
      <c r="C17" s="0" t="n">
        <v>2</v>
      </c>
      <c r="D17" s="0" t="n">
        <v>114</v>
      </c>
      <c r="E17" s="0" t="n">
        <v>1</v>
      </c>
      <c r="F17" s="0" t="n">
        <v>105</v>
      </c>
      <c r="G17" s="0" t="n">
        <v>9</v>
      </c>
      <c r="H17" s="0" t="n">
        <f aca="false">Tabla35108131536101415[[#This Row],[no_efec_cor]]+Tabla35108131536101415[[#This Row],[efec_cor]]</f>
        <v>219</v>
      </c>
      <c r="I17" s="0" t="n">
        <f aca="false">Tabla35108131536101415[[#This Row],[no_efec_inc]]+Tabla35108131536101415[[#This Row],[efect_inc]]</f>
        <v>10</v>
      </c>
      <c r="J17" s="9" t="n">
        <f aca="false">Tabla35108131536101415[[#This Row],[Correctos]]/Tabla35108131536101415[[#This Row],[total_sec]]</f>
        <v>0.956331877729258</v>
      </c>
      <c r="K17" s="9" t="n">
        <f aca="false">Tabla35108131536101415[[#This Row],[efec_cor]]/Tabla35108131536101415[[#This Row],[efec]]</f>
        <v>0.921052631578947</v>
      </c>
      <c r="L17" s="9" t="n">
        <f aca="false">Tabla35108131536101415[[#This Row],[efect_inc]]/Tabla35108131536101415[[#This Row],[efec]]</f>
        <v>0.0789473684210526</v>
      </c>
      <c r="M17" s="9" t="n">
        <f aca="false">Tabla35108131536101415[[#This Row],[no_efec_cor]]/Tabla35108131536101415[[#This Row],[no_efe]]</f>
        <v>0.991304347826087</v>
      </c>
      <c r="N17" s="9" t="n">
        <f aca="false">Tabla35108131536101415[[#This Row],[no_efec_inc]]/Tabla35108131536101415[[#This Row],[no_efe]]</f>
        <v>0.00869565217391304</v>
      </c>
      <c r="O17" s="9" t="n">
        <f aca="false">(Tabla35108131536101415[[#This Row],[% efe_cor]]+Tabla35108131536101415[[#This Row],[% no_efe_cor]])/2</f>
        <v>0.956178489702517</v>
      </c>
      <c r="P17" s="10" t="n">
        <f aca="false">(Tabla35108131536101415[[#This Row],[% efe_inc]]+Tabla35108131536101415[[#This Row],[% no_efect_inc]])/2</f>
        <v>0.0438215102974828</v>
      </c>
      <c r="Q17" s="11" t="n">
        <f aca="false">Tabla35108131536101415[[#This Row],[no_efec_cor]]/(Tabla35108131536101415[[#This Row],[efect_inc]]+Tabla35108131536101415[[#This Row],[no_efec_cor]])</f>
        <v>0.926829268292683</v>
      </c>
      <c r="R17" s="11" t="n">
        <f aca="false">Tabla35108131536101415[[#This Row],[efec_cor]]/(Tabla35108131536101415[[#This Row],[efec_cor]]+Tabla35108131536101415[[#This Row],[no_efec_inc]])</f>
        <v>0.990566037735849</v>
      </c>
      <c r="S17" s="11" t="n">
        <f aca="false">(Tabla35108131536101415[[#This Row],[PNE]]+Tabla35108131536101415[[#This Row],[PE]])/2</f>
        <v>0.958697653014266</v>
      </c>
      <c r="T17" s="0" t="n">
        <v>114</v>
      </c>
      <c r="U17" s="0" t="n">
        <v>115</v>
      </c>
      <c r="V17" s="0" t="n">
        <f aca="false">Tabla35108131536101415[[#This Row],[efec]]+Tabla35108131536101415[[#This Row],[no_efe]]</f>
        <v>229</v>
      </c>
    </row>
    <row r="18" customFormat="false" ht="13.8" hidden="false" customHeight="false" outlineLevel="0" collapsed="false">
      <c r="A18" s="0" t="s">
        <v>42</v>
      </c>
      <c r="B18" s="0" t="n">
        <v>1</v>
      </c>
      <c r="C18" s="0" t="n">
        <v>5</v>
      </c>
      <c r="D18" s="0" t="n">
        <v>116</v>
      </c>
      <c r="E18" s="0" t="n">
        <v>2</v>
      </c>
      <c r="F18" s="0" t="n">
        <v>106</v>
      </c>
      <c r="G18" s="0" t="n">
        <v>10</v>
      </c>
      <c r="H18" s="0" t="n">
        <f aca="false">Tabla35108131536101415[[#This Row],[no_efec_cor]]+Tabla35108131536101415[[#This Row],[efec_cor]]</f>
        <v>222</v>
      </c>
      <c r="I18" s="0" t="n">
        <f aca="false">Tabla35108131536101415[[#This Row],[no_efec_inc]]+Tabla35108131536101415[[#This Row],[efect_inc]]</f>
        <v>12</v>
      </c>
      <c r="J18" s="9" t="n">
        <f aca="false">Tabla35108131536101415[[#This Row],[Correctos]]/Tabla35108131536101415[[#This Row],[total_sec]]</f>
        <v>0.948717948717949</v>
      </c>
      <c r="K18" s="9" t="n">
        <f aca="false">Tabla35108131536101415[[#This Row],[efec_cor]]/Tabla35108131536101415[[#This Row],[efec]]</f>
        <v>0.913793103448276</v>
      </c>
      <c r="L18" s="9" t="n">
        <f aca="false">Tabla35108131536101415[[#This Row],[efect_inc]]/Tabla35108131536101415[[#This Row],[efec]]</f>
        <v>0.0862068965517241</v>
      </c>
      <c r="M18" s="9" t="n">
        <f aca="false">Tabla35108131536101415[[#This Row],[no_efec_cor]]/Tabla35108131536101415[[#This Row],[no_efe]]</f>
        <v>0.983050847457627</v>
      </c>
      <c r="N18" s="9" t="n">
        <f aca="false">Tabla35108131536101415[[#This Row],[no_efec_inc]]/Tabla35108131536101415[[#This Row],[no_efe]]</f>
        <v>0.0169491525423729</v>
      </c>
      <c r="O18" s="9" t="n">
        <f aca="false">(Tabla35108131536101415[[#This Row],[% efe_cor]]+Tabla35108131536101415[[#This Row],[% no_efe_cor]])/2</f>
        <v>0.948421975452951</v>
      </c>
      <c r="P18" s="10" t="n">
        <f aca="false">(Tabla35108131536101415[[#This Row],[% efe_inc]]+Tabla35108131536101415[[#This Row],[% no_efect_inc]])/2</f>
        <v>0.0515780245470485</v>
      </c>
      <c r="Q18" s="11" t="n">
        <f aca="false">Tabla35108131536101415[[#This Row],[no_efec_cor]]/(Tabla35108131536101415[[#This Row],[efect_inc]]+Tabla35108131536101415[[#This Row],[no_efec_cor]])</f>
        <v>0.920634920634921</v>
      </c>
      <c r="R18" s="11" t="n">
        <f aca="false">Tabla35108131536101415[[#This Row],[efec_cor]]/(Tabla35108131536101415[[#This Row],[efec_cor]]+Tabla35108131536101415[[#This Row],[no_efec_inc]])</f>
        <v>0.981481481481482</v>
      </c>
      <c r="S18" s="11" t="n">
        <f aca="false">(Tabla35108131536101415[[#This Row],[PNE]]+Tabla35108131536101415[[#This Row],[PE]])/2</f>
        <v>0.951058201058201</v>
      </c>
      <c r="T18" s="0" t="n">
        <v>116</v>
      </c>
      <c r="U18" s="0" t="n">
        <v>118</v>
      </c>
      <c r="V18" s="0" t="n">
        <f aca="false">Tabla35108131536101415[[#This Row],[efec]]+Tabla35108131536101415[[#This Row],[no_efe]]</f>
        <v>234</v>
      </c>
    </row>
    <row r="19" customFormat="false" ht="13.8" hidden="false" customHeight="false" outlineLevel="0" collapsed="false">
      <c r="A19" s="0" t="s">
        <v>43</v>
      </c>
      <c r="B19" s="0" t="n">
        <v>5</v>
      </c>
      <c r="C19" s="0" t="n">
        <v>1</v>
      </c>
      <c r="D19" s="0" t="n">
        <v>107</v>
      </c>
      <c r="E19" s="0" t="n">
        <v>3</v>
      </c>
      <c r="F19" s="0" t="n">
        <v>106</v>
      </c>
      <c r="G19" s="0" t="n">
        <v>7</v>
      </c>
      <c r="H19" s="0" t="n">
        <f aca="false">Tabla35108131536101415[[#This Row],[no_efec_cor]]+Tabla35108131536101415[[#This Row],[efec_cor]]</f>
        <v>213</v>
      </c>
      <c r="I19" s="0" t="n">
        <f aca="false">Tabla35108131536101415[[#This Row],[no_efec_inc]]+Tabla35108131536101415[[#This Row],[efect_inc]]</f>
        <v>10</v>
      </c>
      <c r="J19" s="9" t="n">
        <f aca="false">Tabla35108131536101415[[#This Row],[Correctos]]/Tabla35108131536101415[[#This Row],[total_sec]]</f>
        <v>0.955156950672646</v>
      </c>
      <c r="K19" s="9" t="n">
        <f aca="false">Tabla35108131536101415[[#This Row],[efec_cor]]/Tabla35108131536101415[[#This Row],[efec]]</f>
        <v>0.938053097345133</v>
      </c>
      <c r="L19" s="9" t="n">
        <f aca="false">Tabla35108131536101415[[#This Row],[efect_inc]]/Tabla35108131536101415[[#This Row],[efec]]</f>
        <v>0.0619469026548673</v>
      </c>
      <c r="M19" s="9" t="n">
        <f aca="false">Tabla35108131536101415[[#This Row],[no_efec_cor]]/Tabla35108131536101415[[#This Row],[no_efe]]</f>
        <v>0.972727272727273</v>
      </c>
      <c r="N19" s="9" t="n">
        <f aca="false">Tabla35108131536101415[[#This Row],[no_efec_inc]]/Tabla35108131536101415[[#This Row],[no_efe]]</f>
        <v>0.0272727272727273</v>
      </c>
      <c r="O19" s="9" t="n">
        <f aca="false">(Tabla35108131536101415[[#This Row],[% efe_cor]]+Tabla35108131536101415[[#This Row],[% no_efe_cor]])/2</f>
        <v>0.955390185036203</v>
      </c>
      <c r="P19" s="10" t="n">
        <f aca="false">(Tabla35108131536101415[[#This Row],[% efe_inc]]+Tabla35108131536101415[[#This Row],[% no_efect_inc]])/2</f>
        <v>0.0446098149637973</v>
      </c>
      <c r="Q19" s="11" t="n">
        <f aca="false">Tabla35108131536101415[[#This Row],[no_efec_cor]]/(Tabla35108131536101415[[#This Row],[efect_inc]]+Tabla35108131536101415[[#This Row],[no_efec_cor]])</f>
        <v>0.93859649122807</v>
      </c>
      <c r="R19" s="11" t="n">
        <f aca="false">Tabla35108131536101415[[#This Row],[efec_cor]]/(Tabla35108131536101415[[#This Row],[efec_cor]]+Tabla35108131536101415[[#This Row],[no_efec_inc]])</f>
        <v>0.972477064220183</v>
      </c>
      <c r="S19" s="11" t="n">
        <f aca="false">(Tabla35108131536101415[[#This Row],[PNE]]+Tabla35108131536101415[[#This Row],[PE]])/2</f>
        <v>0.955536777724127</v>
      </c>
      <c r="T19" s="0" t="n">
        <v>113</v>
      </c>
      <c r="U19" s="0" t="n">
        <v>110</v>
      </c>
      <c r="V19" s="0" t="n">
        <f aca="false">Tabla35108131536101415[[#This Row],[efec]]+Tabla35108131536101415[[#This Row],[no_efe]]</f>
        <v>223</v>
      </c>
    </row>
    <row r="20" customFormat="false" ht="13.8" hidden="false" customHeight="false" outlineLevel="0" collapsed="false">
      <c r="A20" s="0" t="s">
        <v>44</v>
      </c>
      <c r="B20" s="0" t="n">
        <v>3</v>
      </c>
      <c r="C20" s="0" t="n">
        <v>0.5</v>
      </c>
      <c r="D20" s="0" t="n">
        <v>110</v>
      </c>
      <c r="E20" s="0" t="n">
        <v>1</v>
      </c>
      <c r="F20" s="0" t="n">
        <v>103</v>
      </c>
      <c r="G20" s="0" t="n">
        <v>7</v>
      </c>
      <c r="H20" s="0" t="n">
        <f aca="false">Tabla35108131536101415[[#This Row],[no_efec_cor]]+Tabla35108131536101415[[#This Row],[efec_cor]]</f>
        <v>213</v>
      </c>
      <c r="I20" s="0" t="n">
        <f aca="false">Tabla35108131536101415[[#This Row],[no_efec_inc]]+Tabla35108131536101415[[#This Row],[efect_inc]]</f>
        <v>8</v>
      </c>
      <c r="J20" s="9" t="n">
        <f aca="false">Tabla35108131536101415[[#This Row],[Correctos]]/Tabla35108131536101415[[#This Row],[total_sec]]</f>
        <v>0.963800904977376</v>
      </c>
      <c r="K20" s="9" t="n">
        <f aca="false">Tabla35108131536101415[[#This Row],[efec_cor]]/Tabla35108131536101415[[#This Row],[efec]]</f>
        <v>0.936363636363636</v>
      </c>
      <c r="L20" s="9" t="n">
        <f aca="false">Tabla35108131536101415[[#This Row],[efect_inc]]/Tabla35108131536101415[[#This Row],[efec]]</f>
        <v>0.0636363636363636</v>
      </c>
      <c r="M20" s="9" t="n">
        <f aca="false">Tabla35108131536101415[[#This Row],[no_efec_cor]]/Tabla35108131536101415[[#This Row],[no_efe]]</f>
        <v>0.990990990990991</v>
      </c>
      <c r="N20" s="9" t="n">
        <f aca="false">Tabla35108131536101415[[#This Row],[no_efec_inc]]/Tabla35108131536101415[[#This Row],[no_efe]]</f>
        <v>0.00900900900900901</v>
      </c>
      <c r="O20" s="9" t="n">
        <f aca="false">(Tabla35108131536101415[[#This Row],[% efe_cor]]+Tabla35108131536101415[[#This Row],[% no_efe_cor]])/2</f>
        <v>0.963677313677314</v>
      </c>
      <c r="P20" s="10" t="n">
        <f aca="false">(Tabla35108131536101415[[#This Row],[% efe_inc]]+Tabla35108131536101415[[#This Row],[% no_efect_inc]])/2</f>
        <v>0.0363226863226863</v>
      </c>
      <c r="Q20" s="11" t="n">
        <f aca="false">Tabla35108131536101415[[#This Row],[no_efec_cor]]/(Tabla35108131536101415[[#This Row],[efect_inc]]+Tabla35108131536101415[[#This Row],[no_efec_cor]])</f>
        <v>0.94017094017094</v>
      </c>
      <c r="R20" s="11" t="n">
        <f aca="false">Tabla35108131536101415[[#This Row],[efec_cor]]/(Tabla35108131536101415[[#This Row],[efec_cor]]+Tabla35108131536101415[[#This Row],[no_efec_inc]])</f>
        <v>0.990384615384615</v>
      </c>
      <c r="S20" s="11" t="n">
        <f aca="false">(Tabla35108131536101415[[#This Row],[PNE]]+Tabla35108131536101415[[#This Row],[PE]])/2</f>
        <v>0.965277777777778</v>
      </c>
      <c r="T20" s="0" t="n">
        <v>110</v>
      </c>
      <c r="U20" s="0" t="n">
        <v>111</v>
      </c>
      <c r="V20" s="0" t="n">
        <f aca="false">Tabla35108131536101415[[#This Row],[efec]]+Tabla35108131536101415[[#This Row],[no_efe]]</f>
        <v>221</v>
      </c>
    </row>
    <row r="21" customFormat="false" ht="13.8" hidden="false" customHeight="false" outlineLevel="0" collapsed="false">
      <c r="A21" s="0" t="s">
        <v>45</v>
      </c>
      <c r="B21" s="0" t="n">
        <v>1</v>
      </c>
      <c r="C21" s="0" t="n">
        <v>0.5</v>
      </c>
      <c r="D21" s="0" t="n">
        <v>106</v>
      </c>
      <c r="E21" s="0" t="n">
        <v>0</v>
      </c>
      <c r="F21" s="0" t="n">
        <v>103</v>
      </c>
      <c r="G21" s="0" t="n">
        <v>10</v>
      </c>
      <c r="H21" s="0" t="n">
        <f aca="false">Tabla35108131536101415[[#This Row],[no_efec_cor]]+Tabla35108131536101415[[#This Row],[efec_cor]]</f>
        <v>209</v>
      </c>
      <c r="I21" s="0" t="n">
        <f aca="false">Tabla35108131536101415[[#This Row],[no_efec_inc]]+Tabla35108131536101415[[#This Row],[efect_inc]]</f>
        <v>10</v>
      </c>
      <c r="J21" s="9" t="n">
        <f aca="false">Tabla35108131536101415[[#This Row],[Correctos]]/Tabla35108131536101415[[#This Row],[total_sec]]</f>
        <v>0.954337899543379</v>
      </c>
      <c r="K21" s="9" t="n">
        <f aca="false">Tabla35108131536101415[[#This Row],[efec_cor]]/Tabla35108131536101415[[#This Row],[efec]]</f>
        <v>0.911504424778761</v>
      </c>
      <c r="L21" s="9" t="n">
        <f aca="false">Tabla35108131536101415[[#This Row],[efect_inc]]/Tabla35108131536101415[[#This Row],[efec]]</f>
        <v>0.0884955752212389</v>
      </c>
      <c r="M21" s="9" t="n">
        <f aca="false">Tabla35108131536101415[[#This Row],[no_efec_cor]]/Tabla35108131536101415[[#This Row],[no_efe]]</f>
        <v>1</v>
      </c>
      <c r="N21" s="9" t="n">
        <f aca="false">Tabla35108131536101415[[#This Row],[no_efec_inc]]/Tabla35108131536101415[[#This Row],[no_efe]]</f>
        <v>0</v>
      </c>
      <c r="O21" s="9" t="n">
        <f aca="false">(Tabla35108131536101415[[#This Row],[% efe_cor]]+Tabla35108131536101415[[#This Row],[% no_efe_cor]])/2</f>
        <v>0.95575221238938</v>
      </c>
      <c r="P21" s="10" t="n">
        <f aca="false">(Tabla35108131536101415[[#This Row],[% efe_inc]]+Tabla35108131536101415[[#This Row],[% no_efect_inc]])/2</f>
        <v>0.0442477876106195</v>
      </c>
      <c r="Q21" s="11" t="n">
        <f aca="false">Tabla35108131536101415[[#This Row],[no_efec_cor]]/(Tabla35108131536101415[[#This Row],[efect_inc]]+Tabla35108131536101415[[#This Row],[no_efec_cor]])</f>
        <v>0.913793103448276</v>
      </c>
      <c r="R21" s="11" t="n">
        <f aca="false">Tabla35108131536101415[[#This Row],[efec_cor]]/(Tabla35108131536101415[[#This Row],[efec_cor]]+Tabla35108131536101415[[#This Row],[no_efec_inc]])</f>
        <v>1</v>
      </c>
      <c r="S21" s="11" t="n">
        <f aca="false">(Tabla35108131536101415[[#This Row],[PNE]]+Tabla35108131536101415[[#This Row],[PE]])/2</f>
        <v>0.956896551724138</v>
      </c>
      <c r="T21" s="0" t="n">
        <v>113</v>
      </c>
      <c r="U21" s="0" t="n">
        <v>106</v>
      </c>
      <c r="V21" s="0" t="n">
        <f aca="false">Tabla35108131536101415[[#This Row],[efec]]+Tabla35108131536101415[[#This Row],[no_efe]]</f>
        <v>219</v>
      </c>
    </row>
    <row r="24" customFormat="false" ht="15" hidden="false" customHeight="false" outlineLevel="0" collapsed="false">
      <c r="A24" s="23" t="s">
        <v>64</v>
      </c>
      <c r="B24" s="23"/>
      <c r="C24" s="23"/>
      <c r="D24" s="23"/>
      <c r="E24" s="23"/>
      <c r="F24" s="23"/>
      <c r="G24" s="23"/>
    </row>
    <row r="25" customFormat="false" ht="15" hidden="false" customHeight="false" outlineLevel="0" collapsed="false">
      <c r="A25" s="7" t="s">
        <v>39</v>
      </c>
      <c r="B25" s="7" t="s">
        <v>65</v>
      </c>
      <c r="C25" s="7" t="s">
        <v>66</v>
      </c>
      <c r="D25" s="7" t="s">
        <v>67</v>
      </c>
      <c r="E25" s="7" t="s">
        <v>68</v>
      </c>
      <c r="F25" s="7" t="s">
        <v>69</v>
      </c>
      <c r="G25" s="7" t="s">
        <v>70</v>
      </c>
    </row>
    <row r="26" customFormat="false" ht="13.8" hidden="false" customHeight="false" outlineLevel="0" collapsed="false">
      <c r="A26" s="0" t="s">
        <v>40</v>
      </c>
      <c r="B26" s="9" t="n">
        <v>0.968325791855204</v>
      </c>
      <c r="C26" s="9" t="n">
        <v>0.968381389252949</v>
      </c>
      <c r="D26" s="9" t="n">
        <v>0.963800904977376</v>
      </c>
      <c r="E26" s="9" t="n">
        <v>0.965277777777778</v>
      </c>
      <c r="F26" s="9"/>
      <c r="G26" s="9"/>
    </row>
    <row r="27" customFormat="false" ht="13.8" hidden="false" customHeight="false" outlineLevel="0" collapsed="false">
      <c r="A27" s="0" t="s">
        <v>41</v>
      </c>
      <c r="B27" s="9" t="n">
        <v>0.94017094017094</v>
      </c>
      <c r="C27" s="9" t="n">
        <v>0.940793325526932</v>
      </c>
      <c r="D27" s="9" t="n">
        <v>0.948717948717949</v>
      </c>
      <c r="E27" s="9" t="n">
        <v>0.951058201058201</v>
      </c>
      <c r="F27" s="9"/>
      <c r="G27" s="9"/>
    </row>
    <row r="28" customFormat="false" ht="13.8" hidden="false" customHeight="false" outlineLevel="0" collapsed="false">
      <c r="A28" s="0" t="s">
        <v>42</v>
      </c>
      <c r="B28" s="9" t="n">
        <v>0.956331877729258</v>
      </c>
      <c r="C28" s="9" t="n">
        <v>0.956951871657754</v>
      </c>
      <c r="D28" s="9" t="n">
        <v>0.956331877729258</v>
      </c>
      <c r="E28" s="9" t="n">
        <v>0.958697653014266</v>
      </c>
      <c r="F28" s="9"/>
      <c r="G28" s="9"/>
    </row>
    <row r="29" customFormat="false" ht="13.8" hidden="false" customHeight="false" outlineLevel="0" collapsed="false">
      <c r="A29" s="0" t="s">
        <v>43</v>
      </c>
      <c r="B29" s="9" t="n">
        <v>0.946188340807175</v>
      </c>
      <c r="C29" s="9" t="n">
        <v>0.946178600160901</v>
      </c>
      <c r="D29" s="9" t="n">
        <v>0.955156950672646</v>
      </c>
      <c r="E29" s="9" t="n">
        <v>0.955536777724127</v>
      </c>
      <c r="F29" s="9"/>
      <c r="G29" s="9"/>
    </row>
    <row r="30" customFormat="false" ht="13.8" hidden="false" customHeight="false" outlineLevel="0" collapsed="false">
      <c r="A30" s="0" t="s">
        <v>44</v>
      </c>
      <c r="B30" s="9" t="n">
        <v>0.959276018099548</v>
      </c>
      <c r="C30" s="9" t="n">
        <v>0.959152736807604</v>
      </c>
      <c r="D30" s="9" t="n">
        <v>0.963800904977376</v>
      </c>
      <c r="E30" s="9" t="n">
        <v>0.964396919042937</v>
      </c>
      <c r="F30" s="9"/>
      <c r="G30" s="9"/>
    </row>
    <row r="31" customFormat="false" ht="13.8" hidden="false" customHeight="false" outlineLevel="0" collapsed="false">
      <c r="A31" s="0" t="s">
        <v>45</v>
      </c>
      <c r="B31" s="9" t="n">
        <v>0.949771689497717</v>
      </c>
      <c r="C31" s="9" t="n">
        <v>0.950075075075075</v>
      </c>
      <c r="D31" s="9" t="n">
        <v>0.954337899543379</v>
      </c>
      <c r="E31" s="9" t="n">
        <v>0.956896551724138</v>
      </c>
      <c r="F31" s="9"/>
      <c r="G31" s="9"/>
    </row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>
      <c r="B55" s="9"/>
      <c r="C55" s="9"/>
      <c r="D55" s="9"/>
      <c r="E55" s="9"/>
    </row>
    <row r="56" customFormat="false" ht="13.8" hidden="false" customHeight="false" outlineLevel="0" collapsed="false">
      <c r="B56" s="9"/>
      <c r="C56" s="9"/>
      <c r="D56" s="9"/>
      <c r="E56" s="9"/>
    </row>
    <row r="57" customFormat="false" ht="13.8" hidden="false" customHeight="false" outlineLevel="0" collapsed="false">
      <c r="B57" s="9"/>
      <c r="C57" s="9"/>
      <c r="D57" s="9"/>
      <c r="E57" s="9"/>
    </row>
    <row r="58" customFormat="false" ht="13.8" hidden="false" customHeight="false" outlineLevel="0" collapsed="false">
      <c r="B58" s="9"/>
      <c r="C58" s="9"/>
      <c r="D58" s="9"/>
      <c r="E58" s="9"/>
    </row>
    <row r="59" customFormat="false" ht="13.8" hidden="false" customHeight="false" outlineLevel="0" collapsed="false">
      <c r="B59" s="9"/>
      <c r="C59" s="9"/>
      <c r="D59" s="9"/>
      <c r="E59" s="9"/>
    </row>
    <row r="60" customFormat="false" ht="13.8" hidden="false" customHeight="false" outlineLevel="0" collapsed="false">
      <c r="B60" s="9"/>
      <c r="C60" s="9"/>
      <c r="D60" s="9"/>
      <c r="E60" s="9"/>
    </row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</sheetData>
  <mergeCells count="6">
    <mergeCell ref="A1:V1"/>
    <mergeCell ref="A3:G3"/>
    <mergeCell ref="A4:U4"/>
    <mergeCell ref="A13:G13"/>
    <mergeCell ref="A14:V14"/>
    <mergeCell ref="A24:G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Ragnarök PC</dc:creator>
  <dc:description/>
  <dc:language>es-MX</dc:language>
  <cp:lastModifiedBy/>
  <dcterms:modified xsi:type="dcterms:W3CDTF">2021-02-13T05:04:37Z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