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8.xml" ContentType="application/vnd.openxmlformats-officedocument.spreadsheetml.table+xml"/>
  <Override PartName="/xl/tables/table14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.xml" ContentType="application/vnd.openxmlformats-officedocument.spreadsheetml.table+xml"/>
  <Override PartName="/xl/tables/table22.xml" ContentType="application/vnd.openxmlformats-officedocument.spreadsheetml.table+xml"/>
  <Override PartName="/xl/tables/table19.xml" ContentType="application/vnd.openxmlformats-officedocument.spreadsheetml.table+xml"/>
  <Override PartName="/xl/tables/table21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AC" sheetId="1" state="visible" r:id="rId2"/>
    <sheet name="ACC_hidro" sheetId="2" state="visible" r:id="rId3"/>
    <sheet name="ACC_mass" sheetId="3" state="visible" r:id="rId4"/>
    <sheet name="PseAAC_hidro" sheetId="4" state="visible" r:id="rId5"/>
    <sheet name="PseAAC_hidro_mass" sheetId="5" state="visible" r:id="rId6"/>
    <sheet name="PseAAC_mass" sheetId="6" state="visible" r:id="rId7"/>
    <sheet name="Deep_learning" sheetId="7" state="visible" r:id="rId8"/>
    <sheet name="Comparativ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<sst xmlns="http://schemas.openxmlformats.org/spreadsheetml/2006/main" count="558" uniqueCount="71">
  <si>
    <t xml:space="preserve">Composición de aminoácidos (AAC) Heterodera_ds1</t>
  </si>
  <si>
    <t xml:space="preserve">k -vecinos más cercanos (KNN)</t>
  </si>
  <si>
    <t xml:space="preserve">N° Efectores</t>
  </si>
  <si>
    <t xml:space="preserve">N° No efectores</t>
  </si>
  <si>
    <t xml:space="preserve">Total</t>
  </si>
  <si>
    <t xml:space="preserve">(no_efec_cor = no efectores correctos, efec_cor = efectores correctos, PNE = Precisión no efectores, PE = Precisión efectores).</t>
  </si>
  <si>
    <t xml:space="preserve">KNN</t>
  </si>
  <si>
    <t xml:space="preserve">no_efec_cor</t>
  </si>
  <si>
    <t xml:space="preserve">no_efec_inc</t>
  </si>
  <si>
    <t xml:space="preserve">efec_cor</t>
  </si>
  <si>
    <t xml:space="preserve">efect_inc</t>
  </si>
  <si>
    <t xml:space="preserve">Correctos</t>
  </si>
  <si>
    <t xml:space="preserve">Incorrectos</t>
  </si>
  <si>
    <t xml:space="preserve">Exactitud</t>
  </si>
  <si>
    <t xml:space="preserve">% efe_cor</t>
  </si>
  <si>
    <t xml:space="preserve">% efe_inc</t>
  </si>
  <si>
    <t xml:space="preserve">% no_efe_cor</t>
  </si>
  <si>
    <t xml:space="preserve">% no_efect_inc</t>
  </si>
  <si>
    <t xml:space="preserve">% corectos</t>
  </si>
  <si>
    <t xml:space="preserve">% incorrectos</t>
  </si>
  <si>
    <t xml:space="preserve">PNE</t>
  </si>
  <si>
    <t xml:space="preserve">PE</t>
  </si>
  <si>
    <t xml:space="preserve">Presición</t>
  </si>
  <si>
    <t xml:space="preserve">efec</t>
  </si>
  <si>
    <t xml:space="preserve">no_efe</t>
  </si>
  <si>
    <t xml:space="preserve">total_sec</t>
  </si>
  <si>
    <t xml:space="preserve">Máquinas de vectores de soporte (SVM)</t>
  </si>
  <si>
    <t xml:space="preserve">costo</t>
  </si>
  <si>
    <t xml:space="preserve">gama</t>
  </si>
  <si>
    <t xml:space="preserve">N° efec</t>
  </si>
  <si>
    <t xml:space="preserve">N° no_efe</t>
  </si>
  <si>
    <t xml:space="preserve">Covarianza de auto cruzamiento (ACC) hidro Heterodera_ds1</t>
  </si>
  <si>
    <t xml:space="preserve">Covarianza de auto cruzamiento (ACC) hidro archaea_ds2</t>
  </si>
  <si>
    <t xml:space="preserve">Covarianza de auto cruzamiento (ACC) mass Heterodera_ds1</t>
  </si>
  <si>
    <t xml:space="preserve">Composición de pseudo aminoácidos (PseAAC) hidro Heterodera_ds1</t>
  </si>
  <si>
    <t xml:space="preserve">Composición de pseudo aminoácidos (PseAAC) hidro_mass Heterodera_ds1</t>
  </si>
  <si>
    <t xml:space="preserve">Composición de pseudo aminoácidos (PseAAC) mass Heterodera_ds1</t>
  </si>
  <si>
    <t xml:space="preserve">Deep learning Heterodera_ds1</t>
  </si>
  <si>
    <t xml:space="preserve">Modelo [8, 7, 6, 5, 4, 3, 2]</t>
  </si>
  <si>
    <t xml:space="preserve">índice</t>
  </si>
  <si>
    <t xml:space="preserve">AAC</t>
  </si>
  <si>
    <t xml:space="preserve">ACC_hidro</t>
  </si>
  <si>
    <t xml:space="preserve">ACC_mass</t>
  </si>
  <si>
    <t xml:space="preserve">PseAAC_hidro</t>
  </si>
  <si>
    <t xml:space="preserve">PseAAC_hidro_mass</t>
  </si>
  <si>
    <t xml:space="preserve">PseAAC_mass</t>
  </si>
  <si>
    <t xml:space="preserve">Modelo [8, 6, 4, 3, 2]</t>
  </si>
  <si>
    <t xml:space="preserve">Modelo [8, 6, 4, 3]</t>
  </si>
  <si>
    <t xml:space="preserve">Modelo  [8, 6, 4]</t>
  </si>
  <si>
    <t xml:space="preserve">Modelo  [8, 4]</t>
  </si>
  <si>
    <t xml:space="preserve">Modelo 1</t>
  </si>
  <si>
    <t xml:space="preserve">[8, 7, 6, 5, 4, 3, 2]</t>
  </si>
  <si>
    <t xml:space="preserve">Modelo 2</t>
  </si>
  <si>
    <t xml:space="preserve">[8, 6, 4, 3, 2]</t>
  </si>
  <si>
    <t xml:space="preserve">Modelo 3</t>
  </si>
  <si>
    <t xml:space="preserve">[8, 6, 4, 3]</t>
  </si>
  <si>
    <t xml:space="preserve">Modelo 4 </t>
  </si>
  <si>
    <t xml:space="preserve">[8, 6, 4]</t>
  </si>
  <si>
    <t xml:space="preserve">Modelo 5</t>
  </si>
  <si>
    <t xml:space="preserve">[8, 4]</t>
  </si>
  <si>
    <t xml:space="preserve">Modelo 4</t>
  </si>
  <si>
    <t xml:space="preserve">Promedio</t>
  </si>
  <si>
    <t xml:space="preserve">Heterodera_ds1</t>
  </si>
  <si>
    <t xml:space="preserve">Composición de pseudo aminoácidos (PseAAC)</t>
  </si>
  <si>
    <t xml:space="preserve">Comparativa</t>
  </si>
  <si>
    <t xml:space="preserve">Exact_KNN</t>
  </si>
  <si>
    <t xml:space="preserve">Pres_KNN</t>
  </si>
  <si>
    <t xml:space="preserve">Exact_SVM</t>
  </si>
  <si>
    <t xml:space="preserve">Pres_SVM</t>
  </si>
  <si>
    <t xml:space="preserve">Exact_Deep</t>
  </si>
  <si>
    <t xml:space="preserve">Pres_Deep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</si>
</sst>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.0000%"/>
    <numFmt numFmtId="167" formatCode="0.000"/>
    <numFmt numFmtId="168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i val="true"/>
      <sz val="10"/>
      <color rgb="FF44546A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color rgb="FF3F3F76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FFFF99"/>
      </patternFill>
    </fill>
    <fill>
      <patternFill patternType="solid">
        <fgColor rgb="FFC6EFCE"/>
        <bgColor rgb="FFDAE3F3"/>
      </patternFill>
    </fill>
    <fill>
      <patternFill patternType="solid">
        <fgColor rgb="FF70AD47"/>
        <bgColor rgb="FF548235"/>
      </patternFill>
    </fill>
    <fill>
      <patternFill patternType="solid">
        <fgColor rgb="FF4472C4"/>
        <bgColor rgb="FF44546A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6EFC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>
        <color rgb="FF7F7F7F"/>
      </left>
      <right/>
      <top/>
      <bottom/>
      <diagonal/>
    </border>
    <border diagonalUp="false" diagonalDown="false">
      <left/>
      <right/>
      <top style="medium">
        <color rgb="FF8EA9DB"/>
      </top>
      <bottom style="medium">
        <color rgb="FF8EA9DB"/>
      </bottom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2" applyFont="true" applyBorder="tru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  <cellStyle name="Excel Built-in Input" xfId="21"/>
    <cellStyle name="Excel Built-in Good" xfId="22"/>
    <cellStyle name="Excel Built-in Accent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548235"/>
      <rgbColor rgb="FF800080"/>
      <rgbColor rgb="FF008080"/>
      <rgbColor rgb="FFB2B2B2"/>
      <rgbColor rgb="FF7F7F7F"/>
      <rgbColor rgb="FF8EA9DB"/>
      <rgbColor rgb="FF7030A0"/>
      <rgbColor rgb="FFFFFF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843C0B"/>
      <rgbColor rgb="FF9C5700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013" displayName="Tabla1013" ref="A25:G31" headerRowCount="1" totalsRowCount="0" totalsRowShown="0">
  <autoFilter ref="A25:G31"/>
  <tableColumns count="7">
    <tableColumn id="1" name="índice"/>
    <tableColumn id="2" name="Exact_KNN"/>
    <tableColumn id="3" name="Pres_KNN"/>
    <tableColumn id="4" name="Exact_SVM"/>
    <tableColumn id="5" name="Pres_SVM"/>
    <tableColumn id="6" name="Exact_Deep"/>
    <tableColumn id="7" name="Pres_Deep"/>
  </tableColumns>
</table>
</file>

<file path=xl/tables/table2.xml><?xml version="1.0" encoding="utf-8"?>
<table xmlns="http://schemas.openxmlformats.org/spreadsheetml/2006/main" id="2" name="Tabla1018" displayName="Tabla1018" ref="A65:G72" headerRowCount="1" totalsRowCount="0" totalsRowShown="0">
  <autoFilter ref="A65:G72"/>
  <tableColumns count="7">
    <tableColumn id="1" name="índice"/>
    <tableColumn id="2" name="Modelo 1"/>
    <tableColumn id="3" name="Modelo 2"/>
    <tableColumn id="4" name="Modelo 3"/>
    <tableColumn id="5" name="Modelo 4"/>
    <tableColumn id="6" name="Modelo 5"/>
    <tableColumn id="7" name="Promedio"/>
  </tableColumns>
</table>
</file>

<file path=xl/tables/table3.xml><?xml version="1.0" encoding="utf-8"?>
<table xmlns="http://schemas.openxmlformats.org/spreadsheetml/2006/main" id="3" name="Tabla11" displayName="Tabla11" ref="I65:O72" headerRowCount="1" totalsRowCount="0" totalsRowShown="0">
  <autoFilter ref="I65:O72"/>
  <tableColumns count="7">
    <tableColumn id="1" name="índice"/>
    <tableColumn id="2" name="Modelo 1"/>
    <tableColumn id="3" name="Modelo 2"/>
    <tableColumn id="4" name="Modelo 3"/>
    <tableColumn id="5" name="Modelo 4"/>
    <tableColumn id="6" name="Modelo 5"/>
    <tableColumn id="7" name="Promedio"/>
  </tableColumns>
</table>
</file>

<file path=xl/tables/table4.xml><?xml version="1.0" encoding="utf-8"?>
<table xmlns="http://schemas.openxmlformats.org/spreadsheetml/2006/main" id="4" name="Tabla3510813153" displayName="Tabla3510813153" ref="A9:T15" headerRowCount="1" totalsRowCount="0" totalsRowShown="0">
  <autoFilter ref="A9:T1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5.xml><?xml version="1.0" encoding="utf-8"?>
<table xmlns="http://schemas.openxmlformats.org/spreadsheetml/2006/main" id="5" name="Tabla35108131532" displayName="Tabla35108131532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6.xml><?xml version="1.0" encoding="utf-8"?>
<table xmlns="http://schemas.openxmlformats.org/spreadsheetml/2006/main" id="6" name="Tabla3510813153212" displayName="Tabla3510813153212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7.xml><?xml version="1.0" encoding="utf-8"?>
<table xmlns="http://schemas.openxmlformats.org/spreadsheetml/2006/main" id="7" name="Tabla3510813153221" displayName="Tabla3510813153221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8.xml><?xml version="1.0" encoding="utf-8"?>
<table xmlns="http://schemas.openxmlformats.org/spreadsheetml/2006/main" id="8" name="Tabla351081315325" displayName="Tabla351081315325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9.xml><?xml version="1.0" encoding="utf-8"?>
<table xmlns="http://schemas.openxmlformats.org/spreadsheetml/2006/main" id="9" name="Tabla351081315327" displayName="Tabla351081315327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10.xml><?xml version="1.0" encoding="utf-8"?>
<table xmlns="http://schemas.openxmlformats.org/spreadsheetml/2006/main" id="10" name="Tabla35108131534" displayName="Tabla35108131534" ref="A26:U40" headerRowCount="1" totalsRowCount="0" totalsRowShown="0">
  <autoFilter ref="A26:U40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1.xml><?xml version="1.0" encoding="utf-8"?>
<table xmlns="http://schemas.openxmlformats.org/spreadsheetml/2006/main" id="11" name="Tabla3510813153413" displayName="Tabla3510813153413" ref="A26:U40" headerRowCount="1" totalsRowCount="0" totalsRowShown="0">
  <autoFilter ref="A26:U40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N° efec"/>
    <tableColumn id="20" name="N° no_efe"/>
    <tableColumn id="21" name="total_sec"/>
  </tableColumns>
</table>
</file>

<file path=xl/tables/table12.xml><?xml version="1.0" encoding="utf-8"?>
<table xmlns="http://schemas.openxmlformats.org/spreadsheetml/2006/main" id="12" name="Tabla3510813153420" displayName="Tabla3510813153420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13.xml><?xml version="1.0" encoding="utf-8"?>
<table xmlns="http://schemas.openxmlformats.org/spreadsheetml/2006/main" id="13" name="Tabla3510813153423" displayName="Tabla3510813153423" ref="A25:U39" headerRowCount="1" totalsRowCount="0" totalsRowShown="0">
  <autoFilter ref="A25:U39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4.xml><?xml version="1.0" encoding="utf-8"?>
<table xmlns="http://schemas.openxmlformats.org/spreadsheetml/2006/main" id="14" name="Tabla3510813153424" displayName="Tabla3510813153424" ref="A25:U39" headerRowCount="1" totalsRowCount="0" totalsRowShown="0">
  <autoFilter ref="A25:U39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5.xml><?xml version="1.0" encoding="utf-8"?>
<table xmlns="http://schemas.openxmlformats.org/spreadsheetml/2006/main" id="15" name="Tabla3510813153425" displayName="Tabla3510813153425" ref="A25:U39" headerRowCount="1" totalsRowCount="0" totalsRowShown="0">
  <autoFilter ref="A25:U39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6.xml><?xml version="1.0" encoding="utf-8"?>
<table xmlns="http://schemas.openxmlformats.org/spreadsheetml/2006/main" id="16" name="Tabla3510813153426" displayName="Tabla3510813153426" ref="A25:U39" headerRowCount="1" totalsRowCount="0" totalsRowShown="0">
  <autoFilter ref="A25:U39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7.xml><?xml version="1.0" encoding="utf-8"?>
<table xmlns="http://schemas.openxmlformats.org/spreadsheetml/2006/main" id="17" name="Tabla35108131536" displayName="Tabla35108131536" ref="A19:T25" headerRowCount="1" totalsRowCount="0" totalsRowShown="0">
  <autoFilter ref="A19:T2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18.xml><?xml version="1.0" encoding="utf-8"?>
<table xmlns="http://schemas.openxmlformats.org/spreadsheetml/2006/main" id="18" name="Tabla3510813153610" displayName="Tabla3510813153610" ref="A49:T55" headerRowCount="1" totalsRowCount="0" totalsRowShown="0">
  <autoFilter ref="A49:T5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19.xml><?xml version="1.0" encoding="utf-8"?>
<table xmlns="http://schemas.openxmlformats.org/spreadsheetml/2006/main" id="19" name="Tabla351081315361014" displayName="Tabla351081315361014" ref="A5:U11" headerRowCount="1" totalsRowCount="0" totalsRowShown="0">
  <autoFilter ref="A5:U11"/>
  <tableColumns count="21">
    <tableColumn id="1" name="índice"/>
    <tableColumn id="2" name="KNN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20.xml><?xml version="1.0" encoding="utf-8"?>
<table xmlns="http://schemas.openxmlformats.org/spreadsheetml/2006/main" id="20" name="Tabla35108131536101415" displayName="Tabla35108131536101415" ref="A15:V21" headerRowCount="1" totalsRowCount="0" totalsRowShown="0">
  <autoFilter ref="A15:V21"/>
  <tableColumns count="22">
    <tableColumn id="1" name="índice"/>
    <tableColumn id="2" name="costo"/>
    <tableColumn id="3" name="gama"/>
    <tableColumn id="4" name="no_efec_cor"/>
    <tableColumn id="5" name="no_efec_inc"/>
    <tableColumn id="6" name="efec_cor"/>
    <tableColumn id="7" name="efect_inc"/>
    <tableColumn id="8" name="Correctos"/>
    <tableColumn id="9" name="Incorrectos"/>
    <tableColumn id="10" name="Exactitud"/>
    <tableColumn id="11" name="% efe_cor"/>
    <tableColumn id="12" name="% efe_inc"/>
    <tableColumn id="13" name="% no_efe_cor"/>
    <tableColumn id="14" name="% no_efect_inc"/>
    <tableColumn id="15" name="% corectos"/>
    <tableColumn id="16" name="% incorrectos"/>
    <tableColumn id="17" name="PNE"/>
    <tableColumn id="18" name="PE"/>
    <tableColumn id="19" name="Presición"/>
    <tableColumn id="20" name="efec"/>
    <tableColumn id="21" name="no_efe"/>
    <tableColumn id="22" name="total_sec"/>
  </tableColumns>
</table>
</file>

<file path=xl/tables/table21.xml><?xml version="1.0" encoding="utf-8"?>
<table xmlns="http://schemas.openxmlformats.org/spreadsheetml/2006/main" id="21" name="Tabla351081315368" displayName="Tabla351081315368" ref="A29:T35" headerRowCount="1" totalsRowCount="0" totalsRowShown="0">
  <autoFilter ref="A29:T3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22.xml><?xml version="1.0" encoding="utf-8"?>
<table xmlns="http://schemas.openxmlformats.org/spreadsheetml/2006/main" id="22" name="Tabla351081315369" displayName="Tabla351081315369" ref="A39:T45" headerRowCount="1" totalsRowCount="0" totalsRowShown="0">
  <autoFilter ref="A39:T4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1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16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10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table" Target="../tables/table1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17.xml"/><Relationship Id="rId5" Type="http://schemas.openxmlformats.org/officeDocument/2006/relationships/table" Target="../tables/table18.xml"/><Relationship Id="rId6" Type="http://schemas.openxmlformats.org/officeDocument/2006/relationships/table" Target="../tables/table21.xml"/><Relationship Id="rId7" Type="http://schemas.openxmlformats.org/officeDocument/2006/relationships/table" Target="../tables/table2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19.xml"/><Relationship Id="rId3" Type="http://schemas.openxmlformats.org/officeDocument/2006/relationships/table" Target="../tables/table2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48235"/>
    <pageSetUpPr fitToPage="false"/>
  </sheetPr>
  <dimension ref="A1:U4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40" activeCellId="1" sqref="A81:E91 E40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68</v>
      </c>
    </row>
    <row r="5" customFormat="false" ht="15" hidden="false" customHeight="false" outlineLevel="0" collapsed="false">
      <c r="A5" s="3" t="s">
        <v>3</v>
      </c>
      <c r="B5" s="3"/>
      <c r="C5" s="4" t="n">
        <v>68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136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  <c r="J8" s="6"/>
      <c r="K8" s="6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49</v>
      </c>
      <c r="C10" s="0" t="n">
        <v>19</v>
      </c>
      <c r="D10" s="0" t="n">
        <v>40</v>
      </c>
      <c r="E10" s="0" t="n">
        <v>28</v>
      </c>
      <c r="F10" s="0" t="n">
        <f aca="false">Tabla3510813153212[[#This Row],[no_efec_cor]]+Tabla3510813153212[[#This Row],[efec_cor]]</f>
        <v>89</v>
      </c>
      <c r="G10" s="0" t="n">
        <f aca="false">Tabla3510813153212[[#This Row],[no_efec_inc]]+Tabla3510813153212[[#This Row],[efect_inc]]</f>
        <v>47</v>
      </c>
      <c r="H10" s="9" t="n">
        <f aca="false">Tabla3510813153212[[#This Row],[Correctos]]/Tabla3510813153212[[#This Row],[total_sec]]</f>
        <v>0.654411764705882</v>
      </c>
      <c r="I10" s="9" t="n">
        <f aca="false">Tabla3510813153212[[#This Row],[efec_cor]]/Tabla3510813153212[[#This Row],[efec]]</f>
        <v>0.588235294117647</v>
      </c>
      <c r="J10" s="9" t="n">
        <f aca="false">Tabla3510813153212[[#This Row],[efect_inc]]/Tabla3510813153212[[#This Row],[efec]]</f>
        <v>0.411764705882353</v>
      </c>
      <c r="K10" s="9" t="n">
        <f aca="false">Tabla3510813153212[[#This Row],[no_efec_cor]]/Tabla3510813153212[[#This Row],[no_efe]]</f>
        <v>0.720588235294118</v>
      </c>
      <c r="L10" s="9" t="n">
        <f aca="false">Tabla3510813153212[[#This Row],[no_efec_inc]]/Tabla3510813153212[[#This Row],[no_efe]]</f>
        <v>0.279411764705882</v>
      </c>
      <c r="M10" s="9" t="n">
        <f aca="false">(Tabla3510813153212[[#This Row],[% efe_cor]]+Tabla3510813153212[[#This Row],[% no_efe_cor]])/2</f>
        <v>0.654411764705882</v>
      </c>
      <c r="N10" s="10" t="n">
        <f aca="false">(Tabla3510813153212[[#This Row],[% efe_inc]]+Tabla3510813153212[[#This Row],[% no_efect_inc]])/2</f>
        <v>0.345588235294118</v>
      </c>
      <c r="O10" s="11" t="n">
        <f aca="false">Tabla3510813153212[[#This Row],[no_efec_cor]]/(Tabla3510813153212[[#This Row],[efect_inc]]+Tabla3510813153212[[#This Row],[no_efec_cor]])</f>
        <v>0.636363636363636</v>
      </c>
      <c r="P10" s="11" t="n">
        <f aca="false">Tabla3510813153212[[#This Row],[efec_cor]]/(Tabla3510813153212[[#This Row],[efec_cor]]+Tabla3510813153212[[#This Row],[no_efec_inc]])</f>
        <v>0.677966101694915</v>
      </c>
      <c r="Q10" s="11" t="n">
        <f aca="false">(Tabla3510813153212[[#This Row],[PNE]]+Tabla3510813153212[[#This Row],[PE]])/2</f>
        <v>0.657164869029276</v>
      </c>
      <c r="R10" s="0" t="n">
        <v>68</v>
      </c>
      <c r="S10" s="0" t="n">
        <v>68</v>
      </c>
      <c r="T10" s="0" t="n">
        <f aca="false">Tabla3510813153212[[#This Row],[efec]]+Tabla3510813153212[[#This Row],[no_efe]]</f>
        <v>136</v>
      </c>
    </row>
    <row r="11" customFormat="false" ht="13.8" hidden="false" customHeight="false" outlineLevel="0" collapsed="false">
      <c r="A11" s="0" t="n">
        <v>5</v>
      </c>
      <c r="B11" s="0" t="n">
        <v>49</v>
      </c>
      <c r="C11" s="0" t="n">
        <v>19</v>
      </c>
      <c r="D11" s="0" t="n">
        <v>43</v>
      </c>
      <c r="E11" s="0" t="n">
        <v>25</v>
      </c>
      <c r="F11" s="0" t="n">
        <f aca="false">Tabla3510813153212[[#This Row],[no_efec_cor]]+Tabla3510813153212[[#This Row],[efec_cor]]</f>
        <v>92</v>
      </c>
      <c r="G11" s="0" t="n">
        <f aca="false">Tabla3510813153212[[#This Row],[no_efec_inc]]+Tabla3510813153212[[#This Row],[efect_inc]]</f>
        <v>44</v>
      </c>
      <c r="H11" s="9" t="n">
        <f aca="false">Tabla3510813153212[[#This Row],[Correctos]]/Tabla3510813153212[[#This Row],[total_sec]]</f>
        <v>0.676470588235294</v>
      </c>
      <c r="I11" s="9" t="n">
        <f aca="false">Tabla3510813153212[[#This Row],[efec_cor]]/Tabla3510813153212[[#This Row],[efec]]</f>
        <v>0.632352941176471</v>
      </c>
      <c r="J11" s="9" t="n">
        <f aca="false">Tabla3510813153212[[#This Row],[efect_inc]]/Tabla3510813153212[[#This Row],[efec]]</f>
        <v>0.367647058823529</v>
      </c>
      <c r="K11" s="9" t="n">
        <f aca="false">Tabla3510813153212[[#This Row],[no_efec_cor]]/Tabla3510813153212[[#This Row],[no_efe]]</f>
        <v>0.720588235294118</v>
      </c>
      <c r="L11" s="9" t="n">
        <f aca="false">Tabla3510813153212[[#This Row],[no_efec_inc]]/Tabla3510813153212[[#This Row],[no_efe]]</f>
        <v>0.279411764705882</v>
      </c>
      <c r="M11" s="9" t="n">
        <f aca="false">(Tabla3510813153212[[#This Row],[% efe_cor]]+Tabla3510813153212[[#This Row],[% no_efe_cor]])/2</f>
        <v>0.676470588235294</v>
      </c>
      <c r="N11" s="10" t="n">
        <f aca="false">(Tabla3510813153212[[#This Row],[% efe_inc]]+Tabla3510813153212[[#This Row],[% no_efect_inc]])/2</f>
        <v>0.323529411764706</v>
      </c>
      <c r="O11" s="11" t="n">
        <f aca="false">Tabla3510813153212[[#This Row],[no_efec_cor]]/(Tabla3510813153212[[#This Row],[efect_inc]]+Tabla3510813153212[[#This Row],[no_efec_cor]])</f>
        <v>0.662162162162162</v>
      </c>
      <c r="P11" s="11" t="n">
        <f aca="false">Tabla3510813153212[[#This Row],[efec_cor]]/(Tabla3510813153212[[#This Row],[efec_cor]]+Tabla3510813153212[[#This Row],[no_efec_inc]])</f>
        <v>0.693548387096774</v>
      </c>
      <c r="Q11" s="11" t="n">
        <f aca="false">(Tabla3510813153212[[#This Row],[PNE]]+Tabla3510813153212[[#This Row],[PE]])/2</f>
        <v>0.677855274629468</v>
      </c>
      <c r="R11" s="0" t="n">
        <v>68</v>
      </c>
      <c r="S11" s="0" t="n">
        <v>68</v>
      </c>
      <c r="T11" s="0" t="n">
        <f aca="false">Tabla3510813153212[[#This Row],[efec]]+Tabla3510813153212[[#This Row],[no_efe]]</f>
        <v>136</v>
      </c>
    </row>
    <row r="12" customFormat="false" ht="13.8" hidden="false" customHeight="false" outlineLevel="0" collapsed="false">
      <c r="A12" s="0" t="n">
        <v>10</v>
      </c>
      <c r="B12" s="0" t="n">
        <v>39</v>
      </c>
      <c r="C12" s="0" t="n">
        <v>29</v>
      </c>
      <c r="D12" s="0" t="n">
        <v>48</v>
      </c>
      <c r="E12" s="0" t="n">
        <v>20</v>
      </c>
      <c r="F12" s="0" t="n">
        <f aca="false">Tabla3510813153212[[#This Row],[no_efec_cor]]+Tabla3510813153212[[#This Row],[efec_cor]]</f>
        <v>87</v>
      </c>
      <c r="G12" s="0" t="n">
        <f aca="false">Tabla3510813153212[[#This Row],[no_efec_inc]]+Tabla3510813153212[[#This Row],[efect_inc]]</f>
        <v>49</v>
      </c>
      <c r="H12" s="9" t="n">
        <f aca="false">Tabla3510813153212[[#This Row],[Correctos]]/Tabla3510813153212[[#This Row],[total_sec]]</f>
        <v>0.639705882352941</v>
      </c>
      <c r="I12" s="9" t="n">
        <f aca="false">Tabla3510813153212[[#This Row],[efec_cor]]/Tabla3510813153212[[#This Row],[efec]]</f>
        <v>0.705882352941176</v>
      </c>
      <c r="J12" s="9" t="n">
        <f aca="false">Tabla3510813153212[[#This Row],[efect_inc]]/Tabla3510813153212[[#This Row],[efec]]</f>
        <v>0.294117647058823</v>
      </c>
      <c r="K12" s="9" t="n">
        <f aca="false">Tabla3510813153212[[#This Row],[no_efec_cor]]/Tabla3510813153212[[#This Row],[no_efe]]</f>
        <v>0.573529411764706</v>
      </c>
      <c r="L12" s="9" t="n">
        <f aca="false">Tabla3510813153212[[#This Row],[no_efec_inc]]/Tabla3510813153212[[#This Row],[no_efe]]</f>
        <v>0.426470588235294</v>
      </c>
      <c r="M12" s="9" t="n">
        <f aca="false">(Tabla3510813153212[[#This Row],[% efe_cor]]+Tabla3510813153212[[#This Row],[% no_efe_cor]])/2</f>
        <v>0.639705882352941</v>
      </c>
      <c r="N12" s="10" t="n">
        <f aca="false">(Tabla3510813153212[[#This Row],[% efe_inc]]+Tabla3510813153212[[#This Row],[% no_efect_inc]])/2</f>
        <v>0.360294117647059</v>
      </c>
      <c r="O12" s="11" t="n">
        <f aca="false">Tabla3510813153212[[#This Row],[no_efec_cor]]/(Tabla3510813153212[[#This Row],[efect_inc]]+Tabla3510813153212[[#This Row],[no_efec_cor]])</f>
        <v>0.661016949152542</v>
      </c>
      <c r="P12" s="11" t="n">
        <f aca="false">Tabla3510813153212[[#This Row],[efec_cor]]/(Tabla3510813153212[[#This Row],[efec_cor]]+Tabla3510813153212[[#This Row],[no_efec_inc]])</f>
        <v>0.623376623376623</v>
      </c>
      <c r="Q12" s="11" t="n">
        <f aca="false">(Tabla3510813153212[[#This Row],[PNE]]+Tabla3510813153212[[#This Row],[PE]])/2</f>
        <v>0.642196786264583</v>
      </c>
      <c r="R12" s="0" t="n">
        <v>68</v>
      </c>
      <c r="S12" s="0" t="n">
        <v>68</v>
      </c>
      <c r="T12" s="0" t="n">
        <f aca="false">Tabla3510813153212[[#This Row],[efec]]+Tabla3510813153212[[#This Row],[no_efe]]</f>
        <v>136</v>
      </c>
    </row>
    <row r="13" customFormat="false" ht="13.8" hidden="false" customHeight="false" outlineLevel="0" collapsed="false">
      <c r="A13" s="0" t="n">
        <v>15</v>
      </c>
      <c r="B13" s="0" t="n">
        <v>40</v>
      </c>
      <c r="C13" s="0" t="n">
        <v>28</v>
      </c>
      <c r="D13" s="0" t="n">
        <v>45</v>
      </c>
      <c r="E13" s="0" t="n">
        <v>23</v>
      </c>
      <c r="F13" s="0" t="n">
        <f aca="false">Tabla3510813153212[[#This Row],[no_efec_cor]]+Tabla3510813153212[[#This Row],[efec_cor]]</f>
        <v>85</v>
      </c>
      <c r="G13" s="0" t="n">
        <f aca="false">Tabla3510813153212[[#This Row],[no_efec_inc]]+Tabla3510813153212[[#This Row],[efect_inc]]</f>
        <v>51</v>
      </c>
      <c r="H13" s="9" t="n">
        <f aca="false">Tabla3510813153212[[#This Row],[Correctos]]/Tabla3510813153212[[#This Row],[total_sec]]</f>
        <v>0.625</v>
      </c>
      <c r="I13" s="9" t="n">
        <f aca="false">Tabla3510813153212[[#This Row],[efec_cor]]/Tabla3510813153212[[#This Row],[efec]]</f>
        <v>0.661764705882353</v>
      </c>
      <c r="J13" s="9" t="n">
        <f aca="false">Tabla3510813153212[[#This Row],[efect_inc]]/Tabla3510813153212[[#This Row],[efec]]</f>
        <v>0.338235294117647</v>
      </c>
      <c r="K13" s="9" t="n">
        <f aca="false">Tabla3510813153212[[#This Row],[no_efec_cor]]/Tabla3510813153212[[#This Row],[no_efe]]</f>
        <v>0.588235294117647</v>
      </c>
      <c r="L13" s="9" t="n">
        <f aca="false">Tabla3510813153212[[#This Row],[no_efec_inc]]/Tabla3510813153212[[#This Row],[no_efe]]</f>
        <v>0.411764705882353</v>
      </c>
      <c r="M13" s="9" t="n">
        <f aca="false">(Tabla3510813153212[[#This Row],[% efe_cor]]+Tabla3510813153212[[#This Row],[% no_efe_cor]])/2</f>
        <v>0.625</v>
      </c>
      <c r="N13" s="10" t="n">
        <f aca="false">(Tabla3510813153212[[#This Row],[% efe_inc]]+Tabla3510813153212[[#This Row],[% no_efect_inc]])/2</f>
        <v>0.375</v>
      </c>
      <c r="O13" s="11" t="n">
        <f aca="false">Tabla3510813153212[[#This Row],[no_efec_cor]]/(Tabla3510813153212[[#This Row],[efect_inc]]+Tabla3510813153212[[#This Row],[no_efec_cor]])</f>
        <v>0.634920634920635</v>
      </c>
      <c r="P13" s="11" t="n">
        <f aca="false">Tabla3510813153212[[#This Row],[efec_cor]]/(Tabla3510813153212[[#This Row],[efec_cor]]+Tabla3510813153212[[#This Row],[no_efec_inc]])</f>
        <v>0.616438356164384</v>
      </c>
      <c r="Q13" s="11" t="n">
        <f aca="false">(Tabla3510813153212[[#This Row],[PNE]]+Tabla3510813153212[[#This Row],[PE]])/2</f>
        <v>0.625679495542509</v>
      </c>
      <c r="R13" s="0" t="n">
        <v>68</v>
      </c>
      <c r="S13" s="0" t="n">
        <v>68</v>
      </c>
      <c r="T13" s="0" t="n">
        <f aca="false">Tabla3510813153212[[#This Row],[efec]]+Tabla3510813153212[[#This Row],[no_efe]]</f>
        <v>136</v>
      </c>
    </row>
    <row r="14" customFormat="false" ht="13.8" hidden="false" customHeight="false" outlineLevel="0" collapsed="false">
      <c r="A14" s="0" t="n">
        <v>20</v>
      </c>
      <c r="B14" s="0" t="n">
        <v>35</v>
      </c>
      <c r="C14" s="0" t="n">
        <v>33</v>
      </c>
      <c r="D14" s="0" t="n">
        <v>54</v>
      </c>
      <c r="E14" s="0" t="n">
        <v>14</v>
      </c>
      <c r="F14" s="0" t="n">
        <f aca="false">Tabla3510813153212[[#This Row],[no_efec_cor]]+Tabla3510813153212[[#This Row],[efec_cor]]</f>
        <v>89</v>
      </c>
      <c r="G14" s="0" t="n">
        <f aca="false">Tabla3510813153212[[#This Row],[no_efec_inc]]+Tabla3510813153212[[#This Row],[efect_inc]]</f>
        <v>47</v>
      </c>
      <c r="H14" s="9" t="n">
        <f aca="false">Tabla3510813153212[[#This Row],[Correctos]]/Tabla3510813153212[[#This Row],[total_sec]]</f>
        <v>0.654411764705882</v>
      </c>
      <c r="I14" s="9" t="n">
        <f aca="false">Tabla3510813153212[[#This Row],[efec_cor]]/Tabla3510813153212[[#This Row],[efec]]</f>
        <v>0.794117647058823</v>
      </c>
      <c r="J14" s="9" t="n">
        <f aca="false">Tabla3510813153212[[#This Row],[efect_inc]]/Tabla3510813153212[[#This Row],[efec]]</f>
        <v>0.205882352941176</v>
      </c>
      <c r="K14" s="9" t="n">
        <f aca="false">Tabla3510813153212[[#This Row],[no_efec_cor]]/Tabla3510813153212[[#This Row],[no_efe]]</f>
        <v>0.514705882352941</v>
      </c>
      <c r="L14" s="9" t="n">
        <f aca="false">Tabla3510813153212[[#This Row],[no_efec_inc]]/Tabla3510813153212[[#This Row],[no_efe]]</f>
        <v>0.485294117647059</v>
      </c>
      <c r="M14" s="9" t="n">
        <f aca="false">(Tabla3510813153212[[#This Row],[% efe_cor]]+Tabla3510813153212[[#This Row],[% no_efe_cor]])/2</f>
        <v>0.654411764705882</v>
      </c>
      <c r="N14" s="10" t="n">
        <f aca="false">(Tabla3510813153212[[#This Row],[% efe_inc]]+Tabla3510813153212[[#This Row],[% no_efect_inc]])/2</f>
        <v>0.345588235294118</v>
      </c>
      <c r="O14" s="11" t="n">
        <f aca="false">Tabla3510813153212[[#This Row],[no_efec_cor]]/(Tabla3510813153212[[#This Row],[efect_inc]]+Tabla3510813153212[[#This Row],[no_efec_cor]])</f>
        <v>0.714285714285714</v>
      </c>
      <c r="P14" s="11" t="n">
        <f aca="false">Tabla3510813153212[[#This Row],[efec_cor]]/(Tabla3510813153212[[#This Row],[efec_cor]]+Tabla3510813153212[[#This Row],[no_efec_inc]])</f>
        <v>0.620689655172414</v>
      </c>
      <c r="Q14" s="11" t="n">
        <f aca="false">(Tabla3510813153212[[#This Row],[PNE]]+Tabla3510813153212[[#This Row],[PE]])/2</f>
        <v>0.667487684729064</v>
      </c>
      <c r="R14" s="0" t="n">
        <v>68</v>
      </c>
      <c r="S14" s="0" t="n">
        <v>68</v>
      </c>
      <c r="T14" s="0" t="n">
        <f aca="false">Tabla3510813153212[[#This Row],[efec]]+Tabla3510813153212[[#This Row],[no_efe]]</f>
        <v>136</v>
      </c>
    </row>
    <row r="15" customFormat="false" ht="13.8" hidden="false" customHeight="false" outlineLevel="0" collapsed="false">
      <c r="A15" s="0" t="n">
        <v>25</v>
      </c>
      <c r="B15" s="0" t="n">
        <v>39</v>
      </c>
      <c r="C15" s="0" t="n">
        <v>29</v>
      </c>
      <c r="D15" s="0" t="n">
        <v>47</v>
      </c>
      <c r="E15" s="0" t="n">
        <v>21</v>
      </c>
      <c r="F15" s="0" t="n">
        <f aca="false">Tabla3510813153212[[#This Row],[no_efec_cor]]+Tabla3510813153212[[#This Row],[efec_cor]]</f>
        <v>86</v>
      </c>
      <c r="G15" s="0" t="n">
        <f aca="false">Tabla3510813153212[[#This Row],[no_efec_inc]]+Tabla3510813153212[[#This Row],[efect_inc]]</f>
        <v>50</v>
      </c>
      <c r="H15" s="9" t="n">
        <f aca="false">Tabla3510813153212[[#This Row],[Correctos]]/Tabla3510813153212[[#This Row],[total_sec]]</f>
        <v>0.632352941176471</v>
      </c>
      <c r="I15" s="9" t="n">
        <f aca="false">Tabla3510813153212[[#This Row],[efec_cor]]/Tabla3510813153212[[#This Row],[efec]]</f>
        <v>0.691176470588235</v>
      </c>
      <c r="J15" s="9" t="n">
        <f aca="false">Tabla3510813153212[[#This Row],[efect_inc]]/Tabla3510813153212[[#This Row],[efec]]</f>
        <v>0.308823529411765</v>
      </c>
      <c r="K15" s="9" t="n">
        <f aca="false">Tabla3510813153212[[#This Row],[no_efec_cor]]/Tabla3510813153212[[#This Row],[no_efe]]</f>
        <v>0.573529411764706</v>
      </c>
      <c r="L15" s="9" t="n">
        <f aca="false">Tabla3510813153212[[#This Row],[no_efec_inc]]/Tabla3510813153212[[#This Row],[no_efe]]</f>
        <v>0.426470588235294</v>
      </c>
      <c r="M15" s="9" t="n">
        <f aca="false">(Tabla3510813153212[[#This Row],[% efe_cor]]+Tabla3510813153212[[#This Row],[% no_efe_cor]])/2</f>
        <v>0.632352941176471</v>
      </c>
      <c r="N15" s="10" t="n">
        <f aca="false">(Tabla3510813153212[[#This Row],[% efe_inc]]+Tabla3510813153212[[#This Row],[% no_efect_inc]])/2</f>
        <v>0.367647058823529</v>
      </c>
      <c r="O15" s="11" t="n">
        <f aca="false">Tabla3510813153212[[#This Row],[no_efec_cor]]/(Tabla3510813153212[[#This Row],[efect_inc]]+Tabla3510813153212[[#This Row],[no_efec_cor]])</f>
        <v>0.65</v>
      </c>
      <c r="P15" s="11" t="n">
        <f aca="false">Tabla3510813153212[[#This Row],[efec_cor]]/(Tabla3510813153212[[#This Row],[efec_cor]]+Tabla3510813153212[[#This Row],[no_efec_inc]])</f>
        <v>0.618421052631579</v>
      </c>
      <c r="Q15" s="11" t="n">
        <f aca="false">(Tabla3510813153212[[#This Row],[PNE]]+Tabla3510813153212[[#This Row],[PE]])/2</f>
        <v>0.63421052631579</v>
      </c>
      <c r="R15" s="0" t="n">
        <v>68</v>
      </c>
      <c r="S15" s="0" t="n">
        <v>68</v>
      </c>
      <c r="T15" s="0" t="n">
        <f aca="false">Tabla3510813153212[[#This Row],[efec]]+Tabla3510813153212[[#This Row],[no_efe]]</f>
        <v>136</v>
      </c>
    </row>
    <row r="16" customFormat="false" ht="13.8" hidden="false" customHeight="false" outlineLevel="0" collapsed="false">
      <c r="A16" s="0" t="n">
        <v>30</v>
      </c>
      <c r="B16" s="0" t="n">
        <v>35</v>
      </c>
      <c r="C16" s="0" t="n">
        <v>33</v>
      </c>
      <c r="D16" s="0" t="n">
        <v>52</v>
      </c>
      <c r="E16" s="0" t="n">
        <v>16</v>
      </c>
      <c r="F16" s="0" t="n">
        <f aca="false">Tabla3510813153212[[#This Row],[no_efec_cor]]+Tabla3510813153212[[#This Row],[efec_cor]]</f>
        <v>87</v>
      </c>
      <c r="G16" s="0" t="n">
        <f aca="false">Tabla3510813153212[[#This Row],[no_efec_inc]]+Tabla3510813153212[[#This Row],[efect_inc]]</f>
        <v>49</v>
      </c>
      <c r="H16" s="9" t="n">
        <f aca="false">Tabla3510813153212[[#This Row],[Correctos]]/Tabla3510813153212[[#This Row],[total_sec]]</f>
        <v>0.639705882352941</v>
      </c>
      <c r="I16" s="9" t="n">
        <f aca="false">Tabla3510813153212[[#This Row],[efec_cor]]/Tabla3510813153212[[#This Row],[efec]]</f>
        <v>0.764705882352941</v>
      </c>
      <c r="J16" s="9" t="n">
        <f aca="false">Tabla3510813153212[[#This Row],[efect_inc]]/Tabla3510813153212[[#This Row],[efec]]</f>
        <v>0.235294117647059</v>
      </c>
      <c r="K16" s="9" t="n">
        <f aca="false">Tabla3510813153212[[#This Row],[no_efec_cor]]/Tabla3510813153212[[#This Row],[no_efe]]</f>
        <v>0.514705882352941</v>
      </c>
      <c r="L16" s="9" t="n">
        <f aca="false">Tabla3510813153212[[#This Row],[no_efec_inc]]/Tabla3510813153212[[#This Row],[no_efe]]</f>
        <v>0.485294117647059</v>
      </c>
      <c r="M16" s="9" t="n">
        <f aca="false">(Tabla3510813153212[[#This Row],[% efe_cor]]+Tabla3510813153212[[#This Row],[% no_efe_cor]])/2</f>
        <v>0.639705882352941</v>
      </c>
      <c r="N16" s="10" t="n">
        <f aca="false">(Tabla3510813153212[[#This Row],[% efe_inc]]+Tabla3510813153212[[#This Row],[% no_efect_inc]])/2</f>
        <v>0.360294117647059</v>
      </c>
      <c r="O16" s="11" t="n">
        <f aca="false">Tabla3510813153212[[#This Row],[no_efec_cor]]/(Tabla3510813153212[[#This Row],[efect_inc]]+Tabla3510813153212[[#This Row],[no_efec_cor]])</f>
        <v>0.686274509803922</v>
      </c>
      <c r="P16" s="11" t="n">
        <f aca="false">Tabla3510813153212[[#This Row],[efec_cor]]/(Tabla3510813153212[[#This Row],[efec_cor]]+Tabla3510813153212[[#This Row],[no_efec_inc]])</f>
        <v>0.611764705882353</v>
      </c>
      <c r="Q16" s="11" t="n">
        <f aca="false">(Tabla3510813153212[[#This Row],[PNE]]+Tabla3510813153212[[#This Row],[PE]])/2</f>
        <v>0.649019607843137</v>
      </c>
      <c r="R16" s="0" t="n">
        <v>68</v>
      </c>
      <c r="S16" s="0" t="n">
        <v>68</v>
      </c>
      <c r="T16" s="0" t="n">
        <f aca="false">Tabla3510813153212[[#This Row],[efec]]+Tabla3510813153212[[#This Row],[no_efe]]</f>
        <v>136</v>
      </c>
    </row>
    <row r="17" customFormat="false" ht="13.8" hidden="false" customHeight="false" outlineLevel="0" collapsed="false">
      <c r="A17" s="0" t="n">
        <v>35</v>
      </c>
      <c r="B17" s="0" t="n">
        <v>42</v>
      </c>
      <c r="C17" s="0" t="n">
        <v>26</v>
      </c>
      <c r="D17" s="0" t="n">
        <v>51</v>
      </c>
      <c r="E17" s="0" t="n">
        <v>17</v>
      </c>
      <c r="F17" s="0" t="n">
        <f aca="false">Tabla3510813153212[[#This Row],[no_efec_cor]]+Tabla3510813153212[[#This Row],[efec_cor]]</f>
        <v>93</v>
      </c>
      <c r="G17" s="0" t="n">
        <f aca="false">Tabla3510813153212[[#This Row],[no_efec_inc]]+Tabla3510813153212[[#This Row],[efect_inc]]</f>
        <v>43</v>
      </c>
      <c r="H17" s="9" t="n">
        <f aca="false">Tabla3510813153212[[#This Row],[Correctos]]/Tabla3510813153212[[#This Row],[total_sec]]</f>
        <v>0.683823529411765</v>
      </c>
      <c r="I17" s="9" t="n">
        <f aca="false">Tabla3510813153212[[#This Row],[efec_cor]]/Tabla3510813153212[[#This Row],[efec]]</f>
        <v>0.75</v>
      </c>
      <c r="J17" s="9" t="n">
        <f aca="false">Tabla3510813153212[[#This Row],[efect_inc]]/Tabla3510813153212[[#This Row],[efec]]</f>
        <v>0.25</v>
      </c>
      <c r="K17" s="9" t="n">
        <f aca="false">Tabla3510813153212[[#This Row],[no_efec_cor]]/Tabla3510813153212[[#This Row],[no_efe]]</f>
        <v>0.617647058823529</v>
      </c>
      <c r="L17" s="9" t="n">
        <f aca="false">Tabla3510813153212[[#This Row],[no_efec_inc]]/Tabla3510813153212[[#This Row],[no_efe]]</f>
        <v>0.382352941176471</v>
      </c>
      <c r="M17" s="9" t="n">
        <f aca="false">(Tabla3510813153212[[#This Row],[% efe_cor]]+Tabla3510813153212[[#This Row],[% no_efe_cor]])/2</f>
        <v>0.683823529411765</v>
      </c>
      <c r="N17" s="10" t="n">
        <f aca="false">(Tabla3510813153212[[#This Row],[% efe_inc]]+Tabla3510813153212[[#This Row],[% no_efect_inc]])/2</f>
        <v>0.316176470588235</v>
      </c>
      <c r="O17" s="11" t="n">
        <f aca="false">Tabla3510813153212[[#This Row],[no_efec_cor]]/(Tabla3510813153212[[#This Row],[efect_inc]]+Tabla3510813153212[[#This Row],[no_efec_cor]])</f>
        <v>0.711864406779661</v>
      </c>
      <c r="P17" s="11" t="n">
        <f aca="false">Tabla3510813153212[[#This Row],[efec_cor]]/(Tabla3510813153212[[#This Row],[efec_cor]]+Tabla3510813153212[[#This Row],[no_efec_inc]])</f>
        <v>0.662337662337662</v>
      </c>
      <c r="Q17" s="11" t="n">
        <f aca="false">(Tabla3510813153212[[#This Row],[PNE]]+Tabla3510813153212[[#This Row],[PE]])/2</f>
        <v>0.687101034558662</v>
      </c>
      <c r="R17" s="0" t="n">
        <v>68</v>
      </c>
      <c r="S17" s="0" t="n">
        <v>68</v>
      </c>
      <c r="T17" s="0" t="n">
        <f aca="false">Tabla3510813153212[[#This Row],[efec]]+Tabla3510813153212[[#This Row],[no_efe]]</f>
        <v>136</v>
      </c>
    </row>
    <row r="18" customFormat="false" ht="13.8" hidden="false" customHeight="false" outlineLevel="0" collapsed="false">
      <c r="A18" s="0" t="n">
        <v>39</v>
      </c>
      <c r="B18" s="0" t="n">
        <v>41</v>
      </c>
      <c r="C18" s="0" t="n">
        <v>27</v>
      </c>
      <c r="D18" s="0" t="n">
        <v>50</v>
      </c>
      <c r="E18" s="0" t="n">
        <v>18</v>
      </c>
      <c r="F18" s="0" t="n">
        <f aca="false">Tabla3510813153212[[#This Row],[no_efec_cor]]+Tabla3510813153212[[#This Row],[efec_cor]]</f>
        <v>91</v>
      </c>
      <c r="G18" s="0" t="n">
        <f aca="false">Tabla3510813153212[[#This Row],[no_efec_inc]]+Tabla3510813153212[[#This Row],[efect_inc]]</f>
        <v>45</v>
      </c>
      <c r="H18" s="9" t="n">
        <f aca="false">Tabla3510813153212[[#This Row],[Correctos]]/Tabla3510813153212[[#This Row],[total_sec]]</f>
        <v>0.669117647058823</v>
      </c>
      <c r="I18" s="9" t="n">
        <f aca="false">Tabla3510813153212[[#This Row],[efec_cor]]/Tabla3510813153212[[#This Row],[efec]]</f>
        <v>0.735294117647059</v>
      </c>
      <c r="J18" s="9" t="n">
        <f aca="false">Tabla3510813153212[[#This Row],[efect_inc]]/Tabla3510813153212[[#This Row],[efec]]</f>
        <v>0.264705882352941</v>
      </c>
      <c r="K18" s="9" t="n">
        <f aca="false">Tabla3510813153212[[#This Row],[no_efec_cor]]/Tabla3510813153212[[#This Row],[no_efe]]</f>
        <v>0.602941176470588</v>
      </c>
      <c r="L18" s="9" t="n">
        <f aca="false">Tabla3510813153212[[#This Row],[no_efec_inc]]/Tabla3510813153212[[#This Row],[no_efe]]</f>
        <v>0.397058823529412</v>
      </c>
      <c r="M18" s="9" t="n">
        <f aca="false">(Tabla3510813153212[[#This Row],[% efe_cor]]+Tabla3510813153212[[#This Row],[% no_efe_cor]])/2</f>
        <v>0.669117647058824</v>
      </c>
      <c r="N18" s="10" t="n">
        <f aca="false">(Tabla3510813153212[[#This Row],[% efe_inc]]+Tabla3510813153212[[#This Row],[% no_efect_inc]])/2</f>
        <v>0.330882352941176</v>
      </c>
      <c r="O18" s="11" t="n">
        <f aca="false">Tabla3510813153212[[#This Row],[no_efec_cor]]/(Tabla3510813153212[[#This Row],[efect_inc]]+Tabla3510813153212[[#This Row],[no_efec_cor]])</f>
        <v>0.694915254237288</v>
      </c>
      <c r="P18" s="11" t="n">
        <f aca="false">Tabla3510813153212[[#This Row],[efec_cor]]/(Tabla3510813153212[[#This Row],[efec_cor]]+Tabla3510813153212[[#This Row],[no_efec_inc]])</f>
        <v>0.649350649350649</v>
      </c>
      <c r="Q18" s="11" t="n">
        <f aca="false">(Tabla3510813153212[[#This Row],[PNE]]+Tabla3510813153212[[#This Row],[PE]])/2</f>
        <v>0.672132951793969</v>
      </c>
      <c r="R18" s="0" t="n">
        <v>68</v>
      </c>
      <c r="S18" s="0" t="n">
        <v>68</v>
      </c>
      <c r="T18" s="0" t="n">
        <f aca="false">Tabla3510813153212[[#This Row],[efec]]+Tabla3510813153212[[#This Row],[no_efe]]</f>
        <v>136</v>
      </c>
    </row>
    <row r="21" customFormat="false" ht="19.5" hidden="false" customHeight="false" outlineLevel="0" collapsed="false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4" customFormat="false" ht="1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customFormat="false" ht="15.75" hidden="false" customHeight="false" outlineLevel="0" collapsed="false">
      <c r="A25" s="5" t="s">
        <v>5</v>
      </c>
      <c r="B25" s="5"/>
      <c r="C25" s="5"/>
      <c r="D25" s="5"/>
      <c r="E25" s="5"/>
      <c r="F25" s="5"/>
      <c r="G25" s="5"/>
      <c r="H25" s="5"/>
      <c r="I25" s="5"/>
      <c r="J25" s="6"/>
      <c r="K25" s="6"/>
    </row>
    <row r="26" customFormat="false" ht="15.75" hidden="false" customHeight="false" outlineLevel="0" collapsed="false">
      <c r="A26" s="7" t="s">
        <v>27</v>
      </c>
      <c r="B26" s="7" t="s">
        <v>28</v>
      </c>
      <c r="C26" s="8" t="s">
        <v>7</v>
      </c>
      <c r="D26" s="8" t="s">
        <v>8</v>
      </c>
      <c r="E26" s="8" t="s">
        <v>9</v>
      </c>
      <c r="F26" s="8" t="s">
        <v>10</v>
      </c>
      <c r="G26" s="8" t="s">
        <v>11</v>
      </c>
      <c r="H26" s="8" t="s">
        <v>12</v>
      </c>
      <c r="I26" s="7" t="s">
        <v>13</v>
      </c>
      <c r="J26" s="7" t="s">
        <v>14</v>
      </c>
      <c r="K26" s="7" t="s">
        <v>15</v>
      </c>
      <c r="L26" s="7" t="s">
        <v>16</v>
      </c>
      <c r="M26" s="7" t="s">
        <v>17</v>
      </c>
      <c r="N26" s="7" t="s">
        <v>18</v>
      </c>
      <c r="O26" s="7" t="s">
        <v>19</v>
      </c>
      <c r="P26" s="7" t="s">
        <v>20</v>
      </c>
      <c r="Q26" s="7" t="s">
        <v>21</v>
      </c>
      <c r="R26" s="7" t="s">
        <v>22</v>
      </c>
      <c r="S26" s="7" t="s">
        <v>29</v>
      </c>
      <c r="T26" s="7" t="s">
        <v>30</v>
      </c>
      <c r="U26" s="7" t="s">
        <v>25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26</v>
      </c>
      <c r="D27" s="0" t="n">
        <v>42</v>
      </c>
      <c r="E27" s="0" t="n">
        <v>58</v>
      </c>
      <c r="F27" s="0" t="n">
        <v>10</v>
      </c>
      <c r="G27" s="0" t="n">
        <f aca="false">Tabla3510813153413[[#This Row],[no_efec_cor]]+Tabla3510813153413[[#This Row],[efec_cor]]</f>
        <v>84</v>
      </c>
      <c r="H27" s="0" t="n">
        <f aca="false">Tabla3510813153413[[#This Row],[no_efec_inc]]+Tabla3510813153413[[#This Row],[efect_inc]]</f>
        <v>52</v>
      </c>
      <c r="I27" s="9" t="n">
        <f aca="false">Tabla3510813153413[[#This Row],[Correctos]]/Tabla3510813153413[[#This Row],[total_sec]]</f>
        <v>0.617647058823529</v>
      </c>
      <c r="J27" s="9" t="n">
        <f aca="false">Tabla3510813153413[[#This Row],[efec_cor]]/Tabla3510813153413[[#This Row],[N° efec]]</f>
        <v>0.852941176470588</v>
      </c>
      <c r="K27" s="9" t="n">
        <f aca="false">Tabla3510813153413[[#This Row],[efect_inc]]/Tabla3510813153413[[#This Row],[N° efec]]</f>
        <v>0.147058823529412</v>
      </c>
      <c r="L27" s="9" t="n">
        <f aca="false">Tabla3510813153413[[#This Row],[no_efec_cor]]/Tabla3510813153413[[#This Row],[N° no_efe]]</f>
        <v>0.382352941176471</v>
      </c>
      <c r="M27" s="9" t="n">
        <f aca="false">Tabla3510813153413[[#This Row],[no_efec_inc]]/Tabla3510813153413[[#This Row],[N° no_efe]]</f>
        <v>0.617647058823529</v>
      </c>
      <c r="N27" s="9" t="n">
        <f aca="false">(Tabla3510813153413[[#This Row],[% efe_cor]]+Tabla3510813153413[[#This Row],[% no_efe_cor]])/2</f>
        <v>0.617647058823529</v>
      </c>
      <c r="O27" s="10" t="n">
        <f aca="false">(Tabla3510813153413[[#This Row],[% efe_inc]]+Tabla3510813153413[[#This Row],[% no_efect_inc]])/2</f>
        <v>0.382352941176471</v>
      </c>
      <c r="P27" s="11" t="n">
        <f aca="false">Tabla3510813153413[[#This Row],[no_efec_cor]]/(Tabla3510813153413[[#This Row],[efect_inc]]+Tabla3510813153413[[#This Row],[no_efec_cor]])</f>
        <v>0.722222222222222</v>
      </c>
      <c r="Q27" s="11" t="n">
        <f aca="false">Tabla3510813153413[[#This Row],[efec_cor]]/(Tabla3510813153413[[#This Row],[efec_cor]]+Tabla3510813153413[[#This Row],[no_efec_inc]])</f>
        <v>0.58</v>
      </c>
      <c r="R27" s="11" t="n">
        <f aca="false">(Tabla3510813153413[[#This Row],[PNE]]+Tabla3510813153413[[#This Row],[PE]])/2</f>
        <v>0.651111111111111</v>
      </c>
      <c r="S27" s="0" t="n">
        <v>68</v>
      </c>
      <c r="T27" s="0" t="n">
        <v>68</v>
      </c>
      <c r="U27" s="0" t="n">
        <f aca="false">Tabla3510813153413[[#This Row],[N° efec]]+Tabla3510813153413[[#This Row],[N° no_efe]]</f>
        <v>136</v>
      </c>
    </row>
    <row r="28" customFormat="false" ht="13.8" hidden="false" customHeight="false" outlineLevel="0" collapsed="false">
      <c r="A28" s="0" t="n">
        <v>1</v>
      </c>
      <c r="B28" s="0" t="n">
        <v>0.1</v>
      </c>
      <c r="C28" s="0" t="n">
        <v>35</v>
      </c>
      <c r="D28" s="0" t="n">
        <v>33</v>
      </c>
      <c r="E28" s="0" t="n">
        <v>54</v>
      </c>
      <c r="F28" s="0" t="n">
        <v>14</v>
      </c>
      <c r="G28" s="0" t="n">
        <f aca="false">Tabla3510813153413[[#This Row],[no_efec_cor]]+Tabla3510813153413[[#This Row],[efec_cor]]</f>
        <v>89</v>
      </c>
      <c r="H28" s="0" t="n">
        <f aca="false">Tabla3510813153413[[#This Row],[no_efec_inc]]+Tabla3510813153413[[#This Row],[efect_inc]]</f>
        <v>47</v>
      </c>
      <c r="I28" s="9" t="n">
        <f aca="false">Tabla3510813153413[[#This Row],[Correctos]]/Tabla3510813153413[[#This Row],[total_sec]]</f>
        <v>0.654411764705882</v>
      </c>
      <c r="J28" s="9" t="n">
        <f aca="false">Tabla3510813153413[[#This Row],[efec_cor]]/Tabla3510813153413[[#This Row],[N° efec]]</f>
        <v>0.794117647058823</v>
      </c>
      <c r="K28" s="9" t="n">
        <f aca="false">Tabla3510813153413[[#This Row],[efect_inc]]/Tabla3510813153413[[#This Row],[N° efec]]</f>
        <v>0.205882352941176</v>
      </c>
      <c r="L28" s="9" t="n">
        <f aca="false">Tabla3510813153413[[#This Row],[no_efec_cor]]/Tabla3510813153413[[#This Row],[N° no_efe]]</f>
        <v>0.514705882352941</v>
      </c>
      <c r="M28" s="9" t="n">
        <f aca="false">Tabla3510813153413[[#This Row],[no_efec_inc]]/Tabla3510813153413[[#This Row],[N° no_efe]]</f>
        <v>0.485294117647059</v>
      </c>
      <c r="N28" s="9" t="n">
        <f aca="false">(Tabla3510813153413[[#This Row],[% efe_cor]]+Tabla3510813153413[[#This Row],[% no_efe_cor]])/2</f>
        <v>0.654411764705882</v>
      </c>
      <c r="O28" s="10" t="n">
        <f aca="false">(Tabla3510813153413[[#This Row],[% efe_inc]]+Tabla3510813153413[[#This Row],[% no_efect_inc]])/2</f>
        <v>0.345588235294118</v>
      </c>
      <c r="P28" s="11" t="n">
        <f aca="false">Tabla3510813153413[[#This Row],[no_efec_cor]]/(Tabla3510813153413[[#This Row],[efect_inc]]+Tabla3510813153413[[#This Row],[no_efec_cor]])</f>
        <v>0.714285714285714</v>
      </c>
      <c r="Q28" s="11" t="n">
        <f aca="false">Tabla3510813153413[[#This Row],[efec_cor]]/(Tabla3510813153413[[#This Row],[efec_cor]]+Tabla3510813153413[[#This Row],[no_efec_inc]])</f>
        <v>0.620689655172414</v>
      </c>
      <c r="R28" s="11" t="n">
        <f aca="false">(Tabla3510813153413[[#This Row],[PNE]]+Tabla3510813153413[[#This Row],[PE]])/2</f>
        <v>0.667487684729064</v>
      </c>
      <c r="S28" s="0" t="n">
        <v>68</v>
      </c>
      <c r="T28" s="0" t="n">
        <v>68</v>
      </c>
      <c r="U28" s="0" t="n">
        <f aca="false">Tabla3510813153413[[#This Row],[N° efec]]+Tabla3510813153413[[#This Row],[N° no_efe]]</f>
        <v>136</v>
      </c>
    </row>
    <row r="29" customFormat="false" ht="13.8" hidden="false" customHeight="false" outlineLevel="0" collapsed="false">
      <c r="A29" s="0" t="n">
        <v>1</v>
      </c>
      <c r="B29" s="0" t="n">
        <v>0.5</v>
      </c>
      <c r="C29" s="0" t="n">
        <v>45</v>
      </c>
      <c r="D29" s="0" t="n">
        <v>23</v>
      </c>
      <c r="E29" s="0" t="n">
        <v>48</v>
      </c>
      <c r="F29" s="0" t="n">
        <v>20</v>
      </c>
      <c r="G29" s="0" t="n">
        <f aca="false">Tabla3510813153413[[#This Row],[no_efec_cor]]+Tabla3510813153413[[#This Row],[efec_cor]]</f>
        <v>93</v>
      </c>
      <c r="H29" s="0" t="n">
        <f aca="false">Tabla3510813153413[[#This Row],[no_efec_inc]]+Tabla3510813153413[[#This Row],[efect_inc]]</f>
        <v>43</v>
      </c>
      <c r="I29" s="9" t="n">
        <f aca="false">Tabla3510813153413[[#This Row],[Correctos]]/Tabla3510813153413[[#This Row],[total_sec]]</f>
        <v>0.683823529411765</v>
      </c>
      <c r="J29" s="9" t="n">
        <f aca="false">Tabla3510813153413[[#This Row],[efec_cor]]/Tabla3510813153413[[#This Row],[N° efec]]</f>
        <v>0.705882352941176</v>
      </c>
      <c r="K29" s="9" t="n">
        <f aca="false">Tabla3510813153413[[#This Row],[efect_inc]]/Tabla3510813153413[[#This Row],[N° efec]]</f>
        <v>0.294117647058823</v>
      </c>
      <c r="L29" s="9" t="n">
        <f aca="false">Tabla3510813153413[[#This Row],[no_efec_cor]]/Tabla3510813153413[[#This Row],[N° no_efe]]</f>
        <v>0.661764705882353</v>
      </c>
      <c r="M29" s="9" t="n">
        <f aca="false">Tabla3510813153413[[#This Row],[no_efec_inc]]/Tabla3510813153413[[#This Row],[N° no_efe]]</f>
        <v>0.338235294117647</v>
      </c>
      <c r="N29" s="9" t="n">
        <f aca="false">(Tabla3510813153413[[#This Row],[% efe_cor]]+Tabla3510813153413[[#This Row],[% no_efe_cor]])/2</f>
        <v>0.683823529411765</v>
      </c>
      <c r="O29" s="10" t="n">
        <f aca="false">(Tabla3510813153413[[#This Row],[% efe_inc]]+Tabla3510813153413[[#This Row],[% no_efect_inc]])/2</f>
        <v>0.316176470588235</v>
      </c>
      <c r="P29" s="11" t="n">
        <f aca="false">Tabla3510813153413[[#This Row],[no_efec_cor]]/(Tabla3510813153413[[#This Row],[efect_inc]]+Tabla3510813153413[[#This Row],[no_efec_cor]])</f>
        <v>0.692307692307692</v>
      </c>
      <c r="Q29" s="11" t="n">
        <f aca="false">Tabla3510813153413[[#This Row],[efec_cor]]/(Tabla3510813153413[[#This Row],[efec_cor]]+Tabla3510813153413[[#This Row],[no_efec_inc]])</f>
        <v>0.676056338028169</v>
      </c>
      <c r="R29" s="11" t="n">
        <f aca="false">(Tabla3510813153413[[#This Row],[PNE]]+Tabla3510813153413[[#This Row],[PE]])/2</f>
        <v>0.684182015167931</v>
      </c>
      <c r="S29" s="0" t="n">
        <v>68</v>
      </c>
      <c r="T29" s="0" t="n">
        <v>68</v>
      </c>
      <c r="U29" s="0" t="n">
        <f aca="false">Tabla3510813153413[[#This Row],[N° efec]]+Tabla3510813153413[[#This Row],[N° no_efe]]</f>
        <v>136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47</v>
      </c>
      <c r="D30" s="0" t="n">
        <v>21</v>
      </c>
      <c r="E30" s="0" t="n">
        <v>47</v>
      </c>
      <c r="F30" s="0" t="n">
        <v>21</v>
      </c>
      <c r="G30" s="0" t="n">
        <f aca="false">Tabla3510813153413[[#This Row],[no_efec_cor]]+Tabla3510813153413[[#This Row],[efec_cor]]</f>
        <v>94</v>
      </c>
      <c r="H30" s="0" t="n">
        <f aca="false">Tabla3510813153413[[#This Row],[no_efec_inc]]+Tabla3510813153413[[#This Row],[efect_inc]]</f>
        <v>42</v>
      </c>
      <c r="I30" s="9" t="n">
        <f aca="false">Tabla3510813153413[[#This Row],[Correctos]]/Tabla3510813153413[[#This Row],[total_sec]]</f>
        <v>0.691176470588235</v>
      </c>
      <c r="J30" s="9" t="n">
        <f aca="false">Tabla3510813153413[[#This Row],[efec_cor]]/Tabla3510813153413[[#This Row],[N° efec]]</f>
        <v>0.691176470588235</v>
      </c>
      <c r="K30" s="9" t="n">
        <f aca="false">Tabla3510813153413[[#This Row],[efect_inc]]/Tabla3510813153413[[#This Row],[N° efec]]</f>
        <v>0.308823529411765</v>
      </c>
      <c r="L30" s="9" t="n">
        <f aca="false">Tabla3510813153413[[#This Row],[no_efec_cor]]/Tabla3510813153413[[#This Row],[N° no_efe]]</f>
        <v>0.691176470588235</v>
      </c>
      <c r="M30" s="9" t="n">
        <f aca="false">Tabla3510813153413[[#This Row],[no_efec_inc]]/Tabla3510813153413[[#This Row],[N° no_efe]]</f>
        <v>0.308823529411765</v>
      </c>
      <c r="N30" s="9" t="n">
        <f aca="false">(Tabla3510813153413[[#This Row],[% efe_cor]]+Tabla3510813153413[[#This Row],[% no_efe_cor]])/2</f>
        <v>0.691176470588235</v>
      </c>
      <c r="O30" s="10" t="n">
        <f aca="false">(Tabla3510813153413[[#This Row],[% efe_inc]]+Tabla3510813153413[[#This Row],[% no_efect_inc]])/2</f>
        <v>0.308823529411765</v>
      </c>
      <c r="P30" s="11" t="n">
        <f aca="false">Tabla3510813153413[[#This Row],[no_efec_cor]]/(Tabla3510813153413[[#This Row],[efect_inc]]+Tabla3510813153413[[#This Row],[no_efec_cor]])</f>
        <v>0.691176470588235</v>
      </c>
      <c r="Q30" s="11" t="n">
        <f aca="false">Tabla3510813153413[[#This Row],[efec_cor]]/(Tabla3510813153413[[#This Row],[efec_cor]]+Tabla3510813153413[[#This Row],[no_efec_inc]])</f>
        <v>0.691176470588235</v>
      </c>
      <c r="R30" s="11" t="n">
        <f aca="false">(Tabla3510813153413[[#This Row],[PNE]]+Tabla3510813153413[[#This Row],[PE]])/2</f>
        <v>0.691176470588235</v>
      </c>
      <c r="S30" s="0" t="n">
        <v>68</v>
      </c>
      <c r="T30" s="0" t="n">
        <v>68</v>
      </c>
      <c r="U30" s="0" t="n">
        <f aca="false">Tabla3510813153413[[#This Row],[N° efec]]+Tabla3510813153413[[#This Row],[N° no_efe]]</f>
        <v>136</v>
      </c>
    </row>
    <row r="31" customFormat="false" ht="13.8" hidden="false" customHeight="false" outlineLevel="0" collapsed="false">
      <c r="A31" s="0" t="n">
        <v>1</v>
      </c>
      <c r="B31" s="0" t="n">
        <v>2</v>
      </c>
      <c r="C31" s="0" t="n">
        <v>44</v>
      </c>
      <c r="D31" s="0" t="n">
        <v>24</v>
      </c>
      <c r="E31" s="0" t="n">
        <v>49</v>
      </c>
      <c r="F31" s="0" t="n">
        <v>19</v>
      </c>
      <c r="G31" s="0" t="n">
        <f aca="false">Tabla3510813153413[[#This Row],[no_efec_cor]]+Tabla3510813153413[[#This Row],[efec_cor]]</f>
        <v>93</v>
      </c>
      <c r="H31" s="0" t="n">
        <f aca="false">Tabla3510813153413[[#This Row],[no_efec_inc]]+Tabla3510813153413[[#This Row],[efect_inc]]</f>
        <v>43</v>
      </c>
      <c r="I31" s="9" t="n">
        <f aca="false">Tabla3510813153413[[#This Row],[Correctos]]/Tabla3510813153413[[#This Row],[total_sec]]</f>
        <v>0.683823529411765</v>
      </c>
      <c r="J31" s="9" t="n">
        <f aca="false">Tabla3510813153413[[#This Row],[efec_cor]]/Tabla3510813153413[[#This Row],[N° efec]]</f>
        <v>0.720588235294118</v>
      </c>
      <c r="K31" s="9" t="n">
        <f aca="false">Tabla3510813153413[[#This Row],[efect_inc]]/Tabla3510813153413[[#This Row],[N° efec]]</f>
        <v>0.279411764705882</v>
      </c>
      <c r="L31" s="9" t="n">
        <f aca="false">Tabla3510813153413[[#This Row],[no_efec_cor]]/Tabla3510813153413[[#This Row],[N° no_efe]]</f>
        <v>0.647058823529412</v>
      </c>
      <c r="M31" s="9" t="n">
        <f aca="false">Tabla3510813153413[[#This Row],[no_efec_inc]]/Tabla3510813153413[[#This Row],[N° no_efe]]</f>
        <v>0.352941176470588</v>
      </c>
      <c r="N31" s="9" t="n">
        <f aca="false">(Tabla3510813153413[[#This Row],[% efe_cor]]+Tabla3510813153413[[#This Row],[% no_efe_cor]])/2</f>
        <v>0.683823529411765</v>
      </c>
      <c r="O31" s="10" t="n">
        <f aca="false">(Tabla3510813153413[[#This Row],[% efe_inc]]+Tabla3510813153413[[#This Row],[% no_efect_inc]])/2</f>
        <v>0.316176470588235</v>
      </c>
      <c r="P31" s="11" t="n">
        <f aca="false">Tabla3510813153413[[#This Row],[no_efec_cor]]/(Tabla3510813153413[[#This Row],[efect_inc]]+Tabla3510813153413[[#This Row],[no_efec_cor]])</f>
        <v>0.698412698412698</v>
      </c>
      <c r="Q31" s="11" t="n">
        <f aca="false">Tabla3510813153413[[#This Row],[efec_cor]]/(Tabla3510813153413[[#This Row],[efec_cor]]+Tabla3510813153413[[#This Row],[no_efec_inc]])</f>
        <v>0.671232876712329</v>
      </c>
      <c r="R31" s="11" t="n">
        <f aca="false">(Tabla3510813153413[[#This Row],[PNE]]+Tabla3510813153413[[#This Row],[PE]])/2</f>
        <v>0.684822787562514</v>
      </c>
      <c r="S31" s="0" t="n">
        <v>68</v>
      </c>
      <c r="T31" s="0" t="n">
        <v>68</v>
      </c>
      <c r="U31" s="0" t="n">
        <f aca="false">Tabla3510813153413[[#This Row],[N° efec]]+Tabla3510813153413[[#This Row],[N° no_efe]]</f>
        <v>136</v>
      </c>
    </row>
    <row r="32" customFormat="false" ht="13.8" hidden="false" customHeight="false" outlineLevel="0" collapsed="false">
      <c r="A32" s="0" t="n">
        <v>1</v>
      </c>
      <c r="B32" s="0" t="n">
        <v>3</v>
      </c>
      <c r="C32" s="0" t="n">
        <v>42</v>
      </c>
      <c r="D32" s="0" t="n">
        <v>26</v>
      </c>
      <c r="E32" s="0" t="n">
        <v>49</v>
      </c>
      <c r="F32" s="0" t="n">
        <v>19</v>
      </c>
      <c r="G32" s="0" t="n">
        <f aca="false">Tabla3510813153413[[#This Row],[no_efec_cor]]+Tabla3510813153413[[#This Row],[efec_cor]]</f>
        <v>91</v>
      </c>
      <c r="H32" s="0" t="n">
        <f aca="false">Tabla3510813153413[[#This Row],[no_efec_inc]]+Tabla3510813153413[[#This Row],[efect_inc]]</f>
        <v>45</v>
      </c>
      <c r="I32" s="9" t="n">
        <f aca="false">Tabla3510813153413[[#This Row],[Correctos]]/Tabla3510813153413[[#This Row],[total_sec]]</f>
        <v>0.669117647058823</v>
      </c>
      <c r="J32" s="9" t="n">
        <f aca="false">Tabla3510813153413[[#This Row],[efec_cor]]/Tabla3510813153413[[#This Row],[N° efec]]</f>
        <v>0.720588235294118</v>
      </c>
      <c r="K32" s="9" t="n">
        <f aca="false">Tabla3510813153413[[#This Row],[efect_inc]]/Tabla3510813153413[[#This Row],[N° efec]]</f>
        <v>0.279411764705882</v>
      </c>
      <c r="L32" s="9" t="n">
        <f aca="false">Tabla3510813153413[[#This Row],[no_efec_cor]]/Tabla3510813153413[[#This Row],[N° no_efe]]</f>
        <v>0.617647058823529</v>
      </c>
      <c r="M32" s="9" t="n">
        <f aca="false">Tabla3510813153413[[#This Row],[no_efec_inc]]/Tabla3510813153413[[#This Row],[N° no_efe]]</f>
        <v>0.382352941176471</v>
      </c>
      <c r="N32" s="9" t="n">
        <f aca="false">(Tabla3510813153413[[#This Row],[% efe_cor]]+Tabla3510813153413[[#This Row],[% no_efe_cor]])/2</f>
        <v>0.669117647058824</v>
      </c>
      <c r="O32" s="10" t="n">
        <f aca="false">(Tabla3510813153413[[#This Row],[% efe_inc]]+Tabla3510813153413[[#This Row],[% no_efect_inc]])/2</f>
        <v>0.330882352941176</v>
      </c>
      <c r="P32" s="11" t="n">
        <f aca="false">Tabla3510813153413[[#This Row],[no_efec_cor]]/(Tabla3510813153413[[#This Row],[efect_inc]]+Tabla3510813153413[[#This Row],[no_efec_cor]])</f>
        <v>0.688524590163934</v>
      </c>
      <c r="Q32" s="11" t="n">
        <f aca="false">Tabla3510813153413[[#This Row],[efec_cor]]/(Tabla3510813153413[[#This Row],[efec_cor]]+Tabla3510813153413[[#This Row],[no_efec_inc]])</f>
        <v>0.653333333333333</v>
      </c>
      <c r="R32" s="11" t="n">
        <f aca="false">(Tabla3510813153413[[#This Row],[PNE]]+Tabla3510813153413[[#This Row],[PE]])/2</f>
        <v>0.670928961748634</v>
      </c>
      <c r="S32" s="0" t="n">
        <v>68</v>
      </c>
      <c r="T32" s="0" t="n">
        <v>68</v>
      </c>
      <c r="U32" s="0" t="n">
        <f aca="false">Tabla3510813153413[[#This Row],[N° efec]]+Tabla3510813153413[[#This Row],[N° no_efe]]</f>
        <v>136</v>
      </c>
    </row>
    <row r="33" customFormat="false" ht="13.8" hidden="false" customHeight="false" outlineLevel="0" collapsed="false">
      <c r="A33" s="0" t="n">
        <v>1</v>
      </c>
      <c r="B33" s="0" t="n">
        <v>5</v>
      </c>
      <c r="C33" s="0" t="n">
        <v>40</v>
      </c>
      <c r="D33" s="0" t="n">
        <v>28</v>
      </c>
      <c r="E33" s="0" t="n">
        <v>58</v>
      </c>
      <c r="F33" s="0" t="n">
        <v>10</v>
      </c>
      <c r="G33" s="0" t="n">
        <f aca="false">Tabla3510813153413[[#This Row],[no_efec_cor]]+Tabla3510813153413[[#This Row],[efec_cor]]</f>
        <v>98</v>
      </c>
      <c r="H33" s="0" t="n">
        <f aca="false">Tabla3510813153413[[#This Row],[no_efec_inc]]+Tabla3510813153413[[#This Row],[efect_inc]]</f>
        <v>38</v>
      </c>
      <c r="I33" s="9" t="n">
        <f aca="false">Tabla3510813153413[[#This Row],[Correctos]]/Tabla3510813153413[[#This Row],[total_sec]]</f>
        <v>0.720588235294118</v>
      </c>
      <c r="J33" s="9" t="n">
        <f aca="false">Tabla3510813153413[[#This Row],[efec_cor]]/Tabla3510813153413[[#This Row],[N° efec]]</f>
        <v>0.852941176470588</v>
      </c>
      <c r="K33" s="9" t="n">
        <f aca="false">Tabla3510813153413[[#This Row],[efect_inc]]/Tabla3510813153413[[#This Row],[N° efec]]</f>
        <v>0.147058823529412</v>
      </c>
      <c r="L33" s="9" t="n">
        <f aca="false">Tabla3510813153413[[#This Row],[no_efec_cor]]/Tabla3510813153413[[#This Row],[N° no_efe]]</f>
        <v>0.588235294117647</v>
      </c>
      <c r="M33" s="9" t="n">
        <f aca="false">Tabla3510813153413[[#This Row],[no_efec_inc]]/Tabla3510813153413[[#This Row],[N° no_efe]]</f>
        <v>0.411764705882353</v>
      </c>
      <c r="N33" s="9" t="n">
        <f aca="false">(Tabla3510813153413[[#This Row],[% efe_cor]]+Tabla3510813153413[[#This Row],[% no_efe_cor]])/2</f>
        <v>0.720588235294118</v>
      </c>
      <c r="O33" s="10" t="n">
        <f aca="false">(Tabla3510813153413[[#This Row],[% efe_inc]]+Tabla3510813153413[[#This Row],[% no_efect_inc]])/2</f>
        <v>0.279411764705882</v>
      </c>
      <c r="P33" s="11" t="n">
        <f aca="false">Tabla3510813153413[[#This Row],[no_efec_cor]]/(Tabla3510813153413[[#This Row],[efect_inc]]+Tabla3510813153413[[#This Row],[no_efec_cor]])</f>
        <v>0.8</v>
      </c>
      <c r="Q33" s="11" t="n">
        <f aca="false">Tabla3510813153413[[#This Row],[efec_cor]]/(Tabla3510813153413[[#This Row],[efec_cor]]+Tabla3510813153413[[#This Row],[no_efec_inc]])</f>
        <v>0.674418604651163</v>
      </c>
      <c r="R33" s="11" t="n">
        <f aca="false">(Tabla3510813153413[[#This Row],[PNE]]+Tabla3510813153413[[#This Row],[PE]])/2</f>
        <v>0.737209302325581</v>
      </c>
      <c r="S33" s="0" t="n">
        <v>68</v>
      </c>
      <c r="T33" s="0" t="n">
        <v>68</v>
      </c>
      <c r="U33" s="0" t="n">
        <f aca="false">Tabla3510813153413[[#This Row],[N° efec]]+Tabla3510813153413[[#This Row],[N° no_efe]]</f>
        <v>136</v>
      </c>
    </row>
    <row r="34" customFormat="false" ht="13.8" hidden="false" customHeight="false" outlineLevel="0" collapsed="false">
      <c r="A34" s="0" t="n">
        <v>2</v>
      </c>
      <c r="B34" s="0" t="n">
        <v>0.5</v>
      </c>
      <c r="C34" s="0" t="n">
        <v>46</v>
      </c>
      <c r="D34" s="0" t="n">
        <v>22</v>
      </c>
      <c r="E34" s="0" t="n">
        <v>47</v>
      </c>
      <c r="F34" s="0" t="n">
        <v>21</v>
      </c>
      <c r="G34" s="0" t="n">
        <f aca="false">Tabla3510813153413[[#This Row],[no_efec_cor]]+Tabla3510813153413[[#This Row],[efec_cor]]</f>
        <v>93</v>
      </c>
      <c r="H34" s="0" t="n">
        <f aca="false">Tabla3510813153413[[#This Row],[no_efec_inc]]+Tabla3510813153413[[#This Row],[efect_inc]]</f>
        <v>43</v>
      </c>
      <c r="I34" s="9" t="n">
        <f aca="false">Tabla3510813153413[[#This Row],[Correctos]]/Tabla3510813153413[[#This Row],[total_sec]]</f>
        <v>0.683823529411765</v>
      </c>
      <c r="J34" s="9" t="n">
        <f aca="false">Tabla3510813153413[[#This Row],[efec_cor]]/Tabla3510813153413[[#This Row],[N° efec]]</f>
        <v>0.691176470588235</v>
      </c>
      <c r="K34" s="9" t="n">
        <f aca="false">Tabla3510813153413[[#This Row],[efect_inc]]/Tabla3510813153413[[#This Row],[N° efec]]</f>
        <v>0.308823529411765</v>
      </c>
      <c r="L34" s="9" t="n">
        <f aca="false">Tabla3510813153413[[#This Row],[no_efec_cor]]/Tabla3510813153413[[#This Row],[N° no_efe]]</f>
        <v>0.676470588235294</v>
      </c>
      <c r="M34" s="9" t="n">
        <f aca="false">Tabla3510813153413[[#This Row],[no_efec_inc]]/Tabla3510813153413[[#This Row],[N° no_efe]]</f>
        <v>0.323529411764706</v>
      </c>
      <c r="N34" s="9" t="n">
        <f aca="false">(Tabla3510813153413[[#This Row],[% efe_cor]]+Tabla3510813153413[[#This Row],[% no_efe_cor]])/2</f>
        <v>0.683823529411765</v>
      </c>
      <c r="O34" s="10" t="n">
        <f aca="false">(Tabla3510813153413[[#This Row],[% efe_inc]]+Tabla3510813153413[[#This Row],[% no_efect_inc]])/2</f>
        <v>0.316176470588235</v>
      </c>
      <c r="P34" s="11" t="n">
        <f aca="false">Tabla3510813153413[[#This Row],[no_efec_cor]]/(Tabla3510813153413[[#This Row],[efect_inc]]+Tabla3510813153413[[#This Row],[no_efec_cor]])</f>
        <v>0.686567164179104</v>
      </c>
      <c r="Q34" s="11" t="n">
        <f aca="false">Tabla3510813153413[[#This Row],[efec_cor]]/(Tabla3510813153413[[#This Row],[efec_cor]]+Tabla3510813153413[[#This Row],[no_efec_inc]])</f>
        <v>0.681159420289855</v>
      </c>
      <c r="R34" s="11" t="n">
        <f aca="false">(Tabla3510813153413[[#This Row],[PNE]]+Tabla3510813153413[[#This Row],[PE]])/2</f>
        <v>0.68386329223448</v>
      </c>
      <c r="S34" s="0" t="n">
        <v>68</v>
      </c>
      <c r="T34" s="0" t="n">
        <v>68</v>
      </c>
      <c r="U34" s="0" t="n">
        <f aca="false">Tabla3510813153413[[#This Row],[N° efec]]+Tabla3510813153413[[#This Row],[N° no_efe]]</f>
        <v>136</v>
      </c>
    </row>
    <row r="35" customFormat="false" ht="13.8" hidden="false" customHeight="false" outlineLevel="0" collapsed="false">
      <c r="A35" s="0" t="n">
        <v>3</v>
      </c>
      <c r="B35" s="0" t="n">
        <v>0.5</v>
      </c>
      <c r="C35" s="0" t="n">
        <v>46</v>
      </c>
      <c r="D35" s="0" t="n">
        <v>22</v>
      </c>
      <c r="E35" s="0" t="n">
        <v>45</v>
      </c>
      <c r="F35" s="0" t="n">
        <v>23</v>
      </c>
      <c r="G35" s="0" t="n">
        <f aca="false">Tabla3510813153413[[#This Row],[no_efec_cor]]+Tabla3510813153413[[#This Row],[efec_cor]]</f>
        <v>91</v>
      </c>
      <c r="H35" s="0" t="n">
        <f aca="false">Tabla3510813153413[[#This Row],[no_efec_inc]]+Tabla3510813153413[[#This Row],[efect_inc]]</f>
        <v>45</v>
      </c>
      <c r="I35" s="9" t="n">
        <f aca="false">Tabla3510813153413[[#This Row],[Correctos]]/Tabla3510813153413[[#This Row],[total_sec]]</f>
        <v>0.669117647058823</v>
      </c>
      <c r="J35" s="9" t="n">
        <f aca="false">Tabla3510813153413[[#This Row],[efec_cor]]/Tabla3510813153413[[#This Row],[N° efec]]</f>
        <v>0.661764705882353</v>
      </c>
      <c r="K35" s="9" t="n">
        <f aca="false">Tabla3510813153413[[#This Row],[efect_inc]]/Tabla3510813153413[[#This Row],[N° efec]]</f>
        <v>0.338235294117647</v>
      </c>
      <c r="L35" s="9" t="n">
        <f aca="false">Tabla3510813153413[[#This Row],[no_efec_cor]]/Tabla3510813153413[[#This Row],[N° no_efe]]</f>
        <v>0.676470588235294</v>
      </c>
      <c r="M35" s="9" t="n">
        <f aca="false">Tabla3510813153413[[#This Row],[no_efec_inc]]/Tabla3510813153413[[#This Row],[N° no_efe]]</f>
        <v>0.323529411764706</v>
      </c>
      <c r="N35" s="9" t="n">
        <f aca="false">(Tabla3510813153413[[#This Row],[% efe_cor]]+Tabla3510813153413[[#This Row],[% no_efe_cor]])/2</f>
        <v>0.669117647058824</v>
      </c>
      <c r="O35" s="10" t="n">
        <f aca="false">(Tabla3510813153413[[#This Row],[% efe_inc]]+Tabla3510813153413[[#This Row],[% no_efect_inc]])/2</f>
        <v>0.330882352941176</v>
      </c>
      <c r="P35" s="11" t="n">
        <f aca="false">Tabla3510813153413[[#This Row],[no_efec_cor]]/(Tabla3510813153413[[#This Row],[efect_inc]]+Tabla3510813153413[[#This Row],[no_efec_cor]])</f>
        <v>0.666666666666667</v>
      </c>
      <c r="Q35" s="11" t="n">
        <f aca="false">Tabla3510813153413[[#This Row],[efec_cor]]/(Tabla3510813153413[[#This Row],[efec_cor]]+Tabla3510813153413[[#This Row],[no_efec_inc]])</f>
        <v>0.671641791044776</v>
      </c>
      <c r="R35" s="11" t="n">
        <f aca="false">(Tabla3510813153413[[#This Row],[PNE]]+Tabla3510813153413[[#This Row],[PE]])/2</f>
        <v>0.669154228855721</v>
      </c>
      <c r="S35" s="0" t="n">
        <v>68</v>
      </c>
      <c r="T35" s="0" t="n">
        <v>68</v>
      </c>
      <c r="U35" s="0" t="n">
        <f aca="false">Tabla3510813153413[[#This Row],[N° efec]]+Tabla3510813153413[[#This Row],[N° no_efe]]</f>
        <v>136</v>
      </c>
    </row>
    <row r="36" customFormat="false" ht="13.8" hidden="false" customHeight="false" outlineLevel="0" collapsed="false">
      <c r="A36" s="0" t="n">
        <v>5</v>
      </c>
      <c r="B36" s="0" t="n">
        <v>0.5</v>
      </c>
      <c r="C36" s="0" t="n">
        <v>45</v>
      </c>
      <c r="D36" s="0" t="n">
        <v>23</v>
      </c>
      <c r="E36" s="0" t="n">
        <v>44</v>
      </c>
      <c r="F36" s="0" t="n">
        <v>24</v>
      </c>
      <c r="G36" s="0" t="n">
        <f aca="false">Tabla3510813153413[[#This Row],[no_efec_cor]]+Tabla3510813153413[[#This Row],[efec_cor]]</f>
        <v>89</v>
      </c>
      <c r="H36" s="0" t="n">
        <f aca="false">Tabla3510813153413[[#This Row],[no_efec_inc]]+Tabla3510813153413[[#This Row],[efect_inc]]</f>
        <v>47</v>
      </c>
      <c r="I36" s="9" t="n">
        <f aca="false">Tabla3510813153413[[#This Row],[Correctos]]/Tabla3510813153413[[#This Row],[total_sec]]</f>
        <v>0.654411764705882</v>
      </c>
      <c r="J36" s="9" t="n">
        <f aca="false">Tabla3510813153413[[#This Row],[efec_cor]]/Tabla3510813153413[[#This Row],[N° efec]]</f>
        <v>0.647058823529412</v>
      </c>
      <c r="K36" s="9" t="n">
        <f aca="false">Tabla3510813153413[[#This Row],[efect_inc]]/Tabla3510813153413[[#This Row],[N° efec]]</f>
        <v>0.352941176470588</v>
      </c>
      <c r="L36" s="9" t="n">
        <f aca="false">Tabla3510813153413[[#This Row],[no_efec_cor]]/Tabla3510813153413[[#This Row],[N° no_efe]]</f>
        <v>0.661764705882353</v>
      </c>
      <c r="M36" s="9" t="n">
        <f aca="false">Tabla3510813153413[[#This Row],[no_efec_inc]]/Tabla3510813153413[[#This Row],[N° no_efe]]</f>
        <v>0.338235294117647</v>
      </c>
      <c r="N36" s="9" t="n">
        <f aca="false">(Tabla3510813153413[[#This Row],[% efe_cor]]+Tabla3510813153413[[#This Row],[% no_efe_cor]])/2</f>
        <v>0.654411764705882</v>
      </c>
      <c r="O36" s="10" t="n">
        <f aca="false">(Tabla3510813153413[[#This Row],[% efe_inc]]+Tabla3510813153413[[#This Row],[% no_efect_inc]])/2</f>
        <v>0.345588235294118</v>
      </c>
      <c r="P36" s="11" t="n">
        <f aca="false">Tabla3510813153413[[#This Row],[no_efec_cor]]/(Tabla3510813153413[[#This Row],[efect_inc]]+Tabla3510813153413[[#This Row],[no_efec_cor]])</f>
        <v>0.652173913043478</v>
      </c>
      <c r="Q36" s="11" t="n">
        <f aca="false">Tabla3510813153413[[#This Row],[efec_cor]]/(Tabla3510813153413[[#This Row],[efec_cor]]+Tabla3510813153413[[#This Row],[no_efec_inc]])</f>
        <v>0.656716417910448</v>
      </c>
      <c r="R36" s="11" t="n">
        <f aca="false">(Tabla3510813153413[[#This Row],[PNE]]+Tabla3510813153413[[#This Row],[PE]])/2</f>
        <v>0.654445165476963</v>
      </c>
      <c r="S36" s="0" t="n">
        <v>68</v>
      </c>
      <c r="T36" s="0" t="n">
        <v>68</v>
      </c>
      <c r="U36" s="0" t="n">
        <f aca="false">Tabla3510813153413[[#This Row],[N° efec]]+Tabla3510813153413[[#This Row],[N° no_efe]]</f>
        <v>136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n">
        <v>46</v>
      </c>
      <c r="D37" s="0" t="n">
        <v>22</v>
      </c>
      <c r="E37" s="0" t="n">
        <v>42</v>
      </c>
      <c r="F37" s="0" t="n">
        <v>26</v>
      </c>
      <c r="G37" s="0" t="n">
        <f aca="false">Tabla3510813153413[[#This Row],[no_efec_cor]]+Tabla3510813153413[[#This Row],[efec_cor]]</f>
        <v>88</v>
      </c>
      <c r="H37" s="0" t="n">
        <f aca="false">Tabla3510813153413[[#This Row],[no_efec_inc]]+Tabla3510813153413[[#This Row],[efect_inc]]</f>
        <v>48</v>
      </c>
      <c r="I37" s="9" t="n">
        <f aca="false">Tabla3510813153413[[#This Row],[Correctos]]/Tabla3510813153413[[#This Row],[total_sec]]</f>
        <v>0.647058823529412</v>
      </c>
      <c r="J37" s="9" t="n">
        <f aca="false">Tabla3510813153413[[#This Row],[efec_cor]]/Tabla3510813153413[[#This Row],[N° efec]]</f>
        <v>0.617647058823529</v>
      </c>
      <c r="K37" s="9" t="n">
        <f aca="false">Tabla3510813153413[[#This Row],[efect_inc]]/Tabla3510813153413[[#This Row],[N° efec]]</f>
        <v>0.382352941176471</v>
      </c>
      <c r="L37" s="9" t="n">
        <f aca="false">Tabla3510813153413[[#This Row],[no_efec_cor]]/Tabla3510813153413[[#This Row],[N° no_efe]]</f>
        <v>0.676470588235294</v>
      </c>
      <c r="M37" s="9" t="n">
        <f aca="false">Tabla3510813153413[[#This Row],[no_efec_inc]]/Tabla3510813153413[[#This Row],[N° no_efe]]</f>
        <v>0.323529411764706</v>
      </c>
      <c r="N37" s="9" t="n">
        <f aca="false">(Tabla3510813153413[[#This Row],[% efe_cor]]+Tabla3510813153413[[#This Row],[% no_efe_cor]])/2</f>
        <v>0.647058823529412</v>
      </c>
      <c r="O37" s="10" t="n">
        <f aca="false">(Tabla3510813153413[[#This Row],[% efe_inc]]+Tabla3510813153413[[#This Row],[% no_efect_inc]])/2</f>
        <v>0.352941176470588</v>
      </c>
      <c r="P37" s="11" t="n">
        <f aca="false">Tabla3510813153413[[#This Row],[no_efec_cor]]/(Tabla3510813153413[[#This Row],[efect_inc]]+Tabla3510813153413[[#This Row],[no_efec_cor]])</f>
        <v>0.638888888888889</v>
      </c>
      <c r="Q37" s="11" t="n">
        <f aca="false">Tabla3510813153413[[#This Row],[efec_cor]]/(Tabla3510813153413[[#This Row],[efec_cor]]+Tabla3510813153413[[#This Row],[no_efec_inc]])</f>
        <v>0.65625</v>
      </c>
      <c r="R37" s="11" t="n">
        <f aca="false">(Tabla3510813153413[[#This Row],[PNE]]+Tabla3510813153413[[#This Row],[PE]])/2</f>
        <v>0.647569444444444</v>
      </c>
      <c r="S37" s="0" t="n">
        <v>68</v>
      </c>
      <c r="T37" s="0" t="n">
        <v>68</v>
      </c>
      <c r="U37" s="0" t="n">
        <f aca="false">Tabla3510813153413[[#This Row],[N° efec]]+Tabla3510813153413[[#This Row],[N° no_efe]]</f>
        <v>136</v>
      </c>
    </row>
    <row r="38" customFormat="false" ht="13.8" hidden="false" customHeight="false" outlineLevel="0" collapsed="false">
      <c r="A38" s="0" t="n">
        <v>0.5</v>
      </c>
      <c r="B38" s="0" t="n">
        <v>1</v>
      </c>
      <c r="C38" s="0" t="n">
        <v>46</v>
      </c>
      <c r="D38" s="0" t="n">
        <v>22</v>
      </c>
      <c r="E38" s="0" t="n">
        <v>51</v>
      </c>
      <c r="F38" s="0" t="n">
        <v>17</v>
      </c>
      <c r="G38" s="0" t="n">
        <f aca="false">Tabla3510813153413[[#This Row],[no_efec_cor]]+Tabla3510813153413[[#This Row],[efec_cor]]</f>
        <v>97</v>
      </c>
      <c r="H38" s="0" t="n">
        <f aca="false">Tabla3510813153413[[#This Row],[no_efec_inc]]+Tabla3510813153413[[#This Row],[efect_inc]]</f>
        <v>39</v>
      </c>
      <c r="I38" s="9" t="n">
        <f aca="false">Tabla3510813153413[[#This Row],[Correctos]]/Tabla3510813153413[[#This Row],[total_sec]]</f>
        <v>0.713235294117647</v>
      </c>
      <c r="J38" s="9" t="n">
        <f aca="false">Tabla3510813153413[[#This Row],[efec_cor]]/Tabla3510813153413[[#This Row],[N° efec]]</f>
        <v>0.75</v>
      </c>
      <c r="K38" s="9" t="n">
        <f aca="false">Tabla3510813153413[[#This Row],[efect_inc]]/Tabla3510813153413[[#This Row],[N° efec]]</f>
        <v>0.25</v>
      </c>
      <c r="L38" s="9" t="n">
        <f aca="false">Tabla3510813153413[[#This Row],[no_efec_cor]]/Tabla3510813153413[[#This Row],[N° no_efe]]</f>
        <v>0.676470588235294</v>
      </c>
      <c r="M38" s="9" t="n">
        <f aca="false">Tabla3510813153413[[#This Row],[no_efec_inc]]/Tabla3510813153413[[#This Row],[N° no_efe]]</f>
        <v>0.323529411764706</v>
      </c>
      <c r="N38" s="9" t="n">
        <f aca="false">(Tabla3510813153413[[#This Row],[% efe_cor]]+Tabla3510813153413[[#This Row],[% no_efe_cor]])/2</f>
        <v>0.713235294117647</v>
      </c>
      <c r="O38" s="10" t="n">
        <f aca="false">(Tabla3510813153413[[#This Row],[% efe_inc]]+Tabla3510813153413[[#This Row],[% no_efect_inc]])/2</f>
        <v>0.286764705882353</v>
      </c>
      <c r="P38" s="11" t="n">
        <f aca="false">Tabla3510813153413[[#This Row],[no_efec_cor]]/(Tabla3510813153413[[#This Row],[efect_inc]]+Tabla3510813153413[[#This Row],[no_efec_cor]])</f>
        <v>0.73015873015873</v>
      </c>
      <c r="Q38" s="11" t="n">
        <f aca="false">Tabla3510813153413[[#This Row],[efec_cor]]/(Tabla3510813153413[[#This Row],[efec_cor]]+Tabla3510813153413[[#This Row],[no_efec_inc]])</f>
        <v>0.698630136986301</v>
      </c>
      <c r="R38" s="11" t="n">
        <f aca="false">(Tabla3510813153413[[#This Row],[PNE]]+Tabla3510813153413[[#This Row],[PE]])/2</f>
        <v>0.714394433572516</v>
      </c>
      <c r="S38" s="0" t="n">
        <v>68</v>
      </c>
      <c r="T38" s="0" t="n">
        <v>68</v>
      </c>
      <c r="U38" s="0" t="n">
        <f aca="false">Tabla3510813153413[[#This Row],[N° efec]]+Tabla3510813153413[[#This Row],[N° no_efe]]</f>
        <v>136</v>
      </c>
    </row>
    <row r="39" customFormat="false" ht="13.8" hidden="false" customHeight="false" outlineLevel="0" collapsed="false">
      <c r="A39" s="0" t="n">
        <v>0.1</v>
      </c>
      <c r="B39" s="0" t="n">
        <v>1</v>
      </c>
      <c r="C39" s="0" t="n">
        <v>39</v>
      </c>
      <c r="D39" s="0" t="n">
        <v>29</v>
      </c>
      <c r="E39" s="0" t="n">
        <v>55</v>
      </c>
      <c r="F39" s="0" t="n">
        <v>13</v>
      </c>
      <c r="G39" s="0" t="n">
        <f aca="false">Tabla3510813153413[[#This Row],[no_efec_cor]]+Tabla3510813153413[[#This Row],[efec_cor]]</f>
        <v>94</v>
      </c>
      <c r="H39" s="0" t="n">
        <f aca="false">Tabla3510813153413[[#This Row],[no_efec_inc]]+Tabla3510813153413[[#This Row],[efect_inc]]</f>
        <v>42</v>
      </c>
      <c r="I39" s="9" t="n">
        <f aca="false">Tabla3510813153413[[#This Row],[Correctos]]/Tabla3510813153413[[#This Row],[total_sec]]</f>
        <v>0.691176470588235</v>
      </c>
      <c r="J39" s="9" t="n">
        <f aca="false">Tabla3510813153413[[#This Row],[efec_cor]]/Tabla3510813153413[[#This Row],[N° efec]]</f>
        <v>0.808823529411765</v>
      </c>
      <c r="K39" s="9" t="n">
        <f aca="false">Tabla3510813153413[[#This Row],[efect_inc]]/Tabla3510813153413[[#This Row],[N° efec]]</f>
        <v>0.191176470588235</v>
      </c>
      <c r="L39" s="9" t="n">
        <f aca="false">Tabla3510813153413[[#This Row],[no_efec_cor]]/Tabla3510813153413[[#This Row],[N° no_efe]]</f>
        <v>0.573529411764706</v>
      </c>
      <c r="M39" s="9" t="n">
        <f aca="false">Tabla3510813153413[[#This Row],[no_efec_inc]]/Tabla3510813153413[[#This Row],[N° no_efe]]</f>
        <v>0.426470588235294</v>
      </c>
      <c r="N39" s="9" t="n">
        <f aca="false">(Tabla3510813153413[[#This Row],[% efe_cor]]+Tabla3510813153413[[#This Row],[% no_efe_cor]])/2</f>
        <v>0.691176470588235</v>
      </c>
      <c r="O39" s="10" t="n">
        <f aca="false">(Tabla3510813153413[[#This Row],[% efe_inc]]+Tabla3510813153413[[#This Row],[% no_efect_inc]])/2</f>
        <v>0.308823529411765</v>
      </c>
      <c r="P39" s="11" t="n">
        <f aca="false">Tabla3510813153413[[#This Row],[no_efec_cor]]/(Tabla3510813153413[[#This Row],[efect_inc]]+Tabla3510813153413[[#This Row],[no_efec_cor]])</f>
        <v>0.75</v>
      </c>
      <c r="Q39" s="11" t="n">
        <f aca="false">Tabla3510813153413[[#This Row],[efec_cor]]/(Tabla3510813153413[[#This Row],[efec_cor]]+Tabla3510813153413[[#This Row],[no_efec_inc]])</f>
        <v>0.654761904761905</v>
      </c>
      <c r="R39" s="11" t="n">
        <f aca="false">(Tabla3510813153413[[#This Row],[PNE]]+Tabla3510813153413[[#This Row],[PE]])/2</f>
        <v>0.702380952380952</v>
      </c>
      <c r="S39" s="0" t="n">
        <v>68</v>
      </c>
      <c r="T39" s="0" t="n">
        <v>68</v>
      </c>
      <c r="U39" s="0" t="n">
        <f aca="false">Tabla3510813153413[[#This Row],[N° efec]]+Tabla3510813153413[[#This Row],[N° no_efe]]</f>
        <v>136</v>
      </c>
    </row>
    <row r="40" customFormat="false" ht="13.8" hidden="false" customHeight="false" outlineLevel="0" collapsed="false">
      <c r="A40" s="0" t="n">
        <v>0.5</v>
      </c>
      <c r="B40" s="0" t="n">
        <v>0.5</v>
      </c>
      <c r="C40" s="0" t="n">
        <v>45</v>
      </c>
      <c r="D40" s="0" t="n">
        <v>23</v>
      </c>
      <c r="E40" s="0" t="n">
        <v>50</v>
      </c>
      <c r="F40" s="0" t="n">
        <v>18</v>
      </c>
      <c r="G40" s="0" t="n">
        <f aca="false">Tabla3510813153413[[#This Row],[no_efec_cor]]+Tabla3510813153413[[#This Row],[efec_cor]]</f>
        <v>95</v>
      </c>
      <c r="H40" s="0" t="n">
        <f aca="false">Tabla3510813153413[[#This Row],[no_efec_inc]]+Tabla3510813153413[[#This Row],[efect_inc]]</f>
        <v>41</v>
      </c>
      <c r="I40" s="9" t="n">
        <f aca="false">Tabla3510813153413[[#This Row],[Correctos]]/Tabla3510813153413[[#This Row],[total_sec]]</f>
        <v>0.698529411764706</v>
      </c>
      <c r="J40" s="9" t="n">
        <f aca="false">Tabla3510813153413[[#This Row],[efec_cor]]/Tabla3510813153413[[#This Row],[N° efec]]</f>
        <v>0.735294117647059</v>
      </c>
      <c r="K40" s="9" t="n">
        <f aca="false">Tabla3510813153413[[#This Row],[efect_inc]]/Tabla3510813153413[[#This Row],[N° efec]]</f>
        <v>0.264705882352941</v>
      </c>
      <c r="L40" s="9" t="n">
        <f aca="false">Tabla3510813153413[[#This Row],[no_efec_cor]]/Tabla3510813153413[[#This Row],[N° no_efe]]</f>
        <v>0.661764705882353</v>
      </c>
      <c r="M40" s="9" t="n">
        <f aca="false">Tabla3510813153413[[#This Row],[no_efec_inc]]/Tabla3510813153413[[#This Row],[N° no_efe]]</f>
        <v>0.338235294117647</v>
      </c>
      <c r="N40" s="9" t="n">
        <f aca="false">(Tabla3510813153413[[#This Row],[% efe_cor]]+Tabla3510813153413[[#This Row],[% no_efe_cor]])/2</f>
        <v>0.698529411764706</v>
      </c>
      <c r="O40" s="10" t="n">
        <f aca="false">(Tabla3510813153413[[#This Row],[% efe_inc]]+Tabla3510813153413[[#This Row],[% no_efect_inc]])/2</f>
        <v>0.301470588235294</v>
      </c>
      <c r="P40" s="11" t="n">
        <f aca="false">Tabla3510813153413[[#This Row],[no_efec_cor]]/(Tabla3510813153413[[#This Row],[efect_inc]]+Tabla3510813153413[[#This Row],[no_efec_cor]])</f>
        <v>0.714285714285714</v>
      </c>
      <c r="Q40" s="11" t="n">
        <f aca="false">Tabla3510813153413[[#This Row],[efec_cor]]/(Tabla3510813153413[[#This Row],[efec_cor]]+Tabla3510813153413[[#This Row],[no_efec_inc]])</f>
        <v>0.684931506849315</v>
      </c>
      <c r="R40" s="11" t="n">
        <f aca="false">(Tabla3510813153413[[#This Row],[PNE]]+Tabla3510813153413[[#This Row],[PE]])/2</f>
        <v>0.699608610567515</v>
      </c>
      <c r="S40" s="0" t="n">
        <v>68</v>
      </c>
      <c r="T40" s="0" t="n">
        <v>68</v>
      </c>
      <c r="U40" s="0" t="n">
        <f aca="false">Tabla3510813153413[[#This Row],[N° efec]]+Tabla3510813153413[[#This Row],[N° no_efe]]</f>
        <v>136</v>
      </c>
    </row>
  </sheetData>
  <mergeCells count="9">
    <mergeCell ref="A1:U1"/>
    <mergeCell ref="A2:U2"/>
    <mergeCell ref="A4:B4"/>
    <mergeCell ref="A5:B5"/>
    <mergeCell ref="A6:B6"/>
    <mergeCell ref="A8:I8"/>
    <mergeCell ref="A21:U21"/>
    <mergeCell ref="A22:U22"/>
    <mergeCell ref="A25:I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E39" activeCellId="1" sqref="A81:E91 E39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78</v>
      </c>
    </row>
    <row r="5" customFormat="false" ht="15" hidden="false" customHeight="false" outlineLevel="0" collapsed="false">
      <c r="A5" s="3" t="s">
        <v>3</v>
      </c>
      <c r="B5" s="3"/>
      <c r="C5" s="4" t="n">
        <v>77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155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56</v>
      </c>
      <c r="C10" s="0" t="n">
        <v>21</v>
      </c>
      <c r="D10" s="0" t="n">
        <v>46</v>
      </c>
      <c r="E10" s="0" t="n">
        <v>32</v>
      </c>
      <c r="F10" s="0" t="n">
        <f aca="false">Tabla3510813153221[[#This Row],[no_efec_cor]]+Tabla3510813153221[[#This Row],[efec_cor]]</f>
        <v>102</v>
      </c>
      <c r="G10" s="0" t="n">
        <f aca="false">Tabla3510813153221[[#This Row],[no_efec_inc]]+Tabla3510813153221[[#This Row],[efect_inc]]</f>
        <v>53</v>
      </c>
      <c r="H10" s="9" t="n">
        <f aca="false">Tabla3510813153221[[#This Row],[Correctos]]/Tabla3510813153221[[#This Row],[total_sec]]</f>
        <v>0.658064516129032</v>
      </c>
      <c r="I10" s="9" t="n">
        <f aca="false">Tabla3510813153221[[#This Row],[efec_cor]]/Tabla3510813153221[[#This Row],[efec]]</f>
        <v>0.58974358974359</v>
      </c>
      <c r="J10" s="9" t="n">
        <f aca="false">Tabla3510813153221[[#This Row],[efect_inc]]/Tabla3510813153221[[#This Row],[efec]]</f>
        <v>0.41025641025641</v>
      </c>
      <c r="K10" s="9" t="n">
        <f aca="false">Tabla3510813153221[[#This Row],[no_efec_cor]]/Tabla3510813153221[[#This Row],[no_efe]]</f>
        <v>0.727272727272727</v>
      </c>
      <c r="L10" s="9" t="n">
        <f aca="false">Tabla3510813153221[[#This Row],[no_efec_inc]]/Tabla3510813153221[[#This Row],[no_efe]]</f>
        <v>0.272727272727273</v>
      </c>
      <c r="M10" s="9" t="n">
        <f aca="false">(Tabla3510813153221[[#This Row],[% efe_cor]]+Tabla3510813153221[[#This Row],[% no_efe_cor]])/2</f>
        <v>0.658508158508159</v>
      </c>
      <c r="N10" s="10" t="n">
        <f aca="false">(Tabla3510813153221[[#This Row],[% efe_inc]]+Tabla3510813153221[[#This Row],[% no_efect_inc]])/2</f>
        <v>0.341491841491841</v>
      </c>
      <c r="O10" s="11" t="n">
        <f aca="false">Tabla3510813153221[[#This Row],[no_efec_cor]]/(Tabla3510813153221[[#This Row],[efect_inc]]+Tabla3510813153221[[#This Row],[no_efec_cor]])</f>
        <v>0.636363636363636</v>
      </c>
      <c r="P10" s="11" t="n">
        <f aca="false">Tabla3510813153221[[#This Row],[efec_cor]]/(Tabla3510813153221[[#This Row],[efec_cor]]+Tabla3510813153221[[#This Row],[no_efec_inc]])</f>
        <v>0.686567164179104</v>
      </c>
      <c r="Q10" s="11" t="n">
        <f aca="false">(Tabla3510813153221[[#This Row],[PNE]]+Tabla3510813153221[[#This Row],[PE]])/2</f>
        <v>0.66146540027137</v>
      </c>
      <c r="R10" s="0" t="n">
        <v>78</v>
      </c>
      <c r="S10" s="0" t="n">
        <v>77</v>
      </c>
      <c r="T10" s="0" t="n">
        <f aca="false">Tabla3510813153221[[#This Row],[efec]]+Tabla3510813153221[[#This Row],[no_efe]]</f>
        <v>155</v>
      </c>
    </row>
    <row r="11" customFormat="false" ht="13.8" hidden="false" customHeight="false" outlineLevel="0" collapsed="false">
      <c r="A11" s="0" t="n">
        <v>5</v>
      </c>
      <c r="B11" s="0" t="n">
        <v>64</v>
      </c>
      <c r="C11" s="0" t="n">
        <v>13</v>
      </c>
      <c r="D11" s="0" t="n">
        <v>37</v>
      </c>
      <c r="E11" s="0" t="n">
        <v>41</v>
      </c>
      <c r="F11" s="0" t="n">
        <f aca="false">Tabla3510813153221[[#This Row],[no_efec_cor]]+Tabla3510813153221[[#This Row],[efec_cor]]</f>
        <v>101</v>
      </c>
      <c r="G11" s="0" t="n">
        <f aca="false">Tabla3510813153221[[#This Row],[no_efec_inc]]+Tabla3510813153221[[#This Row],[efect_inc]]</f>
        <v>54</v>
      </c>
      <c r="H11" s="9" t="n">
        <f aca="false">Tabla3510813153221[[#This Row],[Correctos]]/Tabla3510813153221[[#This Row],[total_sec]]</f>
        <v>0.651612903225806</v>
      </c>
      <c r="I11" s="9" t="n">
        <f aca="false">Tabla3510813153221[[#This Row],[efec_cor]]/Tabla3510813153221[[#This Row],[efec]]</f>
        <v>0.474358974358974</v>
      </c>
      <c r="J11" s="9" t="n">
        <f aca="false">Tabla3510813153221[[#This Row],[efect_inc]]/Tabla3510813153221[[#This Row],[efec]]</f>
        <v>0.525641025641026</v>
      </c>
      <c r="K11" s="9" t="n">
        <f aca="false">Tabla3510813153221[[#This Row],[no_efec_cor]]/Tabla3510813153221[[#This Row],[no_efe]]</f>
        <v>0.831168831168831</v>
      </c>
      <c r="L11" s="9" t="n">
        <f aca="false">Tabla3510813153221[[#This Row],[no_efec_inc]]/Tabla3510813153221[[#This Row],[no_efe]]</f>
        <v>0.168831168831169</v>
      </c>
      <c r="M11" s="9" t="n">
        <f aca="false">(Tabla3510813153221[[#This Row],[% efe_cor]]+Tabla3510813153221[[#This Row],[% no_efe_cor]])/2</f>
        <v>0.652763902763903</v>
      </c>
      <c r="N11" s="10" t="n">
        <f aca="false">(Tabla3510813153221[[#This Row],[% efe_inc]]+Tabla3510813153221[[#This Row],[% no_efect_inc]])/2</f>
        <v>0.347236097236097</v>
      </c>
      <c r="O11" s="11" t="n">
        <f aca="false">Tabla3510813153221[[#This Row],[no_efec_cor]]/(Tabla3510813153221[[#This Row],[efect_inc]]+Tabla3510813153221[[#This Row],[no_efec_cor]])</f>
        <v>0.60952380952381</v>
      </c>
      <c r="P11" s="11" t="n">
        <f aca="false">Tabla3510813153221[[#This Row],[efec_cor]]/(Tabla3510813153221[[#This Row],[efec_cor]]+Tabla3510813153221[[#This Row],[no_efec_inc]])</f>
        <v>0.74</v>
      </c>
      <c r="Q11" s="11" t="n">
        <f aca="false">(Tabla3510813153221[[#This Row],[PNE]]+Tabla3510813153221[[#This Row],[PE]])/2</f>
        <v>0.674761904761905</v>
      </c>
      <c r="R11" s="0" t="n">
        <v>78</v>
      </c>
      <c r="S11" s="0" t="n">
        <v>77</v>
      </c>
      <c r="T11" s="0" t="n">
        <f aca="false">Tabla3510813153221[[#This Row],[efec]]+Tabla3510813153221[[#This Row],[no_efe]]</f>
        <v>155</v>
      </c>
    </row>
    <row r="12" customFormat="false" ht="13.8" hidden="false" customHeight="false" outlineLevel="0" collapsed="false">
      <c r="A12" s="0" t="n">
        <v>10</v>
      </c>
      <c r="B12" s="0" t="n">
        <v>54</v>
      </c>
      <c r="C12" s="0" t="n">
        <v>23</v>
      </c>
      <c r="D12" s="0" t="n">
        <v>38</v>
      </c>
      <c r="E12" s="0" t="n">
        <v>40</v>
      </c>
      <c r="F12" s="0" t="n">
        <f aca="false">Tabla3510813153221[[#This Row],[no_efec_cor]]+Tabla3510813153221[[#This Row],[efec_cor]]</f>
        <v>92</v>
      </c>
      <c r="G12" s="0" t="n">
        <f aca="false">Tabla3510813153221[[#This Row],[no_efec_inc]]+Tabla3510813153221[[#This Row],[efect_inc]]</f>
        <v>63</v>
      </c>
      <c r="H12" s="9" t="n">
        <f aca="false">Tabla3510813153221[[#This Row],[Correctos]]/Tabla3510813153221[[#This Row],[total_sec]]</f>
        <v>0.593548387096774</v>
      </c>
      <c r="I12" s="9" t="n">
        <f aca="false">Tabla3510813153221[[#This Row],[efec_cor]]/Tabla3510813153221[[#This Row],[efec]]</f>
        <v>0.487179487179487</v>
      </c>
      <c r="J12" s="9" t="n">
        <f aca="false">Tabla3510813153221[[#This Row],[efect_inc]]/Tabla3510813153221[[#This Row],[efec]]</f>
        <v>0.512820512820513</v>
      </c>
      <c r="K12" s="9" t="n">
        <f aca="false">Tabla3510813153221[[#This Row],[no_efec_cor]]/Tabla3510813153221[[#This Row],[no_efe]]</f>
        <v>0.701298701298701</v>
      </c>
      <c r="L12" s="9" t="n">
        <f aca="false">Tabla3510813153221[[#This Row],[no_efec_inc]]/Tabla3510813153221[[#This Row],[no_efe]]</f>
        <v>0.298701298701299</v>
      </c>
      <c r="M12" s="9" t="n">
        <f aca="false">(Tabla3510813153221[[#This Row],[% efe_cor]]+Tabla3510813153221[[#This Row],[% no_efe_cor]])/2</f>
        <v>0.594239094239094</v>
      </c>
      <c r="N12" s="10" t="n">
        <f aca="false">(Tabla3510813153221[[#This Row],[% efe_inc]]+Tabla3510813153221[[#This Row],[% no_efect_inc]])/2</f>
        <v>0.405760905760906</v>
      </c>
      <c r="O12" s="11" t="n">
        <f aca="false">Tabla3510813153221[[#This Row],[no_efec_cor]]/(Tabla3510813153221[[#This Row],[efect_inc]]+Tabla3510813153221[[#This Row],[no_efec_cor]])</f>
        <v>0.574468085106383</v>
      </c>
      <c r="P12" s="11" t="n">
        <f aca="false">Tabla3510813153221[[#This Row],[efec_cor]]/(Tabla3510813153221[[#This Row],[efec_cor]]+Tabla3510813153221[[#This Row],[no_efec_inc]])</f>
        <v>0.622950819672131</v>
      </c>
      <c r="Q12" s="11" t="n">
        <f aca="false">(Tabla3510813153221[[#This Row],[PNE]]+Tabla3510813153221[[#This Row],[PE]])/2</f>
        <v>0.598709452389257</v>
      </c>
      <c r="R12" s="0" t="n">
        <v>78</v>
      </c>
      <c r="S12" s="0" t="n">
        <v>77</v>
      </c>
      <c r="T12" s="0" t="n">
        <f aca="false">Tabla3510813153221[[#This Row],[efec]]+Tabla3510813153221[[#This Row],[no_efe]]</f>
        <v>155</v>
      </c>
    </row>
    <row r="13" customFormat="false" ht="13.8" hidden="false" customHeight="false" outlineLevel="0" collapsed="false">
      <c r="A13" s="0" t="n">
        <v>15</v>
      </c>
      <c r="B13" s="0" t="n">
        <v>65</v>
      </c>
      <c r="C13" s="0" t="n">
        <v>12</v>
      </c>
      <c r="D13" s="0" t="n">
        <v>28</v>
      </c>
      <c r="E13" s="0" t="n">
        <v>50</v>
      </c>
      <c r="F13" s="0" t="n">
        <f aca="false">Tabla3510813153221[[#This Row],[no_efec_cor]]+Tabla3510813153221[[#This Row],[efec_cor]]</f>
        <v>93</v>
      </c>
      <c r="G13" s="0" t="n">
        <f aca="false">Tabla3510813153221[[#This Row],[no_efec_inc]]+Tabla3510813153221[[#This Row],[efect_inc]]</f>
        <v>62</v>
      </c>
      <c r="H13" s="9" t="n">
        <f aca="false">Tabla3510813153221[[#This Row],[Correctos]]/Tabla3510813153221[[#This Row],[total_sec]]</f>
        <v>0.6</v>
      </c>
      <c r="I13" s="9" t="n">
        <f aca="false">Tabla3510813153221[[#This Row],[efec_cor]]/Tabla3510813153221[[#This Row],[efec]]</f>
        <v>0.358974358974359</v>
      </c>
      <c r="J13" s="9" t="n">
        <f aca="false">Tabla3510813153221[[#This Row],[efect_inc]]/Tabla3510813153221[[#This Row],[efec]]</f>
        <v>0.641025641025641</v>
      </c>
      <c r="K13" s="9" t="n">
        <f aca="false">Tabla3510813153221[[#This Row],[no_efec_cor]]/Tabla3510813153221[[#This Row],[no_efe]]</f>
        <v>0.844155844155844</v>
      </c>
      <c r="L13" s="9" t="n">
        <f aca="false">Tabla3510813153221[[#This Row],[no_efec_inc]]/Tabla3510813153221[[#This Row],[no_efe]]</f>
        <v>0.155844155844156</v>
      </c>
      <c r="M13" s="9" t="n">
        <f aca="false">(Tabla3510813153221[[#This Row],[% efe_cor]]+Tabla3510813153221[[#This Row],[% no_efe_cor]])/2</f>
        <v>0.601565101565102</v>
      </c>
      <c r="N13" s="10" t="n">
        <f aca="false">(Tabla3510813153221[[#This Row],[% efe_inc]]+Tabla3510813153221[[#This Row],[% no_efect_inc]])/2</f>
        <v>0.398434898434898</v>
      </c>
      <c r="O13" s="11" t="n">
        <f aca="false">Tabla3510813153221[[#This Row],[no_efec_cor]]/(Tabla3510813153221[[#This Row],[efect_inc]]+Tabla3510813153221[[#This Row],[no_efec_cor]])</f>
        <v>0.565217391304348</v>
      </c>
      <c r="P13" s="11" t="n">
        <f aca="false">Tabla3510813153221[[#This Row],[efec_cor]]/(Tabla3510813153221[[#This Row],[efec_cor]]+Tabla3510813153221[[#This Row],[no_efec_inc]])</f>
        <v>0.7</v>
      </c>
      <c r="Q13" s="11" t="n">
        <f aca="false">(Tabla3510813153221[[#This Row],[PNE]]+Tabla3510813153221[[#This Row],[PE]])/2</f>
        <v>0.632608695652174</v>
      </c>
      <c r="R13" s="0" t="n">
        <v>78</v>
      </c>
      <c r="S13" s="0" t="n">
        <v>77</v>
      </c>
      <c r="T13" s="0" t="n">
        <f aca="false">Tabla3510813153221[[#This Row],[efec]]+Tabla3510813153221[[#This Row],[no_efe]]</f>
        <v>155</v>
      </c>
    </row>
    <row r="14" customFormat="false" ht="13.8" hidden="false" customHeight="false" outlineLevel="0" collapsed="false">
      <c r="A14" s="0" t="n">
        <v>20</v>
      </c>
      <c r="B14" s="0" t="n">
        <v>62</v>
      </c>
      <c r="C14" s="0" t="n">
        <v>15</v>
      </c>
      <c r="D14" s="0" t="n">
        <v>32</v>
      </c>
      <c r="E14" s="0" t="n">
        <v>46</v>
      </c>
      <c r="F14" s="0" t="n">
        <f aca="false">Tabla3510813153221[[#This Row],[no_efec_cor]]+Tabla3510813153221[[#This Row],[efec_cor]]</f>
        <v>94</v>
      </c>
      <c r="G14" s="0" t="n">
        <f aca="false">Tabla3510813153221[[#This Row],[no_efec_inc]]+Tabla3510813153221[[#This Row],[efect_inc]]</f>
        <v>61</v>
      </c>
      <c r="H14" s="9" t="n">
        <f aca="false">Tabla3510813153221[[#This Row],[Correctos]]/Tabla3510813153221[[#This Row],[total_sec]]</f>
        <v>0.606451612903226</v>
      </c>
      <c r="I14" s="9" t="n">
        <f aca="false">Tabla3510813153221[[#This Row],[efec_cor]]/Tabla3510813153221[[#This Row],[efec]]</f>
        <v>0.41025641025641</v>
      </c>
      <c r="J14" s="9" t="n">
        <f aca="false">Tabla3510813153221[[#This Row],[efect_inc]]/Tabla3510813153221[[#This Row],[efec]]</f>
        <v>0.58974358974359</v>
      </c>
      <c r="K14" s="9" t="n">
        <f aca="false">Tabla3510813153221[[#This Row],[no_efec_cor]]/Tabla3510813153221[[#This Row],[no_efe]]</f>
        <v>0.805194805194805</v>
      </c>
      <c r="L14" s="9" t="n">
        <f aca="false">Tabla3510813153221[[#This Row],[no_efec_inc]]/Tabla3510813153221[[#This Row],[no_efe]]</f>
        <v>0.194805194805195</v>
      </c>
      <c r="M14" s="9" t="n">
        <f aca="false">(Tabla3510813153221[[#This Row],[% efe_cor]]+Tabla3510813153221[[#This Row],[% no_efe_cor]])/2</f>
        <v>0.607725607725608</v>
      </c>
      <c r="N14" s="10" t="n">
        <f aca="false">(Tabla3510813153221[[#This Row],[% efe_inc]]+Tabla3510813153221[[#This Row],[% no_efect_inc]])/2</f>
        <v>0.392274392274392</v>
      </c>
      <c r="O14" s="11" t="n">
        <f aca="false">Tabla3510813153221[[#This Row],[no_efec_cor]]/(Tabla3510813153221[[#This Row],[efect_inc]]+Tabla3510813153221[[#This Row],[no_efec_cor]])</f>
        <v>0.574074074074074</v>
      </c>
      <c r="P14" s="11" t="n">
        <f aca="false">Tabla3510813153221[[#This Row],[efec_cor]]/(Tabla3510813153221[[#This Row],[efec_cor]]+Tabla3510813153221[[#This Row],[no_efec_inc]])</f>
        <v>0.680851063829787</v>
      </c>
      <c r="Q14" s="11" t="n">
        <f aca="false">(Tabla3510813153221[[#This Row],[PNE]]+Tabla3510813153221[[#This Row],[PE]])/2</f>
        <v>0.627462568951931</v>
      </c>
      <c r="R14" s="0" t="n">
        <v>78</v>
      </c>
      <c r="S14" s="0" t="n">
        <v>77</v>
      </c>
      <c r="T14" s="0" t="n">
        <f aca="false">Tabla3510813153221[[#This Row],[efec]]+Tabla3510813153221[[#This Row],[no_efe]]</f>
        <v>155</v>
      </c>
    </row>
    <row r="15" customFormat="false" ht="13.8" hidden="false" customHeight="false" outlineLevel="0" collapsed="false">
      <c r="A15" s="0" t="n">
        <v>25</v>
      </c>
      <c r="B15" s="0" t="n">
        <v>66</v>
      </c>
      <c r="C15" s="0" t="n">
        <v>11</v>
      </c>
      <c r="D15" s="0" t="n">
        <v>31</v>
      </c>
      <c r="E15" s="0" t="n">
        <v>47</v>
      </c>
      <c r="F15" s="0" t="n">
        <f aca="false">Tabla3510813153221[[#This Row],[no_efec_cor]]+Tabla3510813153221[[#This Row],[efec_cor]]</f>
        <v>97</v>
      </c>
      <c r="G15" s="0" t="n">
        <f aca="false">Tabla3510813153221[[#This Row],[no_efec_inc]]+Tabla3510813153221[[#This Row],[efect_inc]]</f>
        <v>58</v>
      </c>
      <c r="H15" s="9" t="n">
        <f aca="false">Tabla3510813153221[[#This Row],[Correctos]]/Tabla3510813153221[[#This Row],[total_sec]]</f>
        <v>0.625806451612903</v>
      </c>
      <c r="I15" s="9" t="n">
        <f aca="false">Tabla3510813153221[[#This Row],[efec_cor]]/Tabla3510813153221[[#This Row],[efec]]</f>
        <v>0.397435897435897</v>
      </c>
      <c r="J15" s="9" t="n">
        <f aca="false">Tabla3510813153221[[#This Row],[efect_inc]]/Tabla3510813153221[[#This Row],[efec]]</f>
        <v>0.602564102564102</v>
      </c>
      <c r="K15" s="9" t="n">
        <f aca="false">Tabla3510813153221[[#This Row],[no_efec_cor]]/Tabla3510813153221[[#This Row],[no_efe]]</f>
        <v>0.857142857142857</v>
      </c>
      <c r="L15" s="9" t="n">
        <f aca="false">Tabla3510813153221[[#This Row],[no_efec_inc]]/Tabla3510813153221[[#This Row],[no_efe]]</f>
        <v>0.142857142857143</v>
      </c>
      <c r="M15" s="9" t="n">
        <f aca="false">(Tabla3510813153221[[#This Row],[% efe_cor]]+Tabla3510813153221[[#This Row],[% no_efe_cor]])/2</f>
        <v>0.627289377289377</v>
      </c>
      <c r="N15" s="10" t="n">
        <f aca="false">(Tabla3510813153221[[#This Row],[% efe_inc]]+Tabla3510813153221[[#This Row],[% no_efect_inc]])/2</f>
        <v>0.372710622710623</v>
      </c>
      <c r="O15" s="11" t="n">
        <f aca="false">Tabla3510813153221[[#This Row],[no_efec_cor]]/(Tabla3510813153221[[#This Row],[efect_inc]]+Tabla3510813153221[[#This Row],[no_efec_cor]])</f>
        <v>0.584070796460177</v>
      </c>
      <c r="P15" s="11" t="n">
        <f aca="false">Tabla3510813153221[[#This Row],[efec_cor]]/(Tabla3510813153221[[#This Row],[efec_cor]]+Tabla3510813153221[[#This Row],[no_efec_inc]])</f>
        <v>0.738095238095238</v>
      </c>
      <c r="Q15" s="11" t="n">
        <f aca="false">(Tabla3510813153221[[#This Row],[PNE]]+Tabla3510813153221[[#This Row],[PE]])/2</f>
        <v>0.661083017277708</v>
      </c>
      <c r="R15" s="0" t="n">
        <v>78</v>
      </c>
      <c r="S15" s="0" t="n">
        <v>77</v>
      </c>
      <c r="T15" s="0" t="n">
        <f aca="false">Tabla3510813153221[[#This Row],[efec]]+Tabla3510813153221[[#This Row],[no_efe]]</f>
        <v>155</v>
      </c>
    </row>
    <row r="16" customFormat="false" ht="13.8" hidden="false" customHeight="false" outlineLevel="0" collapsed="false">
      <c r="A16" s="0" t="n">
        <v>30</v>
      </c>
      <c r="B16" s="0" t="n">
        <v>64</v>
      </c>
      <c r="C16" s="0" t="n">
        <v>13</v>
      </c>
      <c r="D16" s="0" t="n">
        <v>32</v>
      </c>
      <c r="E16" s="0" t="n">
        <v>46</v>
      </c>
      <c r="F16" s="0" t="n">
        <f aca="false">Tabla3510813153221[[#This Row],[no_efec_cor]]+Tabla3510813153221[[#This Row],[efec_cor]]</f>
        <v>96</v>
      </c>
      <c r="G16" s="0" t="n">
        <f aca="false">Tabla3510813153221[[#This Row],[no_efec_inc]]+Tabla3510813153221[[#This Row],[efect_inc]]</f>
        <v>59</v>
      </c>
      <c r="H16" s="9" t="n">
        <f aca="false">Tabla3510813153221[[#This Row],[Correctos]]/Tabla3510813153221[[#This Row],[total_sec]]</f>
        <v>0.619354838709677</v>
      </c>
      <c r="I16" s="9" t="n">
        <f aca="false">Tabla3510813153221[[#This Row],[efec_cor]]/Tabla3510813153221[[#This Row],[efec]]</f>
        <v>0.41025641025641</v>
      </c>
      <c r="J16" s="9" t="n">
        <f aca="false">Tabla3510813153221[[#This Row],[efect_inc]]/Tabla3510813153221[[#This Row],[efec]]</f>
        <v>0.58974358974359</v>
      </c>
      <c r="K16" s="9" t="n">
        <f aca="false">Tabla3510813153221[[#This Row],[no_efec_cor]]/Tabla3510813153221[[#This Row],[no_efe]]</f>
        <v>0.831168831168831</v>
      </c>
      <c r="L16" s="9" t="n">
        <f aca="false">Tabla3510813153221[[#This Row],[no_efec_inc]]/Tabla3510813153221[[#This Row],[no_efe]]</f>
        <v>0.168831168831169</v>
      </c>
      <c r="M16" s="9" t="n">
        <f aca="false">(Tabla3510813153221[[#This Row],[% efe_cor]]+Tabla3510813153221[[#This Row],[% no_efe_cor]])/2</f>
        <v>0.620712620712621</v>
      </c>
      <c r="N16" s="10" t="n">
        <f aca="false">(Tabla3510813153221[[#This Row],[% efe_inc]]+Tabla3510813153221[[#This Row],[% no_efect_inc]])/2</f>
        <v>0.379287379287379</v>
      </c>
      <c r="O16" s="11" t="n">
        <f aca="false">Tabla3510813153221[[#This Row],[no_efec_cor]]/(Tabla3510813153221[[#This Row],[efect_inc]]+Tabla3510813153221[[#This Row],[no_efec_cor]])</f>
        <v>0.581818181818182</v>
      </c>
      <c r="P16" s="11" t="n">
        <f aca="false">Tabla3510813153221[[#This Row],[efec_cor]]/(Tabla3510813153221[[#This Row],[efec_cor]]+Tabla3510813153221[[#This Row],[no_efec_inc]])</f>
        <v>0.711111111111111</v>
      </c>
      <c r="Q16" s="11" t="n">
        <f aca="false">(Tabla3510813153221[[#This Row],[PNE]]+Tabla3510813153221[[#This Row],[PE]])/2</f>
        <v>0.646464646464646</v>
      </c>
      <c r="R16" s="0" t="n">
        <v>78</v>
      </c>
      <c r="S16" s="0" t="n">
        <v>77</v>
      </c>
      <c r="T16" s="0" t="n">
        <f aca="false">Tabla3510813153221[[#This Row],[efec]]+Tabla3510813153221[[#This Row],[no_efe]]</f>
        <v>155</v>
      </c>
    </row>
    <row r="17" customFormat="false" ht="13.8" hidden="false" customHeight="false" outlineLevel="0" collapsed="false">
      <c r="A17" s="0" t="n">
        <v>35</v>
      </c>
      <c r="B17" s="0" t="n">
        <v>65</v>
      </c>
      <c r="C17" s="0" t="n">
        <v>12</v>
      </c>
      <c r="D17" s="0" t="n">
        <v>29</v>
      </c>
      <c r="E17" s="0" t="n">
        <v>49</v>
      </c>
      <c r="F17" s="0" t="n">
        <f aca="false">Tabla3510813153221[[#This Row],[no_efec_cor]]+Tabla3510813153221[[#This Row],[efec_cor]]</f>
        <v>94</v>
      </c>
      <c r="G17" s="0" t="n">
        <f aca="false">Tabla3510813153221[[#This Row],[no_efec_inc]]+Tabla3510813153221[[#This Row],[efect_inc]]</f>
        <v>61</v>
      </c>
      <c r="H17" s="9" t="n">
        <f aca="false">Tabla3510813153221[[#This Row],[Correctos]]/Tabla3510813153221[[#This Row],[total_sec]]</f>
        <v>0.606451612903226</v>
      </c>
      <c r="I17" s="9" t="n">
        <f aca="false">Tabla3510813153221[[#This Row],[efec_cor]]/Tabla3510813153221[[#This Row],[efec]]</f>
        <v>0.371794871794872</v>
      </c>
      <c r="J17" s="9" t="n">
        <f aca="false">Tabla3510813153221[[#This Row],[efect_inc]]/Tabla3510813153221[[#This Row],[efec]]</f>
        <v>0.628205128205128</v>
      </c>
      <c r="K17" s="9" t="n">
        <f aca="false">Tabla3510813153221[[#This Row],[no_efec_cor]]/Tabla3510813153221[[#This Row],[no_efe]]</f>
        <v>0.844155844155844</v>
      </c>
      <c r="L17" s="9" t="n">
        <f aca="false">Tabla3510813153221[[#This Row],[no_efec_inc]]/Tabla3510813153221[[#This Row],[no_efe]]</f>
        <v>0.155844155844156</v>
      </c>
      <c r="M17" s="9" t="n">
        <f aca="false">(Tabla3510813153221[[#This Row],[% efe_cor]]+Tabla3510813153221[[#This Row],[% no_efe_cor]])/2</f>
        <v>0.607975357975358</v>
      </c>
      <c r="N17" s="10" t="n">
        <f aca="false">(Tabla3510813153221[[#This Row],[% efe_inc]]+Tabla3510813153221[[#This Row],[% no_efect_inc]])/2</f>
        <v>0.392024642024642</v>
      </c>
      <c r="O17" s="11" t="n">
        <f aca="false">Tabla3510813153221[[#This Row],[no_efec_cor]]/(Tabla3510813153221[[#This Row],[efect_inc]]+Tabla3510813153221[[#This Row],[no_efec_cor]])</f>
        <v>0.570175438596491</v>
      </c>
      <c r="P17" s="11" t="n">
        <f aca="false">Tabla3510813153221[[#This Row],[efec_cor]]/(Tabla3510813153221[[#This Row],[efec_cor]]+Tabla3510813153221[[#This Row],[no_efec_inc]])</f>
        <v>0.707317073170732</v>
      </c>
      <c r="Q17" s="11" t="n">
        <f aca="false">(Tabla3510813153221[[#This Row],[PNE]]+Tabla3510813153221[[#This Row],[PE]])/2</f>
        <v>0.638746255883611</v>
      </c>
      <c r="R17" s="0" t="n">
        <v>78</v>
      </c>
      <c r="S17" s="0" t="n">
        <v>77</v>
      </c>
      <c r="T17" s="0" t="n">
        <f aca="false">Tabla3510813153221[[#This Row],[efec]]+Tabla3510813153221[[#This Row],[no_efe]]</f>
        <v>155</v>
      </c>
    </row>
    <row r="18" customFormat="false" ht="13.8" hidden="false" customHeight="false" outlineLevel="0" collapsed="false">
      <c r="A18" s="0" t="n">
        <v>39</v>
      </c>
      <c r="B18" s="0" t="n">
        <v>64</v>
      </c>
      <c r="C18" s="0" t="n">
        <v>13</v>
      </c>
      <c r="D18" s="0" t="n">
        <v>30</v>
      </c>
      <c r="E18" s="0" t="n">
        <v>48</v>
      </c>
      <c r="F18" s="0" t="n">
        <f aca="false">Tabla3510813153221[[#This Row],[no_efec_cor]]+Tabla3510813153221[[#This Row],[efec_cor]]</f>
        <v>94</v>
      </c>
      <c r="G18" s="0" t="n">
        <f aca="false">Tabla3510813153221[[#This Row],[no_efec_inc]]+Tabla3510813153221[[#This Row],[efect_inc]]</f>
        <v>61</v>
      </c>
      <c r="H18" s="9" t="n">
        <f aca="false">Tabla3510813153221[[#This Row],[Correctos]]/Tabla3510813153221[[#This Row],[total_sec]]</f>
        <v>0.606451612903226</v>
      </c>
      <c r="I18" s="9" t="n">
        <f aca="false">Tabla3510813153221[[#This Row],[efec_cor]]/Tabla3510813153221[[#This Row],[efec]]</f>
        <v>0.384615384615385</v>
      </c>
      <c r="J18" s="9" t="n">
        <f aca="false">Tabla3510813153221[[#This Row],[efect_inc]]/Tabla3510813153221[[#This Row],[efec]]</f>
        <v>0.615384615384615</v>
      </c>
      <c r="K18" s="9" t="n">
        <f aca="false">Tabla3510813153221[[#This Row],[no_efec_cor]]/Tabla3510813153221[[#This Row],[no_efe]]</f>
        <v>0.831168831168831</v>
      </c>
      <c r="L18" s="9" t="n">
        <f aca="false">Tabla3510813153221[[#This Row],[no_efec_inc]]/Tabla3510813153221[[#This Row],[no_efe]]</f>
        <v>0.168831168831169</v>
      </c>
      <c r="M18" s="9" t="n">
        <f aca="false">(Tabla3510813153221[[#This Row],[% efe_cor]]+Tabla3510813153221[[#This Row],[% no_efe_cor]])/2</f>
        <v>0.607892107892108</v>
      </c>
      <c r="N18" s="10" t="n">
        <f aca="false">(Tabla3510813153221[[#This Row],[% efe_inc]]+Tabla3510813153221[[#This Row],[% no_efect_inc]])/2</f>
        <v>0.392107892107892</v>
      </c>
      <c r="O18" s="11" t="n">
        <f aca="false">Tabla3510813153221[[#This Row],[no_efec_cor]]/(Tabla3510813153221[[#This Row],[efect_inc]]+Tabla3510813153221[[#This Row],[no_efec_cor]])</f>
        <v>0.571428571428571</v>
      </c>
      <c r="P18" s="11" t="n">
        <f aca="false">Tabla3510813153221[[#This Row],[efec_cor]]/(Tabla3510813153221[[#This Row],[efec_cor]]+Tabla3510813153221[[#This Row],[no_efec_inc]])</f>
        <v>0.697674418604651</v>
      </c>
      <c r="Q18" s="11" t="n">
        <f aca="false">(Tabla3510813153221[[#This Row],[PNE]]+Tabla3510813153221[[#This Row],[PE]])/2</f>
        <v>0.634551495016611</v>
      </c>
      <c r="R18" s="0" t="n">
        <v>78</v>
      </c>
      <c r="S18" s="0" t="n">
        <v>77</v>
      </c>
      <c r="T18" s="0" t="n">
        <f aca="false">Tabla3510813153221[[#This Row],[efec]]+Tabla3510813153221[[#This Row],[no_efe]]</f>
        <v>155</v>
      </c>
    </row>
    <row r="20" customFormat="false" ht="19.5" hidden="false" customHeight="false" outlineLevel="0" collapsed="false">
      <c r="A20" s="1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4" customFormat="false" ht="15.75" hidden="false" customHeight="false" outlineLevel="0" collapsed="false">
      <c r="A24" s="5" t="s">
        <v>5</v>
      </c>
      <c r="B24" s="5"/>
      <c r="C24" s="5"/>
      <c r="D24" s="5"/>
      <c r="E24" s="5"/>
      <c r="F24" s="5"/>
      <c r="G24" s="5"/>
      <c r="H24" s="5"/>
      <c r="I24" s="5"/>
    </row>
    <row r="25" customFormat="false" ht="15.75" hidden="false" customHeight="false" outlineLevel="0" collapsed="false">
      <c r="A25" s="7" t="s">
        <v>27</v>
      </c>
      <c r="B25" s="7" t="s">
        <v>28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7" t="s">
        <v>17</v>
      </c>
      <c r="N25" s="7" t="s">
        <v>18</v>
      </c>
      <c r="O25" s="7" t="s">
        <v>19</v>
      </c>
      <c r="P25" s="7" t="s">
        <v>20</v>
      </c>
      <c r="Q25" s="7" t="s">
        <v>21</v>
      </c>
      <c r="R25" s="7" t="s">
        <v>22</v>
      </c>
      <c r="S25" s="7" t="s">
        <v>23</v>
      </c>
      <c r="T25" s="7" t="s">
        <v>24</v>
      </c>
      <c r="U25" s="7" t="s">
        <v>25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60</v>
      </c>
      <c r="D26" s="0" t="n">
        <v>17</v>
      </c>
      <c r="E26" s="0" t="n">
        <v>35</v>
      </c>
      <c r="F26" s="0" t="n">
        <v>43</v>
      </c>
      <c r="G26" s="0" t="n">
        <f aca="false">Tabla3510813153426[[#This Row],[no_efec_cor]]+Tabla3510813153426[[#This Row],[efec_cor]]</f>
        <v>95</v>
      </c>
      <c r="H26" s="0" t="n">
        <f aca="false">Tabla3510813153426[[#This Row],[no_efec_inc]]+Tabla3510813153426[[#This Row],[efect_inc]]</f>
        <v>60</v>
      </c>
      <c r="I26" s="9" t="n">
        <f aca="false">Tabla3510813153426[[#This Row],[Correctos]]/Tabla3510813153426[[#This Row],[total_sec]]</f>
        <v>0.612903225806452</v>
      </c>
      <c r="J26" s="9" t="n">
        <f aca="false">Tabla3510813153426[[#This Row],[efec_cor]]/Tabla3510813153426[[#This Row],[efec]]</f>
        <v>0.448717948717949</v>
      </c>
      <c r="K26" s="9" t="n">
        <f aca="false">Tabla3510813153426[[#This Row],[efect_inc]]/Tabla3510813153426[[#This Row],[efec]]</f>
        <v>0.551282051282051</v>
      </c>
      <c r="L26" s="9" t="n">
        <f aca="false">Tabla3510813153426[[#This Row],[no_efec_cor]]/Tabla3510813153426[[#This Row],[no_efe]]</f>
        <v>0.779220779220779</v>
      </c>
      <c r="M26" s="9" t="n">
        <f aca="false">Tabla3510813153426[[#This Row],[no_efec_inc]]/Tabla3510813153426[[#This Row],[no_efe]]</f>
        <v>0.220779220779221</v>
      </c>
      <c r="N26" s="9" t="n">
        <f aca="false">(Tabla3510813153426[[#This Row],[% efe_cor]]+Tabla3510813153426[[#This Row],[% no_efe_cor]])/2</f>
        <v>0.613969363969364</v>
      </c>
      <c r="O26" s="10" t="n">
        <f aca="false">(Tabla3510813153426[[#This Row],[% efe_inc]]+Tabla3510813153426[[#This Row],[% no_efect_inc]])/2</f>
        <v>0.386030636030636</v>
      </c>
      <c r="P26" s="11" t="n">
        <f aca="false">Tabla3510813153426[[#This Row],[no_efec_cor]]/(Tabla3510813153426[[#This Row],[efect_inc]]+Tabla3510813153426[[#This Row],[no_efec_cor]])</f>
        <v>0.58252427184466</v>
      </c>
      <c r="Q26" s="11" t="n">
        <f aca="false">Tabla3510813153426[[#This Row],[efec_cor]]/(Tabla3510813153426[[#This Row],[efec_cor]]+Tabla3510813153426[[#This Row],[no_efec_inc]])</f>
        <v>0.673076923076923</v>
      </c>
      <c r="R26" s="11" t="n">
        <f aca="false">(Tabla3510813153426[[#This Row],[PNE]]+Tabla3510813153426[[#This Row],[PE]])/2</f>
        <v>0.627800597460792</v>
      </c>
      <c r="S26" s="0" t="n">
        <v>78</v>
      </c>
      <c r="T26" s="0" t="n">
        <v>77</v>
      </c>
      <c r="U26" s="0" t="n">
        <f aca="false">Tabla3510813153426[[#This Row],[efec]]+Tabla3510813153426[[#This Row],[no_efe]]</f>
        <v>155</v>
      </c>
    </row>
    <row r="27" customFormat="false" ht="13.8" hidden="false" customHeight="false" outlineLevel="0" collapsed="false">
      <c r="A27" s="0" t="n">
        <v>1</v>
      </c>
      <c r="B27" s="0" t="n">
        <v>0.1</v>
      </c>
      <c r="C27" s="0" t="n">
        <v>60</v>
      </c>
      <c r="D27" s="0" t="n">
        <v>17</v>
      </c>
      <c r="E27" s="0" t="n">
        <v>33</v>
      </c>
      <c r="F27" s="0" t="n">
        <v>45</v>
      </c>
      <c r="G27" s="0" t="n">
        <f aca="false">Tabla3510813153426[[#This Row],[no_efec_cor]]+Tabla3510813153426[[#This Row],[efec_cor]]</f>
        <v>93</v>
      </c>
      <c r="H27" s="0" t="n">
        <f aca="false">Tabla3510813153426[[#This Row],[no_efec_inc]]+Tabla3510813153426[[#This Row],[efect_inc]]</f>
        <v>62</v>
      </c>
      <c r="I27" s="9" t="n">
        <f aca="false">Tabla3510813153426[[#This Row],[Correctos]]/Tabla3510813153426[[#This Row],[total_sec]]</f>
        <v>0.6</v>
      </c>
      <c r="J27" s="9" t="n">
        <f aca="false">Tabla3510813153426[[#This Row],[efec_cor]]/Tabla3510813153426[[#This Row],[efec]]</f>
        <v>0.423076923076923</v>
      </c>
      <c r="K27" s="9" t="n">
        <f aca="false">Tabla3510813153426[[#This Row],[efect_inc]]/Tabla3510813153426[[#This Row],[efec]]</f>
        <v>0.576923076923077</v>
      </c>
      <c r="L27" s="9" t="n">
        <f aca="false">Tabla3510813153426[[#This Row],[no_efec_cor]]/Tabla3510813153426[[#This Row],[no_efe]]</f>
        <v>0.779220779220779</v>
      </c>
      <c r="M27" s="9" t="n">
        <f aca="false">Tabla3510813153426[[#This Row],[no_efec_inc]]/Tabla3510813153426[[#This Row],[no_efe]]</f>
        <v>0.220779220779221</v>
      </c>
      <c r="N27" s="9" t="n">
        <f aca="false">(Tabla3510813153426[[#This Row],[% efe_cor]]+Tabla3510813153426[[#This Row],[% no_efe_cor]])/2</f>
        <v>0.601148851148851</v>
      </c>
      <c r="O27" s="10" t="n">
        <f aca="false">(Tabla3510813153426[[#This Row],[% efe_inc]]+Tabla3510813153426[[#This Row],[% no_efect_inc]])/2</f>
        <v>0.398851148851149</v>
      </c>
      <c r="P27" s="11" t="n">
        <f aca="false">Tabla3510813153426[[#This Row],[no_efec_cor]]/(Tabla3510813153426[[#This Row],[efect_inc]]+Tabla3510813153426[[#This Row],[no_efec_cor]])</f>
        <v>0.571428571428571</v>
      </c>
      <c r="Q27" s="11" t="n">
        <f aca="false">Tabla3510813153426[[#This Row],[efec_cor]]/(Tabla3510813153426[[#This Row],[efec_cor]]+Tabla3510813153426[[#This Row],[no_efec_inc]])</f>
        <v>0.66</v>
      </c>
      <c r="R27" s="11" t="n">
        <f aca="false">(Tabla3510813153426[[#This Row],[PNE]]+Tabla3510813153426[[#This Row],[PE]])/2</f>
        <v>0.615714285714286</v>
      </c>
      <c r="S27" s="0" t="n">
        <v>78</v>
      </c>
      <c r="T27" s="0" t="n">
        <v>77</v>
      </c>
      <c r="U27" s="0" t="n">
        <f aca="false">Tabla3510813153426[[#This Row],[efec]]+Tabla3510813153426[[#This Row],[no_efe]]</f>
        <v>155</v>
      </c>
    </row>
    <row r="28" customFormat="false" ht="13.8" hidden="false" customHeight="false" outlineLevel="0" collapsed="false">
      <c r="A28" s="0" t="n">
        <v>1</v>
      </c>
      <c r="B28" s="0" t="n">
        <v>0.5</v>
      </c>
      <c r="C28" s="0" t="n">
        <v>56</v>
      </c>
      <c r="D28" s="0" t="n">
        <v>21</v>
      </c>
      <c r="E28" s="0" t="n">
        <v>43</v>
      </c>
      <c r="F28" s="0" t="n">
        <v>55</v>
      </c>
      <c r="G28" s="0" t="n">
        <f aca="false">Tabla3510813153426[[#This Row],[no_efec_cor]]+Tabla3510813153426[[#This Row],[efec_cor]]</f>
        <v>99</v>
      </c>
      <c r="H28" s="0" t="n">
        <f aca="false">Tabla3510813153426[[#This Row],[no_efec_inc]]+Tabla3510813153426[[#This Row],[efect_inc]]</f>
        <v>76</v>
      </c>
      <c r="I28" s="9" t="n">
        <f aca="false">Tabla3510813153426[[#This Row],[Correctos]]/Tabla3510813153426[[#This Row],[total_sec]]</f>
        <v>0.638709677419355</v>
      </c>
      <c r="J28" s="9" t="n">
        <f aca="false">Tabla3510813153426[[#This Row],[efec_cor]]/Tabla3510813153426[[#This Row],[efec]]</f>
        <v>0.551282051282051</v>
      </c>
      <c r="K28" s="9" t="n">
        <f aca="false">Tabla3510813153426[[#This Row],[efect_inc]]/Tabla3510813153426[[#This Row],[efec]]</f>
        <v>0.705128205128205</v>
      </c>
      <c r="L28" s="9" t="n">
        <f aca="false">Tabla3510813153426[[#This Row],[no_efec_cor]]/Tabla3510813153426[[#This Row],[no_efe]]</f>
        <v>0.727272727272727</v>
      </c>
      <c r="M28" s="9" t="n">
        <f aca="false">Tabla3510813153426[[#This Row],[no_efec_inc]]/Tabla3510813153426[[#This Row],[no_efe]]</f>
        <v>0.272727272727273</v>
      </c>
      <c r="N28" s="9" t="n">
        <f aca="false">(Tabla3510813153426[[#This Row],[% efe_cor]]+Tabla3510813153426[[#This Row],[% no_efe_cor]])/2</f>
        <v>0.639277389277389</v>
      </c>
      <c r="O28" s="10" t="n">
        <f aca="false">(Tabla3510813153426[[#This Row],[% efe_inc]]+Tabla3510813153426[[#This Row],[% no_efect_inc]])/2</f>
        <v>0.488927738927739</v>
      </c>
      <c r="P28" s="11" t="n">
        <f aca="false">Tabla3510813153426[[#This Row],[no_efec_cor]]/(Tabla3510813153426[[#This Row],[efect_inc]]+Tabla3510813153426[[#This Row],[no_efec_cor]])</f>
        <v>0.504504504504504</v>
      </c>
      <c r="Q28" s="11" t="n">
        <f aca="false">Tabla3510813153426[[#This Row],[efec_cor]]/(Tabla3510813153426[[#This Row],[efec_cor]]+Tabla3510813153426[[#This Row],[no_efec_inc]])</f>
        <v>0.671875</v>
      </c>
      <c r="R28" s="11" t="n">
        <f aca="false">(Tabla3510813153426[[#This Row],[PNE]]+Tabla3510813153426[[#This Row],[PE]])/2</f>
        <v>0.588189752252252</v>
      </c>
      <c r="S28" s="0" t="n">
        <v>78</v>
      </c>
      <c r="T28" s="0" t="n">
        <v>77</v>
      </c>
      <c r="U28" s="0" t="n">
        <f aca="false">Tabla3510813153426[[#This Row],[efec]]+Tabla3510813153426[[#This Row],[no_efe]]</f>
        <v>155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54</v>
      </c>
      <c r="D29" s="0" t="n">
        <v>23</v>
      </c>
      <c r="E29" s="0" t="n">
        <v>44</v>
      </c>
      <c r="F29" s="0" t="n">
        <v>34</v>
      </c>
      <c r="G29" s="0" t="n">
        <f aca="false">Tabla3510813153426[[#This Row],[no_efec_cor]]+Tabla3510813153426[[#This Row],[efec_cor]]</f>
        <v>98</v>
      </c>
      <c r="H29" s="0" t="n">
        <f aca="false">Tabla3510813153426[[#This Row],[no_efec_inc]]+Tabla3510813153426[[#This Row],[efect_inc]]</f>
        <v>57</v>
      </c>
      <c r="I29" s="9" t="n">
        <f aca="false">Tabla3510813153426[[#This Row],[Correctos]]/Tabla3510813153426[[#This Row],[total_sec]]</f>
        <v>0.632258064516129</v>
      </c>
      <c r="J29" s="9" t="n">
        <f aca="false">Tabla3510813153426[[#This Row],[efec_cor]]/Tabla3510813153426[[#This Row],[efec]]</f>
        <v>0.564102564102564</v>
      </c>
      <c r="K29" s="9" t="n">
        <f aca="false">Tabla3510813153426[[#This Row],[efect_inc]]/Tabla3510813153426[[#This Row],[efec]]</f>
        <v>0.435897435897436</v>
      </c>
      <c r="L29" s="9" t="n">
        <f aca="false">Tabla3510813153426[[#This Row],[no_efec_cor]]/Tabla3510813153426[[#This Row],[no_efe]]</f>
        <v>0.701298701298701</v>
      </c>
      <c r="M29" s="9" t="n">
        <f aca="false">Tabla3510813153426[[#This Row],[no_efec_inc]]/Tabla3510813153426[[#This Row],[no_efe]]</f>
        <v>0.298701298701299</v>
      </c>
      <c r="N29" s="9" t="n">
        <f aca="false">(Tabla3510813153426[[#This Row],[% efe_cor]]+Tabla3510813153426[[#This Row],[% no_efe_cor]])/2</f>
        <v>0.632700632700633</v>
      </c>
      <c r="O29" s="10" t="n">
        <f aca="false">(Tabla3510813153426[[#This Row],[% efe_inc]]+Tabla3510813153426[[#This Row],[% no_efect_inc]])/2</f>
        <v>0.367299367299367</v>
      </c>
      <c r="P29" s="11" t="n">
        <f aca="false">Tabla3510813153426[[#This Row],[no_efec_cor]]/(Tabla3510813153426[[#This Row],[efect_inc]]+Tabla3510813153426[[#This Row],[no_efec_cor]])</f>
        <v>0.613636363636364</v>
      </c>
      <c r="Q29" s="11" t="n">
        <f aca="false">Tabla3510813153426[[#This Row],[efec_cor]]/(Tabla3510813153426[[#This Row],[efec_cor]]+Tabla3510813153426[[#This Row],[no_efec_inc]])</f>
        <v>0.656716417910448</v>
      </c>
      <c r="R29" s="11" t="n">
        <f aca="false">(Tabla3510813153426[[#This Row],[PNE]]+Tabla3510813153426[[#This Row],[PE]])/2</f>
        <v>0.635176390773406</v>
      </c>
      <c r="S29" s="0" t="n">
        <v>78</v>
      </c>
      <c r="T29" s="0" t="n">
        <v>77</v>
      </c>
      <c r="U29" s="0" t="n">
        <f aca="false">Tabla3510813153426[[#This Row],[efec]]+Tabla3510813153426[[#This Row],[no_efe]]</f>
        <v>155</v>
      </c>
    </row>
    <row r="30" customFormat="false" ht="13.8" hidden="false" customHeight="false" outlineLevel="0" collapsed="false">
      <c r="A30" s="0" t="n">
        <v>1</v>
      </c>
      <c r="B30" s="0" t="n">
        <v>2</v>
      </c>
      <c r="C30" s="0" t="n">
        <v>52</v>
      </c>
      <c r="D30" s="0" t="n">
        <v>25</v>
      </c>
      <c r="E30" s="0" t="n">
        <v>48</v>
      </c>
      <c r="F30" s="0" t="n">
        <v>30</v>
      </c>
      <c r="G30" s="0" t="n">
        <f aca="false">Tabla3510813153426[[#This Row],[no_efec_cor]]+Tabla3510813153426[[#This Row],[efec_cor]]</f>
        <v>100</v>
      </c>
      <c r="H30" s="0" t="n">
        <f aca="false">Tabla3510813153426[[#This Row],[no_efec_inc]]+Tabla3510813153426[[#This Row],[efect_inc]]</f>
        <v>55</v>
      </c>
      <c r="I30" s="9" t="n">
        <f aca="false">Tabla3510813153426[[#This Row],[Correctos]]/Tabla3510813153426[[#This Row],[total_sec]]</f>
        <v>0.645161290322581</v>
      </c>
      <c r="J30" s="9" t="n">
        <f aca="false">Tabla3510813153426[[#This Row],[efec_cor]]/Tabla3510813153426[[#This Row],[efec]]</f>
        <v>0.615384615384615</v>
      </c>
      <c r="K30" s="9" t="n">
        <f aca="false">Tabla3510813153426[[#This Row],[efect_inc]]/Tabla3510813153426[[#This Row],[efec]]</f>
        <v>0.384615384615385</v>
      </c>
      <c r="L30" s="9" t="n">
        <f aca="false">Tabla3510813153426[[#This Row],[no_efec_cor]]/Tabla3510813153426[[#This Row],[no_efe]]</f>
        <v>0.675324675324675</v>
      </c>
      <c r="M30" s="9" t="n">
        <f aca="false">Tabla3510813153426[[#This Row],[no_efec_inc]]/Tabla3510813153426[[#This Row],[no_efe]]</f>
        <v>0.324675324675325</v>
      </c>
      <c r="N30" s="9" t="n">
        <f aca="false">(Tabla3510813153426[[#This Row],[% efe_cor]]+Tabla3510813153426[[#This Row],[% no_efe_cor]])/2</f>
        <v>0.645354645354645</v>
      </c>
      <c r="O30" s="10" t="n">
        <f aca="false">(Tabla3510813153426[[#This Row],[% efe_inc]]+Tabla3510813153426[[#This Row],[% no_efect_inc]])/2</f>
        <v>0.354645354645355</v>
      </c>
      <c r="P30" s="11" t="n">
        <f aca="false">Tabla3510813153426[[#This Row],[no_efec_cor]]/(Tabla3510813153426[[#This Row],[efect_inc]]+Tabla3510813153426[[#This Row],[no_efec_cor]])</f>
        <v>0.634146341463415</v>
      </c>
      <c r="Q30" s="11" t="n">
        <f aca="false">Tabla3510813153426[[#This Row],[efec_cor]]/(Tabla3510813153426[[#This Row],[efec_cor]]+Tabla3510813153426[[#This Row],[no_efec_inc]])</f>
        <v>0.657534246575342</v>
      </c>
      <c r="R30" s="11" t="n">
        <f aca="false">(Tabla3510813153426[[#This Row],[PNE]]+Tabla3510813153426[[#This Row],[PE]])/2</f>
        <v>0.645840294019379</v>
      </c>
      <c r="S30" s="0" t="n">
        <v>78</v>
      </c>
      <c r="T30" s="0" t="n">
        <v>77</v>
      </c>
      <c r="U30" s="0" t="n">
        <f aca="false">Tabla3510813153426[[#This Row],[efec]]+Tabla3510813153426[[#This Row],[no_efe]]</f>
        <v>155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52</v>
      </c>
      <c r="D31" s="0" t="n">
        <v>25</v>
      </c>
      <c r="E31" s="0" t="n">
        <v>49</v>
      </c>
      <c r="F31" s="0" t="n">
        <v>29</v>
      </c>
      <c r="G31" s="0" t="n">
        <f aca="false">Tabla3510813153426[[#This Row],[no_efec_cor]]+Tabla3510813153426[[#This Row],[efec_cor]]</f>
        <v>101</v>
      </c>
      <c r="H31" s="0" t="n">
        <f aca="false">Tabla3510813153426[[#This Row],[no_efec_inc]]+Tabla3510813153426[[#This Row],[efect_inc]]</f>
        <v>54</v>
      </c>
      <c r="I31" s="9" t="n">
        <f aca="false">Tabla3510813153426[[#This Row],[Correctos]]/Tabla3510813153426[[#This Row],[total_sec]]</f>
        <v>0.651612903225806</v>
      </c>
      <c r="J31" s="9" t="n">
        <f aca="false">Tabla3510813153426[[#This Row],[efec_cor]]/Tabla3510813153426[[#This Row],[efec]]</f>
        <v>0.628205128205128</v>
      </c>
      <c r="K31" s="9" t="n">
        <f aca="false">Tabla3510813153426[[#This Row],[efect_inc]]/Tabla3510813153426[[#This Row],[efec]]</f>
        <v>0.371794871794872</v>
      </c>
      <c r="L31" s="9" t="n">
        <f aca="false">Tabla3510813153426[[#This Row],[no_efec_cor]]/Tabla3510813153426[[#This Row],[no_efe]]</f>
        <v>0.675324675324675</v>
      </c>
      <c r="M31" s="9" t="n">
        <f aca="false">Tabla3510813153426[[#This Row],[no_efec_inc]]/Tabla3510813153426[[#This Row],[no_efe]]</f>
        <v>0.324675324675325</v>
      </c>
      <c r="N31" s="9" t="n">
        <f aca="false">(Tabla3510813153426[[#This Row],[% efe_cor]]+Tabla3510813153426[[#This Row],[% no_efe_cor]])/2</f>
        <v>0.651764901764902</v>
      </c>
      <c r="O31" s="10" t="n">
        <f aca="false">(Tabla3510813153426[[#This Row],[% efe_inc]]+Tabla3510813153426[[#This Row],[% no_efect_inc]])/2</f>
        <v>0.348235098235098</v>
      </c>
      <c r="P31" s="11" t="n">
        <f aca="false">Tabla3510813153426[[#This Row],[no_efec_cor]]/(Tabla3510813153426[[#This Row],[efect_inc]]+Tabla3510813153426[[#This Row],[no_efec_cor]])</f>
        <v>0.641975308641975</v>
      </c>
      <c r="Q31" s="11" t="n">
        <f aca="false">Tabla3510813153426[[#This Row],[efec_cor]]/(Tabla3510813153426[[#This Row],[efec_cor]]+Tabla3510813153426[[#This Row],[no_efec_inc]])</f>
        <v>0.662162162162162</v>
      </c>
      <c r="R31" s="11" t="n">
        <f aca="false">(Tabla3510813153426[[#This Row],[PNE]]+Tabla3510813153426[[#This Row],[PE]])/2</f>
        <v>0.652068735402069</v>
      </c>
      <c r="S31" s="0" t="n">
        <v>78</v>
      </c>
      <c r="T31" s="0" t="n">
        <v>77</v>
      </c>
      <c r="U31" s="0" t="n">
        <f aca="false">Tabla3510813153426[[#This Row],[efec]]+Tabla3510813153426[[#This Row],[no_efe]]</f>
        <v>155</v>
      </c>
    </row>
    <row r="32" customFormat="false" ht="13.8" hidden="false" customHeight="false" outlineLevel="0" collapsed="false">
      <c r="A32" s="0" t="n">
        <v>1</v>
      </c>
      <c r="B32" s="0" t="n">
        <v>5</v>
      </c>
      <c r="C32" s="0" t="n">
        <v>50</v>
      </c>
      <c r="D32" s="0" t="n">
        <v>27</v>
      </c>
      <c r="E32" s="0" t="n">
        <v>61</v>
      </c>
      <c r="F32" s="0" t="n">
        <v>17</v>
      </c>
      <c r="G32" s="0" t="n">
        <f aca="false">Tabla3510813153426[[#This Row],[no_efec_cor]]+Tabla3510813153426[[#This Row],[efec_cor]]</f>
        <v>111</v>
      </c>
      <c r="H32" s="0" t="n">
        <f aca="false">Tabla3510813153426[[#This Row],[no_efec_inc]]+Tabla3510813153426[[#This Row],[efect_inc]]</f>
        <v>44</v>
      </c>
      <c r="I32" s="9" t="n">
        <f aca="false">Tabla3510813153426[[#This Row],[Correctos]]/Tabla3510813153426[[#This Row],[total_sec]]</f>
        <v>0.716129032258065</v>
      </c>
      <c r="J32" s="9" t="n">
        <f aca="false">Tabla3510813153426[[#This Row],[efec_cor]]/Tabla3510813153426[[#This Row],[efec]]</f>
        <v>0.782051282051282</v>
      </c>
      <c r="K32" s="9" t="n">
        <f aca="false">Tabla3510813153426[[#This Row],[efect_inc]]/Tabla3510813153426[[#This Row],[efec]]</f>
        <v>0.217948717948718</v>
      </c>
      <c r="L32" s="9" t="n">
        <f aca="false">Tabla3510813153426[[#This Row],[no_efec_cor]]/Tabla3510813153426[[#This Row],[no_efe]]</f>
        <v>0.649350649350649</v>
      </c>
      <c r="M32" s="9" t="n">
        <f aca="false">Tabla3510813153426[[#This Row],[no_efec_inc]]/Tabla3510813153426[[#This Row],[no_efe]]</f>
        <v>0.350649350649351</v>
      </c>
      <c r="N32" s="9" t="n">
        <f aca="false">(Tabla3510813153426[[#This Row],[% efe_cor]]+Tabla3510813153426[[#This Row],[% no_efe_cor]])/2</f>
        <v>0.715700965700966</v>
      </c>
      <c r="O32" s="10" t="n">
        <f aca="false">(Tabla3510813153426[[#This Row],[% efe_inc]]+Tabla3510813153426[[#This Row],[% no_efect_inc]])/2</f>
        <v>0.284299034299034</v>
      </c>
      <c r="P32" s="11" t="n">
        <f aca="false">Tabla3510813153426[[#This Row],[no_efec_cor]]/(Tabla3510813153426[[#This Row],[efect_inc]]+Tabla3510813153426[[#This Row],[no_efec_cor]])</f>
        <v>0.746268656716418</v>
      </c>
      <c r="Q32" s="11" t="n">
        <f aca="false">Tabla3510813153426[[#This Row],[efec_cor]]/(Tabla3510813153426[[#This Row],[efec_cor]]+Tabla3510813153426[[#This Row],[no_efec_inc]])</f>
        <v>0.693181818181818</v>
      </c>
      <c r="R32" s="11" t="n">
        <f aca="false">(Tabla3510813153426[[#This Row],[PNE]]+Tabla3510813153426[[#This Row],[PE]])/2</f>
        <v>0.719725237449118</v>
      </c>
      <c r="S32" s="0" t="n">
        <v>78</v>
      </c>
      <c r="T32" s="0" t="n">
        <v>77</v>
      </c>
      <c r="U32" s="0" t="n">
        <f aca="false">Tabla3510813153426[[#This Row],[efec]]+Tabla3510813153426[[#This Row],[no_efe]]</f>
        <v>155</v>
      </c>
    </row>
    <row r="33" customFormat="false" ht="13.8" hidden="false" customHeight="false" outlineLevel="0" collapsed="false">
      <c r="A33" s="0" t="n">
        <v>2</v>
      </c>
      <c r="B33" s="0" t="n">
        <v>0.5</v>
      </c>
      <c r="C33" s="0" t="n">
        <v>54</v>
      </c>
      <c r="D33" s="0" t="n">
        <v>23</v>
      </c>
      <c r="E33" s="0" t="n">
        <v>46</v>
      </c>
      <c r="F33" s="0" t="n">
        <v>32</v>
      </c>
      <c r="G33" s="0" t="n">
        <f aca="false">Tabla3510813153426[[#This Row],[no_efec_cor]]+Tabla3510813153426[[#This Row],[efec_cor]]</f>
        <v>100</v>
      </c>
      <c r="H33" s="0" t="n">
        <f aca="false">Tabla3510813153426[[#This Row],[no_efec_inc]]+Tabla3510813153426[[#This Row],[efect_inc]]</f>
        <v>55</v>
      </c>
      <c r="I33" s="9" t="n">
        <f aca="false">Tabla3510813153426[[#This Row],[Correctos]]/Tabla3510813153426[[#This Row],[total_sec]]</f>
        <v>0.645161290322581</v>
      </c>
      <c r="J33" s="9" t="n">
        <f aca="false">Tabla3510813153426[[#This Row],[efec_cor]]/Tabla3510813153426[[#This Row],[efec]]</f>
        <v>0.58974358974359</v>
      </c>
      <c r="K33" s="9" t="n">
        <f aca="false">Tabla3510813153426[[#This Row],[efect_inc]]/Tabla3510813153426[[#This Row],[efec]]</f>
        <v>0.41025641025641</v>
      </c>
      <c r="L33" s="9" t="n">
        <f aca="false">Tabla3510813153426[[#This Row],[no_efec_cor]]/Tabla3510813153426[[#This Row],[no_efe]]</f>
        <v>0.701298701298701</v>
      </c>
      <c r="M33" s="9" t="n">
        <f aca="false">Tabla3510813153426[[#This Row],[no_efec_inc]]/Tabla3510813153426[[#This Row],[no_efe]]</f>
        <v>0.298701298701299</v>
      </c>
      <c r="N33" s="9" t="n">
        <f aca="false">(Tabla3510813153426[[#This Row],[% efe_cor]]+Tabla3510813153426[[#This Row],[% no_efe_cor]])/2</f>
        <v>0.645521145521146</v>
      </c>
      <c r="O33" s="10" t="n">
        <f aca="false">(Tabla3510813153426[[#This Row],[% efe_inc]]+Tabla3510813153426[[#This Row],[% no_efect_inc]])/2</f>
        <v>0.354478854478854</v>
      </c>
      <c r="P33" s="11" t="n">
        <f aca="false">Tabla3510813153426[[#This Row],[no_efec_cor]]/(Tabla3510813153426[[#This Row],[efect_inc]]+Tabla3510813153426[[#This Row],[no_efec_cor]])</f>
        <v>0.627906976744186</v>
      </c>
      <c r="Q33" s="11" t="n">
        <f aca="false">Tabla3510813153426[[#This Row],[efec_cor]]/(Tabla3510813153426[[#This Row],[efec_cor]]+Tabla3510813153426[[#This Row],[no_efec_inc]])</f>
        <v>0.666666666666667</v>
      </c>
      <c r="R33" s="11" t="n">
        <f aca="false">(Tabla3510813153426[[#This Row],[PNE]]+Tabla3510813153426[[#This Row],[PE]])/2</f>
        <v>0.647286821705426</v>
      </c>
      <c r="S33" s="0" t="n">
        <v>78</v>
      </c>
      <c r="T33" s="0" t="n">
        <v>77</v>
      </c>
      <c r="U33" s="0" t="n">
        <f aca="false">Tabla3510813153426[[#This Row],[efec]]+Tabla3510813153426[[#This Row],[no_efe]]</f>
        <v>155</v>
      </c>
    </row>
    <row r="34" customFormat="false" ht="13.8" hidden="false" customHeight="false" outlineLevel="0" collapsed="false">
      <c r="A34" s="0" t="n">
        <v>3</v>
      </c>
      <c r="B34" s="0" t="n">
        <v>0.5</v>
      </c>
      <c r="C34" s="0" t="n">
        <v>53</v>
      </c>
      <c r="D34" s="0" t="n">
        <v>24</v>
      </c>
      <c r="E34" s="0" t="n">
        <v>46</v>
      </c>
      <c r="F34" s="0" t="n">
        <v>32</v>
      </c>
      <c r="G34" s="0" t="n">
        <f aca="false">Tabla3510813153426[[#This Row],[no_efec_cor]]+Tabla3510813153426[[#This Row],[efec_cor]]</f>
        <v>99</v>
      </c>
      <c r="H34" s="0" t="n">
        <f aca="false">Tabla3510813153426[[#This Row],[no_efec_inc]]+Tabla3510813153426[[#This Row],[efect_inc]]</f>
        <v>56</v>
      </c>
      <c r="I34" s="9" t="n">
        <f aca="false">Tabla3510813153426[[#This Row],[Correctos]]/Tabla3510813153426[[#This Row],[total_sec]]</f>
        <v>0.638709677419355</v>
      </c>
      <c r="J34" s="9" t="n">
        <f aca="false">Tabla3510813153426[[#This Row],[efec_cor]]/Tabla3510813153426[[#This Row],[efec]]</f>
        <v>0.58974358974359</v>
      </c>
      <c r="K34" s="9" t="n">
        <f aca="false">Tabla3510813153426[[#This Row],[efect_inc]]/Tabla3510813153426[[#This Row],[efec]]</f>
        <v>0.41025641025641</v>
      </c>
      <c r="L34" s="9" t="n">
        <f aca="false">Tabla3510813153426[[#This Row],[no_efec_cor]]/Tabla3510813153426[[#This Row],[no_efe]]</f>
        <v>0.688311688311688</v>
      </c>
      <c r="M34" s="9" t="n">
        <f aca="false">Tabla3510813153426[[#This Row],[no_efec_inc]]/Tabla3510813153426[[#This Row],[no_efe]]</f>
        <v>0.311688311688312</v>
      </c>
      <c r="N34" s="9" t="n">
        <f aca="false">(Tabla3510813153426[[#This Row],[% efe_cor]]+Tabla3510813153426[[#This Row],[% no_efe_cor]])/2</f>
        <v>0.639027639027639</v>
      </c>
      <c r="O34" s="10" t="n">
        <f aca="false">(Tabla3510813153426[[#This Row],[% efe_inc]]+Tabla3510813153426[[#This Row],[% no_efect_inc]])/2</f>
        <v>0.360972360972361</v>
      </c>
      <c r="P34" s="11" t="n">
        <f aca="false">Tabla3510813153426[[#This Row],[no_efec_cor]]/(Tabla3510813153426[[#This Row],[efect_inc]]+Tabla3510813153426[[#This Row],[no_efec_cor]])</f>
        <v>0.623529411764706</v>
      </c>
      <c r="Q34" s="11" t="n">
        <f aca="false">Tabla3510813153426[[#This Row],[efec_cor]]/(Tabla3510813153426[[#This Row],[efec_cor]]+Tabla3510813153426[[#This Row],[no_efec_inc]])</f>
        <v>0.657142857142857</v>
      </c>
      <c r="R34" s="11" t="n">
        <f aca="false">(Tabla3510813153426[[#This Row],[PNE]]+Tabla3510813153426[[#This Row],[PE]])/2</f>
        <v>0.640336134453781</v>
      </c>
      <c r="S34" s="0" t="n">
        <v>78</v>
      </c>
      <c r="T34" s="0" t="n">
        <v>77</v>
      </c>
      <c r="U34" s="0" t="n">
        <f aca="false">Tabla3510813153426[[#This Row],[efec]]+Tabla3510813153426[[#This Row],[no_efe]]</f>
        <v>155</v>
      </c>
    </row>
    <row r="35" customFormat="false" ht="13.8" hidden="false" customHeight="false" outlineLevel="0" collapsed="false">
      <c r="A35" s="0" t="n">
        <v>5</v>
      </c>
      <c r="B35" s="0" t="n">
        <v>0.5</v>
      </c>
      <c r="C35" s="0" t="n">
        <v>51</v>
      </c>
      <c r="D35" s="0" t="n">
        <v>26</v>
      </c>
      <c r="E35" s="0" t="n">
        <v>46</v>
      </c>
      <c r="F35" s="0" t="n">
        <v>32</v>
      </c>
      <c r="G35" s="0" t="n">
        <f aca="false">Tabla3510813153426[[#This Row],[no_efec_cor]]+Tabla3510813153426[[#This Row],[efec_cor]]</f>
        <v>97</v>
      </c>
      <c r="H35" s="0" t="n">
        <f aca="false">Tabla3510813153426[[#This Row],[no_efec_inc]]+Tabla3510813153426[[#This Row],[efect_inc]]</f>
        <v>58</v>
      </c>
      <c r="I35" s="9" t="n">
        <f aca="false">Tabla3510813153426[[#This Row],[Correctos]]/Tabla3510813153426[[#This Row],[total_sec]]</f>
        <v>0.625806451612903</v>
      </c>
      <c r="J35" s="9" t="n">
        <f aca="false">Tabla3510813153426[[#This Row],[efec_cor]]/Tabla3510813153426[[#This Row],[efec]]</f>
        <v>0.58974358974359</v>
      </c>
      <c r="K35" s="9" t="n">
        <f aca="false">Tabla3510813153426[[#This Row],[efect_inc]]/Tabla3510813153426[[#This Row],[efec]]</f>
        <v>0.41025641025641</v>
      </c>
      <c r="L35" s="9" t="n">
        <f aca="false">Tabla3510813153426[[#This Row],[no_efec_cor]]/Tabla3510813153426[[#This Row],[no_efe]]</f>
        <v>0.662337662337662</v>
      </c>
      <c r="M35" s="9" t="n">
        <f aca="false">Tabla3510813153426[[#This Row],[no_efec_inc]]/Tabla3510813153426[[#This Row],[no_efe]]</f>
        <v>0.337662337662338</v>
      </c>
      <c r="N35" s="9" t="n">
        <f aca="false">(Tabla3510813153426[[#This Row],[% efe_cor]]+Tabla3510813153426[[#This Row],[% no_efe_cor]])/2</f>
        <v>0.626040626040626</v>
      </c>
      <c r="O35" s="10" t="n">
        <f aca="false">(Tabla3510813153426[[#This Row],[% efe_inc]]+Tabla3510813153426[[#This Row],[% no_efect_inc]])/2</f>
        <v>0.373959373959374</v>
      </c>
      <c r="P35" s="11" t="n">
        <f aca="false">Tabla3510813153426[[#This Row],[no_efec_cor]]/(Tabla3510813153426[[#This Row],[efect_inc]]+Tabla3510813153426[[#This Row],[no_efec_cor]])</f>
        <v>0.614457831325301</v>
      </c>
      <c r="Q35" s="11" t="n">
        <f aca="false">Tabla3510813153426[[#This Row],[efec_cor]]/(Tabla3510813153426[[#This Row],[efec_cor]]+Tabla3510813153426[[#This Row],[no_efec_inc]])</f>
        <v>0.638888888888889</v>
      </c>
      <c r="R35" s="11" t="n">
        <f aca="false">(Tabla3510813153426[[#This Row],[PNE]]+Tabla3510813153426[[#This Row],[PE]])/2</f>
        <v>0.626673360107095</v>
      </c>
      <c r="S35" s="0" t="n">
        <v>78</v>
      </c>
      <c r="T35" s="0" t="n">
        <v>77</v>
      </c>
      <c r="U35" s="0" t="n">
        <f aca="false">Tabla3510813153426[[#This Row],[efec]]+Tabla3510813153426[[#This Row],[no_efe]]</f>
        <v>155</v>
      </c>
    </row>
    <row r="36" customFormat="false" ht="13.8" hidden="false" customHeight="false" outlineLevel="0" collapsed="false">
      <c r="A36" s="0" t="n">
        <v>5</v>
      </c>
      <c r="B36" s="0" t="n">
        <v>1</v>
      </c>
      <c r="C36" s="0" t="n">
        <v>54</v>
      </c>
      <c r="D36" s="0" t="n">
        <v>23</v>
      </c>
      <c r="E36" s="0" t="n">
        <v>45</v>
      </c>
      <c r="F36" s="0" t="n">
        <v>33</v>
      </c>
      <c r="G36" s="0" t="n">
        <f aca="false">Tabla3510813153426[[#This Row],[no_efec_cor]]+Tabla3510813153426[[#This Row],[efec_cor]]</f>
        <v>99</v>
      </c>
      <c r="H36" s="0" t="n">
        <f aca="false">Tabla3510813153426[[#This Row],[no_efec_inc]]+Tabla3510813153426[[#This Row],[efect_inc]]</f>
        <v>56</v>
      </c>
      <c r="I36" s="9" t="n">
        <f aca="false">Tabla3510813153426[[#This Row],[Correctos]]/Tabla3510813153426[[#This Row],[total_sec]]</f>
        <v>0.638709677419355</v>
      </c>
      <c r="J36" s="9" t="n">
        <f aca="false">Tabla3510813153426[[#This Row],[efec_cor]]/Tabla3510813153426[[#This Row],[efec]]</f>
        <v>0.576923076923077</v>
      </c>
      <c r="K36" s="9" t="n">
        <f aca="false">Tabla3510813153426[[#This Row],[efect_inc]]/Tabla3510813153426[[#This Row],[efec]]</f>
        <v>0.423076923076923</v>
      </c>
      <c r="L36" s="9" t="n">
        <f aca="false">Tabla3510813153426[[#This Row],[no_efec_cor]]/Tabla3510813153426[[#This Row],[no_efe]]</f>
        <v>0.701298701298701</v>
      </c>
      <c r="M36" s="9" t="n">
        <f aca="false">Tabla3510813153426[[#This Row],[no_efec_inc]]/Tabla3510813153426[[#This Row],[no_efe]]</f>
        <v>0.298701298701299</v>
      </c>
      <c r="N36" s="9" t="n">
        <f aca="false">(Tabla3510813153426[[#This Row],[% efe_cor]]+Tabla3510813153426[[#This Row],[% no_efe_cor]])/2</f>
        <v>0.639110889110889</v>
      </c>
      <c r="O36" s="10" t="n">
        <f aca="false">(Tabla3510813153426[[#This Row],[% efe_inc]]+Tabla3510813153426[[#This Row],[% no_efect_inc]])/2</f>
        <v>0.360889110889111</v>
      </c>
      <c r="P36" s="11" t="n">
        <f aca="false">Tabla3510813153426[[#This Row],[no_efec_cor]]/(Tabla3510813153426[[#This Row],[efect_inc]]+Tabla3510813153426[[#This Row],[no_efec_cor]])</f>
        <v>0.620689655172414</v>
      </c>
      <c r="Q36" s="11" t="n">
        <f aca="false">Tabla3510813153426[[#This Row],[efec_cor]]/(Tabla3510813153426[[#This Row],[efec_cor]]+Tabla3510813153426[[#This Row],[no_efec_inc]])</f>
        <v>0.661764705882353</v>
      </c>
      <c r="R36" s="11" t="n">
        <f aca="false">(Tabla3510813153426[[#This Row],[PNE]]+Tabla3510813153426[[#This Row],[PE]])/2</f>
        <v>0.641227180527383</v>
      </c>
      <c r="S36" s="0" t="n">
        <v>78</v>
      </c>
      <c r="T36" s="0" t="n">
        <v>77</v>
      </c>
      <c r="U36" s="0" t="n">
        <f aca="false">Tabla3510813153426[[#This Row],[efec]]+Tabla3510813153426[[#This Row],[no_efe]]</f>
        <v>155</v>
      </c>
    </row>
    <row r="37" customFormat="false" ht="13.8" hidden="false" customHeight="false" outlineLevel="0" collapsed="false">
      <c r="A37" s="0" t="n">
        <v>0.5</v>
      </c>
      <c r="B37" s="0" t="n">
        <v>1</v>
      </c>
      <c r="C37" s="0" t="n">
        <v>56</v>
      </c>
      <c r="D37" s="0" t="n">
        <v>21</v>
      </c>
      <c r="E37" s="0" t="n">
        <v>42</v>
      </c>
      <c r="F37" s="0" t="n">
        <v>36</v>
      </c>
      <c r="G37" s="0" t="n">
        <f aca="false">Tabla3510813153426[[#This Row],[no_efec_cor]]+Tabla3510813153426[[#This Row],[efec_cor]]</f>
        <v>98</v>
      </c>
      <c r="H37" s="0" t="n">
        <f aca="false">Tabla3510813153426[[#This Row],[no_efec_inc]]+Tabla3510813153426[[#This Row],[efect_inc]]</f>
        <v>57</v>
      </c>
      <c r="I37" s="9" t="n">
        <f aca="false">Tabla3510813153426[[#This Row],[Correctos]]/Tabla3510813153426[[#This Row],[total_sec]]</f>
        <v>0.632258064516129</v>
      </c>
      <c r="J37" s="9" t="n">
        <f aca="false">Tabla3510813153426[[#This Row],[efec_cor]]/Tabla3510813153426[[#This Row],[efec]]</f>
        <v>0.538461538461538</v>
      </c>
      <c r="K37" s="9" t="n">
        <f aca="false">Tabla3510813153426[[#This Row],[efect_inc]]/Tabla3510813153426[[#This Row],[efec]]</f>
        <v>0.461538461538462</v>
      </c>
      <c r="L37" s="9" t="n">
        <f aca="false">Tabla3510813153426[[#This Row],[no_efec_cor]]/Tabla3510813153426[[#This Row],[no_efe]]</f>
        <v>0.727272727272727</v>
      </c>
      <c r="M37" s="9" t="n">
        <f aca="false">Tabla3510813153426[[#This Row],[no_efec_inc]]/Tabla3510813153426[[#This Row],[no_efe]]</f>
        <v>0.272727272727273</v>
      </c>
      <c r="N37" s="9" t="n">
        <f aca="false">(Tabla3510813153426[[#This Row],[% efe_cor]]+Tabla3510813153426[[#This Row],[% no_efe_cor]])/2</f>
        <v>0.632867132867133</v>
      </c>
      <c r="O37" s="10" t="n">
        <f aca="false">(Tabla3510813153426[[#This Row],[% efe_inc]]+Tabla3510813153426[[#This Row],[% no_efect_inc]])/2</f>
        <v>0.367132867132867</v>
      </c>
      <c r="P37" s="11" t="n">
        <f aca="false">Tabla3510813153426[[#This Row],[no_efec_cor]]/(Tabla3510813153426[[#This Row],[efect_inc]]+Tabla3510813153426[[#This Row],[no_efec_cor]])</f>
        <v>0.608695652173913</v>
      </c>
      <c r="Q37" s="11" t="n">
        <f aca="false">Tabla3510813153426[[#This Row],[efec_cor]]/(Tabla3510813153426[[#This Row],[efec_cor]]+Tabla3510813153426[[#This Row],[no_efec_inc]])</f>
        <v>0.666666666666667</v>
      </c>
      <c r="R37" s="11" t="n">
        <f aca="false">(Tabla3510813153426[[#This Row],[PNE]]+Tabla3510813153426[[#This Row],[PE]])/2</f>
        <v>0.63768115942029</v>
      </c>
      <c r="S37" s="0" t="n">
        <v>78</v>
      </c>
      <c r="T37" s="0" t="n">
        <v>77</v>
      </c>
      <c r="U37" s="0" t="n">
        <f aca="false">Tabla3510813153426[[#This Row],[efec]]+Tabla3510813153426[[#This Row],[no_efe]]</f>
        <v>155</v>
      </c>
    </row>
    <row r="38" customFormat="false" ht="13.8" hidden="false" customHeight="false" outlineLevel="0" collapsed="false">
      <c r="A38" s="0" t="n">
        <v>0.1</v>
      </c>
      <c r="B38" s="0" t="n">
        <v>1</v>
      </c>
      <c r="C38" s="0" t="n">
        <v>39</v>
      </c>
      <c r="D38" s="0" t="n">
        <v>38</v>
      </c>
      <c r="E38" s="0" t="n">
        <v>52</v>
      </c>
      <c r="F38" s="0" t="n">
        <v>26</v>
      </c>
      <c r="G38" s="0" t="n">
        <f aca="false">Tabla3510813153426[[#This Row],[no_efec_cor]]+Tabla3510813153426[[#This Row],[efec_cor]]</f>
        <v>91</v>
      </c>
      <c r="H38" s="0" t="n">
        <f aca="false">Tabla3510813153426[[#This Row],[no_efec_inc]]+Tabla3510813153426[[#This Row],[efect_inc]]</f>
        <v>64</v>
      </c>
      <c r="I38" s="9" t="n">
        <f aca="false">Tabla3510813153426[[#This Row],[Correctos]]/Tabla3510813153426[[#This Row],[total_sec]]</f>
        <v>0.587096774193548</v>
      </c>
      <c r="J38" s="9" t="n">
        <f aca="false">Tabla3510813153426[[#This Row],[efec_cor]]/Tabla3510813153426[[#This Row],[efec]]</f>
        <v>0.666666666666667</v>
      </c>
      <c r="K38" s="9" t="n">
        <f aca="false">Tabla3510813153426[[#This Row],[efect_inc]]/Tabla3510813153426[[#This Row],[efec]]</f>
        <v>0.333333333333333</v>
      </c>
      <c r="L38" s="9" t="n">
        <f aca="false">Tabla3510813153426[[#This Row],[no_efec_cor]]/Tabla3510813153426[[#This Row],[no_efe]]</f>
        <v>0.506493506493506</v>
      </c>
      <c r="M38" s="9" t="n">
        <f aca="false">Tabla3510813153426[[#This Row],[no_efec_inc]]/Tabla3510813153426[[#This Row],[no_efe]]</f>
        <v>0.493506493506493</v>
      </c>
      <c r="N38" s="9" t="n">
        <f aca="false">(Tabla3510813153426[[#This Row],[% efe_cor]]+Tabla3510813153426[[#This Row],[% no_efe_cor]])/2</f>
        <v>0.586580086580087</v>
      </c>
      <c r="O38" s="10" t="n">
        <f aca="false">(Tabla3510813153426[[#This Row],[% efe_inc]]+Tabla3510813153426[[#This Row],[% no_efect_inc]])/2</f>
        <v>0.413419913419913</v>
      </c>
      <c r="P38" s="11" t="n">
        <f aca="false">Tabla3510813153426[[#This Row],[no_efec_cor]]/(Tabla3510813153426[[#This Row],[efect_inc]]+Tabla3510813153426[[#This Row],[no_efec_cor]])</f>
        <v>0.6</v>
      </c>
      <c r="Q38" s="11" t="n">
        <f aca="false">Tabla3510813153426[[#This Row],[efec_cor]]/(Tabla3510813153426[[#This Row],[efec_cor]]+Tabla3510813153426[[#This Row],[no_efec_inc]])</f>
        <v>0.577777777777778</v>
      </c>
      <c r="R38" s="11" t="n">
        <f aca="false">(Tabla3510813153426[[#This Row],[PNE]]+Tabla3510813153426[[#This Row],[PE]])/2</f>
        <v>0.588888888888889</v>
      </c>
      <c r="S38" s="0" t="n">
        <v>78</v>
      </c>
      <c r="T38" s="0" t="n">
        <v>77</v>
      </c>
      <c r="U38" s="0" t="n">
        <f aca="false">Tabla3510813153426[[#This Row],[efec]]+Tabla3510813153426[[#This Row],[no_efe]]</f>
        <v>155</v>
      </c>
    </row>
    <row r="39" customFormat="false" ht="13.8" hidden="false" customHeight="false" outlineLevel="0" collapsed="false">
      <c r="A39" s="0" t="n">
        <v>0.5</v>
      </c>
      <c r="B39" s="0" t="n">
        <v>0.5</v>
      </c>
      <c r="C39" s="0" t="n">
        <v>58</v>
      </c>
      <c r="D39" s="0" t="n">
        <v>19</v>
      </c>
      <c r="E39" s="0" t="n">
        <v>39</v>
      </c>
      <c r="F39" s="0" t="n">
        <v>39</v>
      </c>
      <c r="G39" s="0" t="n">
        <f aca="false">Tabla3510813153426[[#This Row],[no_efec_cor]]+Tabla3510813153426[[#This Row],[efec_cor]]</f>
        <v>97</v>
      </c>
      <c r="H39" s="0" t="n">
        <f aca="false">Tabla3510813153426[[#This Row],[no_efec_inc]]+Tabla3510813153426[[#This Row],[efect_inc]]</f>
        <v>58</v>
      </c>
      <c r="I39" s="9" t="n">
        <f aca="false">Tabla3510813153426[[#This Row],[Correctos]]/Tabla3510813153426[[#This Row],[total_sec]]</f>
        <v>0.625806451612903</v>
      </c>
      <c r="J39" s="9" t="n">
        <f aca="false">Tabla3510813153426[[#This Row],[efec_cor]]/Tabla3510813153426[[#This Row],[efec]]</f>
        <v>0.5</v>
      </c>
      <c r="K39" s="9" t="n">
        <f aca="false">Tabla3510813153426[[#This Row],[efect_inc]]/Tabla3510813153426[[#This Row],[efec]]</f>
        <v>0.5</v>
      </c>
      <c r="L39" s="9" t="n">
        <f aca="false">Tabla3510813153426[[#This Row],[no_efec_cor]]/Tabla3510813153426[[#This Row],[no_efe]]</f>
        <v>0.753246753246753</v>
      </c>
      <c r="M39" s="9" t="n">
        <f aca="false">Tabla3510813153426[[#This Row],[no_efec_inc]]/Tabla3510813153426[[#This Row],[no_efe]]</f>
        <v>0.246753246753247</v>
      </c>
      <c r="N39" s="9" t="n">
        <f aca="false">(Tabla3510813153426[[#This Row],[% efe_cor]]+Tabla3510813153426[[#This Row],[% no_efe_cor]])/2</f>
        <v>0.626623376623377</v>
      </c>
      <c r="O39" s="10" t="n">
        <f aca="false">(Tabla3510813153426[[#This Row],[% efe_inc]]+Tabla3510813153426[[#This Row],[% no_efect_inc]])/2</f>
        <v>0.373376623376623</v>
      </c>
      <c r="P39" s="11" t="n">
        <f aca="false">Tabla3510813153426[[#This Row],[no_efec_cor]]/(Tabla3510813153426[[#This Row],[efect_inc]]+Tabla3510813153426[[#This Row],[no_efec_cor]])</f>
        <v>0.597938144329897</v>
      </c>
      <c r="Q39" s="11" t="n">
        <f aca="false">Tabla3510813153426[[#This Row],[efec_cor]]/(Tabla3510813153426[[#This Row],[efec_cor]]+Tabla3510813153426[[#This Row],[no_efec_inc]])</f>
        <v>0.672413793103448</v>
      </c>
      <c r="R39" s="11" t="n">
        <f aca="false">(Tabla3510813153426[[#This Row],[PNE]]+Tabla3510813153426[[#This Row],[PE]])/2</f>
        <v>0.635175968716673</v>
      </c>
      <c r="S39" s="0" t="n">
        <v>78</v>
      </c>
      <c r="T39" s="0" t="n">
        <v>77</v>
      </c>
      <c r="U39" s="0" t="n">
        <f aca="false">Tabla3510813153426[[#This Row],[efec]]+Tabla3510813153426[[#This Row],[no_efe]]</f>
        <v>155</v>
      </c>
    </row>
  </sheetData>
  <mergeCells count="9">
    <mergeCell ref="A1:U1"/>
    <mergeCell ref="A2:U2"/>
    <mergeCell ref="A4:B4"/>
    <mergeCell ref="A5:B5"/>
    <mergeCell ref="A6:B6"/>
    <mergeCell ref="A8:I8"/>
    <mergeCell ref="A20:U20"/>
    <mergeCell ref="A21:U21"/>
    <mergeCell ref="A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U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39" activeCellId="1" sqref="A81:E91 E39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75</v>
      </c>
    </row>
    <row r="5" customFormat="false" ht="15" hidden="false" customHeight="false" outlineLevel="0" collapsed="false">
      <c r="A5" s="3" t="s">
        <v>3</v>
      </c>
      <c r="B5" s="3"/>
      <c r="C5" s="4" t="n">
        <v>79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154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55</v>
      </c>
      <c r="C10" s="0" t="n">
        <v>24</v>
      </c>
      <c r="D10" s="0" t="n">
        <v>43</v>
      </c>
      <c r="E10" s="0" t="n">
        <v>32</v>
      </c>
      <c r="F10" s="0" t="n">
        <f aca="false">Tabla3510813153420[[#This Row],[no_efec_cor]]+Tabla3510813153420[[#This Row],[efec_cor]]</f>
        <v>98</v>
      </c>
      <c r="G10" s="0" t="n">
        <f aca="false">Tabla3510813153420[[#This Row],[no_efec_inc]]+Tabla3510813153420[[#This Row],[efect_inc]]</f>
        <v>56</v>
      </c>
      <c r="H10" s="9" t="n">
        <f aca="false">Tabla3510813153420[[#This Row],[Correctos]]/Tabla3510813153420[[#This Row],[total_sec]]</f>
        <v>0.636363636363636</v>
      </c>
      <c r="I10" s="9" t="n">
        <f aca="false">Tabla3510813153420[[#This Row],[efec_cor]]/Tabla3510813153420[[#This Row],[efec]]</f>
        <v>0.573333333333333</v>
      </c>
      <c r="J10" s="9" t="n">
        <f aca="false">Tabla3510813153420[[#This Row],[efect_inc]]/Tabla3510813153420[[#This Row],[efec]]</f>
        <v>0.426666666666667</v>
      </c>
      <c r="K10" s="9" t="n">
        <f aca="false">Tabla3510813153420[[#This Row],[no_efec_cor]]/Tabla3510813153420[[#This Row],[no_efe]]</f>
        <v>0.69620253164557</v>
      </c>
      <c r="L10" s="9" t="n">
        <f aca="false">Tabla3510813153420[[#This Row],[no_efec_inc]]/Tabla3510813153420[[#This Row],[no_efe]]</f>
        <v>0.30379746835443</v>
      </c>
      <c r="M10" s="9" t="n">
        <f aca="false">(Tabla3510813153420[[#This Row],[% efe_cor]]+Tabla3510813153420[[#This Row],[% no_efe_cor]])/2</f>
        <v>0.634767932489452</v>
      </c>
      <c r="N10" s="10" t="n">
        <f aca="false">(Tabla3510813153420[[#This Row],[% efe_inc]]+Tabla3510813153420[[#This Row],[% no_efect_inc]])/2</f>
        <v>0.365232067510549</v>
      </c>
      <c r="O10" s="11" t="n">
        <f aca="false">Tabla3510813153420[[#This Row],[no_efec_cor]]/(Tabla3510813153420[[#This Row],[efect_inc]]+Tabla3510813153420[[#This Row],[no_efec_cor]])</f>
        <v>0.632183908045977</v>
      </c>
      <c r="P10" s="11" t="n">
        <f aca="false">Tabla3510813153420[[#This Row],[efec_cor]]/(Tabla3510813153420[[#This Row],[efec_cor]]+Tabla3510813153420[[#This Row],[no_efec_inc]])</f>
        <v>0.641791044776119</v>
      </c>
      <c r="Q10" s="11" t="n">
        <f aca="false">(Tabla3510813153420[[#This Row],[PNE]]+Tabla3510813153420[[#This Row],[PE]])/2</f>
        <v>0.636987476411048</v>
      </c>
      <c r="R10" s="0" t="n">
        <v>75</v>
      </c>
      <c r="S10" s="0" t="n">
        <v>79</v>
      </c>
      <c r="T10" s="0" t="n">
        <f aca="false">Tabla3510813153420[[#This Row],[efec]]+Tabla3510813153420[[#This Row],[no_efe]]</f>
        <v>154</v>
      </c>
    </row>
    <row r="11" customFormat="false" ht="13.8" hidden="false" customHeight="false" outlineLevel="0" collapsed="false">
      <c r="A11" s="0" t="n">
        <v>5</v>
      </c>
      <c r="B11" s="0" t="n">
        <v>51</v>
      </c>
      <c r="C11" s="0" t="n">
        <v>28</v>
      </c>
      <c r="D11" s="0" t="n">
        <v>47</v>
      </c>
      <c r="E11" s="0" t="n">
        <v>28</v>
      </c>
      <c r="F11" s="0" t="n">
        <f aca="false">Tabla3510813153420[[#This Row],[no_efec_cor]]+Tabla3510813153420[[#This Row],[efec_cor]]</f>
        <v>98</v>
      </c>
      <c r="G11" s="0" t="n">
        <f aca="false">Tabla3510813153420[[#This Row],[no_efec_inc]]+Tabla3510813153420[[#This Row],[efect_inc]]</f>
        <v>56</v>
      </c>
      <c r="H11" s="9" t="n">
        <f aca="false">Tabla3510813153420[[#This Row],[Correctos]]/Tabla3510813153420[[#This Row],[total_sec]]</f>
        <v>0.636363636363636</v>
      </c>
      <c r="I11" s="9" t="n">
        <f aca="false">Tabla3510813153420[[#This Row],[efec_cor]]/Tabla3510813153420[[#This Row],[efec]]</f>
        <v>0.626666666666667</v>
      </c>
      <c r="J11" s="9" t="n">
        <f aca="false">Tabla3510813153420[[#This Row],[efect_inc]]/Tabla3510813153420[[#This Row],[efec]]</f>
        <v>0.373333333333333</v>
      </c>
      <c r="K11" s="9" t="n">
        <f aca="false">Tabla3510813153420[[#This Row],[no_efec_cor]]/Tabla3510813153420[[#This Row],[no_efe]]</f>
        <v>0.645569620253165</v>
      </c>
      <c r="L11" s="9" t="n">
        <f aca="false">Tabla3510813153420[[#This Row],[no_efec_inc]]/Tabla3510813153420[[#This Row],[no_efe]]</f>
        <v>0.354430379746835</v>
      </c>
      <c r="M11" s="9" t="n">
        <f aca="false">(Tabla3510813153420[[#This Row],[% efe_cor]]+Tabla3510813153420[[#This Row],[% no_efe_cor]])/2</f>
        <v>0.636118143459916</v>
      </c>
      <c r="N11" s="10" t="n">
        <f aca="false">(Tabla3510813153420[[#This Row],[% efe_inc]]+Tabla3510813153420[[#This Row],[% no_efect_inc]])/2</f>
        <v>0.363881856540084</v>
      </c>
      <c r="O11" s="11" t="n">
        <f aca="false">Tabla3510813153420[[#This Row],[no_efec_cor]]/(Tabla3510813153420[[#This Row],[efect_inc]]+Tabla3510813153420[[#This Row],[no_efec_cor]])</f>
        <v>0.645569620253165</v>
      </c>
      <c r="P11" s="11" t="n">
        <f aca="false">Tabla3510813153420[[#This Row],[efec_cor]]/(Tabla3510813153420[[#This Row],[efec_cor]]+Tabla3510813153420[[#This Row],[no_efec_inc]])</f>
        <v>0.626666666666667</v>
      </c>
      <c r="Q11" s="11" t="n">
        <f aca="false">(Tabla3510813153420[[#This Row],[PNE]]+Tabla3510813153420[[#This Row],[PE]])/2</f>
        <v>0.636118143459916</v>
      </c>
      <c r="R11" s="0" t="n">
        <v>75</v>
      </c>
      <c r="S11" s="0" t="n">
        <v>79</v>
      </c>
      <c r="T11" s="0" t="n">
        <f aca="false">Tabla3510813153420[[#This Row],[efec]]+Tabla3510813153420[[#This Row],[no_efe]]</f>
        <v>154</v>
      </c>
    </row>
    <row r="12" customFormat="false" ht="13.8" hidden="false" customHeight="false" outlineLevel="0" collapsed="false">
      <c r="A12" s="0" t="n">
        <v>10</v>
      </c>
      <c r="B12" s="0" t="n">
        <v>45</v>
      </c>
      <c r="C12" s="0" t="n">
        <v>34</v>
      </c>
      <c r="D12" s="0" t="n">
        <v>45</v>
      </c>
      <c r="E12" s="0" t="n">
        <v>30</v>
      </c>
      <c r="F12" s="0" t="n">
        <f aca="false">Tabla3510813153420[[#This Row],[no_efec_cor]]+Tabla3510813153420[[#This Row],[efec_cor]]</f>
        <v>90</v>
      </c>
      <c r="G12" s="0" t="n">
        <f aca="false">Tabla3510813153420[[#This Row],[no_efec_inc]]+Tabla3510813153420[[#This Row],[efect_inc]]</f>
        <v>64</v>
      </c>
      <c r="H12" s="9" t="n">
        <f aca="false">Tabla3510813153420[[#This Row],[Correctos]]/Tabla3510813153420[[#This Row],[total_sec]]</f>
        <v>0.584415584415584</v>
      </c>
      <c r="I12" s="9" t="n">
        <f aca="false">Tabla3510813153420[[#This Row],[efec_cor]]/Tabla3510813153420[[#This Row],[efec]]</f>
        <v>0.6</v>
      </c>
      <c r="J12" s="9" t="n">
        <f aca="false">Tabla3510813153420[[#This Row],[efect_inc]]/Tabla3510813153420[[#This Row],[efec]]</f>
        <v>0.4</v>
      </c>
      <c r="K12" s="9" t="n">
        <f aca="false">Tabla3510813153420[[#This Row],[no_efec_cor]]/Tabla3510813153420[[#This Row],[no_efe]]</f>
        <v>0.569620253164557</v>
      </c>
      <c r="L12" s="9" t="n">
        <f aca="false">Tabla3510813153420[[#This Row],[no_efec_inc]]/Tabla3510813153420[[#This Row],[no_efe]]</f>
        <v>0.430379746835443</v>
      </c>
      <c r="M12" s="9" t="n">
        <f aca="false">(Tabla3510813153420[[#This Row],[% efe_cor]]+Tabla3510813153420[[#This Row],[% no_efe_cor]])/2</f>
        <v>0.584810126582279</v>
      </c>
      <c r="N12" s="10" t="n">
        <f aca="false">(Tabla3510813153420[[#This Row],[% efe_inc]]+Tabla3510813153420[[#This Row],[% no_efect_inc]])/2</f>
        <v>0.415189873417722</v>
      </c>
      <c r="O12" s="11" t="n">
        <f aca="false">Tabla3510813153420[[#This Row],[no_efec_cor]]/(Tabla3510813153420[[#This Row],[efect_inc]]+Tabla3510813153420[[#This Row],[no_efec_cor]])</f>
        <v>0.6</v>
      </c>
      <c r="P12" s="11" t="n">
        <f aca="false">Tabla3510813153420[[#This Row],[efec_cor]]/(Tabla3510813153420[[#This Row],[efec_cor]]+Tabla3510813153420[[#This Row],[no_efec_inc]])</f>
        <v>0.569620253164557</v>
      </c>
      <c r="Q12" s="11" t="n">
        <f aca="false">(Tabla3510813153420[[#This Row],[PNE]]+Tabla3510813153420[[#This Row],[PE]])/2</f>
        <v>0.584810126582279</v>
      </c>
      <c r="R12" s="0" t="n">
        <v>75</v>
      </c>
      <c r="S12" s="0" t="n">
        <v>79</v>
      </c>
      <c r="T12" s="0" t="n">
        <f aca="false">Tabla3510813153420[[#This Row],[efec]]+Tabla3510813153420[[#This Row],[no_efe]]</f>
        <v>154</v>
      </c>
    </row>
    <row r="13" customFormat="false" ht="13.8" hidden="false" customHeight="false" outlineLevel="0" collapsed="false">
      <c r="A13" s="0" t="n">
        <v>15</v>
      </c>
      <c r="B13" s="0" t="n">
        <v>48</v>
      </c>
      <c r="C13" s="0" t="n">
        <v>31</v>
      </c>
      <c r="D13" s="0" t="n">
        <v>42</v>
      </c>
      <c r="E13" s="0" t="n">
        <v>33</v>
      </c>
      <c r="F13" s="0" t="n">
        <f aca="false">Tabla3510813153420[[#This Row],[no_efec_cor]]+Tabla3510813153420[[#This Row],[efec_cor]]</f>
        <v>90</v>
      </c>
      <c r="G13" s="0" t="n">
        <f aca="false">Tabla3510813153420[[#This Row],[no_efec_inc]]+Tabla3510813153420[[#This Row],[efect_inc]]</f>
        <v>64</v>
      </c>
      <c r="H13" s="9" t="n">
        <f aca="false">Tabla3510813153420[[#This Row],[Correctos]]/Tabla3510813153420[[#This Row],[total_sec]]</f>
        <v>0.584415584415584</v>
      </c>
      <c r="I13" s="9" t="n">
        <f aca="false">Tabla3510813153420[[#This Row],[efec_cor]]/Tabla3510813153420[[#This Row],[efec]]</f>
        <v>0.56</v>
      </c>
      <c r="J13" s="9" t="n">
        <f aca="false">Tabla3510813153420[[#This Row],[efect_inc]]/Tabla3510813153420[[#This Row],[efec]]</f>
        <v>0.44</v>
      </c>
      <c r="K13" s="9" t="n">
        <f aca="false">Tabla3510813153420[[#This Row],[no_efec_cor]]/Tabla3510813153420[[#This Row],[no_efe]]</f>
        <v>0.607594936708861</v>
      </c>
      <c r="L13" s="9" t="n">
        <f aca="false">Tabla3510813153420[[#This Row],[no_efec_inc]]/Tabla3510813153420[[#This Row],[no_efe]]</f>
        <v>0.392405063291139</v>
      </c>
      <c r="M13" s="9" t="n">
        <f aca="false">(Tabla3510813153420[[#This Row],[% efe_cor]]+Tabla3510813153420[[#This Row],[% no_efe_cor]])/2</f>
        <v>0.583797468354431</v>
      </c>
      <c r="N13" s="10" t="n">
        <f aca="false">(Tabla3510813153420[[#This Row],[% efe_inc]]+Tabla3510813153420[[#This Row],[% no_efect_inc]])/2</f>
        <v>0.41620253164557</v>
      </c>
      <c r="O13" s="11" t="n">
        <f aca="false">Tabla3510813153420[[#This Row],[no_efec_cor]]/(Tabla3510813153420[[#This Row],[efect_inc]]+Tabla3510813153420[[#This Row],[no_efec_cor]])</f>
        <v>0.592592592592593</v>
      </c>
      <c r="P13" s="11" t="n">
        <f aca="false">Tabla3510813153420[[#This Row],[efec_cor]]/(Tabla3510813153420[[#This Row],[efec_cor]]+Tabla3510813153420[[#This Row],[no_efec_inc]])</f>
        <v>0.575342465753425</v>
      </c>
      <c r="Q13" s="11" t="n">
        <f aca="false">(Tabla3510813153420[[#This Row],[PNE]]+Tabla3510813153420[[#This Row],[PE]])/2</f>
        <v>0.583967529173009</v>
      </c>
      <c r="R13" s="0" t="n">
        <v>75</v>
      </c>
      <c r="S13" s="0" t="n">
        <v>79</v>
      </c>
      <c r="T13" s="0" t="n">
        <f aca="false">Tabla3510813153420[[#This Row],[efec]]+Tabla3510813153420[[#This Row],[no_efe]]</f>
        <v>154</v>
      </c>
    </row>
    <row r="14" customFormat="false" ht="13.8" hidden="false" customHeight="false" outlineLevel="0" collapsed="false">
      <c r="A14" s="0" t="n">
        <v>20</v>
      </c>
      <c r="B14" s="0" t="n">
        <v>43</v>
      </c>
      <c r="C14" s="0" t="n">
        <v>36</v>
      </c>
      <c r="D14" s="0" t="n">
        <v>51</v>
      </c>
      <c r="E14" s="0" t="n">
        <v>24</v>
      </c>
      <c r="F14" s="0" t="n">
        <f aca="false">Tabla3510813153420[[#This Row],[no_efec_cor]]+Tabla3510813153420[[#This Row],[efec_cor]]</f>
        <v>94</v>
      </c>
      <c r="G14" s="0" t="n">
        <f aca="false">Tabla3510813153420[[#This Row],[no_efec_inc]]+Tabla3510813153420[[#This Row],[efect_inc]]</f>
        <v>60</v>
      </c>
      <c r="H14" s="9" t="n">
        <f aca="false">Tabla3510813153420[[#This Row],[Correctos]]/Tabla3510813153420[[#This Row],[total_sec]]</f>
        <v>0.61038961038961</v>
      </c>
      <c r="I14" s="9" t="n">
        <f aca="false">Tabla3510813153420[[#This Row],[efec_cor]]/Tabla3510813153420[[#This Row],[efec]]</f>
        <v>0.68</v>
      </c>
      <c r="J14" s="9" t="n">
        <f aca="false">Tabla3510813153420[[#This Row],[efect_inc]]/Tabla3510813153420[[#This Row],[efec]]</f>
        <v>0.32</v>
      </c>
      <c r="K14" s="9" t="n">
        <f aca="false">Tabla3510813153420[[#This Row],[no_efec_cor]]/Tabla3510813153420[[#This Row],[no_efe]]</f>
        <v>0.544303797468354</v>
      </c>
      <c r="L14" s="9" t="n">
        <f aca="false">Tabla3510813153420[[#This Row],[no_efec_inc]]/Tabla3510813153420[[#This Row],[no_efe]]</f>
        <v>0.455696202531646</v>
      </c>
      <c r="M14" s="9" t="n">
        <f aca="false">(Tabla3510813153420[[#This Row],[% efe_cor]]+Tabla3510813153420[[#This Row],[% no_efe_cor]])/2</f>
        <v>0.612151898734177</v>
      </c>
      <c r="N14" s="10" t="n">
        <f aca="false">(Tabla3510813153420[[#This Row],[% efe_inc]]+Tabla3510813153420[[#This Row],[% no_efect_inc]])/2</f>
        <v>0.387848101265823</v>
      </c>
      <c r="O14" s="11" t="n">
        <f aca="false">Tabla3510813153420[[#This Row],[no_efec_cor]]/(Tabla3510813153420[[#This Row],[efect_inc]]+Tabla3510813153420[[#This Row],[no_efec_cor]])</f>
        <v>0.641791044776119</v>
      </c>
      <c r="P14" s="11" t="n">
        <f aca="false">Tabla3510813153420[[#This Row],[efec_cor]]/(Tabla3510813153420[[#This Row],[efec_cor]]+Tabla3510813153420[[#This Row],[no_efec_inc]])</f>
        <v>0.586206896551724</v>
      </c>
      <c r="Q14" s="11" t="n">
        <f aca="false">(Tabla3510813153420[[#This Row],[PNE]]+Tabla3510813153420[[#This Row],[PE]])/2</f>
        <v>0.613998970663922</v>
      </c>
      <c r="R14" s="0" t="n">
        <v>75</v>
      </c>
      <c r="S14" s="0" t="n">
        <v>79</v>
      </c>
      <c r="T14" s="0" t="n">
        <f aca="false">Tabla3510813153420[[#This Row],[efec]]+Tabla3510813153420[[#This Row],[no_efe]]</f>
        <v>154</v>
      </c>
    </row>
    <row r="15" customFormat="false" ht="13.8" hidden="false" customHeight="false" outlineLevel="0" collapsed="false">
      <c r="A15" s="0" t="n">
        <v>25</v>
      </c>
      <c r="B15" s="0" t="n">
        <v>47</v>
      </c>
      <c r="C15" s="0" t="n">
        <v>32</v>
      </c>
      <c r="D15" s="0" t="n">
        <v>47</v>
      </c>
      <c r="E15" s="0" t="n">
        <v>28</v>
      </c>
      <c r="F15" s="0" t="n">
        <f aca="false">Tabla3510813153420[[#This Row],[no_efec_cor]]+Tabla3510813153420[[#This Row],[efec_cor]]</f>
        <v>94</v>
      </c>
      <c r="G15" s="0" t="n">
        <f aca="false">Tabla3510813153420[[#This Row],[no_efec_inc]]+Tabla3510813153420[[#This Row],[efect_inc]]</f>
        <v>60</v>
      </c>
      <c r="H15" s="9" t="n">
        <f aca="false">Tabla3510813153420[[#This Row],[Correctos]]/Tabla3510813153420[[#This Row],[total_sec]]</f>
        <v>0.61038961038961</v>
      </c>
      <c r="I15" s="9" t="n">
        <f aca="false">Tabla3510813153420[[#This Row],[efec_cor]]/Tabla3510813153420[[#This Row],[efec]]</f>
        <v>0.626666666666667</v>
      </c>
      <c r="J15" s="9" t="n">
        <f aca="false">Tabla3510813153420[[#This Row],[efect_inc]]/Tabla3510813153420[[#This Row],[efec]]</f>
        <v>0.373333333333333</v>
      </c>
      <c r="K15" s="9" t="n">
        <f aca="false">Tabla3510813153420[[#This Row],[no_efec_cor]]/Tabla3510813153420[[#This Row],[no_efe]]</f>
        <v>0.594936708860759</v>
      </c>
      <c r="L15" s="9" t="n">
        <f aca="false">Tabla3510813153420[[#This Row],[no_efec_inc]]/Tabla3510813153420[[#This Row],[no_efe]]</f>
        <v>0.40506329113924</v>
      </c>
      <c r="M15" s="9" t="n">
        <f aca="false">(Tabla3510813153420[[#This Row],[% efe_cor]]+Tabla3510813153420[[#This Row],[% no_efe_cor]])/2</f>
        <v>0.610801687763713</v>
      </c>
      <c r="N15" s="10" t="n">
        <f aca="false">(Tabla3510813153420[[#This Row],[% efe_inc]]+Tabla3510813153420[[#This Row],[% no_efect_inc]])/2</f>
        <v>0.389198312236287</v>
      </c>
      <c r="O15" s="11" t="n">
        <f aca="false">Tabla3510813153420[[#This Row],[no_efec_cor]]/(Tabla3510813153420[[#This Row],[efect_inc]]+Tabla3510813153420[[#This Row],[no_efec_cor]])</f>
        <v>0.626666666666667</v>
      </c>
      <c r="P15" s="11" t="n">
        <f aca="false">Tabla3510813153420[[#This Row],[efec_cor]]/(Tabla3510813153420[[#This Row],[efec_cor]]+Tabla3510813153420[[#This Row],[no_efec_inc]])</f>
        <v>0.594936708860759</v>
      </c>
      <c r="Q15" s="11" t="n">
        <f aca="false">(Tabla3510813153420[[#This Row],[PNE]]+Tabla3510813153420[[#This Row],[PE]])/2</f>
        <v>0.610801687763713</v>
      </c>
      <c r="R15" s="0" t="n">
        <v>75</v>
      </c>
      <c r="S15" s="0" t="n">
        <v>79</v>
      </c>
      <c r="T15" s="0" t="n">
        <f aca="false">Tabla3510813153420[[#This Row],[efec]]+Tabla3510813153420[[#This Row],[no_efe]]</f>
        <v>154</v>
      </c>
    </row>
    <row r="16" customFormat="false" ht="13.8" hidden="false" customHeight="false" outlineLevel="0" collapsed="false">
      <c r="A16" s="0" t="n">
        <v>30</v>
      </c>
      <c r="B16" s="0" t="n">
        <v>34</v>
      </c>
      <c r="C16" s="0" t="n">
        <v>45</v>
      </c>
      <c r="D16" s="0" t="n">
        <v>55</v>
      </c>
      <c r="E16" s="0" t="n">
        <v>20</v>
      </c>
      <c r="F16" s="0" t="n">
        <f aca="false">Tabla3510813153420[[#This Row],[no_efec_cor]]+Tabla3510813153420[[#This Row],[efec_cor]]</f>
        <v>89</v>
      </c>
      <c r="G16" s="0" t="n">
        <f aca="false">Tabla3510813153420[[#This Row],[no_efec_inc]]+Tabla3510813153420[[#This Row],[efect_inc]]</f>
        <v>65</v>
      </c>
      <c r="H16" s="9" t="n">
        <f aca="false">Tabla3510813153420[[#This Row],[Correctos]]/Tabla3510813153420[[#This Row],[total_sec]]</f>
        <v>0.577922077922078</v>
      </c>
      <c r="I16" s="9" t="n">
        <f aca="false">Tabla3510813153420[[#This Row],[efec_cor]]/Tabla3510813153420[[#This Row],[efec]]</f>
        <v>0.733333333333333</v>
      </c>
      <c r="J16" s="9" t="n">
        <f aca="false">Tabla3510813153420[[#This Row],[efect_inc]]/Tabla3510813153420[[#This Row],[efec]]</f>
        <v>0.266666666666667</v>
      </c>
      <c r="K16" s="9" t="n">
        <f aca="false">Tabla3510813153420[[#This Row],[no_efec_cor]]/Tabla3510813153420[[#This Row],[no_efe]]</f>
        <v>0.430379746835443</v>
      </c>
      <c r="L16" s="9" t="n">
        <f aca="false">Tabla3510813153420[[#This Row],[no_efec_inc]]/Tabla3510813153420[[#This Row],[no_efe]]</f>
        <v>0.569620253164557</v>
      </c>
      <c r="M16" s="9" t="n">
        <f aca="false">(Tabla3510813153420[[#This Row],[% efe_cor]]+Tabla3510813153420[[#This Row],[% no_efe_cor]])/2</f>
        <v>0.581856540084388</v>
      </c>
      <c r="N16" s="10" t="n">
        <f aca="false">(Tabla3510813153420[[#This Row],[% efe_inc]]+Tabla3510813153420[[#This Row],[% no_efect_inc]])/2</f>
        <v>0.418143459915612</v>
      </c>
      <c r="O16" s="11" t="n">
        <f aca="false">Tabla3510813153420[[#This Row],[no_efec_cor]]/(Tabla3510813153420[[#This Row],[efect_inc]]+Tabla3510813153420[[#This Row],[no_efec_cor]])</f>
        <v>0.62962962962963</v>
      </c>
      <c r="P16" s="11" t="n">
        <f aca="false">Tabla3510813153420[[#This Row],[efec_cor]]/(Tabla3510813153420[[#This Row],[efec_cor]]+Tabla3510813153420[[#This Row],[no_efec_inc]])</f>
        <v>0.55</v>
      </c>
      <c r="Q16" s="11" t="n">
        <f aca="false">(Tabla3510813153420[[#This Row],[PNE]]+Tabla3510813153420[[#This Row],[PE]])/2</f>
        <v>0.589814814814815</v>
      </c>
      <c r="R16" s="0" t="n">
        <v>75</v>
      </c>
      <c r="S16" s="0" t="n">
        <v>79</v>
      </c>
      <c r="T16" s="0" t="n">
        <f aca="false">Tabla3510813153420[[#This Row],[efec]]+Tabla3510813153420[[#This Row],[no_efe]]</f>
        <v>154</v>
      </c>
    </row>
    <row r="17" customFormat="false" ht="13.8" hidden="false" customHeight="false" outlineLevel="0" collapsed="false">
      <c r="A17" s="0" t="n">
        <v>35</v>
      </c>
      <c r="B17" s="0" t="n">
        <v>39</v>
      </c>
      <c r="C17" s="0" t="n">
        <v>40</v>
      </c>
      <c r="D17" s="0" t="n">
        <v>49</v>
      </c>
      <c r="E17" s="0" t="n">
        <v>26</v>
      </c>
      <c r="F17" s="0" t="n">
        <f aca="false">Tabla3510813153420[[#This Row],[no_efec_cor]]+Tabla3510813153420[[#This Row],[efec_cor]]</f>
        <v>88</v>
      </c>
      <c r="G17" s="0" t="n">
        <f aca="false">Tabla3510813153420[[#This Row],[no_efec_inc]]+Tabla3510813153420[[#This Row],[efect_inc]]</f>
        <v>66</v>
      </c>
      <c r="H17" s="9" t="n">
        <f aca="false">Tabla3510813153420[[#This Row],[Correctos]]/Tabla3510813153420[[#This Row],[total_sec]]</f>
        <v>0.571428571428571</v>
      </c>
      <c r="I17" s="9" t="n">
        <f aca="false">Tabla3510813153420[[#This Row],[efec_cor]]/Tabla3510813153420[[#This Row],[efec]]</f>
        <v>0.653333333333333</v>
      </c>
      <c r="J17" s="9" t="n">
        <f aca="false">Tabla3510813153420[[#This Row],[efect_inc]]/Tabla3510813153420[[#This Row],[efec]]</f>
        <v>0.346666666666667</v>
      </c>
      <c r="K17" s="9" t="n">
        <f aca="false">Tabla3510813153420[[#This Row],[no_efec_cor]]/Tabla3510813153420[[#This Row],[no_efe]]</f>
        <v>0.493670886075949</v>
      </c>
      <c r="L17" s="9" t="n">
        <f aca="false">Tabla3510813153420[[#This Row],[no_efec_inc]]/Tabla3510813153420[[#This Row],[no_efe]]</f>
        <v>0.506329113924051</v>
      </c>
      <c r="M17" s="9" t="n">
        <f aca="false">(Tabla3510813153420[[#This Row],[% efe_cor]]+Tabla3510813153420[[#This Row],[% no_efe_cor]])/2</f>
        <v>0.573502109704641</v>
      </c>
      <c r="N17" s="10" t="n">
        <f aca="false">(Tabla3510813153420[[#This Row],[% efe_inc]]+Tabla3510813153420[[#This Row],[% no_efect_inc]])/2</f>
        <v>0.426497890295359</v>
      </c>
      <c r="O17" s="11" t="n">
        <f aca="false">Tabla3510813153420[[#This Row],[no_efec_cor]]/(Tabla3510813153420[[#This Row],[efect_inc]]+Tabla3510813153420[[#This Row],[no_efec_cor]])</f>
        <v>0.6</v>
      </c>
      <c r="P17" s="11" t="n">
        <f aca="false">Tabla3510813153420[[#This Row],[efec_cor]]/(Tabla3510813153420[[#This Row],[efec_cor]]+Tabla3510813153420[[#This Row],[no_efec_inc]])</f>
        <v>0.550561797752809</v>
      </c>
      <c r="Q17" s="11" t="n">
        <f aca="false">(Tabla3510813153420[[#This Row],[PNE]]+Tabla3510813153420[[#This Row],[PE]])/2</f>
        <v>0.575280898876404</v>
      </c>
      <c r="R17" s="0" t="n">
        <v>75</v>
      </c>
      <c r="S17" s="0" t="n">
        <v>79</v>
      </c>
      <c r="T17" s="0" t="n">
        <f aca="false">Tabla3510813153420[[#This Row],[efec]]+Tabla3510813153420[[#This Row],[no_efe]]</f>
        <v>154</v>
      </c>
    </row>
    <row r="18" customFormat="false" ht="13.8" hidden="false" customHeight="false" outlineLevel="0" collapsed="false">
      <c r="A18" s="0" t="n">
        <v>39</v>
      </c>
      <c r="B18" s="0" t="n">
        <v>36</v>
      </c>
      <c r="C18" s="0" t="n">
        <v>43</v>
      </c>
      <c r="D18" s="0" t="n">
        <v>48</v>
      </c>
      <c r="E18" s="0" t="n">
        <v>27</v>
      </c>
      <c r="F18" s="0" t="n">
        <f aca="false">Tabla3510813153420[[#This Row],[no_efec_cor]]+Tabla3510813153420[[#This Row],[efec_cor]]</f>
        <v>84</v>
      </c>
      <c r="G18" s="0" t="n">
        <f aca="false">Tabla3510813153420[[#This Row],[no_efec_inc]]+Tabla3510813153420[[#This Row],[efect_inc]]</f>
        <v>70</v>
      </c>
      <c r="H18" s="9" t="n">
        <f aca="false">Tabla3510813153420[[#This Row],[Correctos]]/Tabla3510813153420[[#This Row],[total_sec]]</f>
        <v>0.545454545454545</v>
      </c>
      <c r="I18" s="9" t="n">
        <f aca="false">Tabla3510813153420[[#This Row],[efec_cor]]/Tabla3510813153420[[#This Row],[efec]]</f>
        <v>0.64</v>
      </c>
      <c r="J18" s="9" t="n">
        <f aca="false">Tabla3510813153420[[#This Row],[efect_inc]]/Tabla3510813153420[[#This Row],[efec]]</f>
        <v>0.36</v>
      </c>
      <c r="K18" s="9" t="n">
        <f aca="false">Tabla3510813153420[[#This Row],[no_efec_cor]]/Tabla3510813153420[[#This Row],[no_efe]]</f>
        <v>0.455696202531646</v>
      </c>
      <c r="L18" s="9" t="n">
        <f aca="false">Tabla3510813153420[[#This Row],[no_efec_inc]]/Tabla3510813153420[[#This Row],[no_efe]]</f>
        <v>0.544303797468354</v>
      </c>
      <c r="M18" s="9" t="n">
        <f aca="false">(Tabla3510813153420[[#This Row],[% efe_cor]]+Tabla3510813153420[[#This Row],[% no_efe_cor]])/2</f>
        <v>0.547848101265823</v>
      </c>
      <c r="N18" s="10" t="n">
        <f aca="false">(Tabla3510813153420[[#This Row],[% efe_inc]]+Tabla3510813153420[[#This Row],[% no_efect_inc]])/2</f>
        <v>0.452151898734177</v>
      </c>
      <c r="O18" s="11" t="n">
        <f aca="false">Tabla3510813153420[[#This Row],[no_efec_cor]]/(Tabla3510813153420[[#This Row],[efect_inc]]+Tabla3510813153420[[#This Row],[no_efec_cor]])</f>
        <v>0.571428571428571</v>
      </c>
      <c r="P18" s="11" t="n">
        <f aca="false">Tabla3510813153420[[#This Row],[efec_cor]]/(Tabla3510813153420[[#This Row],[efec_cor]]+Tabla3510813153420[[#This Row],[no_efec_inc]])</f>
        <v>0.527472527472527</v>
      </c>
      <c r="Q18" s="11" t="n">
        <f aca="false">(Tabla3510813153420[[#This Row],[PNE]]+Tabla3510813153420[[#This Row],[PE]])/2</f>
        <v>0.549450549450549</v>
      </c>
      <c r="R18" s="0" t="n">
        <v>75</v>
      </c>
      <c r="S18" s="0" t="n">
        <v>79</v>
      </c>
      <c r="T18" s="0" t="n">
        <f aca="false">Tabla3510813153420[[#This Row],[efec]]+Tabla3510813153420[[#This Row],[no_efe]]</f>
        <v>154</v>
      </c>
    </row>
    <row r="20" customFormat="false" ht="19.5" hidden="false" customHeight="false" outlineLevel="0" collapsed="false">
      <c r="A20" s="1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4" customFormat="false" ht="15.75" hidden="false" customHeight="false" outlineLevel="0" collapsed="false">
      <c r="A24" s="5" t="s">
        <v>5</v>
      </c>
      <c r="B24" s="5"/>
      <c r="C24" s="5"/>
      <c r="D24" s="5"/>
      <c r="E24" s="5"/>
      <c r="F24" s="5"/>
      <c r="G24" s="5"/>
      <c r="H24" s="5"/>
      <c r="I24" s="5"/>
      <c r="J24" s="9"/>
      <c r="K24" s="9"/>
      <c r="L24" s="9"/>
      <c r="M24" s="9"/>
      <c r="N24" s="10"/>
      <c r="O24" s="11"/>
      <c r="P24" s="11"/>
      <c r="Q24" s="11"/>
    </row>
    <row r="25" customFormat="false" ht="15.75" hidden="false" customHeight="false" outlineLevel="0" collapsed="false">
      <c r="A25" s="7" t="s">
        <v>27</v>
      </c>
      <c r="B25" s="7" t="s">
        <v>28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7" t="s">
        <v>17</v>
      </c>
      <c r="N25" s="7" t="s">
        <v>18</v>
      </c>
      <c r="O25" s="7" t="s">
        <v>19</v>
      </c>
      <c r="P25" s="7" t="s">
        <v>20</v>
      </c>
      <c r="Q25" s="7" t="s">
        <v>21</v>
      </c>
      <c r="R25" s="7" t="s">
        <v>22</v>
      </c>
      <c r="S25" s="7" t="s">
        <v>23</v>
      </c>
      <c r="T25" s="7" t="s">
        <v>24</v>
      </c>
      <c r="U25" s="7" t="s">
        <v>25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50</v>
      </c>
      <c r="D26" s="0" t="n">
        <v>29</v>
      </c>
      <c r="E26" s="0" t="n">
        <v>35</v>
      </c>
      <c r="F26" s="0" t="n">
        <v>40</v>
      </c>
      <c r="G26" s="0" t="n">
        <f aca="false">Tabla3510813153425[[#This Row],[no_efec_cor]]+Tabla3510813153425[[#This Row],[efec_cor]]</f>
        <v>85</v>
      </c>
      <c r="H26" s="0" t="n">
        <f aca="false">Tabla3510813153425[[#This Row],[no_efec_inc]]+Tabla3510813153425[[#This Row],[efect_inc]]</f>
        <v>69</v>
      </c>
      <c r="I26" s="9" t="n">
        <f aca="false">Tabla3510813153425[[#This Row],[Correctos]]/Tabla3510813153425[[#This Row],[total_sec]]</f>
        <v>0.551948051948052</v>
      </c>
      <c r="J26" s="9" t="n">
        <f aca="false">Tabla3510813153425[[#This Row],[efec_cor]]/Tabla3510813153425[[#This Row],[efec]]</f>
        <v>0.466666666666667</v>
      </c>
      <c r="K26" s="9" t="n">
        <f aca="false">Tabla3510813153425[[#This Row],[efect_inc]]/Tabla3510813153425[[#This Row],[efec]]</f>
        <v>0.533333333333333</v>
      </c>
      <c r="L26" s="9" t="n">
        <f aca="false">Tabla3510813153425[[#This Row],[no_efec_cor]]/Tabla3510813153425[[#This Row],[no_efe]]</f>
        <v>0.632911392405063</v>
      </c>
      <c r="M26" s="9" t="n">
        <f aca="false">Tabla3510813153425[[#This Row],[no_efec_inc]]/Tabla3510813153425[[#This Row],[no_efe]]</f>
        <v>0.367088607594937</v>
      </c>
      <c r="N26" s="9" t="n">
        <f aca="false">(Tabla3510813153425[[#This Row],[% efe_cor]]+Tabla3510813153425[[#This Row],[% no_efe_cor]])/2</f>
        <v>0.549789029535865</v>
      </c>
      <c r="O26" s="10" t="n">
        <f aca="false">(Tabla3510813153425[[#This Row],[% efe_inc]]+Tabla3510813153425[[#This Row],[% no_efect_inc]])/2</f>
        <v>0.450210970464135</v>
      </c>
      <c r="P26" s="11" t="n">
        <f aca="false">Tabla3510813153425[[#This Row],[no_efec_cor]]/(Tabla3510813153425[[#This Row],[efect_inc]]+Tabla3510813153425[[#This Row],[no_efec_cor]])</f>
        <v>0.555555555555556</v>
      </c>
      <c r="Q26" s="11" t="n">
        <f aca="false">Tabla3510813153425[[#This Row],[efec_cor]]/(Tabla3510813153425[[#This Row],[efec_cor]]+Tabla3510813153425[[#This Row],[no_efec_inc]])</f>
        <v>0.546875</v>
      </c>
      <c r="R26" s="11" t="n">
        <f aca="false">(Tabla3510813153425[[#This Row],[PNE]]+Tabla3510813153425[[#This Row],[PE]])/2</f>
        <v>0.551215277777778</v>
      </c>
      <c r="S26" s="0" t="n">
        <v>75</v>
      </c>
      <c r="T26" s="0" t="n">
        <v>79</v>
      </c>
      <c r="U26" s="0" t="n">
        <f aca="false">Tabla3510813153425[[#This Row],[efec]]+Tabla3510813153425[[#This Row],[no_efe]]</f>
        <v>154</v>
      </c>
    </row>
    <row r="27" customFormat="false" ht="13.8" hidden="false" customHeight="false" outlineLevel="0" collapsed="false">
      <c r="A27" s="0" t="n">
        <v>1</v>
      </c>
      <c r="B27" s="0" t="n">
        <v>0.1</v>
      </c>
      <c r="C27" s="0" t="n">
        <v>41</v>
      </c>
      <c r="D27" s="0" t="n">
        <v>38</v>
      </c>
      <c r="E27" s="0" t="n">
        <v>46</v>
      </c>
      <c r="F27" s="0" t="n">
        <v>29</v>
      </c>
      <c r="G27" s="0" t="n">
        <f aca="false">Tabla3510813153425[[#This Row],[no_efec_cor]]+Tabla3510813153425[[#This Row],[efec_cor]]</f>
        <v>87</v>
      </c>
      <c r="H27" s="0" t="n">
        <f aca="false">Tabla3510813153425[[#This Row],[no_efec_inc]]+Tabla3510813153425[[#This Row],[efect_inc]]</f>
        <v>67</v>
      </c>
      <c r="I27" s="9" t="n">
        <f aca="false">Tabla3510813153425[[#This Row],[Correctos]]/Tabla3510813153425[[#This Row],[total_sec]]</f>
        <v>0.564935064935065</v>
      </c>
      <c r="J27" s="9" t="n">
        <f aca="false">Tabla3510813153425[[#This Row],[efec_cor]]/Tabla3510813153425[[#This Row],[efec]]</f>
        <v>0.613333333333333</v>
      </c>
      <c r="K27" s="9" t="n">
        <f aca="false">Tabla3510813153425[[#This Row],[efect_inc]]/Tabla3510813153425[[#This Row],[efec]]</f>
        <v>0.386666666666667</v>
      </c>
      <c r="L27" s="9" t="n">
        <f aca="false">Tabla3510813153425[[#This Row],[no_efec_cor]]/Tabla3510813153425[[#This Row],[no_efe]]</f>
        <v>0.518987341772152</v>
      </c>
      <c r="M27" s="9" t="n">
        <f aca="false">Tabla3510813153425[[#This Row],[no_efec_inc]]/Tabla3510813153425[[#This Row],[no_efe]]</f>
        <v>0.481012658227848</v>
      </c>
      <c r="N27" s="9" t="n">
        <f aca="false">(Tabla3510813153425[[#This Row],[% efe_cor]]+Tabla3510813153425[[#This Row],[% no_efe_cor]])/2</f>
        <v>0.566160337552743</v>
      </c>
      <c r="O27" s="10" t="n">
        <f aca="false">(Tabla3510813153425[[#This Row],[% efe_inc]]+Tabla3510813153425[[#This Row],[% no_efect_inc]])/2</f>
        <v>0.433839662447257</v>
      </c>
      <c r="P27" s="11" t="n">
        <f aca="false">Tabla3510813153425[[#This Row],[no_efec_cor]]/(Tabla3510813153425[[#This Row],[efect_inc]]+Tabla3510813153425[[#This Row],[no_efec_cor]])</f>
        <v>0.585714285714286</v>
      </c>
      <c r="Q27" s="11" t="n">
        <f aca="false">Tabla3510813153425[[#This Row],[efec_cor]]/(Tabla3510813153425[[#This Row],[efec_cor]]+Tabla3510813153425[[#This Row],[no_efec_inc]])</f>
        <v>0.547619047619048</v>
      </c>
      <c r="R27" s="11" t="n">
        <f aca="false">(Tabla3510813153425[[#This Row],[PNE]]+Tabla3510813153425[[#This Row],[PE]])/2</f>
        <v>0.566666666666667</v>
      </c>
      <c r="S27" s="0" t="n">
        <v>75</v>
      </c>
      <c r="T27" s="0" t="n">
        <v>79</v>
      </c>
      <c r="U27" s="0" t="n">
        <f aca="false">Tabla3510813153425[[#This Row],[efec]]+Tabla3510813153425[[#This Row],[no_efe]]</f>
        <v>154</v>
      </c>
    </row>
    <row r="28" customFormat="false" ht="13.8" hidden="false" customHeight="false" outlineLevel="0" collapsed="false">
      <c r="A28" s="0" t="n">
        <v>1</v>
      </c>
      <c r="B28" s="0" t="n">
        <v>0.5</v>
      </c>
      <c r="C28" s="0" t="n">
        <v>42</v>
      </c>
      <c r="D28" s="0" t="n">
        <v>37</v>
      </c>
      <c r="E28" s="0" t="n">
        <v>46</v>
      </c>
      <c r="F28" s="0" t="n">
        <v>29</v>
      </c>
      <c r="G28" s="0" t="n">
        <f aca="false">Tabla3510813153425[[#This Row],[no_efec_cor]]+Tabla3510813153425[[#This Row],[efec_cor]]</f>
        <v>88</v>
      </c>
      <c r="H28" s="0" t="n">
        <f aca="false">Tabla3510813153425[[#This Row],[no_efec_inc]]+Tabla3510813153425[[#This Row],[efect_inc]]</f>
        <v>66</v>
      </c>
      <c r="I28" s="9" t="n">
        <f aca="false">Tabla3510813153425[[#This Row],[Correctos]]/Tabla3510813153425[[#This Row],[total_sec]]</f>
        <v>0.571428571428571</v>
      </c>
      <c r="J28" s="9" t="n">
        <f aca="false">Tabla3510813153425[[#This Row],[efec_cor]]/Tabla3510813153425[[#This Row],[efec]]</f>
        <v>0.613333333333333</v>
      </c>
      <c r="K28" s="9" t="n">
        <f aca="false">Tabla3510813153425[[#This Row],[efect_inc]]/Tabla3510813153425[[#This Row],[efec]]</f>
        <v>0.386666666666667</v>
      </c>
      <c r="L28" s="9" t="n">
        <f aca="false">Tabla3510813153425[[#This Row],[no_efec_cor]]/Tabla3510813153425[[#This Row],[no_efe]]</f>
        <v>0.531645569620253</v>
      </c>
      <c r="M28" s="9" t="n">
        <f aca="false">Tabla3510813153425[[#This Row],[no_efec_inc]]/Tabla3510813153425[[#This Row],[no_efe]]</f>
        <v>0.468354430379747</v>
      </c>
      <c r="N28" s="9" t="n">
        <f aca="false">(Tabla3510813153425[[#This Row],[% efe_cor]]+Tabla3510813153425[[#This Row],[% no_efe_cor]])/2</f>
        <v>0.572489451476793</v>
      </c>
      <c r="O28" s="10" t="n">
        <f aca="false">(Tabla3510813153425[[#This Row],[% efe_inc]]+Tabla3510813153425[[#This Row],[% no_efect_inc]])/2</f>
        <v>0.427510548523207</v>
      </c>
      <c r="P28" s="11" t="n">
        <f aca="false">Tabla3510813153425[[#This Row],[no_efec_cor]]/(Tabla3510813153425[[#This Row],[efect_inc]]+Tabla3510813153425[[#This Row],[no_efec_cor]])</f>
        <v>0.591549295774648</v>
      </c>
      <c r="Q28" s="11" t="n">
        <f aca="false">Tabla3510813153425[[#This Row],[efec_cor]]/(Tabla3510813153425[[#This Row],[efec_cor]]+Tabla3510813153425[[#This Row],[no_efec_inc]])</f>
        <v>0.55421686746988</v>
      </c>
      <c r="R28" s="11" t="n">
        <f aca="false">(Tabla3510813153425[[#This Row],[PNE]]+Tabla3510813153425[[#This Row],[PE]])/2</f>
        <v>0.572883081622264</v>
      </c>
      <c r="S28" s="0" t="n">
        <v>75</v>
      </c>
      <c r="T28" s="0" t="n">
        <v>79</v>
      </c>
      <c r="U28" s="0" t="n">
        <f aca="false">Tabla3510813153425[[#This Row],[efec]]+Tabla3510813153425[[#This Row],[no_efe]]</f>
        <v>154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44</v>
      </c>
      <c r="D29" s="0" t="n">
        <v>35</v>
      </c>
      <c r="E29" s="0" t="n">
        <v>50</v>
      </c>
      <c r="F29" s="0" t="n">
        <v>25</v>
      </c>
      <c r="G29" s="0" t="n">
        <f aca="false">Tabla3510813153425[[#This Row],[no_efec_cor]]+Tabla3510813153425[[#This Row],[efec_cor]]</f>
        <v>94</v>
      </c>
      <c r="H29" s="0" t="n">
        <f aca="false">Tabla3510813153425[[#This Row],[no_efec_inc]]+Tabla3510813153425[[#This Row],[efect_inc]]</f>
        <v>60</v>
      </c>
      <c r="I29" s="9" t="n">
        <f aca="false">Tabla3510813153425[[#This Row],[Correctos]]/Tabla3510813153425[[#This Row],[total_sec]]</f>
        <v>0.61038961038961</v>
      </c>
      <c r="J29" s="9" t="n">
        <f aca="false">Tabla3510813153425[[#This Row],[efec_cor]]/Tabla3510813153425[[#This Row],[efec]]</f>
        <v>0.666666666666667</v>
      </c>
      <c r="K29" s="9" t="n">
        <f aca="false">Tabla3510813153425[[#This Row],[efect_inc]]/Tabla3510813153425[[#This Row],[efec]]</f>
        <v>0.333333333333333</v>
      </c>
      <c r="L29" s="9" t="n">
        <f aca="false">Tabla3510813153425[[#This Row],[no_efec_cor]]/Tabla3510813153425[[#This Row],[no_efe]]</f>
        <v>0.556962025316456</v>
      </c>
      <c r="M29" s="9" t="n">
        <f aca="false">Tabla3510813153425[[#This Row],[no_efec_inc]]/Tabla3510813153425[[#This Row],[no_efe]]</f>
        <v>0.443037974683544</v>
      </c>
      <c r="N29" s="9" t="n">
        <f aca="false">(Tabla3510813153425[[#This Row],[% efe_cor]]+Tabla3510813153425[[#This Row],[% no_efe_cor]])/2</f>
        <v>0.611814345991561</v>
      </c>
      <c r="O29" s="10" t="n">
        <f aca="false">(Tabla3510813153425[[#This Row],[% efe_inc]]+Tabla3510813153425[[#This Row],[% no_efect_inc]])/2</f>
        <v>0.388185654008439</v>
      </c>
      <c r="P29" s="11" t="n">
        <f aca="false">Tabla3510813153425[[#This Row],[no_efec_cor]]/(Tabla3510813153425[[#This Row],[efect_inc]]+Tabla3510813153425[[#This Row],[no_efec_cor]])</f>
        <v>0.63768115942029</v>
      </c>
      <c r="Q29" s="11" t="n">
        <f aca="false">Tabla3510813153425[[#This Row],[efec_cor]]/(Tabla3510813153425[[#This Row],[efec_cor]]+Tabla3510813153425[[#This Row],[no_efec_inc]])</f>
        <v>0.588235294117647</v>
      </c>
      <c r="R29" s="11" t="n">
        <f aca="false">(Tabla3510813153425[[#This Row],[PNE]]+Tabla3510813153425[[#This Row],[PE]])/2</f>
        <v>0.612958226768968</v>
      </c>
      <c r="S29" s="0" t="n">
        <v>75</v>
      </c>
      <c r="T29" s="0" t="n">
        <v>79</v>
      </c>
      <c r="U29" s="0" t="n">
        <f aca="false">Tabla3510813153425[[#This Row],[efec]]+Tabla3510813153425[[#This Row],[no_efe]]</f>
        <v>154</v>
      </c>
    </row>
    <row r="30" customFormat="false" ht="13.8" hidden="false" customHeight="false" outlineLevel="0" collapsed="false">
      <c r="A30" s="0" t="n">
        <v>1</v>
      </c>
      <c r="B30" s="0" t="n">
        <v>2</v>
      </c>
      <c r="C30" s="0" t="n">
        <v>44</v>
      </c>
      <c r="D30" s="0" t="n">
        <v>35</v>
      </c>
      <c r="E30" s="0" t="n">
        <v>51</v>
      </c>
      <c r="F30" s="0" t="n">
        <v>24</v>
      </c>
      <c r="G30" s="0" t="n">
        <f aca="false">Tabla3510813153425[[#This Row],[no_efec_cor]]+Tabla3510813153425[[#This Row],[efec_cor]]</f>
        <v>95</v>
      </c>
      <c r="H30" s="0" t="n">
        <f aca="false">Tabla3510813153425[[#This Row],[no_efec_inc]]+Tabla3510813153425[[#This Row],[efect_inc]]</f>
        <v>59</v>
      </c>
      <c r="I30" s="9" t="n">
        <f aca="false">Tabla3510813153425[[#This Row],[Correctos]]/Tabla3510813153425[[#This Row],[total_sec]]</f>
        <v>0.616883116883117</v>
      </c>
      <c r="J30" s="9" t="n">
        <f aca="false">Tabla3510813153425[[#This Row],[efec_cor]]/Tabla3510813153425[[#This Row],[efec]]</f>
        <v>0.68</v>
      </c>
      <c r="K30" s="9" t="n">
        <f aca="false">Tabla3510813153425[[#This Row],[efect_inc]]/Tabla3510813153425[[#This Row],[efec]]</f>
        <v>0.32</v>
      </c>
      <c r="L30" s="9" t="n">
        <f aca="false">Tabla3510813153425[[#This Row],[no_efec_cor]]/Tabla3510813153425[[#This Row],[no_efe]]</f>
        <v>0.556962025316456</v>
      </c>
      <c r="M30" s="9" t="n">
        <f aca="false">Tabla3510813153425[[#This Row],[no_efec_inc]]/Tabla3510813153425[[#This Row],[no_efe]]</f>
        <v>0.443037974683544</v>
      </c>
      <c r="N30" s="9" t="n">
        <f aca="false">(Tabla3510813153425[[#This Row],[% efe_cor]]+Tabla3510813153425[[#This Row],[% no_efe_cor]])/2</f>
        <v>0.618481012658228</v>
      </c>
      <c r="O30" s="10" t="n">
        <f aca="false">(Tabla3510813153425[[#This Row],[% efe_inc]]+Tabla3510813153425[[#This Row],[% no_efect_inc]])/2</f>
        <v>0.381518987341772</v>
      </c>
      <c r="P30" s="11" t="n">
        <f aca="false">Tabla3510813153425[[#This Row],[no_efec_cor]]/(Tabla3510813153425[[#This Row],[efect_inc]]+Tabla3510813153425[[#This Row],[no_efec_cor]])</f>
        <v>0.647058823529412</v>
      </c>
      <c r="Q30" s="11" t="n">
        <f aca="false">Tabla3510813153425[[#This Row],[efec_cor]]/(Tabla3510813153425[[#This Row],[efec_cor]]+Tabla3510813153425[[#This Row],[no_efec_inc]])</f>
        <v>0.593023255813954</v>
      </c>
      <c r="R30" s="11" t="n">
        <f aca="false">(Tabla3510813153425[[#This Row],[PNE]]+Tabla3510813153425[[#This Row],[PE]])/2</f>
        <v>0.620041039671683</v>
      </c>
      <c r="S30" s="0" t="n">
        <v>75</v>
      </c>
      <c r="T30" s="0" t="n">
        <v>79</v>
      </c>
      <c r="U30" s="0" t="n">
        <f aca="false">Tabla3510813153425[[#This Row],[efec]]+Tabla3510813153425[[#This Row],[no_efe]]</f>
        <v>154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48</v>
      </c>
      <c r="D31" s="0" t="n">
        <v>31</v>
      </c>
      <c r="E31" s="0" t="n">
        <v>47</v>
      </c>
      <c r="F31" s="0" t="n">
        <v>28</v>
      </c>
      <c r="G31" s="0" t="n">
        <f aca="false">Tabla3510813153425[[#This Row],[no_efec_cor]]+Tabla3510813153425[[#This Row],[efec_cor]]</f>
        <v>95</v>
      </c>
      <c r="H31" s="0" t="n">
        <f aca="false">Tabla3510813153425[[#This Row],[no_efec_inc]]+Tabla3510813153425[[#This Row],[efect_inc]]</f>
        <v>59</v>
      </c>
      <c r="I31" s="9" t="n">
        <f aca="false">Tabla3510813153425[[#This Row],[Correctos]]/Tabla3510813153425[[#This Row],[total_sec]]</f>
        <v>0.616883116883117</v>
      </c>
      <c r="J31" s="9" t="n">
        <f aca="false">Tabla3510813153425[[#This Row],[efec_cor]]/Tabla3510813153425[[#This Row],[efec]]</f>
        <v>0.626666666666667</v>
      </c>
      <c r="K31" s="9" t="n">
        <f aca="false">Tabla3510813153425[[#This Row],[efect_inc]]/Tabla3510813153425[[#This Row],[efec]]</f>
        <v>0.373333333333333</v>
      </c>
      <c r="L31" s="9" t="n">
        <f aca="false">Tabla3510813153425[[#This Row],[no_efec_cor]]/Tabla3510813153425[[#This Row],[no_efe]]</f>
        <v>0.607594936708861</v>
      </c>
      <c r="M31" s="9" t="n">
        <f aca="false">Tabla3510813153425[[#This Row],[no_efec_inc]]/Tabla3510813153425[[#This Row],[no_efe]]</f>
        <v>0.392405063291139</v>
      </c>
      <c r="N31" s="9" t="n">
        <f aca="false">(Tabla3510813153425[[#This Row],[% efe_cor]]+Tabla3510813153425[[#This Row],[% no_efe_cor]])/2</f>
        <v>0.617130801687764</v>
      </c>
      <c r="O31" s="10" t="n">
        <f aca="false">(Tabla3510813153425[[#This Row],[% efe_inc]]+Tabla3510813153425[[#This Row],[% no_efect_inc]])/2</f>
        <v>0.382869198312236</v>
      </c>
      <c r="P31" s="11" t="n">
        <f aca="false">Tabla3510813153425[[#This Row],[no_efec_cor]]/(Tabla3510813153425[[#This Row],[efect_inc]]+Tabla3510813153425[[#This Row],[no_efec_cor]])</f>
        <v>0.631578947368421</v>
      </c>
      <c r="Q31" s="11" t="n">
        <f aca="false">Tabla3510813153425[[#This Row],[efec_cor]]/(Tabla3510813153425[[#This Row],[efec_cor]]+Tabla3510813153425[[#This Row],[no_efec_inc]])</f>
        <v>0.602564102564102</v>
      </c>
      <c r="R31" s="11" t="n">
        <f aca="false">(Tabla3510813153425[[#This Row],[PNE]]+Tabla3510813153425[[#This Row],[PE]])/2</f>
        <v>0.617071524966262</v>
      </c>
      <c r="S31" s="0" t="n">
        <v>75</v>
      </c>
      <c r="T31" s="0" t="n">
        <v>79</v>
      </c>
      <c r="U31" s="0" t="n">
        <f aca="false">Tabla3510813153425[[#This Row],[efec]]+Tabla3510813153425[[#This Row],[no_efe]]</f>
        <v>154</v>
      </c>
    </row>
    <row r="32" customFormat="false" ht="13.8" hidden="false" customHeight="false" outlineLevel="0" collapsed="false">
      <c r="A32" s="0" t="n">
        <v>1</v>
      </c>
      <c r="B32" s="0" t="n">
        <v>5</v>
      </c>
      <c r="C32" s="0" t="n">
        <v>49</v>
      </c>
      <c r="D32" s="0" t="n">
        <v>30</v>
      </c>
      <c r="E32" s="0" t="n">
        <v>48</v>
      </c>
      <c r="F32" s="0" t="n">
        <v>27</v>
      </c>
      <c r="G32" s="0" t="n">
        <f aca="false">Tabla3510813153425[[#This Row],[no_efec_cor]]+Tabla3510813153425[[#This Row],[efec_cor]]</f>
        <v>97</v>
      </c>
      <c r="H32" s="0" t="n">
        <f aca="false">Tabla3510813153425[[#This Row],[no_efec_inc]]+Tabla3510813153425[[#This Row],[efect_inc]]</f>
        <v>57</v>
      </c>
      <c r="I32" s="9" t="n">
        <f aca="false">Tabla3510813153425[[#This Row],[Correctos]]/Tabla3510813153425[[#This Row],[total_sec]]</f>
        <v>0.62987012987013</v>
      </c>
      <c r="J32" s="9" t="n">
        <f aca="false">Tabla3510813153425[[#This Row],[efec_cor]]/Tabla3510813153425[[#This Row],[efec]]</f>
        <v>0.64</v>
      </c>
      <c r="K32" s="9" t="n">
        <f aca="false">Tabla3510813153425[[#This Row],[efect_inc]]/Tabla3510813153425[[#This Row],[efec]]</f>
        <v>0.36</v>
      </c>
      <c r="L32" s="9" t="n">
        <f aca="false">Tabla3510813153425[[#This Row],[no_efec_cor]]/Tabla3510813153425[[#This Row],[no_efe]]</f>
        <v>0.620253164556962</v>
      </c>
      <c r="M32" s="9" t="n">
        <f aca="false">Tabla3510813153425[[#This Row],[no_efec_inc]]/Tabla3510813153425[[#This Row],[no_efe]]</f>
        <v>0.379746835443038</v>
      </c>
      <c r="N32" s="9" t="n">
        <f aca="false">(Tabla3510813153425[[#This Row],[% efe_cor]]+Tabla3510813153425[[#This Row],[% no_efe_cor]])/2</f>
        <v>0.630126582278481</v>
      </c>
      <c r="O32" s="10" t="n">
        <f aca="false">(Tabla3510813153425[[#This Row],[% efe_inc]]+Tabla3510813153425[[#This Row],[% no_efect_inc]])/2</f>
        <v>0.369873417721519</v>
      </c>
      <c r="P32" s="11" t="n">
        <f aca="false">Tabla3510813153425[[#This Row],[no_efec_cor]]/(Tabla3510813153425[[#This Row],[efect_inc]]+Tabla3510813153425[[#This Row],[no_efec_cor]])</f>
        <v>0.644736842105263</v>
      </c>
      <c r="Q32" s="11" t="n">
        <f aca="false">Tabla3510813153425[[#This Row],[efec_cor]]/(Tabla3510813153425[[#This Row],[efec_cor]]+Tabla3510813153425[[#This Row],[no_efec_inc]])</f>
        <v>0.615384615384615</v>
      </c>
      <c r="R32" s="11" t="n">
        <f aca="false">(Tabla3510813153425[[#This Row],[PNE]]+Tabla3510813153425[[#This Row],[PE]])/2</f>
        <v>0.630060728744939</v>
      </c>
      <c r="S32" s="0" t="n">
        <v>75</v>
      </c>
      <c r="T32" s="0" t="n">
        <v>79</v>
      </c>
      <c r="U32" s="0" t="n">
        <f aca="false">Tabla3510813153425[[#This Row],[efec]]+Tabla3510813153425[[#This Row],[no_efe]]</f>
        <v>154</v>
      </c>
    </row>
    <row r="33" customFormat="false" ht="13.8" hidden="false" customHeight="false" outlineLevel="0" collapsed="false">
      <c r="A33" s="0" t="n">
        <v>2</v>
      </c>
      <c r="B33" s="0" t="n">
        <v>0.5</v>
      </c>
      <c r="C33" s="0" t="n">
        <v>47</v>
      </c>
      <c r="D33" s="0" t="n">
        <v>32</v>
      </c>
      <c r="E33" s="0" t="n">
        <v>44</v>
      </c>
      <c r="F33" s="0" t="n">
        <v>31</v>
      </c>
      <c r="G33" s="0" t="n">
        <f aca="false">Tabla3510813153425[[#This Row],[no_efec_cor]]+Tabla3510813153425[[#This Row],[efec_cor]]</f>
        <v>91</v>
      </c>
      <c r="H33" s="0" t="n">
        <f aca="false">Tabla3510813153425[[#This Row],[no_efec_inc]]+Tabla3510813153425[[#This Row],[efect_inc]]</f>
        <v>63</v>
      </c>
      <c r="I33" s="9" t="n">
        <f aca="false">Tabla3510813153425[[#This Row],[Correctos]]/Tabla3510813153425[[#This Row],[total_sec]]</f>
        <v>0.590909090909091</v>
      </c>
      <c r="J33" s="9" t="n">
        <f aca="false">Tabla3510813153425[[#This Row],[efec_cor]]/Tabla3510813153425[[#This Row],[efec]]</f>
        <v>0.586666666666667</v>
      </c>
      <c r="K33" s="9" t="n">
        <f aca="false">Tabla3510813153425[[#This Row],[efect_inc]]/Tabla3510813153425[[#This Row],[efec]]</f>
        <v>0.413333333333333</v>
      </c>
      <c r="L33" s="9" t="n">
        <f aca="false">Tabla3510813153425[[#This Row],[no_efec_cor]]/Tabla3510813153425[[#This Row],[no_efe]]</f>
        <v>0.594936708860759</v>
      </c>
      <c r="M33" s="9" t="n">
        <f aca="false">Tabla3510813153425[[#This Row],[no_efec_inc]]/Tabla3510813153425[[#This Row],[no_efe]]</f>
        <v>0.40506329113924</v>
      </c>
      <c r="N33" s="9" t="n">
        <f aca="false">(Tabla3510813153425[[#This Row],[% efe_cor]]+Tabla3510813153425[[#This Row],[% no_efe_cor]])/2</f>
        <v>0.590801687763713</v>
      </c>
      <c r="O33" s="10" t="n">
        <f aca="false">(Tabla3510813153425[[#This Row],[% efe_inc]]+Tabla3510813153425[[#This Row],[% no_efect_inc]])/2</f>
        <v>0.409198312236287</v>
      </c>
      <c r="P33" s="11" t="n">
        <f aca="false">Tabla3510813153425[[#This Row],[no_efec_cor]]/(Tabla3510813153425[[#This Row],[efect_inc]]+Tabla3510813153425[[#This Row],[no_efec_cor]])</f>
        <v>0.602564102564102</v>
      </c>
      <c r="Q33" s="11" t="n">
        <f aca="false">Tabla3510813153425[[#This Row],[efec_cor]]/(Tabla3510813153425[[#This Row],[efec_cor]]+Tabla3510813153425[[#This Row],[no_efec_inc]])</f>
        <v>0.578947368421053</v>
      </c>
      <c r="R33" s="11" t="n">
        <f aca="false">(Tabla3510813153425[[#This Row],[PNE]]+Tabla3510813153425[[#This Row],[PE]])/2</f>
        <v>0.590755735492578</v>
      </c>
      <c r="S33" s="0" t="n">
        <v>75</v>
      </c>
      <c r="T33" s="0" t="n">
        <v>79</v>
      </c>
      <c r="U33" s="0" t="n">
        <f aca="false">Tabla3510813153425[[#This Row],[efec]]+Tabla3510813153425[[#This Row],[no_efe]]</f>
        <v>154</v>
      </c>
    </row>
    <row r="34" customFormat="false" ht="13.8" hidden="false" customHeight="false" outlineLevel="0" collapsed="false">
      <c r="A34" s="0" t="n">
        <v>3</v>
      </c>
      <c r="B34" s="0" t="n">
        <v>0.5</v>
      </c>
      <c r="C34" s="0" t="n">
        <v>45</v>
      </c>
      <c r="D34" s="0" t="n">
        <v>34</v>
      </c>
      <c r="E34" s="0" t="n">
        <v>46</v>
      </c>
      <c r="F34" s="0" t="n">
        <v>29</v>
      </c>
      <c r="G34" s="0" t="n">
        <f aca="false">Tabla3510813153425[[#This Row],[no_efec_cor]]+Tabla3510813153425[[#This Row],[efec_cor]]</f>
        <v>91</v>
      </c>
      <c r="H34" s="0" t="n">
        <f aca="false">Tabla3510813153425[[#This Row],[no_efec_inc]]+Tabla3510813153425[[#This Row],[efect_inc]]</f>
        <v>63</v>
      </c>
      <c r="I34" s="9" t="n">
        <f aca="false">Tabla3510813153425[[#This Row],[Correctos]]/Tabla3510813153425[[#This Row],[total_sec]]</f>
        <v>0.590909090909091</v>
      </c>
      <c r="J34" s="9" t="n">
        <f aca="false">Tabla3510813153425[[#This Row],[efec_cor]]/Tabla3510813153425[[#This Row],[efec]]</f>
        <v>0.613333333333333</v>
      </c>
      <c r="K34" s="9" t="n">
        <f aca="false">Tabla3510813153425[[#This Row],[efect_inc]]/Tabla3510813153425[[#This Row],[efec]]</f>
        <v>0.386666666666667</v>
      </c>
      <c r="L34" s="9" t="n">
        <f aca="false">Tabla3510813153425[[#This Row],[no_efec_cor]]/Tabla3510813153425[[#This Row],[no_efe]]</f>
        <v>0.569620253164557</v>
      </c>
      <c r="M34" s="9" t="n">
        <f aca="false">Tabla3510813153425[[#This Row],[no_efec_inc]]/Tabla3510813153425[[#This Row],[no_efe]]</f>
        <v>0.430379746835443</v>
      </c>
      <c r="N34" s="9" t="n">
        <f aca="false">(Tabla3510813153425[[#This Row],[% efe_cor]]+Tabla3510813153425[[#This Row],[% no_efe_cor]])/2</f>
        <v>0.591476793248945</v>
      </c>
      <c r="O34" s="10" t="n">
        <f aca="false">(Tabla3510813153425[[#This Row],[% efe_inc]]+Tabla3510813153425[[#This Row],[% no_efect_inc]])/2</f>
        <v>0.408523206751055</v>
      </c>
      <c r="P34" s="11" t="n">
        <f aca="false">Tabla3510813153425[[#This Row],[no_efec_cor]]/(Tabla3510813153425[[#This Row],[efect_inc]]+Tabla3510813153425[[#This Row],[no_efec_cor]])</f>
        <v>0.608108108108108</v>
      </c>
      <c r="Q34" s="11" t="n">
        <f aca="false">Tabla3510813153425[[#This Row],[efec_cor]]/(Tabla3510813153425[[#This Row],[efec_cor]]+Tabla3510813153425[[#This Row],[no_efec_inc]])</f>
        <v>0.575</v>
      </c>
      <c r="R34" s="11" t="n">
        <f aca="false">(Tabla3510813153425[[#This Row],[PNE]]+Tabla3510813153425[[#This Row],[PE]])/2</f>
        <v>0.591554054054054</v>
      </c>
      <c r="S34" s="0" t="n">
        <v>75</v>
      </c>
      <c r="T34" s="0" t="n">
        <v>79</v>
      </c>
      <c r="U34" s="0" t="n">
        <f aca="false">Tabla3510813153425[[#This Row],[efec]]+Tabla3510813153425[[#This Row],[no_efe]]</f>
        <v>154</v>
      </c>
    </row>
    <row r="35" customFormat="false" ht="13.8" hidden="false" customHeight="false" outlineLevel="0" collapsed="false">
      <c r="A35" s="0" t="n">
        <v>5</v>
      </c>
      <c r="B35" s="0" t="n">
        <v>0.5</v>
      </c>
      <c r="C35" s="0" t="n">
        <v>45</v>
      </c>
      <c r="D35" s="0" t="n">
        <v>34</v>
      </c>
      <c r="E35" s="0" t="n">
        <v>47</v>
      </c>
      <c r="F35" s="0" t="n">
        <v>28</v>
      </c>
      <c r="G35" s="0" t="n">
        <f aca="false">Tabla3510813153425[[#This Row],[no_efec_cor]]+Tabla3510813153425[[#This Row],[efec_cor]]</f>
        <v>92</v>
      </c>
      <c r="H35" s="0" t="n">
        <f aca="false">Tabla3510813153425[[#This Row],[no_efec_inc]]+Tabla3510813153425[[#This Row],[efect_inc]]</f>
        <v>62</v>
      </c>
      <c r="I35" s="9" t="n">
        <f aca="false">Tabla3510813153425[[#This Row],[Correctos]]/Tabla3510813153425[[#This Row],[total_sec]]</f>
        <v>0.597402597402597</v>
      </c>
      <c r="J35" s="9" t="n">
        <f aca="false">Tabla3510813153425[[#This Row],[efec_cor]]/Tabla3510813153425[[#This Row],[efec]]</f>
        <v>0.626666666666667</v>
      </c>
      <c r="K35" s="9" t="n">
        <f aca="false">Tabla3510813153425[[#This Row],[efect_inc]]/Tabla3510813153425[[#This Row],[efec]]</f>
        <v>0.373333333333333</v>
      </c>
      <c r="L35" s="9" t="n">
        <f aca="false">Tabla3510813153425[[#This Row],[no_efec_cor]]/Tabla3510813153425[[#This Row],[no_efe]]</f>
        <v>0.569620253164557</v>
      </c>
      <c r="M35" s="9" t="n">
        <f aca="false">Tabla3510813153425[[#This Row],[no_efec_inc]]/Tabla3510813153425[[#This Row],[no_efe]]</f>
        <v>0.430379746835443</v>
      </c>
      <c r="N35" s="9" t="n">
        <f aca="false">(Tabla3510813153425[[#This Row],[% efe_cor]]+Tabla3510813153425[[#This Row],[% no_efe_cor]])/2</f>
        <v>0.598143459915612</v>
      </c>
      <c r="O35" s="10" t="n">
        <f aca="false">(Tabla3510813153425[[#This Row],[% efe_inc]]+Tabla3510813153425[[#This Row],[% no_efect_inc]])/2</f>
        <v>0.401856540084388</v>
      </c>
      <c r="P35" s="11" t="n">
        <f aca="false">Tabla3510813153425[[#This Row],[no_efec_cor]]/(Tabla3510813153425[[#This Row],[efect_inc]]+Tabla3510813153425[[#This Row],[no_efec_cor]])</f>
        <v>0.616438356164384</v>
      </c>
      <c r="Q35" s="11" t="n">
        <f aca="false">Tabla3510813153425[[#This Row],[efec_cor]]/(Tabla3510813153425[[#This Row],[efec_cor]]+Tabla3510813153425[[#This Row],[no_efec_inc]])</f>
        <v>0.580246913580247</v>
      </c>
      <c r="R35" s="11" t="n">
        <f aca="false">(Tabla3510813153425[[#This Row],[PNE]]+Tabla3510813153425[[#This Row],[PE]])/2</f>
        <v>0.598342634872315</v>
      </c>
      <c r="S35" s="0" t="n">
        <v>75</v>
      </c>
      <c r="T35" s="0" t="n">
        <v>79</v>
      </c>
      <c r="U35" s="0" t="n">
        <f aca="false">Tabla3510813153425[[#This Row],[efec]]+Tabla3510813153425[[#This Row],[no_efe]]</f>
        <v>154</v>
      </c>
    </row>
    <row r="36" customFormat="false" ht="13.8" hidden="false" customHeight="false" outlineLevel="0" collapsed="false">
      <c r="A36" s="0" t="n">
        <v>5</v>
      </c>
      <c r="B36" s="0" t="n">
        <v>1</v>
      </c>
      <c r="C36" s="0" t="n">
        <v>45</v>
      </c>
      <c r="D36" s="0" t="n">
        <v>34</v>
      </c>
      <c r="E36" s="0" t="n">
        <v>44</v>
      </c>
      <c r="F36" s="0" t="n">
        <v>31</v>
      </c>
      <c r="G36" s="0" t="n">
        <f aca="false">Tabla3510813153425[[#This Row],[no_efec_cor]]+Tabla3510813153425[[#This Row],[efec_cor]]</f>
        <v>89</v>
      </c>
      <c r="H36" s="0" t="n">
        <f aca="false">Tabla3510813153425[[#This Row],[no_efec_inc]]+Tabla3510813153425[[#This Row],[efect_inc]]</f>
        <v>65</v>
      </c>
      <c r="I36" s="9" t="n">
        <f aca="false">Tabla3510813153425[[#This Row],[Correctos]]/Tabla3510813153425[[#This Row],[total_sec]]</f>
        <v>0.577922077922078</v>
      </c>
      <c r="J36" s="9" t="n">
        <f aca="false">Tabla3510813153425[[#This Row],[efec_cor]]/Tabla3510813153425[[#This Row],[efec]]</f>
        <v>0.586666666666667</v>
      </c>
      <c r="K36" s="9" t="n">
        <f aca="false">Tabla3510813153425[[#This Row],[efect_inc]]/Tabla3510813153425[[#This Row],[efec]]</f>
        <v>0.413333333333333</v>
      </c>
      <c r="L36" s="9" t="n">
        <f aca="false">Tabla3510813153425[[#This Row],[no_efec_cor]]/Tabla3510813153425[[#This Row],[no_efe]]</f>
        <v>0.569620253164557</v>
      </c>
      <c r="M36" s="9" t="n">
        <f aca="false">Tabla3510813153425[[#This Row],[no_efec_inc]]/Tabla3510813153425[[#This Row],[no_efe]]</f>
        <v>0.430379746835443</v>
      </c>
      <c r="N36" s="9" t="n">
        <f aca="false">(Tabla3510813153425[[#This Row],[% efe_cor]]+Tabla3510813153425[[#This Row],[% no_efe_cor]])/2</f>
        <v>0.578143459915612</v>
      </c>
      <c r="O36" s="10" t="n">
        <f aca="false">(Tabla3510813153425[[#This Row],[% efe_inc]]+Tabla3510813153425[[#This Row],[% no_efect_inc]])/2</f>
        <v>0.421856540084388</v>
      </c>
      <c r="P36" s="11" t="n">
        <f aca="false">Tabla3510813153425[[#This Row],[no_efec_cor]]/(Tabla3510813153425[[#This Row],[efect_inc]]+Tabla3510813153425[[#This Row],[no_efec_cor]])</f>
        <v>0.592105263157895</v>
      </c>
      <c r="Q36" s="11" t="n">
        <f aca="false">Tabla3510813153425[[#This Row],[efec_cor]]/(Tabla3510813153425[[#This Row],[efec_cor]]+Tabla3510813153425[[#This Row],[no_efec_inc]])</f>
        <v>0.564102564102564</v>
      </c>
      <c r="R36" s="11" t="n">
        <f aca="false">(Tabla3510813153425[[#This Row],[PNE]]+Tabla3510813153425[[#This Row],[PE]])/2</f>
        <v>0.578103913630229</v>
      </c>
      <c r="S36" s="0" t="n">
        <v>75</v>
      </c>
      <c r="T36" s="0" t="n">
        <v>79</v>
      </c>
      <c r="U36" s="0" t="n">
        <f aca="false">Tabla3510813153425[[#This Row],[efec]]+Tabla3510813153425[[#This Row],[no_efe]]</f>
        <v>154</v>
      </c>
    </row>
    <row r="37" customFormat="false" ht="13.8" hidden="false" customHeight="false" outlineLevel="0" collapsed="false">
      <c r="A37" s="0" t="n">
        <v>0.5</v>
      </c>
      <c r="B37" s="0" t="n">
        <v>1</v>
      </c>
      <c r="C37" s="0" t="n">
        <v>40</v>
      </c>
      <c r="D37" s="0" t="n">
        <v>39</v>
      </c>
      <c r="E37" s="0" t="n">
        <v>51</v>
      </c>
      <c r="F37" s="0" t="n">
        <v>24</v>
      </c>
      <c r="G37" s="0" t="n">
        <f aca="false">Tabla3510813153425[[#This Row],[no_efec_cor]]+Tabla3510813153425[[#This Row],[efec_cor]]</f>
        <v>91</v>
      </c>
      <c r="H37" s="0" t="n">
        <f aca="false">Tabla3510813153425[[#This Row],[no_efec_inc]]+Tabla3510813153425[[#This Row],[efect_inc]]</f>
        <v>63</v>
      </c>
      <c r="I37" s="9" t="n">
        <f aca="false">Tabla3510813153425[[#This Row],[Correctos]]/Tabla3510813153425[[#This Row],[total_sec]]</f>
        <v>0.590909090909091</v>
      </c>
      <c r="J37" s="9" t="n">
        <f aca="false">Tabla3510813153425[[#This Row],[efec_cor]]/Tabla3510813153425[[#This Row],[efec]]</f>
        <v>0.68</v>
      </c>
      <c r="K37" s="9" t="n">
        <f aca="false">Tabla3510813153425[[#This Row],[efect_inc]]/Tabla3510813153425[[#This Row],[efec]]</f>
        <v>0.32</v>
      </c>
      <c r="L37" s="9" t="n">
        <f aca="false">Tabla3510813153425[[#This Row],[no_efec_cor]]/Tabla3510813153425[[#This Row],[no_efe]]</f>
        <v>0.506329113924051</v>
      </c>
      <c r="M37" s="9" t="n">
        <f aca="false">Tabla3510813153425[[#This Row],[no_efec_inc]]/Tabla3510813153425[[#This Row],[no_efe]]</f>
        <v>0.493670886075949</v>
      </c>
      <c r="N37" s="9" t="n">
        <f aca="false">(Tabla3510813153425[[#This Row],[% efe_cor]]+Tabla3510813153425[[#This Row],[% no_efe_cor]])/2</f>
        <v>0.593164556962025</v>
      </c>
      <c r="O37" s="10" t="n">
        <f aca="false">(Tabla3510813153425[[#This Row],[% efe_inc]]+Tabla3510813153425[[#This Row],[% no_efect_inc]])/2</f>
        <v>0.406835443037975</v>
      </c>
      <c r="P37" s="11" t="n">
        <f aca="false">Tabla3510813153425[[#This Row],[no_efec_cor]]/(Tabla3510813153425[[#This Row],[efect_inc]]+Tabla3510813153425[[#This Row],[no_efec_cor]])</f>
        <v>0.625</v>
      </c>
      <c r="Q37" s="11" t="n">
        <f aca="false">Tabla3510813153425[[#This Row],[efec_cor]]/(Tabla3510813153425[[#This Row],[efec_cor]]+Tabla3510813153425[[#This Row],[no_efec_inc]])</f>
        <v>0.566666666666667</v>
      </c>
      <c r="R37" s="11" t="n">
        <f aca="false">(Tabla3510813153425[[#This Row],[PNE]]+Tabla3510813153425[[#This Row],[PE]])/2</f>
        <v>0.595833333333333</v>
      </c>
      <c r="S37" s="0" t="n">
        <v>75</v>
      </c>
      <c r="T37" s="0" t="n">
        <v>79</v>
      </c>
      <c r="U37" s="0" t="n">
        <f aca="false">Tabla3510813153425[[#This Row],[efec]]+Tabla3510813153425[[#This Row],[no_efe]]</f>
        <v>154</v>
      </c>
    </row>
    <row r="38" customFormat="false" ht="13.8" hidden="false" customHeight="false" outlineLevel="0" collapsed="false">
      <c r="A38" s="0" t="n">
        <v>0.1</v>
      </c>
      <c r="B38" s="0" t="n">
        <v>1</v>
      </c>
      <c r="C38" s="0" t="n">
        <v>78</v>
      </c>
      <c r="D38" s="0" t="n">
        <v>1</v>
      </c>
      <c r="E38" s="0" t="n">
        <v>1</v>
      </c>
      <c r="F38" s="0" t="n">
        <v>74</v>
      </c>
      <c r="G38" s="0" t="n">
        <f aca="false">Tabla3510813153425[[#This Row],[no_efec_cor]]+Tabla3510813153425[[#This Row],[efec_cor]]</f>
        <v>79</v>
      </c>
      <c r="H38" s="0" t="n">
        <f aca="false">Tabla3510813153425[[#This Row],[no_efec_inc]]+Tabla3510813153425[[#This Row],[efect_inc]]</f>
        <v>75</v>
      </c>
      <c r="I38" s="9" t="n">
        <f aca="false">Tabla3510813153425[[#This Row],[Correctos]]/Tabla3510813153425[[#This Row],[total_sec]]</f>
        <v>0.512987012987013</v>
      </c>
      <c r="J38" s="9" t="n">
        <f aca="false">Tabla3510813153425[[#This Row],[efec_cor]]/Tabla3510813153425[[#This Row],[efec]]</f>
        <v>0.0133333333333333</v>
      </c>
      <c r="K38" s="9" t="n">
        <f aca="false">Tabla3510813153425[[#This Row],[efect_inc]]/Tabla3510813153425[[#This Row],[efec]]</f>
        <v>0.986666666666667</v>
      </c>
      <c r="L38" s="9" t="n">
        <f aca="false">Tabla3510813153425[[#This Row],[no_efec_cor]]/Tabla3510813153425[[#This Row],[no_efe]]</f>
        <v>0.987341772151899</v>
      </c>
      <c r="M38" s="9" t="n">
        <f aca="false">Tabla3510813153425[[#This Row],[no_efec_inc]]/Tabla3510813153425[[#This Row],[no_efe]]</f>
        <v>0.0126582278481013</v>
      </c>
      <c r="N38" s="9" t="n">
        <f aca="false">(Tabla3510813153425[[#This Row],[% efe_cor]]+Tabla3510813153425[[#This Row],[% no_efe_cor]])/2</f>
        <v>0.500337552742616</v>
      </c>
      <c r="O38" s="10" t="n">
        <f aca="false">(Tabla3510813153425[[#This Row],[% efe_inc]]+Tabla3510813153425[[#This Row],[% no_efect_inc]])/2</f>
        <v>0.499662447257384</v>
      </c>
      <c r="P38" s="11" t="n">
        <f aca="false">Tabla3510813153425[[#This Row],[no_efec_cor]]/(Tabla3510813153425[[#This Row],[efect_inc]]+Tabla3510813153425[[#This Row],[no_efec_cor]])</f>
        <v>0.513157894736842</v>
      </c>
      <c r="Q38" s="11" t="n">
        <f aca="false">Tabla3510813153425[[#This Row],[efec_cor]]/(Tabla3510813153425[[#This Row],[efec_cor]]+Tabla3510813153425[[#This Row],[no_efec_inc]])</f>
        <v>0.5</v>
      </c>
      <c r="R38" s="11" t="n">
        <f aca="false">(Tabla3510813153425[[#This Row],[PNE]]+Tabla3510813153425[[#This Row],[PE]])/2</f>
        <v>0.506578947368421</v>
      </c>
      <c r="S38" s="0" t="n">
        <v>75</v>
      </c>
      <c r="T38" s="0" t="n">
        <v>79</v>
      </c>
      <c r="U38" s="0" t="n">
        <f aca="false">Tabla3510813153425[[#This Row],[efec]]+Tabla3510813153425[[#This Row],[no_efe]]</f>
        <v>154</v>
      </c>
    </row>
    <row r="39" customFormat="false" ht="13.8" hidden="false" customHeight="false" outlineLevel="0" collapsed="false">
      <c r="A39" s="0" t="n">
        <v>0.5</v>
      </c>
      <c r="B39" s="0" t="n">
        <v>0.5</v>
      </c>
      <c r="C39" s="0" t="n">
        <v>33</v>
      </c>
      <c r="D39" s="0" t="n">
        <v>46</v>
      </c>
      <c r="E39" s="0" t="n">
        <v>54</v>
      </c>
      <c r="F39" s="0" t="n">
        <v>21</v>
      </c>
      <c r="G39" s="0" t="n">
        <f aca="false">Tabla3510813153425[[#This Row],[no_efec_cor]]+Tabla3510813153425[[#This Row],[efec_cor]]</f>
        <v>87</v>
      </c>
      <c r="H39" s="0" t="n">
        <f aca="false">Tabla3510813153425[[#This Row],[no_efec_inc]]+Tabla3510813153425[[#This Row],[efect_inc]]</f>
        <v>67</v>
      </c>
      <c r="I39" s="9" t="n">
        <f aca="false">Tabla3510813153425[[#This Row],[Correctos]]/Tabla3510813153425[[#This Row],[total_sec]]</f>
        <v>0.564935064935065</v>
      </c>
      <c r="J39" s="9" t="n">
        <f aca="false">Tabla3510813153425[[#This Row],[efec_cor]]/Tabla3510813153425[[#This Row],[efec]]</f>
        <v>0.72</v>
      </c>
      <c r="K39" s="9" t="n">
        <f aca="false">Tabla3510813153425[[#This Row],[efect_inc]]/Tabla3510813153425[[#This Row],[efec]]</f>
        <v>0.28</v>
      </c>
      <c r="L39" s="9" t="n">
        <f aca="false">Tabla3510813153425[[#This Row],[no_efec_cor]]/Tabla3510813153425[[#This Row],[no_efe]]</f>
        <v>0.417721518987342</v>
      </c>
      <c r="M39" s="9" t="n">
        <f aca="false">Tabla3510813153425[[#This Row],[no_efec_inc]]/Tabla3510813153425[[#This Row],[no_efe]]</f>
        <v>0.582278481012658</v>
      </c>
      <c r="N39" s="9" t="n">
        <f aca="false">(Tabla3510813153425[[#This Row],[% efe_cor]]+Tabla3510813153425[[#This Row],[% no_efe_cor]])/2</f>
        <v>0.568860759493671</v>
      </c>
      <c r="O39" s="10" t="n">
        <f aca="false">(Tabla3510813153425[[#This Row],[% efe_inc]]+Tabla3510813153425[[#This Row],[% no_efect_inc]])/2</f>
        <v>0.431139240506329</v>
      </c>
      <c r="P39" s="11" t="n">
        <f aca="false">Tabla3510813153425[[#This Row],[no_efec_cor]]/(Tabla3510813153425[[#This Row],[efect_inc]]+Tabla3510813153425[[#This Row],[no_efec_cor]])</f>
        <v>0.611111111111111</v>
      </c>
      <c r="Q39" s="11" t="n">
        <f aca="false">Tabla3510813153425[[#This Row],[efec_cor]]/(Tabla3510813153425[[#This Row],[efec_cor]]+Tabla3510813153425[[#This Row],[no_efec_inc]])</f>
        <v>0.54</v>
      </c>
      <c r="R39" s="11" t="n">
        <f aca="false">(Tabla3510813153425[[#This Row],[PNE]]+Tabla3510813153425[[#This Row],[PE]])/2</f>
        <v>0.575555555555556</v>
      </c>
      <c r="S39" s="0" t="n">
        <v>75</v>
      </c>
      <c r="T39" s="0" t="n">
        <v>79</v>
      </c>
      <c r="U39" s="0" t="n">
        <f aca="false">Tabla3510813153425[[#This Row],[efec]]+Tabla3510813153425[[#This Row],[no_efe]]</f>
        <v>154</v>
      </c>
    </row>
    <row r="40" customFormat="false" ht="15" hidden="false" customHeight="false" outlineLevel="0" collapsed="false">
      <c r="H40" s="9"/>
      <c r="I40" s="9"/>
      <c r="J40" s="9"/>
      <c r="K40" s="9"/>
      <c r="L40" s="9"/>
      <c r="M40" s="9"/>
      <c r="N40" s="10"/>
      <c r="O40" s="11"/>
      <c r="P40" s="11"/>
      <c r="Q40" s="11"/>
    </row>
    <row r="41" customFormat="false" ht="15" hidden="false" customHeight="false" outlineLevel="0" collapsed="false">
      <c r="H41" s="9"/>
      <c r="I41" s="9"/>
      <c r="J41" s="9"/>
      <c r="K41" s="9"/>
      <c r="L41" s="9"/>
      <c r="M41" s="9"/>
      <c r="N41" s="10"/>
      <c r="O41" s="11"/>
      <c r="P41" s="11"/>
      <c r="Q41" s="11"/>
    </row>
    <row r="42" customFormat="false" ht="15" hidden="false" customHeight="false" outlineLevel="0" collapsed="false">
      <c r="H42" s="9"/>
      <c r="I42" s="9"/>
      <c r="J42" s="9"/>
      <c r="K42" s="9"/>
      <c r="L42" s="9"/>
      <c r="M42" s="9"/>
      <c r="N42" s="10"/>
      <c r="O42" s="11"/>
      <c r="P42" s="11"/>
      <c r="Q42" s="11"/>
    </row>
    <row r="43" customFormat="false" ht="15" hidden="false" customHeight="false" outlineLevel="0" collapsed="false">
      <c r="H43" s="9"/>
      <c r="I43" s="9"/>
      <c r="J43" s="9"/>
      <c r="K43" s="9"/>
      <c r="L43" s="9"/>
      <c r="M43" s="9"/>
      <c r="N43" s="10"/>
      <c r="O43" s="11"/>
      <c r="P43" s="11"/>
      <c r="Q43" s="11"/>
    </row>
    <row r="44" customFormat="false" ht="15" hidden="false" customHeight="false" outlineLevel="0" collapsed="false">
      <c r="H44" s="9"/>
      <c r="I44" s="9"/>
      <c r="J44" s="9"/>
      <c r="K44" s="9"/>
      <c r="L44" s="9"/>
      <c r="M44" s="9"/>
      <c r="N44" s="10"/>
      <c r="O44" s="11"/>
      <c r="P44" s="11"/>
      <c r="Q44" s="11"/>
    </row>
    <row r="45" customFormat="false" ht="15" hidden="false" customHeight="false" outlineLevel="0" collapsed="false">
      <c r="H45" s="9"/>
      <c r="I45" s="9"/>
      <c r="J45" s="9"/>
      <c r="K45" s="9"/>
      <c r="L45" s="9"/>
      <c r="M45" s="9"/>
      <c r="N45" s="10"/>
      <c r="O45" s="11"/>
      <c r="P45" s="11"/>
      <c r="Q45" s="11"/>
    </row>
    <row r="46" customFormat="false" ht="15" hidden="false" customHeight="false" outlineLevel="0" collapsed="false">
      <c r="H46" s="9"/>
      <c r="I46" s="9"/>
      <c r="J46" s="9"/>
      <c r="K46" s="9"/>
      <c r="L46" s="9"/>
      <c r="M46" s="9"/>
      <c r="N46" s="10"/>
      <c r="O46" s="11"/>
      <c r="P46" s="11"/>
      <c r="Q46" s="11"/>
    </row>
    <row r="47" customFormat="false" ht="15" hidden="false" customHeight="false" outlineLevel="0" collapsed="false">
      <c r="H47" s="9"/>
      <c r="I47" s="9"/>
      <c r="J47" s="9"/>
      <c r="K47" s="9"/>
      <c r="L47" s="9"/>
      <c r="M47" s="9"/>
      <c r="N47" s="10"/>
      <c r="O47" s="11"/>
      <c r="P47" s="11"/>
      <c r="Q47" s="11"/>
    </row>
    <row r="48" customFormat="false" ht="15" hidden="false" customHeight="false" outlineLevel="0" collapsed="false">
      <c r="H48" s="9"/>
      <c r="I48" s="9"/>
      <c r="J48" s="9"/>
      <c r="K48" s="9"/>
      <c r="L48" s="9"/>
      <c r="M48" s="9"/>
      <c r="N48" s="10"/>
      <c r="O48" s="11"/>
      <c r="P48" s="11"/>
      <c r="Q48" s="11"/>
    </row>
    <row r="49" customFormat="false" ht="15" hidden="false" customHeight="false" outlineLevel="0" collapsed="false">
      <c r="H49" s="9"/>
      <c r="I49" s="9"/>
      <c r="J49" s="9"/>
      <c r="K49" s="9"/>
      <c r="L49" s="9"/>
      <c r="M49" s="9"/>
      <c r="N49" s="10"/>
      <c r="O49" s="11"/>
      <c r="P49" s="11"/>
      <c r="Q49" s="11"/>
    </row>
    <row r="50" customFormat="false" ht="15" hidden="false" customHeight="false" outlineLevel="0" collapsed="false">
      <c r="H50" s="9"/>
      <c r="I50" s="9"/>
      <c r="J50" s="9"/>
      <c r="K50" s="9"/>
      <c r="L50" s="9"/>
      <c r="M50" s="9"/>
      <c r="N50" s="10"/>
      <c r="O50" s="11"/>
      <c r="P50" s="11"/>
      <c r="Q50" s="11"/>
    </row>
    <row r="51" customFormat="false" ht="15" hidden="false" customHeight="false" outlineLevel="0" collapsed="false">
      <c r="H51" s="9"/>
      <c r="I51" s="9"/>
      <c r="J51" s="9"/>
      <c r="K51" s="9"/>
      <c r="L51" s="9"/>
      <c r="M51" s="9"/>
      <c r="N51" s="10"/>
      <c r="O51" s="11"/>
      <c r="P51" s="11"/>
      <c r="Q51" s="11"/>
    </row>
    <row r="52" customFormat="false" ht="15" hidden="false" customHeight="false" outlineLevel="0" collapsed="false">
      <c r="H52" s="9"/>
      <c r="I52" s="9"/>
      <c r="J52" s="9"/>
      <c r="K52" s="9"/>
      <c r="L52" s="9"/>
      <c r="M52" s="9"/>
      <c r="N52" s="10"/>
      <c r="O52" s="11"/>
      <c r="P52" s="11"/>
      <c r="Q52" s="11"/>
    </row>
    <row r="53" customFormat="false" ht="15" hidden="false" customHeight="false" outlineLevel="0" collapsed="false">
      <c r="H53" s="9"/>
      <c r="I53" s="9"/>
      <c r="J53" s="9"/>
      <c r="K53" s="9"/>
      <c r="L53" s="9"/>
      <c r="M53" s="9"/>
      <c r="N53" s="10"/>
      <c r="O53" s="11"/>
      <c r="P53" s="11"/>
      <c r="Q53" s="11"/>
    </row>
    <row r="54" customFormat="false" ht="15" hidden="false" customHeight="false" outlineLevel="0" collapsed="false">
      <c r="H54" s="9"/>
      <c r="I54" s="9"/>
      <c r="J54" s="9"/>
      <c r="K54" s="9"/>
      <c r="L54" s="9"/>
      <c r="M54" s="9"/>
      <c r="N54" s="10"/>
      <c r="O54" s="11"/>
      <c r="P54" s="11"/>
      <c r="Q54" s="11"/>
    </row>
    <row r="55" customFormat="false" ht="15" hidden="false" customHeight="false" outlineLevel="0" collapsed="false">
      <c r="H55" s="9"/>
      <c r="I55" s="9"/>
      <c r="J55" s="9"/>
      <c r="K55" s="9"/>
      <c r="L55" s="9"/>
      <c r="M55" s="9"/>
      <c r="N55" s="10"/>
      <c r="O55" s="11"/>
      <c r="P55" s="11"/>
      <c r="Q55" s="11"/>
    </row>
  </sheetData>
  <mergeCells count="9">
    <mergeCell ref="A1:U1"/>
    <mergeCell ref="A2:U2"/>
    <mergeCell ref="A4:B4"/>
    <mergeCell ref="A5:B5"/>
    <mergeCell ref="A6:B6"/>
    <mergeCell ref="A8:I8"/>
    <mergeCell ref="A20:U20"/>
    <mergeCell ref="A21:U21"/>
    <mergeCell ref="A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4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40" activeCellId="1" sqref="A81:E91 E40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7.71"/>
  </cols>
  <sheetData>
    <row r="1" customFormat="false" ht="19.5" hidden="false" customHeight="false" outlineLevel="0" collapsed="false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65</v>
      </c>
    </row>
    <row r="5" customFormat="false" ht="15" hidden="false" customHeight="false" outlineLevel="0" collapsed="false">
      <c r="A5" s="3" t="s">
        <v>3</v>
      </c>
      <c r="B5" s="3"/>
      <c r="C5" s="4" t="n">
        <v>61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126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46</v>
      </c>
      <c r="C10" s="0" t="n">
        <v>15</v>
      </c>
      <c r="D10" s="0" t="n">
        <v>49</v>
      </c>
      <c r="E10" s="0" t="n">
        <v>16</v>
      </c>
      <c r="F10" s="0" t="n">
        <f aca="false">Tabla35108131532[[#This Row],[no_efec_cor]]+Tabla35108131532[[#This Row],[efec_cor]]</f>
        <v>95</v>
      </c>
      <c r="G10" s="0" t="n">
        <f aca="false">Tabla35108131532[[#This Row],[no_efec_inc]]+Tabla35108131532[[#This Row],[efect_inc]]</f>
        <v>31</v>
      </c>
      <c r="H10" s="9" t="n">
        <f aca="false">Tabla35108131532[[#This Row],[Correctos]]/Tabla35108131532[[#This Row],[total_sec]]</f>
        <v>0.753968253968254</v>
      </c>
      <c r="I10" s="9" t="n">
        <f aca="false">Tabla35108131532[[#This Row],[efec_cor]]/Tabla35108131532[[#This Row],[efec]]</f>
        <v>0.753846153846154</v>
      </c>
      <c r="J10" s="9" t="n">
        <f aca="false">Tabla35108131532[[#This Row],[efect_inc]]/Tabla35108131532[[#This Row],[efec]]</f>
        <v>0.246153846153846</v>
      </c>
      <c r="K10" s="9" t="n">
        <f aca="false">Tabla35108131532[[#This Row],[no_efec_cor]]/Tabla35108131532[[#This Row],[no_efe]]</f>
        <v>0.754098360655738</v>
      </c>
      <c r="L10" s="9" t="n">
        <f aca="false">Tabla35108131532[[#This Row],[no_efec_inc]]/Tabla35108131532[[#This Row],[no_efe]]</f>
        <v>0.245901639344262</v>
      </c>
      <c r="M10" s="9" t="n">
        <f aca="false">(Tabla35108131532[[#This Row],[% efe_cor]]+Tabla35108131532[[#This Row],[% no_efe_cor]])/2</f>
        <v>0.753972257250946</v>
      </c>
      <c r="N10" s="10" t="n">
        <f aca="false">(Tabla35108131532[[#This Row],[% efe_inc]]+Tabla35108131532[[#This Row],[% no_efect_inc]])/2</f>
        <v>0.246027742749054</v>
      </c>
      <c r="O10" s="11" t="n">
        <f aca="false">Tabla35108131532[[#This Row],[no_efec_cor]]/(Tabla35108131532[[#This Row],[efect_inc]]+Tabla35108131532[[#This Row],[no_efec_cor]])</f>
        <v>0.741935483870968</v>
      </c>
      <c r="P10" s="11" t="n">
        <f aca="false">Tabla35108131532[[#This Row],[efec_cor]]/(Tabla35108131532[[#This Row],[efec_cor]]+Tabla35108131532[[#This Row],[no_efec_inc]])</f>
        <v>0.765625</v>
      </c>
      <c r="Q10" s="11" t="n">
        <f aca="false">(Tabla35108131532[[#This Row],[PNE]]+Tabla35108131532[[#This Row],[PE]])/2</f>
        <v>0.753780241935484</v>
      </c>
      <c r="R10" s="0" t="n">
        <v>65</v>
      </c>
      <c r="S10" s="0" t="n">
        <v>61</v>
      </c>
      <c r="T10" s="0" t="n">
        <f aca="false">Tabla35108131532[[#This Row],[efec]]+Tabla35108131532[[#This Row],[no_efe]]</f>
        <v>126</v>
      </c>
    </row>
    <row r="11" customFormat="false" ht="13.8" hidden="false" customHeight="false" outlineLevel="0" collapsed="false">
      <c r="A11" s="0" t="n">
        <v>5</v>
      </c>
      <c r="B11" s="0" t="n">
        <v>46</v>
      </c>
      <c r="C11" s="0" t="n">
        <v>15</v>
      </c>
      <c r="D11" s="0" t="n">
        <v>44</v>
      </c>
      <c r="E11" s="0" t="n">
        <v>21</v>
      </c>
      <c r="F11" s="0" t="n">
        <f aca="false">Tabla35108131532[[#This Row],[no_efec_cor]]+Tabla35108131532[[#This Row],[efec_cor]]</f>
        <v>90</v>
      </c>
      <c r="G11" s="0" t="n">
        <f aca="false">Tabla35108131532[[#This Row],[no_efec_inc]]+Tabla35108131532[[#This Row],[efect_inc]]</f>
        <v>36</v>
      </c>
      <c r="H11" s="9" t="n">
        <f aca="false">Tabla35108131532[[#This Row],[Correctos]]/Tabla35108131532[[#This Row],[total_sec]]</f>
        <v>0.714285714285714</v>
      </c>
      <c r="I11" s="9" t="n">
        <f aca="false">Tabla35108131532[[#This Row],[efec_cor]]/Tabla35108131532[[#This Row],[efec]]</f>
        <v>0.676923076923077</v>
      </c>
      <c r="J11" s="9" t="n">
        <f aca="false">Tabla35108131532[[#This Row],[efect_inc]]/Tabla35108131532[[#This Row],[efec]]</f>
        <v>0.323076923076923</v>
      </c>
      <c r="K11" s="9" t="n">
        <f aca="false">Tabla35108131532[[#This Row],[no_efec_cor]]/Tabla35108131532[[#This Row],[no_efe]]</f>
        <v>0.754098360655738</v>
      </c>
      <c r="L11" s="9" t="n">
        <f aca="false">Tabla35108131532[[#This Row],[no_efec_inc]]/Tabla35108131532[[#This Row],[no_efe]]</f>
        <v>0.245901639344262</v>
      </c>
      <c r="M11" s="9" t="n">
        <f aca="false">(Tabla35108131532[[#This Row],[% efe_cor]]+Tabla35108131532[[#This Row],[% no_efe_cor]])/2</f>
        <v>0.715510718789407</v>
      </c>
      <c r="N11" s="10" t="n">
        <f aca="false">(Tabla35108131532[[#This Row],[% efe_inc]]+Tabla35108131532[[#This Row],[% no_efect_inc]])/2</f>
        <v>0.284489281210593</v>
      </c>
      <c r="O11" s="11" t="n">
        <f aca="false">Tabla35108131532[[#This Row],[no_efec_cor]]/(Tabla35108131532[[#This Row],[efect_inc]]+Tabla35108131532[[#This Row],[no_efec_cor]])</f>
        <v>0.686567164179104</v>
      </c>
      <c r="P11" s="11" t="n">
        <f aca="false">Tabla35108131532[[#This Row],[efec_cor]]/(Tabla35108131532[[#This Row],[efec_cor]]+Tabla35108131532[[#This Row],[no_efec_inc]])</f>
        <v>0.745762711864407</v>
      </c>
      <c r="Q11" s="11" t="n">
        <f aca="false">(Tabla35108131532[[#This Row],[PNE]]+Tabla35108131532[[#This Row],[PE]])/2</f>
        <v>0.716164938021756</v>
      </c>
      <c r="R11" s="0" t="n">
        <v>65</v>
      </c>
      <c r="S11" s="0" t="n">
        <v>61</v>
      </c>
      <c r="T11" s="0" t="n">
        <f aca="false">Tabla35108131532[[#This Row],[efec]]+Tabla35108131532[[#This Row],[no_efe]]</f>
        <v>126</v>
      </c>
    </row>
    <row r="12" customFormat="false" ht="13.8" hidden="false" customHeight="false" outlineLevel="0" collapsed="false">
      <c r="A12" s="0" t="n">
        <v>10</v>
      </c>
      <c r="B12" s="0" t="n">
        <v>30</v>
      </c>
      <c r="C12" s="0" t="n">
        <v>31</v>
      </c>
      <c r="D12" s="0" t="n">
        <v>49</v>
      </c>
      <c r="E12" s="0" t="n">
        <v>16</v>
      </c>
      <c r="F12" s="0" t="n">
        <f aca="false">Tabla35108131532[[#This Row],[no_efec_cor]]+Tabla35108131532[[#This Row],[efec_cor]]</f>
        <v>79</v>
      </c>
      <c r="G12" s="0" t="n">
        <f aca="false">Tabla35108131532[[#This Row],[no_efec_inc]]+Tabla35108131532[[#This Row],[efect_inc]]</f>
        <v>47</v>
      </c>
      <c r="H12" s="9" t="n">
        <f aca="false">Tabla35108131532[[#This Row],[Correctos]]/Tabla35108131532[[#This Row],[total_sec]]</f>
        <v>0.626984126984127</v>
      </c>
      <c r="I12" s="9" t="n">
        <f aca="false">Tabla35108131532[[#This Row],[efec_cor]]/Tabla35108131532[[#This Row],[efec]]</f>
        <v>0.753846153846154</v>
      </c>
      <c r="J12" s="9" t="n">
        <f aca="false">Tabla35108131532[[#This Row],[efect_inc]]/Tabla35108131532[[#This Row],[efec]]</f>
        <v>0.246153846153846</v>
      </c>
      <c r="K12" s="9" t="n">
        <f aca="false">Tabla35108131532[[#This Row],[no_efec_cor]]/Tabla35108131532[[#This Row],[no_efe]]</f>
        <v>0.491803278688525</v>
      </c>
      <c r="L12" s="9" t="n">
        <f aca="false">Tabla35108131532[[#This Row],[no_efec_inc]]/Tabla35108131532[[#This Row],[no_efe]]</f>
        <v>0.508196721311475</v>
      </c>
      <c r="M12" s="9" t="n">
        <f aca="false">(Tabla35108131532[[#This Row],[% efe_cor]]+Tabla35108131532[[#This Row],[% no_efe_cor]])/2</f>
        <v>0.622824716267339</v>
      </c>
      <c r="N12" s="10" t="n">
        <f aca="false">(Tabla35108131532[[#This Row],[% efe_inc]]+Tabla35108131532[[#This Row],[% no_efect_inc]])/2</f>
        <v>0.377175283732661</v>
      </c>
      <c r="O12" s="11" t="n">
        <f aca="false">Tabla35108131532[[#This Row],[no_efec_cor]]/(Tabla35108131532[[#This Row],[efect_inc]]+Tabla35108131532[[#This Row],[no_efec_cor]])</f>
        <v>0.652173913043478</v>
      </c>
      <c r="P12" s="11" t="n">
        <f aca="false">Tabla35108131532[[#This Row],[efec_cor]]/(Tabla35108131532[[#This Row],[efec_cor]]+Tabla35108131532[[#This Row],[no_efec_inc]])</f>
        <v>0.6125</v>
      </c>
      <c r="Q12" s="11" t="n">
        <f aca="false">(Tabla35108131532[[#This Row],[PNE]]+Tabla35108131532[[#This Row],[PE]])/2</f>
        <v>0.632336956521739</v>
      </c>
      <c r="R12" s="0" t="n">
        <v>65</v>
      </c>
      <c r="S12" s="0" t="n">
        <v>61</v>
      </c>
      <c r="T12" s="0" t="n">
        <f aca="false">Tabla35108131532[[#This Row],[efec]]+Tabla35108131532[[#This Row],[no_efe]]</f>
        <v>126</v>
      </c>
    </row>
    <row r="13" customFormat="false" ht="13.8" hidden="false" customHeight="false" outlineLevel="0" collapsed="false">
      <c r="A13" s="0" t="n">
        <v>15</v>
      </c>
      <c r="B13" s="0" t="n">
        <v>35</v>
      </c>
      <c r="C13" s="0" t="n">
        <v>26</v>
      </c>
      <c r="D13" s="0" t="n">
        <v>51</v>
      </c>
      <c r="E13" s="0" t="n">
        <v>14</v>
      </c>
      <c r="F13" s="0" t="n">
        <f aca="false">Tabla35108131532[[#This Row],[no_efec_cor]]+Tabla35108131532[[#This Row],[efec_cor]]</f>
        <v>86</v>
      </c>
      <c r="G13" s="0" t="n">
        <f aca="false">Tabla35108131532[[#This Row],[no_efec_inc]]+Tabla35108131532[[#This Row],[efect_inc]]</f>
        <v>40</v>
      </c>
      <c r="H13" s="9" t="n">
        <f aca="false">Tabla35108131532[[#This Row],[Correctos]]/Tabla35108131532[[#This Row],[total_sec]]</f>
        <v>0.682539682539683</v>
      </c>
      <c r="I13" s="9" t="n">
        <f aca="false">Tabla35108131532[[#This Row],[efec_cor]]/Tabla35108131532[[#This Row],[efec]]</f>
        <v>0.784615384615385</v>
      </c>
      <c r="J13" s="9" t="n">
        <f aca="false">Tabla35108131532[[#This Row],[efect_inc]]/Tabla35108131532[[#This Row],[efec]]</f>
        <v>0.215384615384615</v>
      </c>
      <c r="K13" s="9" t="n">
        <f aca="false">Tabla35108131532[[#This Row],[no_efec_cor]]/Tabla35108131532[[#This Row],[no_efe]]</f>
        <v>0.573770491803279</v>
      </c>
      <c r="L13" s="9" t="n">
        <f aca="false">Tabla35108131532[[#This Row],[no_efec_inc]]/Tabla35108131532[[#This Row],[no_efe]]</f>
        <v>0.426229508196721</v>
      </c>
      <c r="M13" s="9" t="n">
        <f aca="false">(Tabla35108131532[[#This Row],[% efe_cor]]+Tabla35108131532[[#This Row],[% no_efe_cor]])/2</f>
        <v>0.679192938209332</v>
      </c>
      <c r="N13" s="10" t="n">
        <f aca="false">(Tabla35108131532[[#This Row],[% efe_inc]]+Tabla35108131532[[#This Row],[% no_efect_inc]])/2</f>
        <v>0.320807061790668</v>
      </c>
      <c r="O13" s="11" t="n">
        <f aca="false">Tabla35108131532[[#This Row],[no_efec_cor]]/(Tabla35108131532[[#This Row],[efect_inc]]+Tabla35108131532[[#This Row],[no_efec_cor]])</f>
        <v>0.714285714285714</v>
      </c>
      <c r="P13" s="11" t="n">
        <f aca="false">Tabla35108131532[[#This Row],[efec_cor]]/(Tabla35108131532[[#This Row],[efec_cor]]+Tabla35108131532[[#This Row],[no_efec_inc]])</f>
        <v>0.662337662337662</v>
      </c>
      <c r="Q13" s="11" t="n">
        <f aca="false">(Tabla35108131532[[#This Row],[PNE]]+Tabla35108131532[[#This Row],[PE]])/2</f>
        <v>0.688311688311688</v>
      </c>
      <c r="R13" s="0" t="n">
        <v>65</v>
      </c>
      <c r="S13" s="0" t="n">
        <v>61</v>
      </c>
      <c r="T13" s="0" t="n">
        <f aca="false">Tabla35108131532[[#This Row],[efec]]+Tabla35108131532[[#This Row],[no_efe]]</f>
        <v>126</v>
      </c>
    </row>
    <row r="14" customFormat="false" ht="13.8" hidden="false" customHeight="false" outlineLevel="0" collapsed="false">
      <c r="A14" s="0" t="n">
        <v>20</v>
      </c>
      <c r="B14" s="0" t="n">
        <v>25</v>
      </c>
      <c r="C14" s="0" t="n">
        <v>36</v>
      </c>
      <c r="D14" s="0" t="n">
        <v>54</v>
      </c>
      <c r="E14" s="0" t="n">
        <v>11</v>
      </c>
      <c r="F14" s="0" t="n">
        <f aca="false">Tabla35108131532[[#This Row],[no_efec_cor]]+Tabla35108131532[[#This Row],[efec_cor]]</f>
        <v>79</v>
      </c>
      <c r="G14" s="0" t="n">
        <f aca="false">Tabla35108131532[[#This Row],[no_efec_inc]]+Tabla35108131532[[#This Row],[efect_inc]]</f>
        <v>47</v>
      </c>
      <c r="H14" s="9" t="n">
        <f aca="false">Tabla35108131532[[#This Row],[Correctos]]/Tabla35108131532[[#This Row],[total_sec]]</f>
        <v>0.626984126984127</v>
      </c>
      <c r="I14" s="9" t="n">
        <f aca="false">Tabla35108131532[[#This Row],[efec_cor]]/Tabla35108131532[[#This Row],[efec]]</f>
        <v>0.830769230769231</v>
      </c>
      <c r="J14" s="9" t="n">
        <f aca="false">Tabla35108131532[[#This Row],[efect_inc]]/Tabla35108131532[[#This Row],[efec]]</f>
        <v>0.169230769230769</v>
      </c>
      <c r="K14" s="9" t="n">
        <f aca="false">Tabla35108131532[[#This Row],[no_efec_cor]]/Tabla35108131532[[#This Row],[no_efe]]</f>
        <v>0.40983606557377</v>
      </c>
      <c r="L14" s="9" t="n">
        <f aca="false">Tabla35108131532[[#This Row],[no_efec_inc]]/Tabla35108131532[[#This Row],[no_efe]]</f>
        <v>0.590163934426229</v>
      </c>
      <c r="M14" s="9" t="n">
        <f aca="false">(Tabla35108131532[[#This Row],[% efe_cor]]+Tabla35108131532[[#This Row],[% no_efe_cor]])/2</f>
        <v>0.620302648171501</v>
      </c>
      <c r="N14" s="10" t="n">
        <f aca="false">(Tabla35108131532[[#This Row],[% efe_inc]]+Tabla35108131532[[#This Row],[% no_efect_inc]])/2</f>
        <v>0.379697351828499</v>
      </c>
      <c r="O14" s="11" t="n">
        <f aca="false">Tabla35108131532[[#This Row],[no_efec_cor]]/(Tabla35108131532[[#This Row],[efect_inc]]+Tabla35108131532[[#This Row],[no_efec_cor]])</f>
        <v>0.694444444444444</v>
      </c>
      <c r="P14" s="11" t="n">
        <f aca="false">Tabla35108131532[[#This Row],[efec_cor]]/(Tabla35108131532[[#This Row],[efec_cor]]+Tabla35108131532[[#This Row],[no_efec_inc]])</f>
        <v>0.6</v>
      </c>
      <c r="Q14" s="11" t="n">
        <f aca="false">(Tabla35108131532[[#This Row],[PNE]]+Tabla35108131532[[#This Row],[PE]])/2</f>
        <v>0.647222222222222</v>
      </c>
      <c r="R14" s="0" t="n">
        <v>65</v>
      </c>
      <c r="S14" s="0" t="n">
        <v>61</v>
      </c>
      <c r="T14" s="0" t="n">
        <f aca="false">Tabla35108131532[[#This Row],[efec]]+Tabla35108131532[[#This Row],[no_efe]]</f>
        <v>126</v>
      </c>
    </row>
    <row r="15" customFormat="false" ht="13.8" hidden="false" customHeight="false" outlineLevel="0" collapsed="false">
      <c r="A15" s="0" t="n">
        <v>25</v>
      </c>
      <c r="B15" s="0" t="n">
        <v>26</v>
      </c>
      <c r="C15" s="0" t="n">
        <v>35</v>
      </c>
      <c r="D15" s="0" t="n">
        <v>56</v>
      </c>
      <c r="E15" s="0" t="n">
        <v>9</v>
      </c>
      <c r="F15" s="0" t="n">
        <f aca="false">Tabla35108131532[[#This Row],[no_efec_cor]]+Tabla35108131532[[#This Row],[efec_cor]]</f>
        <v>82</v>
      </c>
      <c r="G15" s="0" t="n">
        <f aca="false">Tabla35108131532[[#This Row],[no_efec_inc]]+Tabla35108131532[[#This Row],[efect_inc]]</f>
        <v>44</v>
      </c>
      <c r="H15" s="9" t="n">
        <f aca="false">Tabla35108131532[[#This Row],[Correctos]]/Tabla35108131532[[#This Row],[total_sec]]</f>
        <v>0.650793650793651</v>
      </c>
      <c r="I15" s="9" t="n">
        <f aca="false">Tabla35108131532[[#This Row],[efec_cor]]/Tabla35108131532[[#This Row],[efec]]</f>
        <v>0.861538461538462</v>
      </c>
      <c r="J15" s="9" t="n">
        <f aca="false">Tabla35108131532[[#This Row],[efect_inc]]/Tabla35108131532[[#This Row],[efec]]</f>
        <v>0.138461538461538</v>
      </c>
      <c r="K15" s="9" t="n">
        <f aca="false">Tabla35108131532[[#This Row],[no_efec_cor]]/Tabla35108131532[[#This Row],[no_efe]]</f>
        <v>0.426229508196721</v>
      </c>
      <c r="L15" s="9" t="n">
        <f aca="false">Tabla35108131532[[#This Row],[no_efec_inc]]/Tabla35108131532[[#This Row],[no_efe]]</f>
        <v>0.573770491803279</v>
      </c>
      <c r="M15" s="9" t="n">
        <f aca="false">(Tabla35108131532[[#This Row],[% efe_cor]]+Tabla35108131532[[#This Row],[% no_efe_cor]])/2</f>
        <v>0.643883984867591</v>
      </c>
      <c r="N15" s="10" t="n">
        <f aca="false">(Tabla35108131532[[#This Row],[% efe_inc]]+Tabla35108131532[[#This Row],[% no_efect_inc]])/2</f>
        <v>0.356116015132409</v>
      </c>
      <c r="O15" s="11" t="n">
        <f aca="false">Tabla35108131532[[#This Row],[no_efec_cor]]/(Tabla35108131532[[#This Row],[efect_inc]]+Tabla35108131532[[#This Row],[no_efec_cor]])</f>
        <v>0.742857142857143</v>
      </c>
      <c r="P15" s="11" t="n">
        <f aca="false">Tabla35108131532[[#This Row],[efec_cor]]/(Tabla35108131532[[#This Row],[efec_cor]]+Tabla35108131532[[#This Row],[no_efec_inc]])</f>
        <v>0.615384615384615</v>
      </c>
      <c r="Q15" s="11" t="n">
        <f aca="false">(Tabla35108131532[[#This Row],[PNE]]+Tabla35108131532[[#This Row],[PE]])/2</f>
        <v>0.679120879120879</v>
      </c>
      <c r="R15" s="0" t="n">
        <v>65</v>
      </c>
      <c r="S15" s="0" t="n">
        <v>61</v>
      </c>
      <c r="T15" s="0" t="n">
        <f aca="false">Tabla35108131532[[#This Row],[efec]]+Tabla35108131532[[#This Row],[no_efe]]</f>
        <v>126</v>
      </c>
    </row>
    <row r="16" customFormat="false" ht="13.8" hidden="false" customHeight="false" outlineLevel="0" collapsed="false">
      <c r="A16" s="0" t="n">
        <v>30</v>
      </c>
      <c r="B16" s="0" t="n">
        <v>23</v>
      </c>
      <c r="C16" s="0" t="n">
        <v>38</v>
      </c>
      <c r="D16" s="0" t="n">
        <v>59</v>
      </c>
      <c r="E16" s="0" t="n">
        <v>6</v>
      </c>
      <c r="F16" s="0" t="n">
        <f aca="false">Tabla35108131532[[#This Row],[no_efec_cor]]+Tabla35108131532[[#This Row],[efec_cor]]</f>
        <v>82</v>
      </c>
      <c r="G16" s="0" t="n">
        <f aca="false">Tabla35108131532[[#This Row],[no_efec_inc]]+Tabla35108131532[[#This Row],[efect_inc]]</f>
        <v>44</v>
      </c>
      <c r="H16" s="9" t="n">
        <f aca="false">Tabla35108131532[[#This Row],[Correctos]]/Tabla35108131532[[#This Row],[total_sec]]</f>
        <v>0.650793650793651</v>
      </c>
      <c r="I16" s="9" t="n">
        <f aca="false">Tabla35108131532[[#This Row],[efec_cor]]/Tabla35108131532[[#This Row],[efec]]</f>
        <v>0.907692307692308</v>
      </c>
      <c r="J16" s="9" t="n">
        <f aca="false">Tabla35108131532[[#This Row],[efect_inc]]/Tabla35108131532[[#This Row],[efec]]</f>
        <v>0.0923076923076923</v>
      </c>
      <c r="K16" s="9" t="n">
        <f aca="false">Tabla35108131532[[#This Row],[no_efec_cor]]/Tabla35108131532[[#This Row],[no_efe]]</f>
        <v>0.377049180327869</v>
      </c>
      <c r="L16" s="9" t="n">
        <f aca="false">Tabla35108131532[[#This Row],[no_efec_inc]]/Tabla35108131532[[#This Row],[no_efe]]</f>
        <v>0.622950819672131</v>
      </c>
      <c r="M16" s="9" t="n">
        <f aca="false">(Tabla35108131532[[#This Row],[% efe_cor]]+Tabla35108131532[[#This Row],[% no_efe_cor]])/2</f>
        <v>0.642370744010088</v>
      </c>
      <c r="N16" s="10" t="n">
        <f aca="false">(Tabla35108131532[[#This Row],[% efe_inc]]+Tabla35108131532[[#This Row],[% no_efect_inc]])/2</f>
        <v>0.357629255989912</v>
      </c>
      <c r="O16" s="11" t="n">
        <f aca="false">Tabla35108131532[[#This Row],[no_efec_cor]]/(Tabla35108131532[[#This Row],[efect_inc]]+Tabla35108131532[[#This Row],[no_efec_cor]])</f>
        <v>0.793103448275862</v>
      </c>
      <c r="P16" s="11" t="n">
        <f aca="false">Tabla35108131532[[#This Row],[efec_cor]]/(Tabla35108131532[[#This Row],[efec_cor]]+Tabla35108131532[[#This Row],[no_efec_inc]])</f>
        <v>0.608247422680412</v>
      </c>
      <c r="Q16" s="11" t="n">
        <f aca="false">(Tabla35108131532[[#This Row],[PNE]]+Tabla35108131532[[#This Row],[PE]])/2</f>
        <v>0.700675435478137</v>
      </c>
      <c r="R16" s="0" t="n">
        <v>65</v>
      </c>
      <c r="S16" s="0" t="n">
        <v>61</v>
      </c>
      <c r="T16" s="0" t="n">
        <f aca="false">Tabla35108131532[[#This Row],[efec]]+Tabla35108131532[[#This Row],[no_efe]]</f>
        <v>126</v>
      </c>
    </row>
    <row r="17" customFormat="false" ht="13.8" hidden="false" customHeight="false" outlineLevel="0" collapsed="false">
      <c r="A17" s="0" t="n">
        <v>35</v>
      </c>
      <c r="B17" s="0" t="n">
        <v>12</v>
      </c>
      <c r="C17" s="0" t="n">
        <v>49</v>
      </c>
      <c r="D17" s="0" t="n">
        <v>56</v>
      </c>
      <c r="E17" s="0" t="n">
        <v>9</v>
      </c>
      <c r="F17" s="0" t="n">
        <f aca="false">Tabla35108131532[[#This Row],[no_efec_cor]]+Tabla35108131532[[#This Row],[efec_cor]]</f>
        <v>68</v>
      </c>
      <c r="G17" s="0" t="n">
        <f aca="false">Tabla35108131532[[#This Row],[no_efec_inc]]+Tabla35108131532[[#This Row],[efect_inc]]</f>
        <v>58</v>
      </c>
      <c r="H17" s="9" t="n">
        <f aca="false">Tabla35108131532[[#This Row],[Correctos]]/Tabla35108131532[[#This Row],[total_sec]]</f>
        <v>0.53968253968254</v>
      </c>
      <c r="I17" s="9" t="n">
        <f aca="false">Tabla35108131532[[#This Row],[efec_cor]]/Tabla35108131532[[#This Row],[efec]]</f>
        <v>0.861538461538462</v>
      </c>
      <c r="J17" s="9" t="n">
        <f aca="false">Tabla35108131532[[#This Row],[efect_inc]]/Tabla35108131532[[#This Row],[efec]]</f>
        <v>0.138461538461538</v>
      </c>
      <c r="K17" s="9" t="n">
        <f aca="false">Tabla35108131532[[#This Row],[no_efec_cor]]/Tabla35108131532[[#This Row],[no_efe]]</f>
        <v>0.19672131147541</v>
      </c>
      <c r="L17" s="9" t="n">
        <f aca="false">Tabla35108131532[[#This Row],[no_efec_inc]]/Tabla35108131532[[#This Row],[no_efe]]</f>
        <v>0.80327868852459</v>
      </c>
      <c r="M17" s="9" t="n">
        <f aca="false">(Tabla35108131532[[#This Row],[% efe_cor]]+Tabla35108131532[[#This Row],[% no_efe_cor]])/2</f>
        <v>0.529129886506936</v>
      </c>
      <c r="N17" s="10" t="n">
        <f aca="false">(Tabla35108131532[[#This Row],[% efe_inc]]+Tabla35108131532[[#This Row],[% no_efect_inc]])/2</f>
        <v>0.470870113493064</v>
      </c>
      <c r="O17" s="11" t="n">
        <f aca="false">Tabla35108131532[[#This Row],[no_efec_cor]]/(Tabla35108131532[[#This Row],[efect_inc]]+Tabla35108131532[[#This Row],[no_efec_cor]])</f>
        <v>0.571428571428571</v>
      </c>
      <c r="P17" s="11" t="n">
        <f aca="false">Tabla35108131532[[#This Row],[efec_cor]]/(Tabla35108131532[[#This Row],[efec_cor]]+Tabla35108131532[[#This Row],[no_efec_inc]])</f>
        <v>0.533333333333333</v>
      </c>
      <c r="Q17" s="11" t="n">
        <f aca="false">(Tabla35108131532[[#This Row],[PNE]]+Tabla35108131532[[#This Row],[PE]])/2</f>
        <v>0.552380952380952</v>
      </c>
      <c r="R17" s="0" t="n">
        <v>65</v>
      </c>
      <c r="S17" s="0" t="n">
        <v>61</v>
      </c>
      <c r="T17" s="0" t="n">
        <f aca="false">Tabla35108131532[[#This Row],[efec]]+Tabla35108131532[[#This Row],[no_efe]]</f>
        <v>126</v>
      </c>
    </row>
    <row r="18" customFormat="false" ht="13.8" hidden="false" customHeight="false" outlineLevel="0" collapsed="false">
      <c r="A18" s="0" t="n">
        <v>39</v>
      </c>
      <c r="B18" s="0" t="n">
        <v>13</v>
      </c>
      <c r="C18" s="0" t="n">
        <v>48</v>
      </c>
      <c r="D18" s="0" t="n">
        <v>46</v>
      </c>
      <c r="E18" s="0" t="n">
        <v>19</v>
      </c>
      <c r="F18" s="0" t="n">
        <f aca="false">Tabla35108131532[[#This Row],[no_efec_cor]]+Tabla35108131532[[#This Row],[efec_cor]]</f>
        <v>59</v>
      </c>
      <c r="G18" s="0" t="n">
        <f aca="false">Tabla35108131532[[#This Row],[no_efec_inc]]+Tabla35108131532[[#This Row],[efect_inc]]</f>
        <v>67</v>
      </c>
      <c r="H18" s="9" t="n">
        <f aca="false">Tabla35108131532[[#This Row],[Correctos]]/Tabla35108131532[[#This Row],[total_sec]]</f>
        <v>0.468253968253968</v>
      </c>
      <c r="I18" s="9" t="n">
        <f aca="false">Tabla35108131532[[#This Row],[efec_cor]]/Tabla35108131532[[#This Row],[efec]]</f>
        <v>0.707692307692308</v>
      </c>
      <c r="J18" s="9" t="n">
        <f aca="false">Tabla35108131532[[#This Row],[efect_inc]]/Tabla35108131532[[#This Row],[efec]]</f>
        <v>0.292307692307692</v>
      </c>
      <c r="K18" s="9" t="n">
        <f aca="false">Tabla35108131532[[#This Row],[no_efec_cor]]/Tabla35108131532[[#This Row],[no_efe]]</f>
        <v>0.213114754098361</v>
      </c>
      <c r="L18" s="9" t="n">
        <f aca="false">Tabla35108131532[[#This Row],[no_efec_inc]]/Tabla35108131532[[#This Row],[no_efe]]</f>
        <v>0.786885245901639</v>
      </c>
      <c r="M18" s="9" t="n">
        <f aca="false">(Tabla35108131532[[#This Row],[% efe_cor]]+Tabla35108131532[[#This Row],[% no_efe_cor]])/2</f>
        <v>0.460403530895334</v>
      </c>
      <c r="N18" s="10" t="n">
        <f aca="false">(Tabla35108131532[[#This Row],[% efe_inc]]+Tabla35108131532[[#This Row],[% no_efect_inc]])/2</f>
        <v>0.539596469104666</v>
      </c>
      <c r="O18" s="11" t="n">
        <f aca="false">Tabla35108131532[[#This Row],[no_efec_cor]]/(Tabla35108131532[[#This Row],[efect_inc]]+Tabla35108131532[[#This Row],[no_efec_cor]])</f>
        <v>0.40625</v>
      </c>
      <c r="P18" s="11" t="n">
        <f aca="false">Tabla35108131532[[#This Row],[efec_cor]]/(Tabla35108131532[[#This Row],[efec_cor]]+Tabla35108131532[[#This Row],[no_efec_inc]])</f>
        <v>0.48936170212766</v>
      </c>
      <c r="Q18" s="11" t="n">
        <f aca="false">(Tabla35108131532[[#This Row],[PNE]]+Tabla35108131532[[#This Row],[PE]])/2</f>
        <v>0.44780585106383</v>
      </c>
      <c r="R18" s="0" t="n">
        <v>65</v>
      </c>
      <c r="S18" s="0" t="n">
        <v>61</v>
      </c>
      <c r="T18" s="0" t="n">
        <f aca="false">Tabla35108131532[[#This Row],[efec]]+Tabla35108131532[[#This Row],[no_efe]]</f>
        <v>126</v>
      </c>
    </row>
    <row r="21" customFormat="false" ht="19.5" hidden="false" customHeight="false" outlineLevel="0" collapsed="false">
      <c r="A21" s="1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5" customFormat="false" ht="15.75" hidden="false" customHeight="false" outlineLevel="0" collapsed="false">
      <c r="A25" s="5" t="s">
        <v>5</v>
      </c>
      <c r="B25" s="5"/>
      <c r="C25" s="5"/>
      <c r="D25" s="5"/>
      <c r="E25" s="5"/>
      <c r="F25" s="5"/>
      <c r="G25" s="5"/>
      <c r="H25" s="5"/>
      <c r="I25" s="5"/>
    </row>
    <row r="26" customFormat="false" ht="15.75" hidden="false" customHeight="false" outlineLevel="0" collapsed="false">
      <c r="A26" s="7" t="s">
        <v>27</v>
      </c>
      <c r="B26" s="7" t="s">
        <v>28</v>
      </c>
      <c r="C26" s="8" t="s">
        <v>7</v>
      </c>
      <c r="D26" s="8" t="s">
        <v>8</v>
      </c>
      <c r="E26" s="8" t="s">
        <v>9</v>
      </c>
      <c r="F26" s="8" t="s">
        <v>10</v>
      </c>
      <c r="G26" s="8" t="s">
        <v>11</v>
      </c>
      <c r="H26" s="8" t="s">
        <v>12</v>
      </c>
      <c r="I26" s="7" t="s">
        <v>13</v>
      </c>
      <c r="J26" s="7" t="s">
        <v>14</v>
      </c>
      <c r="K26" s="7" t="s">
        <v>15</v>
      </c>
      <c r="L26" s="7" t="s">
        <v>16</v>
      </c>
      <c r="M26" s="7" t="s">
        <v>17</v>
      </c>
      <c r="N26" s="7" t="s">
        <v>18</v>
      </c>
      <c r="O26" s="7" t="s">
        <v>19</v>
      </c>
      <c r="P26" s="7" t="s">
        <v>20</v>
      </c>
      <c r="Q26" s="7" t="s">
        <v>21</v>
      </c>
      <c r="R26" s="7" t="s">
        <v>22</v>
      </c>
      <c r="S26" s="7" t="s">
        <v>23</v>
      </c>
      <c r="T26" s="7" t="s">
        <v>24</v>
      </c>
      <c r="U26" s="7" t="s">
        <v>25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61</v>
      </c>
      <c r="E27" s="0" t="n">
        <v>65</v>
      </c>
      <c r="F27" s="0" t="n">
        <v>0</v>
      </c>
      <c r="G27" s="0" t="n">
        <f aca="false">Tabla35108131534[[#This Row],[no_efec_cor]]+Tabla35108131534[[#This Row],[efec_cor]]</f>
        <v>65</v>
      </c>
      <c r="H27" s="0" t="n">
        <f aca="false">Tabla35108131534[[#This Row],[no_efec_inc]]+Tabla35108131534[[#This Row],[efect_inc]]</f>
        <v>61</v>
      </c>
      <c r="I27" s="9" t="n">
        <f aca="false">Tabla35108131534[[#This Row],[Correctos]]/Tabla35108131534[[#This Row],[total_sec]]</f>
        <v>0.515873015873016</v>
      </c>
      <c r="J27" s="9" t="n">
        <f aca="false">Tabla35108131534[[#This Row],[efec_cor]]/Tabla35108131534[[#This Row],[efec]]</f>
        <v>1</v>
      </c>
      <c r="K27" s="9" t="n">
        <f aca="false">Tabla35108131534[[#This Row],[efect_inc]]/Tabla35108131534[[#This Row],[efec]]</f>
        <v>0</v>
      </c>
      <c r="L27" s="9" t="n">
        <f aca="false">Tabla35108131534[[#This Row],[no_efec_cor]]/Tabla35108131534[[#This Row],[no_efe]]</f>
        <v>0</v>
      </c>
      <c r="M27" s="9" t="n">
        <f aca="false">Tabla35108131534[[#This Row],[no_efec_inc]]/Tabla35108131534[[#This Row],[no_efe]]</f>
        <v>1</v>
      </c>
      <c r="N27" s="9" t="n">
        <f aca="false">(Tabla35108131534[[#This Row],[% efe_cor]]+Tabla35108131534[[#This Row],[% no_efe_cor]])/2</f>
        <v>0.5</v>
      </c>
      <c r="O27" s="10" t="n">
        <f aca="false">(Tabla35108131534[[#This Row],[% efe_inc]]+Tabla35108131534[[#This Row],[% no_efect_inc]])/2</f>
        <v>0.5</v>
      </c>
      <c r="P27" s="11" t="e">
        <f aca="false">Tabla35108131534[[#This Row],[no_efec_cor]]/(Tabla35108131534[[#This Row],[efect_inc]]+Tabla35108131534[[#This Row],[no_efec_cor]])</f>
        <v>#DIV/0!</v>
      </c>
      <c r="Q27" s="11" t="n">
        <f aca="false">Tabla35108131534[[#This Row],[efec_cor]]/(Tabla35108131534[[#This Row],[efec_cor]]+Tabla35108131534[[#This Row],[no_efec_inc]])</f>
        <v>0.515873015873016</v>
      </c>
      <c r="R27" s="11" t="e">
        <f aca="false">(Tabla35108131534[[#This Row],[PNE]]+Tabla35108131534[[#This Row],[PE]])/2</f>
        <v>#DIV/0!</v>
      </c>
      <c r="S27" s="0" t="n">
        <v>65</v>
      </c>
      <c r="T27" s="0" t="n">
        <v>61</v>
      </c>
      <c r="U27" s="0" t="n">
        <f aca="false">Tabla35108131534[[#This Row],[efec]]+Tabla35108131534[[#This Row],[no_efe]]</f>
        <v>126</v>
      </c>
    </row>
    <row r="28" customFormat="false" ht="13.8" hidden="false" customHeight="false" outlineLevel="0" collapsed="false">
      <c r="A28" s="0" t="n">
        <v>1</v>
      </c>
      <c r="B28" s="0" t="n">
        <v>0.1</v>
      </c>
      <c r="C28" s="0" t="n">
        <v>28</v>
      </c>
      <c r="D28" s="0" t="n">
        <v>33</v>
      </c>
      <c r="E28" s="0" t="n">
        <v>54</v>
      </c>
      <c r="F28" s="0" t="n">
        <v>11</v>
      </c>
      <c r="G28" s="0" t="n">
        <f aca="false">Tabla35108131534[[#This Row],[no_efec_cor]]+Tabla35108131534[[#This Row],[efec_cor]]</f>
        <v>82</v>
      </c>
      <c r="H28" s="0" t="n">
        <f aca="false">Tabla35108131534[[#This Row],[no_efec_inc]]+Tabla35108131534[[#This Row],[efect_inc]]</f>
        <v>44</v>
      </c>
      <c r="I28" s="9" t="n">
        <f aca="false">Tabla35108131534[[#This Row],[Correctos]]/Tabla35108131534[[#This Row],[total_sec]]</f>
        <v>0.650793650793651</v>
      </c>
      <c r="J28" s="9" t="n">
        <f aca="false">Tabla35108131534[[#This Row],[efec_cor]]/Tabla35108131534[[#This Row],[efec]]</f>
        <v>0.830769230769231</v>
      </c>
      <c r="K28" s="9" t="n">
        <f aca="false">Tabla35108131534[[#This Row],[efect_inc]]/Tabla35108131534[[#This Row],[efec]]</f>
        <v>0.169230769230769</v>
      </c>
      <c r="L28" s="9" t="n">
        <f aca="false">Tabla35108131534[[#This Row],[no_efec_cor]]/Tabla35108131534[[#This Row],[no_efe]]</f>
        <v>0.459016393442623</v>
      </c>
      <c r="M28" s="9" t="n">
        <f aca="false">Tabla35108131534[[#This Row],[no_efec_inc]]/Tabla35108131534[[#This Row],[no_efe]]</f>
        <v>0.540983606557377</v>
      </c>
      <c r="N28" s="9" t="n">
        <f aca="false">(Tabla35108131534[[#This Row],[% efe_cor]]+Tabla35108131534[[#This Row],[% no_efe_cor]])/2</f>
        <v>0.644892812105927</v>
      </c>
      <c r="O28" s="10" t="n">
        <f aca="false">(Tabla35108131534[[#This Row],[% efe_inc]]+Tabla35108131534[[#This Row],[% no_efect_inc]])/2</f>
        <v>0.355107187894073</v>
      </c>
      <c r="P28" s="11" t="n">
        <f aca="false">Tabla35108131534[[#This Row],[no_efec_cor]]/(Tabla35108131534[[#This Row],[efect_inc]]+Tabla35108131534[[#This Row],[no_efec_cor]])</f>
        <v>0.717948717948718</v>
      </c>
      <c r="Q28" s="11" t="n">
        <f aca="false">Tabla35108131534[[#This Row],[efec_cor]]/(Tabla35108131534[[#This Row],[efec_cor]]+Tabla35108131534[[#This Row],[no_efec_inc]])</f>
        <v>0.620689655172414</v>
      </c>
      <c r="R28" s="11" t="n">
        <f aca="false">(Tabla35108131534[[#This Row],[PNE]]+Tabla35108131534[[#This Row],[PE]])/2</f>
        <v>0.669319186560566</v>
      </c>
      <c r="S28" s="0" t="n">
        <v>65</v>
      </c>
      <c r="T28" s="0" t="n">
        <v>61</v>
      </c>
      <c r="U28" s="0" t="n">
        <f aca="false">Tabla35108131534[[#This Row],[efec]]+Tabla35108131534[[#This Row],[no_efe]]</f>
        <v>126</v>
      </c>
    </row>
    <row r="29" customFormat="false" ht="13.8" hidden="false" customHeight="false" outlineLevel="0" collapsed="false">
      <c r="A29" s="0" t="n">
        <v>1</v>
      </c>
      <c r="B29" s="0" t="n">
        <v>0.5</v>
      </c>
      <c r="C29" s="0" t="n">
        <v>36</v>
      </c>
      <c r="D29" s="0" t="n">
        <v>25</v>
      </c>
      <c r="E29" s="0" t="n">
        <v>52</v>
      </c>
      <c r="F29" s="0" t="n">
        <v>13</v>
      </c>
      <c r="G29" s="0" t="n">
        <f aca="false">Tabla35108131534[[#This Row],[no_efec_cor]]+Tabla35108131534[[#This Row],[efec_cor]]</f>
        <v>88</v>
      </c>
      <c r="H29" s="0" t="n">
        <f aca="false">Tabla35108131534[[#This Row],[no_efec_inc]]+Tabla35108131534[[#This Row],[efect_inc]]</f>
        <v>38</v>
      </c>
      <c r="I29" s="9" t="n">
        <f aca="false">Tabla35108131534[[#This Row],[Correctos]]/Tabla35108131534[[#This Row],[total_sec]]</f>
        <v>0.698412698412698</v>
      </c>
      <c r="J29" s="9" t="n">
        <f aca="false">Tabla35108131534[[#This Row],[efec_cor]]/Tabla35108131534[[#This Row],[efec]]</f>
        <v>0.8</v>
      </c>
      <c r="K29" s="9" t="n">
        <f aca="false">Tabla35108131534[[#This Row],[efect_inc]]/Tabla35108131534[[#This Row],[efec]]</f>
        <v>0.2</v>
      </c>
      <c r="L29" s="9" t="n">
        <f aca="false">Tabla35108131534[[#This Row],[no_efec_cor]]/Tabla35108131534[[#This Row],[no_efe]]</f>
        <v>0.590163934426229</v>
      </c>
      <c r="M29" s="9" t="n">
        <f aca="false">Tabla35108131534[[#This Row],[no_efec_inc]]/Tabla35108131534[[#This Row],[no_efe]]</f>
        <v>0.40983606557377</v>
      </c>
      <c r="N29" s="9" t="n">
        <f aca="false">(Tabla35108131534[[#This Row],[% efe_cor]]+Tabla35108131534[[#This Row],[% no_efe_cor]])/2</f>
        <v>0.695081967213115</v>
      </c>
      <c r="O29" s="10" t="n">
        <f aca="false">(Tabla35108131534[[#This Row],[% efe_inc]]+Tabla35108131534[[#This Row],[% no_efect_inc]])/2</f>
        <v>0.304918032786885</v>
      </c>
      <c r="P29" s="11" t="n">
        <f aca="false">Tabla35108131534[[#This Row],[no_efec_cor]]/(Tabla35108131534[[#This Row],[efect_inc]]+Tabla35108131534[[#This Row],[no_efec_cor]])</f>
        <v>0.73469387755102</v>
      </c>
      <c r="Q29" s="11" t="n">
        <f aca="false">Tabla35108131534[[#This Row],[efec_cor]]/(Tabla35108131534[[#This Row],[efec_cor]]+Tabla35108131534[[#This Row],[no_efec_inc]])</f>
        <v>0.675324675324675</v>
      </c>
      <c r="R29" s="11" t="n">
        <f aca="false">(Tabla35108131534[[#This Row],[PNE]]+Tabla35108131534[[#This Row],[PE]])/2</f>
        <v>0.705009276437848</v>
      </c>
      <c r="S29" s="0" t="n">
        <v>65</v>
      </c>
      <c r="T29" s="0" t="n">
        <v>61</v>
      </c>
      <c r="U29" s="0" t="n">
        <f aca="false">Tabla35108131534[[#This Row],[efec]]+Tabla35108131534[[#This Row],[no_efe]]</f>
        <v>126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39</v>
      </c>
      <c r="D30" s="0" t="n">
        <v>22</v>
      </c>
      <c r="E30" s="0" t="n">
        <v>49</v>
      </c>
      <c r="F30" s="0" t="n">
        <v>16</v>
      </c>
      <c r="G30" s="0" t="n">
        <f aca="false">Tabla35108131534[[#This Row],[no_efec_cor]]+Tabla35108131534[[#This Row],[efec_cor]]</f>
        <v>88</v>
      </c>
      <c r="H30" s="0" t="n">
        <f aca="false">Tabla35108131534[[#This Row],[no_efec_inc]]+Tabla35108131534[[#This Row],[efect_inc]]</f>
        <v>38</v>
      </c>
      <c r="I30" s="9" t="n">
        <f aca="false">Tabla35108131534[[#This Row],[Correctos]]/Tabla35108131534[[#This Row],[total_sec]]</f>
        <v>0.698412698412698</v>
      </c>
      <c r="J30" s="9" t="n">
        <f aca="false">Tabla35108131534[[#This Row],[efec_cor]]/Tabla35108131534[[#This Row],[efec]]</f>
        <v>0.753846153846154</v>
      </c>
      <c r="K30" s="9" t="n">
        <f aca="false">Tabla35108131534[[#This Row],[efect_inc]]/Tabla35108131534[[#This Row],[efec]]</f>
        <v>0.246153846153846</v>
      </c>
      <c r="L30" s="9" t="n">
        <f aca="false">Tabla35108131534[[#This Row],[no_efec_cor]]/Tabla35108131534[[#This Row],[no_efe]]</f>
        <v>0.639344262295082</v>
      </c>
      <c r="M30" s="9" t="n">
        <f aca="false">Tabla35108131534[[#This Row],[no_efec_inc]]/Tabla35108131534[[#This Row],[no_efe]]</f>
        <v>0.360655737704918</v>
      </c>
      <c r="N30" s="9" t="n">
        <f aca="false">(Tabla35108131534[[#This Row],[% efe_cor]]+Tabla35108131534[[#This Row],[% no_efe_cor]])/2</f>
        <v>0.696595208070618</v>
      </c>
      <c r="O30" s="10" t="n">
        <f aca="false">(Tabla35108131534[[#This Row],[% efe_inc]]+Tabla35108131534[[#This Row],[% no_efect_inc]])/2</f>
        <v>0.303404791929382</v>
      </c>
      <c r="P30" s="11" t="n">
        <f aca="false">Tabla35108131534[[#This Row],[no_efec_cor]]/(Tabla35108131534[[#This Row],[efect_inc]]+Tabla35108131534[[#This Row],[no_efec_cor]])</f>
        <v>0.709090909090909</v>
      </c>
      <c r="Q30" s="11" t="n">
        <f aca="false">Tabla35108131534[[#This Row],[efec_cor]]/(Tabla35108131534[[#This Row],[efec_cor]]+Tabla35108131534[[#This Row],[no_efec_inc]])</f>
        <v>0.690140845070423</v>
      </c>
      <c r="R30" s="11" t="n">
        <f aca="false">(Tabla35108131534[[#This Row],[PNE]]+Tabla35108131534[[#This Row],[PE]])/2</f>
        <v>0.699615877080666</v>
      </c>
      <c r="S30" s="0" t="n">
        <v>65</v>
      </c>
      <c r="T30" s="0" t="n">
        <v>61</v>
      </c>
      <c r="U30" s="0" t="n">
        <f aca="false">Tabla35108131534[[#This Row],[efec]]+Tabla35108131534[[#This Row],[no_efe]]</f>
        <v>126</v>
      </c>
    </row>
    <row r="31" customFormat="false" ht="13.8" hidden="false" customHeight="false" outlineLevel="0" collapsed="false">
      <c r="A31" s="0" t="n">
        <v>1</v>
      </c>
      <c r="B31" s="0" t="n">
        <v>2</v>
      </c>
      <c r="C31" s="0" t="n">
        <v>34</v>
      </c>
      <c r="D31" s="0" t="n">
        <v>27</v>
      </c>
      <c r="E31" s="0" t="n">
        <v>56</v>
      </c>
      <c r="F31" s="0" t="n">
        <v>9</v>
      </c>
      <c r="G31" s="0" t="n">
        <f aca="false">Tabla35108131534[[#This Row],[no_efec_cor]]+Tabla35108131534[[#This Row],[efec_cor]]</f>
        <v>90</v>
      </c>
      <c r="H31" s="0" t="n">
        <f aca="false">Tabla35108131534[[#This Row],[no_efec_inc]]+Tabla35108131534[[#This Row],[efect_inc]]</f>
        <v>36</v>
      </c>
      <c r="I31" s="9" t="n">
        <f aca="false">Tabla35108131534[[#This Row],[Correctos]]/Tabla35108131534[[#This Row],[total_sec]]</f>
        <v>0.714285714285714</v>
      </c>
      <c r="J31" s="9" t="n">
        <f aca="false">Tabla35108131534[[#This Row],[efec_cor]]/Tabla35108131534[[#This Row],[efec]]</f>
        <v>0.861538461538462</v>
      </c>
      <c r="K31" s="9" t="n">
        <f aca="false">Tabla35108131534[[#This Row],[efect_inc]]/Tabla35108131534[[#This Row],[efec]]</f>
        <v>0.138461538461538</v>
      </c>
      <c r="L31" s="9" t="n">
        <f aca="false">Tabla35108131534[[#This Row],[no_efec_cor]]/Tabla35108131534[[#This Row],[no_efe]]</f>
        <v>0.557377049180328</v>
      </c>
      <c r="M31" s="9" t="n">
        <f aca="false">Tabla35108131534[[#This Row],[no_efec_inc]]/Tabla35108131534[[#This Row],[no_efe]]</f>
        <v>0.442622950819672</v>
      </c>
      <c r="N31" s="9" t="n">
        <f aca="false">(Tabla35108131534[[#This Row],[% efe_cor]]+Tabla35108131534[[#This Row],[% no_efe_cor]])/2</f>
        <v>0.709457755359395</v>
      </c>
      <c r="O31" s="10" t="n">
        <f aca="false">(Tabla35108131534[[#This Row],[% efe_inc]]+Tabla35108131534[[#This Row],[% no_efect_inc]])/2</f>
        <v>0.290542244640605</v>
      </c>
      <c r="P31" s="11" t="n">
        <f aca="false">Tabla35108131534[[#This Row],[no_efec_cor]]/(Tabla35108131534[[#This Row],[efect_inc]]+Tabla35108131534[[#This Row],[no_efec_cor]])</f>
        <v>0.790697674418605</v>
      </c>
      <c r="Q31" s="11" t="n">
        <f aca="false">Tabla35108131534[[#This Row],[efec_cor]]/(Tabla35108131534[[#This Row],[efec_cor]]+Tabla35108131534[[#This Row],[no_efec_inc]])</f>
        <v>0.674698795180723</v>
      </c>
      <c r="R31" s="11" t="n">
        <f aca="false">(Tabla35108131534[[#This Row],[PNE]]+Tabla35108131534[[#This Row],[PE]])/2</f>
        <v>0.732698234799664</v>
      </c>
      <c r="S31" s="0" t="n">
        <v>65</v>
      </c>
      <c r="T31" s="0" t="n">
        <v>61</v>
      </c>
      <c r="U31" s="0" t="n">
        <f aca="false">Tabla35108131534[[#This Row],[efec]]+Tabla35108131534[[#This Row],[no_efe]]</f>
        <v>126</v>
      </c>
    </row>
    <row r="32" customFormat="false" ht="13.8" hidden="false" customHeight="false" outlineLevel="0" collapsed="false">
      <c r="A32" s="0" t="n">
        <v>1</v>
      </c>
      <c r="B32" s="0" t="n">
        <v>3</v>
      </c>
      <c r="C32" s="0" t="n">
        <v>33</v>
      </c>
      <c r="D32" s="0" t="n">
        <v>28</v>
      </c>
      <c r="E32" s="0" t="n">
        <v>58</v>
      </c>
      <c r="F32" s="0" t="n">
        <v>7</v>
      </c>
      <c r="G32" s="0" t="n">
        <f aca="false">Tabla35108131534[[#This Row],[no_efec_cor]]+Tabla35108131534[[#This Row],[efec_cor]]</f>
        <v>91</v>
      </c>
      <c r="H32" s="0" t="n">
        <f aca="false">Tabla35108131534[[#This Row],[no_efec_inc]]+Tabla35108131534[[#This Row],[efect_inc]]</f>
        <v>35</v>
      </c>
      <c r="I32" s="9" t="n">
        <f aca="false">Tabla35108131534[[#This Row],[Correctos]]/Tabla35108131534[[#This Row],[total_sec]]</f>
        <v>0.722222222222222</v>
      </c>
      <c r="J32" s="9" t="n">
        <f aca="false">Tabla35108131534[[#This Row],[efec_cor]]/Tabla35108131534[[#This Row],[efec]]</f>
        <v>0.892307692307692</v>
      </c>
      <c r="K32" s="9" t="n">
        <f aca="false">Tabla35108131534[[#This Row],[efect_inc]]/Tabla35108131534[[#This Row],[efec]]</f>
        <v>0.107692307692308</v>
      </c>
      <c r="L32" s="9" t="n">
        <f aca="false">Tabla35108131534[[#This Row],[no_efec_cor]]/Tabla35108131534[[#This Row],[no_efe]]</f>
        <v>0.540983606557377</v>
      </c>
      <c r="M32" s="9" t="n">
        <f aca="false">Tabla35108131534[[#This Row],[no_efec_inc]]/Tabla35108131534[[#This Row],[no_efe]]</f>
        <v>0.459016393442623</v>
      </c>
      <c r="N32" s="9" t="n">
        <f aca="false">(Tabla35108131534[[#This Row],[% efe_cor]]+Tabla35108131534[[#This Row],[% no_efe_cor]])/2</f>
        <v>0.716645649432535</v>
      </c>
      <c r="O32" s="10" t="n">
        <f aca="false">(Tabla35108131534[[#This Row],[% efe_inc]]+Tabla35108131534[[#This Row],[% no_efect_inc]])/2</f>
        <v>0.283354350567465</v>
      </c>
      <c r="P32" s="11" t="n">
        <f aca="false">Tabla35108131534[[#This Row],[no_efec_cor]]/(Tabla35108131534[[#This Row],[efect_inc]]+Tabla35108131534[[#This Row],[no_efec_cor]])</f>
        <v>0.825</v>
      </c>
      <c r="Q32" s="11" t="n">
        <f aca="false">Tabla35108131534[[#This Row],[efec_cor]]/(Tabla35108131534[[#This Row],[efec_cor]]+Tabla35108131534[[#This Row],[no_efec_inc]])</f>
        <v>0.674418604651163</v>
      </c>
      <c r="R32" s="11" t="n">
        <f aca="false">(Tabla35108131534[[#This Row],[PNE]]+Tabla35108131534[[#This Row],[PE]])/2</f>
        <v>0.749709302325581</v>
      </c>
      <c r="S32" s="0" t="n">
        <v>65</v>
      </c>
      <c r="T32" s="0" t="n">
        <v>61</v>
      </c>
      <c r="U32" s="0" t="n">
        <f aca="false">Tabla35108131534[[#This Row],[efec]]+Tabla35108131534[[#This Row],[no_efe]]</f>
        <v>126</v>
      </c>
    </row>
    <row r="33" customFormat="false" ht="13.8" hidden="false" customHeight="false" outlineLevel="0" collapsed="false">
      <c r="A33" s="0" t="n">
        <v>1</v>
      </c>
      <c r="B33" s="0" t="n">
        <v>5</v>
      </c>
      <c r="C33" s="0" t="n">
        <v>31</v>
      </c>
      <c r="D33" s="0" t="n">
        <v>30</v>
      </c>
      <c r="E33" s="0" t="n">
        <v>60</v>
      </c>
      <c r="F33" s="0" t="n">
        <v>5</v>
      </c>
      <c r="G33" s="0" t="n">
        <f aca="false">Tabla35108131534[[#This Row],[no_efec_cor]]+Tabla35108131534[[#This Row],[efec_cor]]</f>
        <v>91</v>
      </c>
      <c r="H33" s="0" t="n">
        <f aca="false">Tabla35108131534[[#This Row],[no_efec_inc]]+Tabla35108131534[[#This Row],[efect_inc]]</f>
        <v>35</v>
      </c>
      <c r="I33" s="9" t="n">
        <f aca="false">Tabla35108131534[[#This Row],[Correctos]]/Tabla35108131534[[#This Row],[total_sec]]</f>
        <v>0.722222222222222</v>
      </c>
      <c r="J33" s="9" t="n">
        <f aca="false">Tabla35108131534[[#This Row],[efec_cor]]/Tabla35108131534[[#This Row],[efec]]</f>
        <v>0.923076923076923</v>
      </c>
      <c r="K33" s="9" t="n">
        <f aca="false">Tabla35108131534[[#This Row],[efect_inc]]/Tabla35108131534[[#This Row],[efec]]</f>
        <v>0.0769230769230769</v>
      </c>
      <c r="L33" s="9" t="n">
        <f aca="false">Tabla35108131534[[#This Row],[no_efec_cor]]/Tabla35108131534[[#This Row],[no_efe]]</f>
        <v>0.508196721311475</v>
      </c>
      <c r="M33" s="9" t="n">
        <f aca="false">Tabla35108131534[[#This Row],[no_efec_inc]]/Tabla35108131534[[#This Row],[no_efe]]</f>
        <v>0.491803278688525</v>
      </c>
      <c r="N33" s="9" t="n">
        <f aca="false">(Tabla35108131534[[#This Row],[% efe_cor]]+Tabla35108131534[[#This Row],[% no_efe_cor]])/2</f>
        <v>0.715636822194199</v>
      </c>
      <c r="O33" s="10" t="n">
        <f aca="false">(Tabla35108131534[[#This Row],[% efe_inc]]+Tabla35108131534[[#This Row],[% no_efect_inc]])/2</f>
        <v>0.284363177805801</v>
      </c>
      <c r="P33" s="11" t="n">
        <f aca="false">Tabla35108131534[[#This Row],[no_efec_cor]]/(Tabla35108131534[[#This Row],[efect_inc]]+Tabla35108131534[[#This Row],[no_efec_cor]])</f>
        <v>0.861111111111111</v>
      </c>
      <c r="Q33" s="11" t="n">
        <f aca="false">Tabla35108131534[[#This Row],[efec_cor]]/(Tabla35108131534[[#This Row],[efec_cor]]+Tabla35108131534[[#This Row],[no_efec_inc]])</f>
        <v>0.666666666666667</v>
      </c>
      <c r="R33" s="11" t="n">
        <f aca="false">(Tabla35108131534[[#This Row],[PNE]]+Tabla35108131534[[#This Row],[PE]])/2</f>
        <v>0.763888888888889</v>
      </c>
      <c r="S33" s="0" t="n">
        <v>65</v>
      </c>
      <c r="T33" s="0" t="n">
        <v>61</v>
      </c>
      <c r="U33" s="0" t="n">
        <f aca="false">Tabla35108131534[[#This Row],[efec]]+Tabla35108131534[[#This Row],[no_efe]]</f>
        <v>126</v>
      </c>
    </row>
    <row r="34" customFormat="false" ht="13.8" hidden="false" customHeight="false" outlineLevel="0" collapsed="false">
      <c r="A34" s="0" t="n">
        <v>2</v>
      </c>
      <c r="B34" s="0" t="n">
        <v>0.5</v>
      </c>
      <c r="C34" s="0" t="n">
        <v>45</v>
      </c>
      <c r="D34" s="0" t="n">
        <v>16</v>
      </c>
      <c r="E34" s="0" t="n">
        <v>46</v>
      </c>
      <c r="F34" s="0" t="n">
        <v>19</v>
      </c>
      <c r="G34" s="0" t="n">
        <f aca="false">Tabla35108131534[[#This Row],[no_efec_cor]]+Tabla35108131534[[#This Row],[efec_cor]]</f>
        <v>91</v>
      </c>
      <c r="H34" s="0" t="n">
        <f aca="false">Tabla35108131534[[#This Row],[no_efec_inc]]+Tabla35108131534[[#This Row],[efect_inc]]</f>
        <v>35</v>
      </c>
      <c r="I34" s="9" t="n">
        <f aca="false">Tabla35108131534[[#This Row],[Correctos]]/Tabla35108131534[[#This Row],[total_sec]]</f>
        <v>0.722222222222222</v>
      </c>
      <c r="J34" s="9" t="n">
        <f aca="false">Tabla35108131534[[#This Row],[efec_cor]]/Tabla35108131534[[#This Row],[efec]]</f>
        <v>0.707692307692308</v>
      </c>
      <c r="K34" s="9" t="n">
        <f aca="false">Tabla35108131534[[#This Row],[efect_inc]]/Tabla35108131534[[#This Row],[efec]]</f>
        <v>0.292307692307692</v>
      </c>
      <c r="L34" s="9" t="n">
        <f aca="false">Tabla35108131534[[#This Row],[no_efec_cor]]/Tabla35108131534[[#This Row],[no_efe]]</f>
        <v>0.737704918032787</v>
      </c>
      <c r="M34" s="9" t="n">
        <f aca="false">Tabla35108131534[[#This Row],[no_efec_inc]]/Tabla35108131534[[#This Row],[no_efe]]</f>
        <v>0.262295081967213</v>
      </c>
      <c r="N34" s="9" t="n">
        <f aca="false">(Tabla35108131534[[#This Row],[% efe_cor]]+Tabla35108131534[[#This Row],[% no_efe_cor]])/2</f>
        <v>0.722698612862547</v>
      </c>
      <c r="O34" s="10" t="n">
        <f aca="false">(Tabla35108131534[[#This Row],[% efe_inc]]+Tabla35108131534[[#This Row],[% no_efect_inc]])/2</f>
        <v>0.277301387137453</v>
      </c>
      <c r="P34" s="11" t="n">
        <f aca="false">Tabla35108131534[[#This Row],[no_efec_cor]]/(Tabla35108131534[[#This Row],[efect_inc]]+Tabla35108131534[[#This Row],[no_efec_cor]])</f>
        <v>0.703125</v>
      </c>
      <c r="Q34" s="11" t="n">
        <f aca="false">Tabla35108131534[[#This Row],[efec_cor]]/(Tabla35108131534[[#This Row],[efec_cor]]+Tabla35108131534[[#This Row],[no_efec_inc]])</f>
        <v>0.741935483870968</v>
      </c>
      <c r="R34" s="11" t="n">
        <f aca="false">(Tabla35108131534[[#This Row],[PNE]]+Tabla35108131534[[#This Row],[PE]])/2</f>
        <v>0.722530241935484</v>
      </c>
      <c r="S34" s="0" t="n">
        <v>65</v>
      </c>
      <c r="T34" s="0" t="n">
        <v>61</v>
      </c>
      <c r="U34" s="0" t="n">
        <f aca="false">Tabla35108131534[[#This Row],[efec]]+Tabla35108131534[[#This Row],[no_efe]]</f>
        <v>126</v>
      </c>
    </row>
    <row r="35" customFormat="false" ht="13.8" hidden="false" customHeight="false" outlineLevel="0" collapsed="false">
      <c r="A35" s="0" t="n">
        <v>3</v>
      </c>
      <c r="B35" s="0" t="n">
        <v>0.5</v>
      </c>
      <c r="C35" s="0" t="n">
        <v>45</v>
      </c>
      <c r="D35" s="0" t="n">
        <v>16</v>
      </c>
      <c r="E35" s="0" t="n">
        <v>47</v>
      </c>
      <c r="F35" s="0" t="n">
        <v>18</v>
      </c>
      <c r="G35" s="0" t="n">
        <f aca="false">Tabla35108131534[[#This Row],[no_efec_cor]]+Tabla35108131534[[#This Row],[efec_cor]]</f>
        <v>92</v>
      </c>
      <c r="H35" s="0" t="n">
        <f aca="false">Tabla35108131534[[#This Row],[no_efec_inc]]+Tabla35108131534[[#This Row],[efect_inc]]</f>
        <v>34</v>
      </c>
      <c r="I35" s="9" t="n">
        <f aca="false">Tabla35108131534[[#This Row],[Correctos]]/Tabla35108131534[[#This Row],[total_sec]]</f>
        <v>0.73015873015873</v>
      </c>
      <c r="J35" s="9" t="n">
        <f aca="false">Tabla35108131534[[#This Row],[efec_cor]]/Tabla35108131534[[#This Row],[efec]]</f>
        <v>0.723076923076923</v>
      </c>
      <c r="K35" s="9" t="n">
        <f aca="false">Tabla35108131534[[#This Row],[efect_inc]]/Tabla35108131534[[#This Row],[efec]]</f>
        <v>0.276923076923077</v>
      </c>
      <c r="L35" s="9" t="n">
        <f aca="false">Tabla35108131534[[#This Row],[no_efec_cor]]/Tabla35108131534[[#This Row],[no_efe]]</f>
        <v>0.737704918032787</v>
      </c>
      <c r="M35" s="9" t="n">
        <f aca="false">Tabla35108131534[[#This Row],[no_efec_inc]]/Tabla35108131534[[#This Row],[no_efe]]</f>
        <v>0.262295081967213</v>
      </c>
      <c r="N35" s="9" t="n">
        <f aca="false">(Tabla35108131534[[#This Row],[% efe_cor]]+Tabla35108131534[[#This Row],[% no_efe_cor]])/2</f>
        <v>0.730390920554855</v>
      </c>
      <c r="O35" s="10" t="n">
        <f aca="false">(Tabla35108131534[[#This Row],[% efe_inc]]+Tabla35108131534[[#This Row],[% no_efect_inc]])/2</f>
        <v>0.269609079445145</v>
      </c>
      <c r="P35" s="11" t="n">
        <f aca="false">Tabla35108131534[[#This Row],[no_efec_cor]]/(Tabla35108131534[[#This Row],[efect_inc]]+Tabla35108131534[[#This Row],[no_efec_cor]])</f>
        <v>0.714285714285714</v>
      </c>
      <c r="Q35" s="11" t="n">
        <f aca="false">Tabla35108131534[[#This Row],[efec_cor]]/(Tabla35108131534[[#This Row],[efec_cor]]+Tabla35108131534[[#This Row],[no_efec_inc]])</f>
        <v>0.746031746031746</v>
      </c>
      <c r="R35" s="11" t="n">
        <f aca="false">(Tabla35108131534[[#This Row],[PNE]]+Tabla35108131534[[#This Row],[PE]])/2</f>
        <v>0.73015873015873</v>
      </c>
      <c r="S35" s="0" t="n">
        <v>65</v>
      </c>
      <c r="T35" s="0" t="n">
        <v>61</v>
      </c>
      <c r="U35" s="0" t="n">
        <f aca="false">Tabla35108131534[[#This Row],[efec]]+Tabla35108131534[[#This Row],[no_efe]]</f>
        <v>126</v>
      </c>
    </row>
    <row r="36" customFormat="false" ht="13.8" hidden="false" customHeight="false" outlineLevel="0" collapsed="false">
      <c r="A36" s="0" t="n">
        <v>5</v>
      </c>
      <c r="B36" s="0" t="n">
        <v>0.5</v>
      </c>
      <c r="C36" s="0" t="n">
        <v>45</v>
      </c>
      <c r="D36" s="0" t="n">
        <v>16</v>
      </c>
      <c r="E36" s="0" t="n">
        <v>46</v>
      </c>
      <c r="F36" s="0" t="n">
        <v>19</v>
      </c>
      <c r="G36" s="0" t="n">
        <f aca="false">Tabla35108131534[[#This Row],[no_efec_cor]]+Tabla35108131534[[#This Row],[efec_cor]]</f>
        <v>91</v>
      </c>
      <c r="H36" s="0" t="n">
        <f aca="false">Tabla35108131534[[#This Row],[no_efec_inc]]+Tabla35108131534[[#This Row],[efect_inc]]</f>
        <v>35</v>
      </c>
      <c r="I36" s="9" t="n">
        <f aca="false">Tabla35108131534[[#This Row],[Correctos]]/Tabla35108131534[[#This Row],[total_sec]]</f>
        <v>0.722222222222222</v>
      </c>
      <c r="J36" s="9" t="n">
        <f aca="false">Tabla35108131534[[#This Row],[efec_cor]]/Tabla35108131534[[#This Row],[efec]]</f>
        <v>0.707692307692308</v>
      </c>
      <c r="K36" s="9" t="n">
        <f aca="false">Tabla35108131534[[#This Row],[efect_inc]]/Tabla35108131534[[#This Row],[efec]]</f>
        <v>0.292307692307692</v>
      </c>
      <c r="L36" s="9" t="n">
        <f aca="false">Tabla35108131534[[#This Row],[no_efec_cor]]/Tabla35108131534[[#This Row],[no_efe]]</f>
        <v>0.737704918032787</v>
      </c>
      <c r="M36" s="9" t="n">
        <f aca="false">Tabla35108131534[[#This Row],[no_efec_inc]]/Tabla35108131534[[#This Row],[no_efe]]</f>
        <v>0.262295081967213</v>
      </c>
      <c r="N36" s="9" t="n">
        <f aca="false">(Tabla35108131534[[#This Row],[% efe_cor]]+Tabla35108131534[[#This Row],[% no_efe_cor]])/2</f>
        <v>0.722698612862547</v>
      </c>
      <c r="O36" s="10" t="n">
        <f aca="false">(Tabla35108131534[[#This Row],[% efe_inc]]+Tabla35108131534[[#This Row],[% no_efect_inc]])/2</f>
        <v>0.277301387137453</v>
      </c>
      <c r="P36" s="11" t="n">
        <f aca="false">Tabla35108131534[[#This Row],[no_efec_cor]]/(Tabla35108131534[[#This Row],[efect_inc]]+Tabla35108131534[[#This Row],[no_efec_cor]])</f>
        <v>0.703125</v>
      </c>
      <c r="Q36" s="11" t="n">
        <f aca="false">Tabla35108131534[[#This Row],[efec_cor]]/(Tabla35108131534[[#This Row],[efec_cor]]+Tabla35108131534[[#This Row],[no_efec_inc]])</f>
        <v>0.741935483870968</v>
      </c>
      <c r="R36" s="11" t="n">
        <f aca="false">(Tabla35108131534[[#This Row],[PNE]]+Tabla35108131534[[#This Row],[PE]])/2</f>
        <v>0.722530241935484</v>
      </c>
      <c r="S36" s="0" t="n">
        <v>65</v>
      </c>
      <c r="T36" s="0" t="n">
        <v>61</v>
      </c>
      <c r="U36" s="0" t="n">
        <f aca="false">Tabla35108131534[[#This Row],[efec]]+Tabla35108131534[[#This Row],[no_efe]]</f>
        <v>126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n">
        <v>43</v>
      </c>
      <c r="D37" s="0" t="n">
        <v>18</v>
      </c>
      <c r="E37" s="0" t="n">
        <v>47</v>
      </c>
      <c r="F37" s="0" t="n">
        <v>18</v>
      </c>
      <c r="G37" s="0" t="n">
        <f aca="false">Tabla35108131534[[#This Row],[no_efec_cor]]+Tabla35108131534[[#This Row],[efec_cor]]</f>
        <v>90</v>
      </c>
      <c r="H37" s="0" t="n">
        <f aca="false">Tabla35108131534[[#This Row],[no_efec_inc]]+Tabla35108131534[[#This Row],[efect_inc]]</f>
        <v>36</v>
      </c>
      <c r="I37" s="9" t="n">
        <f aca="false">Tabla35108131534[[#This Row],[Correctos]]/Tabla35108131534[[#This Row],[total_sec]]</f>
        <v>0.714285714285714</v>
      </c>
      <c r="J37" s="9" t="n">
        <f aca="false">Tabla35108131534[[#This Row],[efec_cor]]/Tabla35108131534[[#This Row],[efec]]</f>
        <v>0.723076923076923</v>
      </c>
      <c r="K37" s="9" t="n">
        <f aca="false">Tabla35108131534[[#This Row],[efect_inc]]/Tabla35108131534[[#This Row],[efec]]</f>
        <v>0.276923076923077</v>
      </c>
      <c r="L37" s="9" t="n">
        <f aca="false">Tabla35108131534[[#This Row],[no_efec_cor]]/Tabla35108131534[[#This Row],[no_efe]]</f>
        <v>0.704918032786885</v>
      </c>
      <c r="M37" s="9" t="n">
        <f aca="false">Tabla35108131534[[#This Row],[no_efec_inc]]/Tabla35108131534[[#This Row],[no_efe]]</f>
        <v>0.295081967213115</v>
      </c>
      <c r="N37" s="9" t="n">
        <f aca="false">(Tabla35108131534[[#This Row],[% efe_cor]]+Tabla35108131534[[#This Row],[% no_efe_cor]])/2</f>
        <v>0.713997477931904</v>
      </c>
      <c r="O37" s="10" t="n">
        <f aca="false">(Tabla35108131534[[#This Row],[% efe_inc]]+Tabla35108131534[[#This Row],[% no_efect_inc]])/2</f>
        <v>0.286002522068096</v>
      </c>
      <c r="P37" s="11" t="n">
        <f aca="false">Tabla35108131534[[#This Row],[no_efec_cor]]/(Tabla35108131534[[#This Row],[efect_inc]]+Tabla35108131534[[#This Row],[no_efec_cor]])</f>
        <v>0.704918032786885</v>
      </c>
      <c r="Q37" s="11" t="n">
        <f aca="false">Tabla35108131534[[#This Row],[efec_cor]]/(Tabla35108131534[[#This Row],[efec_cor]]+Tabla35108131534[[#This Row],[no_efec_inc]])</f>
        <v>0.723076923076923</v>
      </c>
      <c r="R37" s="11" t="n">
        <f aca="false">(Tabla35108131534[[#This Row],[PNE]]+Tabla35108131534[[#This Row],[PE]])/2</f>
        <v>0.713997477931904</v>
      </c>
      <c r="S37" s="0" t="n">
        <v>65</v>
      </c>
      <c r="T37" s="0" t="n">
        <v>61</v>
      </c>
      <c r="U37" s="0" t="n">
        <f aca="false">Tabla35108131534[[#This Row],[efec]]+Tabla35108131534[[#This Row],[no_efe]]</f>
        <v>126</v>
      </c>
    </row>
    <row r="38" customFormat="false" ht="13.8" hidden="false" customHeight="false" outlineLevel="0" collapsed="false">
      <c r="A38" s="0" t="n">
        <v>0.5</v>
      </c>
      <c r="B38" s="0" t="n">
        <v>1</v>
      </c>
      <c r="C38" s="0" t="n">
        <v>23</v>
      </c>
      <c r="D38" s="0" t="n">
        <v>38</v>
      </c>
      <c r="E38" s="0" t="n">
        <v>61</v>
      </c>
      <c r="F38" s="0" t="n">
        <v>4</v>
      </c>
      <c r="G38" s="0" t="n">
        <f aca="false">Tabla35108131534[[#This Row],[no_efec_cor]]+Tabla35108131534[[#This Row],[efec_cor]]</f>
        <v>84</v>
      </c>
      <c r="H38" s="0" t="n">
        <f aca="false">Tabla35108131534[[#This Row],[no_efec_inc]]+Tabla35108131534[[#This Row],[efect_inc]]</f>
        <v>42</v>
      </c>
      <c r="I38" s="9" t="n">
        <f aca="false">Tabla35108131534[[#This Row],[Correctos]]/Tabla35108131534[[#This Row],[total_sec]]</f>
        <v>0.666666666666667</v>
      </c>
      <c r="J38" s="9" t="n">
        <f aca="false">Tabla35108131534[[#This Row],[efec_cor]]/Tabla35108131534[[#This Row],[efec]]</f>
        <v>0.938461538461538</v>
      </c>
      <c r="K38" s="9" t="n">
        <f aca="false">Tabla35108131534[[#This Row],[efect_inc]]/Tabla35108131534[[#This Row],[efec]]</f>
        <v>0.0615384615384615</v>
      </c>
      <c r="L38" s="9" t="n">
        <f aca="false">Tabla35108131534[[#This Row],[no_efec_cor]]/Tabla35108131534[[#This Row],[no_efe]]</f>
        <v>0.377049180327869</v>
      </c>
      <c r="M38" s="9" t="n">
        <f aca="false">Tabla35108131534[[#This Row],[no_efec_inc]]/Tabla35108131534[[#This Row],[no_efe]]</f>
        <v>0.622950819672131</v>
      </c>
      <c r="N38" s="9" t="n">
        <f aca="false">(Tabla35108131534[[#This Row],[% efe_cor]]+Tabla35108131534[[#This Row],[% no_efe_cor]])/2</f>
        <v>0.657755359394704</v>
      </c>
      <c r="O38" s="10" t="n">
        <f aca="false">(Tabla35108131534[[#This Row],[% efe_inc]]+Tabla35108131534[[#This Row],[% no_efect_inc]])/2</f>
        <v>0.342244640605296</v>
      </c>
      <c r="P38" s="11" t="n">
        <f aca="false">Tabla35108131534[[#This Row],[no_efec_cor]]/(Tabla35108131534[[#This Row],[efect_inc]]+Tabla35108131534[[#This Row],[no_efec_cor]])</f>
        <v>0.851851851851852</v>
      </c>
      <c r="Q38" s="11" t="n">
        <f aca="false">Tabla35108131534[[#This Row],[efec_cor]]/(Tabla35108131534[[#This Row],[efec_cor]]+Tabla35108131534[[#This Row],[no_efec_inc]])</f>
        <v>0.616161616161616</v>
      </c>
      <c r="R38" s="11" t="n">
        <f aca="false">(Tabla35108131534[[#This Row],[PNE]]+Tabla35108131534[[#This Row],[PE]])/2</f>
        <v>0.734006734006734</v>
      </c>
      <c r="S38" s="0" t="n">
        <v>65</v>
      </c>
      <c r="T38" s="0" t="n">
        <v>61</v>
      </c>
      <c r="U38" s="0" t="n">
        <f aca="false">Tabla35108131534[[#This Row],[efec]]+Tabla35108131534[[#This Row],[no_efe]]</f>
        <v>126</v>
      </c>
    </row>
    <row r="39" customFormat="false" ht="13.8" hidden="false" customHeight="false" outlineLevel="0" collapsed="false">
      <c r="A39" s="0" t="n">
        <v>0.1</v>
      </c>
      <c r="B39" s="0" t="n">
        <v>1</v>
      </c>
      <c r="C39" s="0" t="n">
        <v>8</v>
      </c>
      <c r="D39" s="0" t="n">
        <v>53</v>
      </c>
      <c r="E39" s="0" t="n">
        <v>64</v>
      </c>
      <c r="F39" s="0" t="n">
        <v>1</v>
      </c>
      <c r="G39" s="0" t="n">
        <f aca="false">Tabla35108131534[[#This Row],[no_efec_cor]]+Tabla35108131534[[#This Row],[efec_cor]]</f>
        <v>72</v>
      </c>
      <c r="H39" s="0" t="n">
        <f aca="false">Tabla35108131534[[#This Row],[no_efec_inc]]+Tabla35108131534[[#This Row],[efect_inc]]</f>
        <v>54</v>
      </c>
      <c r="I39" s="9" t="n">
        <f aca="false">Tabla35108131534[[#This Row],[Correctos]]/Tabla35108131534[[#This Row],[total_sec]]</f>
        <v>0.571428571428571</v>
      </c>
      <c r="J39" s="9" t="n">
        <f aca="false">Tabla35108131534[[#This Row],[efec_cor]]/Tabla35108131534[[#This Row],[efec]]</f>
        <v>0.984615384615385</v>
      </c>
      <c r="K39" s="9" t="n">
        <f aca="false">Tabla35108131534[[#This Row],[efect_inc]]/Tabla35108131534[[#This Row],[efec]]</f>
        <v>0.0153846153846154</v>
      </c>
      <c r="L39" s="9" t="n">
        <f aca="false">Tabla35108131534[[#This Row],[no_efec_cor]]/Tabla35108131534[[#This Row],[no_efe]]</f>
        <v>0.131147540983607</v>
      </c>
      <c r="M39" s="9" t="n">
        <f aca="false">Tabla35108131534[[#This Row],[no_efec_inc]]/Tabla35108131534[[#This Row],[no_efe]]</f>
        <v>0.868852459016393</v>
      </c>
      <c r="N39" s="9" t="n">
        <f aca="false">(Tabla35108131534[[#This Row],[% efe_cor]]+Tabla35108131534[[#This Row],[% no_efe_cor]])/2</f>
        <v>0.557881462799496</v>
      </c>
      <c r="O39" s="10" t="n">
        <f aca="false">(Tabla35108131534[[#This Row],[% efe_inc]]+Tabla35108131534[[#This Row],[% no_efect_inc]])/2</f>
        <v>0.442118537200504</v>
      </c>
      <c r="P39" s="11" t="n">
        <f aca="false">Tabla35108131534[[#This Row],[no_efec_cor]]/(Tabla35108131534[[#This Row],[efect_inc]]+Tabla35108131534[[#This Row],[no_efec_cor]])</f>
        <v>0.888888888888889</v>
      </c>
      <c r="Q39" s="11" t="n">
        <f aca="false">Tabla35108131534[[#This Row],[efec_cor]]/(Tabla35108131534[[#This Row],[efec_cor]]+Tabla35108131534[[#This Row],[no_efec_inc]])</f>
        <v>0.547008547008547</v>
      </c>
      <c r="R39" s="11" t="n">
        <f aca="false">(Tabla35108131534[[#This Row],[PNE]]+Tabla35108131534[[#This Row],[PE]])/2</f>
        <v>0.717948717948718</v>
      </c>
      <c r="S39" s="0" t="n">
        <v>65</v>
      </c>
      <c r="T39" s="0" t="n">
        <v>61</v>
      </c>
      <c r="U39" s="0" t="n">
        <f aca="false">Tabla35108131534[[#This Row],[efec]]+Tabla35108131534[[#This Row],[no_efe]]</f>
        <v>126</v>
      </c>
    </row>
    <row r="40" customFormat="false" ht="13.8" hidden="false" customHeight="false" outlineLevel="0" collapsed="false">
      <c r="A40" s="0" t="n">
        <v>0.5</v>
      </c>
      <c r="B40" s="0" t="n">
        <v>0.5</v>
      </c>
      <c r="C40" s="0" t="n">
        <v>29</v>
      </c>
      <c r="D40" s="0" t="n">
        <v>32</v>
      </c>
      <c r="E40" s="0" t="n">
        <v>57</v>
      </c>
      <c r="F40" s="0" t="n">
        <v>8</v>
      </c>
      <c r="G40" s="0" t="n">
        <f aca="false">Tabla35108131534[[#This Row],[no_efec_cor]]+Tabla35108131534[[#This Row],[efec_cor]]</f>
        <v>86</v>
      </c>
      <c r="H40" s="0" t="n">
        <f aca="false">Tabla35108131534[[#This Row],[no_efec_inc]]+Tabla35108131534[[#This Row],[efect_inc]]</f>
        <v>40</v>
      </c>
      <c r="I40" s="9" t="n">
        <f aca="false">Tabla35108131534[[#This Row],[Correctos]]/Tabla35108131534[[#This Row],[total_sec]]</f>
        <v>0.682539682539683</v>
      </c>
      <c r="J40" s="9" t="n">
        <f aca="false">Tabla35108131534[[#This Row],[efec_cor]]/Tabla35108131534[[#This Row],[efec]]</f>
        <v>0.876923076923077</v>
      </c>
      <c r="K40" s="9" t="n">
        <f aca="false">Tabla35108131534[[#This Row],[efect_inc]]/Tabla35108131534[[#This Row],[efec]]</f>
        <v>0.123076923076923</v>
      </c>
      <c r="L40" s="9" t="n">
        <f aca="false">Tabla35108131534[[#This Row],[no_efec_cor]]/Tabla35108131534[[#This Row],[no_efe]]</f>
        <v>0.475409836065574</v>
      </c>
      <c r="M40" s="9" t="n">
        <f aca="false">Tabla35108131534[[#This Row],[no_efec_inc]]/Tabla35108131534[[#This Row],[no_efe]]</f>
        <v>0.524590163934426</v>
      </c>
      <c r="N40" s="9" t="n">
        <f aca="false">(Tabla35108131534[[#This Row],[% efe_cor]]+Tabla35108131534[[#This Row],[% no_efe_cor]])/2</f>
        <v>0.676166456494325</v>
      </c>
      <c r="O40" s="10" t="n">
        <f aca="false">(Tabla35108131534[[#This Row],[% efe_inc]]+Tabla35108131534[[#This Row],[% no_efect_inc]])/2</f>
        <v>0.323833543505675</v>
      </c>
      <c r="P40" s="11" t="n">
        <f aca="false">Tabla35108131534[[#This Row],[no_efec_cor]]/(Tabla35108131534[[#This Row],[efect_inc]]+Tabla35108131534[[#This Row],[no_efec_cor]])</f>
        <v>0.783783783783784</v>
      </c>
      <c r="Q40" s="11" t="n">
        <f aca="false">Tabla35108131534[[#This Row],[efec_cor]]/(Tabla35108131534[[#This Row],[efec_cor]]+Tabla35108131534[[#This Row],[no_efec_inc]])</f>
        <v>0.640449438202247</v>
      </c>
      <c r="R40" s="11" t="n">
        <f aca="false">(Tabla35108131534[[#This Row],[PNE]]+Tabla35108131534[[#This Row],[PE]])/2</f>
        <v>0.712116610993015</v>
      </c>
      <c r="S40" s="0" t="n">
        <v>65</v>
      </c>
      <c r="T40" s="0" t="n">
        <v>61</v>
      </c>
      <c r="U40" s="0" t="n">
        <f aca="false">Tabla35108131534[[#This Row],[efec]]+Tabla35108131534[[#This Row],[no_efe]]</f>
        <v>126</v>
      </c>
    </row>
  </sheetData>
  <mergeCells count="9">
    <mergeCell ref="A1:U1"/>
    <mergeCell ref="A2:U2"/>
    <mergeCell ref="A4:B4"/>
    <mergeCell ref="A5:B5"/>
    <mergeCell ref="A6:B6"/>
    <mergeCell ref="A8:I8"/>
    <mergeCell ref="A21:U21"/>
    <mergeCell ref="A22:U22"/>
    <mergeCell ref="A25:I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1" sqref="A81:E91 C39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62</v>
      </c>
    </row>
    <row r="5" customFormat="false" ht="15" hidden="false" customHeight="false" outlineLevel="0" collapsed="false">
      <c r="A5" s="3" t="s">
        <v>3</v>
      </c>
      <c r="B5" s="3"/>
      <c r="C5" s="4" t="n">
        <v>65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127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48</v>
      </c>
      <c r="C10" s="0" t="n">
        <v>17</v>
      </c>
      <c r="D10" s="0" t="n">
        <v>41</v>
      </c>
      <c r="E10" s="0" t="n">
        <v>21</v>
      </c>
      <c r="F10" s="0" t="n">
        <f aca="false">Tabla351081315327[[#This Row],[no_efec_cor]]+Tabla351081315327[[#This Row],[efec_cor]]</f>
        <v>89</v>
      </c>
      <c r="G10" s="0" t="n">
        <f aca="false">Tabla351081315327[[#This Row],[no_efec_inc]]+Tabla351081315327[[#This Row],[efect_inc]]</f>
        <v>38</v>
      </c>
      <c r="H10" s="9" t="n">
        <f aca="false">Tabla351081315327[[#This Row],[Correctos]]/Tabla351081315327[[#This Row],[total_sec]]</f>
        <v>0.700787401574803</v>
      </c>
      <c r="I10" s="9" t="n">
        <f aca="false">Tabla351081315327[[#This Row],[efec_cor]]/Tabla351081315327[[#This Row],[efec]]</f>
        <v>0.661290322580645</v>
      </c>
      <c r="J10" s="9" t="n">
        <f aca="false">Tabla351081315327[[#This Row],[efect_inc]]/Tabla351081315327[[#This Row],[efec]]</f>
        <v>0.338709677419355</v>
      </c>
      <c r="K10" s="9" t="n">
        <f aca="false">Tabla351081315327[[#This Row],[no_efec_cor]]/Tabla351081315327[[#This Row],[no_efe]]</f>
        <v>0.738461538461539</v>
      </c>
      <c r="L10" s="9" t="n">
        <f aca="false">Tabla351081315327[[#This Row],[no_efec_inc]]/Tabla351081315327[[#This Row],[no_efe]]</f>
        <v>0.261538461538462</v>
      </c>
      <c r="M10" s="9" t="n">
        <f aca="false">(Tabla351081315327[[#This Row],[% efe_cor]]+Tabla351081315327[[#This Row],[% no_efe_cor]])/2</f>
        <v>0.699875930521092</v>
      </c>
      <c r="N10" s="10" t="n">
        <f aca="false">(Tabla351081315327[[#This Row],[% efe_inc]]+Tabla351081315327[[#This Row],[% no_efect_inc]])/2</f>
        <v>0.300124069478908</v>
      </c>
      <c r="O10" s="11" t="n">
        <f aca="false">Tabla351081315327[[#This Row],[no_efec_cor]]/(Tabla351081315327[[#This Row],[efect_inc]]+Tabla351081315327[[#This Row],[no_efec_cor]])</f>
        <v>0.695652173913043</v>
      </c>
      <c r="P10" s="11" t="n">
        <f aca="false">Tabla351081315327[[#This Row],[efec_cor]]/(Tabla351081315327[[#This Row],[efec_cor]]+Tabla351081315327[[#This Row],[no_efec_inc]])</f>
        <v>0.706896551724138</v>
      </c>
      <c r="Q10" s="11" t="n">
        <f aca="false">(Tabla351081315327[[#This Row],[PNE]]+Tabla351081315327[[#This Row],[PE]])/2</f>
        <v>0.701274362818591</v>
      </c>
      <c r="R10" s="0" t="n">
        <v>62</v>
      </c>
      <c r="S10" s="0" t="n">
        <v>65</v>
      </c>
      <c r="T10" s="0" t="n">
        <f aca="false">Tabla351081315327[[#This Row],[efec]]+Tabla351081315327[[#This Row],[no_efe]]</f>
        <v>127</v>
      </c>
    </row>
    <row r="11" customFormat="false" ht="13.8" hidden="false" customHeight="false" outlineLevel="0" collapsed="false">
      <c r="A11" s="0" t="n">
        <v>5</v>
      </c>
      <c r="B11" s="0" t="n">
        <v>46</v>
      </c>
      <c r="C11" s="0" t="n">
        <v>19</v>
      </c>
      <c r="D11" s="0" t="n">
        <v>38</v>
      </c>
      <c r="E11" s="0" t="n">
        <v>24</v>
      </c>
      <c r="F11" s="0" t="n">
        <f aca="false">Tabla351081315327[[#This Row],[no_efec_cor]]+Tabla351081315327[[#This Row],[efec_cor]]</f>
        <v>84</v>
      </c>
      <c r="G11" s="0" t="n">
        <f aca="false">Tabla351081315327[[#This Row],[no_efec_inc]]+Tabla351081315327[[#This Row],[efect_inc]]</f>
        <v>43</v>
      </c>
      <c r="H11" s="9" t="n">
        <f aca="false">Tabla351081315327[[#This Row],[Correctos]]/Tabla351081315327[[#This Row],[total_sec]]</f>
        <v>0.661417322834646</v>
      </c>
      <c r="I11" s="9" t="n">
        <f aca="false">Tabla351081315327[[#This Row],[efec_cor]]/Tabla351081315327[[#This Row],[efec]]</f>
        <v>0.612903225806452</v>
      </c>
      <c r="J11" s="9" t="n">
        <f aca="false">Tabla351081315327[[#This Row],[efect_inc]]/Tabla351081315327[[#This Row],[efec]]</f>
        <v>0.387096774193548</v>
      </c>
      <c r="K11" s="9" t="n">
        <f aca="false">Tabla351081315327[[#This Row],[no_efec_cor]]/Tabla351081315327[[#This Row],[no_efe]]</f>
        <v>0.707692307692308</v>
      </c>
      <c r="L11" s="9" t="n">
        <f aca="false">Tabla351081315327[[#This Row],[no_efec_inc]]/Tabla351081315327[[#This Row],[no_efe]]</f>
        <v>0.292307692307692</v>
      </c>
      <c r="M11" s="9" t="n">
        <f aca="false">(Tabla351081315327[[#This Row],[% efe_cor]]+Tabla351081315327[[#This Row],[% no_efe_cor]])/2</f>
        <v>0.66029776674938</v>
      </c>
      <c r="N11" s="10" t="n">
        <f aca="false">(Tabla351081315327[[#This Row],[% efe_inc]]+Tabla351081315327[[#This Row],[% no_efect_inc]])/2</f>
        <v>0.33970223325062</v>
      </c>
      <c r="O11" s="11" t="n">
        <f aca="false">Tabla351081315327[[#This Row],[no_efec_cor]]/(Tabla351081315327[[#This Row],[efect_inc]]+Tabla351081315327[[#This Row],[no_efec_cor]])</f>
        <v>0.657142857142857</v>
      </c>
      <c r="P11" s="11" t="n">
        <f aca="false">Tabla351081315327[[#This Row],[efec_cor]]/(Tabla351081315327[[#This Row],[efec_cor]]+Tabla351081315327[[#This Row],[no_efec_inc]])</f>
        <v>0.666666666666667</v>
      </c>
      <c r="Q11" s="11" t="n">
        <f aca="false">(Tabla351081315327[[#This Row],[PNE]]+Tabla351081315327[[#This Row],[PE]])/2</f>
        <v>0.661904761904762</v>
      </c>
      <c r="R11" s="0" t="n">
        <v>62</v>
      </c>
      <c r="S11" s="0" t="n">
        <v>65</v>
      </c>
      <c r="T11" s="0" t="n">
        <f aca="false">Tabla351081315327[[#This Row],[efec]]+Tabla351081315327[[#This Row],[no_efe]]</f>
        <v>127</v>
      </c>
    </row>
    <row r="12" customFormat="false" ht="13.8" hidden="false" customHeight="false" outlineLevel="0" collapsed="false">
      <c r="A12" s="0" t="n">
        <v>10</v>
      </c>
      <c r="B12" s="0" t="n">
        <v>31</v>
      </c>
      <c r="C12" s="0" t="n">
        <v>34</v>
      </c>
      <c r="D12" s="0" t="n">
        <v>48</v>
      </c>
      <c r="E12" s="0" t="n">
        <v>14</v>
      </c>
      <c r="F12" s="0" t="n">
        <f aca="false">Tabla351081315327[[#This Row],[no_efec_cor]]+Tabla351081315327[[#This Row],[efec_cor]]</f>
        <v>79</v>
      </c>
      <c r="G12" s="0" t="n">
        <f aca="false">Tabla351081315327[[#This Row],[no_efec_inc]]+Tabla351081315327[[#This Row],[efect_inc]]</f>
        <v>48</v>
      </c>
      <c r="H12" s="9" t="n">
        <f aca="false">Tabla351081315327[[#This Row],[Correctos]]/Tabla351081315327[[#This Row],[total_sec]]</f>
        <v>0.622047244094488</v>
      </c>
      <c r="I12" s="9" t="n">
        <f aca="false">Tabla351081315327[[#This Row],[efec_cor]]/Tabla351081315327[[#This Row],[efec]]</f>
        <v>0.774193548387097</v>
      </c>
      <c r="J12" s="9" t="n">
        <f aca="false">Tabla351081315327[[#This Row],[efect_inc]]/Tabla351081315327[[#This Row],[efec]]</f>
        <v>0.225806451612903</v>
      </c>
      <c r="K12" s="9" t="n">
        <f aca="false">Tabla351081315327[[#This Row],[no_efec_cor]]/Tabla351081315327[[#This Row],[no_efe]]</f>
        <v>0.476923076923077</v>
      </c>
      <c r="L12" s="9" t="n">
        <f aca="false">Tabla351081315327[[#This Row],[no_efec_inc]]/Tabla351081315327[[#This Row],[no_efe]]</f>
        <v>0.523076923076923</v>
      </c>
      <c r="M12" s="9" t="n">
        <f aca="false">(Tabla351081315327[[#This Row],[% efe_cor]]+Tabla351081315327[[#This Row],[% no_efe_cor]])/2</f>
        <v>0.625558312655087</v>
      </c>
      <c r="N12" s="10" t="n">
        <f aca="false">(Tabla351081315327[[#This Row],[% efe_inc]]+Tabla351081315327[[#This Row],[% no_efect_inc]])/2</f>
        <v>0.374441687344913</v>
      </c>
      <c r="O12" s="11" t="n">
        <f aca="false">Tabla351081315327[[#This Row],[no_efec_cor]]/(Tabla351081315327[[#This Row],[efect_inc]]+Tabla351081315327[[#This Row],[no_efec_cor]])</f>
        <v>0.688888888888889</v>
      </c>
      <c r="P12" s="11" t="n">
        <f aca="false">Tabla351081315327[[#This Row],[efec_cor]]/(Tabla351081315327[[#This Row],[efec_cor]]+Tabla351081315327[[#This Row],[no_efec_inc]])</f>
        <v>0.585365853658537</v>
      </c>
      <c r="Q12" s="11" t="n">
        <f aca="false">(Tabla351081315327[[#This Row],[PNE]]+Tabla351081315327[[#This Row],[PE]])/2</f>
        <v>0.637127371273713</v>
      </c>
      <c r="R12" s="0" t="n">
        <v>62</v>
      </c>
      <c r="S12" s="0" t="n">
        <v>65</v>
      </c>
      <c r="T12" s="0" t="n">
        <f aca="false">Tabla351081315327[[#This Row],[efec]]+Tabla351081315327[[#This Row],[no_efe]]</f>
        <v>127</v>
      </c>
    </row>
    <row r="13" customFormat="false" ht="13.8" hidden="false" customHeight="false" outlineLevel="0" collapsed="false">
      <c r="A13" s="0" t="n">
        <v>15</v>
      </c>
      <c r="B13" s="0" t="n">
        <v>28</v>
      </c>
      <c r="C13" s="0" t="n">
        <v>37</v>
      </c>
      <c r="D13" s="0" t="n">
        <v>53</v>
      </c>
      <c r="E13" s="0" t="n">
        <v>9</v>
      </c>
      <c r="F13" s="0" t="n">
        <f aca="false">Tabla351081315327[[#This Row],[no_efec_cor]]+Tabla351081315327[[#This Row],[efec_cor]]</f>
        <v>81</v>
      </c>
      <c r="G13" s="0" t="n">
        <f aca="false">Tabla351081315327[[#This Row],[no_efec_inc]]+Tabla351081315327[[#This Row],[efect_inc]]</f>
        <v>46</v>
      </c>
      <c r="H13" s="9" t="n">
        <f aca="false">Tabla351081315327[[#This Row],[Correctos]]/Tabla351081315327[[#This Row],[total_sec]]</f>
        <v>0.637795275590551</v>
      </c>
      <c r="I13" s="9" t="n">
        <f aca="false">Tabla351081315327[[#This Row],[efec_cor]]/Tabla351081315327[[#This Row],[efec]]</f>
        <v>0.854838709677419</v>
      </c>
      <c r="J13" s="9" t="n">
        <f aca="false">Tabla351081315327[[#This Row],[efect_inc]]/Tabla351081315327[[#This Row],[efec]]</f>
        <v>0.145161290322581</v>
      </c>
      <c r="K13" s="9" t="n">
        <f aca="false">Tabla351081315327[[#This Row],[no_efec_cor]]/Tabla351081315327[[#This Row],[no_efe]]</f>
        <v>0.430769230769231</v>
      </c>
      <c r="L13" s="9" t="n">
        <f aca="false">Tabla351081315327[[#This Row],[no_efec_inc]]/Tabla351081315327[[#This Row],[no_efe]]</f>
        <v>0.569230769230769</v>
      </c>
      <c r="M13" s="9" t="n">
        <f aca="false">(Tabla351081315327[[#This Row],[% efe_cor]]+Tabla351081315327[[#This Row],[% no_efe_cor]])/2</f>
        <v>0.642803970223325</v>
      </c>
      <c r="N13" s="10" t="n">
        <f aca="false">(Tabla351081315327[[#This Row],[% efe_inc]]+Tabla351081315327[[#This Row],[% no_efect_inc]])/2</f>
        <v>0.357196029776675</v>
      </c>
      <c r="O13" s="11" t="n">
        <f aca="false">Tabla351081315327[[#This Row],[no_efec_cor]]/(Tabla351081315327[[#This Row],[efect_inc]]+Tabla351081315327[[#This Row],[no_efec_cor]])</f>
        <v>0.756756756756757</v>
      </c>
      <c r="P13" s="11" t="n">
        <f aca="false">Tabla351081315327[[#This Row],[efec_cor]]/(Tabla351081315327[[#This Row],[efec_cor]]+Tabla351081315327[[#This Row],[no_efec_inc]])</f>
        <v>0.588888888888889</v>
      </c>
      <c r="Q13" s="11" t="n">
        <f aca="false">(Tabla351081315327[[#This Row],[PNE]]+Tabla351081315327[[#This Row],[PE]])/2</f>
        <v>0.672822822822823</v>
      </c>
      <c r="R13" s="0" t="n">
        <v>62</v>
      </c>
      <c r="S13" s="0" t="n">
        <v>65</v>
      </c>
      <c r="T13" s="0" t="n">
        <f aca="false">Tabla351081315327[[#This Row],[efec]]+Tabla351081315327[[#This Row],[no_efe]]</f>
        <v>127</v>
      </c>
    </row>
    <row r="14" customFormat="false" ht="13.8" hidden="false" customHeight="false" outlineLevel="0" collapsed="false">
      <c r="A14" s="0" t="n">
        <v>20</v>
      </c>
      <c r="B14" s="0" t="n">
        <v>26</v>
      </c>
      <c r="C14" s="0" t="n">
        <v>39</v>
      </c>
      <c r="D14" s="0" t="n">
        <v>56</v>
      </c>
      <c r="E14" s="0" t="n">
        <v>6</v>
      </c>
      <c r="F14" s="0" t="n">
        <f aca="false">Tabla351081315327[[#This Row],[no_efec_cor]]+Tabla351081315327[[#This Row],[efec_cor]]</f>
        <v>82</v>
      </c>
      <c r="G14" s="0" t="n">
        <f aca="false">Tabla351081315327[[#This Row],[no_efec_inc]]+Tabla351081315327[[#This Row],[efect_inc]]</f>
        <v>45</v>
      </c>
      <c r="H14" s="9" t="n">
        <f aca="false">Tabla351081315327[[#This Row],[Correctos]]/Tabla351081315327[[#This Row],[total_sec]]</f>
        <v>0.645669291338583</v>
      </c>
      <c r="I14" s="9" t="n">
        <f aca="false">Tabla351081315327[[#This Row],[efec_cor]]/Tabla351081315327[[#This Row],[efec]]</f>
        <v>0.903225806451613</v>
      </c>
      <c r="J14" s="9" t="n">
        <f aca="false">Tabla351081315327[[#This Row],[efect_inc]]/Tabla351081315327[[#This Row],[efec]]</f>
        <v>0.0967741935483871</v>
      </c>
      <c r="K14" s="9" t="n">
        <f aca="false">Tabla351081315327[[#This Row],[no_efec_cor]]/Tabla351081315327[[#This Row],[no_efe]]</f>
        <v>0.4</v>
      </c>
      <c r="L14" s="9" t="n">
        <f aca="false">Tabla351081315327[[#This Row],[no_efec_inc]]/Tabla351081315327[[#This Row],[no_efe]]</f>
        <v>0.6</v>
      </c>
      <c r="M14" s="9" t="n">
        <f aca="false">(Tabla351081315327[[#This Row],[% efe_cor]]+Tabla351081315327[[#This Row],[% no_efe_cor]])/2</f>
        <v>0.651612903225806</v>
      </c>
      <c r="N14" s="10" t="n">
        <f aca="false">(Tabla351081315327[[#This Row],[% efe_inc]]+Tabla351081315327[[#This Row],[% no_efect_inc]])/2</f>
        <v>0.348387096774194</v>
      </c>
      <c r="O14" s="11" t="n">
        <f aca="false">Tabla351081315327[[#This Row],[no_efec_cor]]/(Tabla351081315327[[#This Row],[efect_inc]]+Tabla351081315327[[#This Row],[no_efec_cor]])</f>
        <v>0.8125</v>
      </c>
      <c r="P14" s="11" t="n">
        <f aca="false">Tabla351081315327[[#This Row],[efec_cor]]/(Tabla351081315327[[#This Row],[efec_cor]]+Tabla351081315327[[#This Row],[no_efec_inc]])</f>
        <v>0.589473684210526</v>
      </c>
      <c r="Q14" s="11" t="n">
        <f aca="false">(Tabla351081315327[[#This Row],[PNE]]+Tabla351081315327[[#This Row],[PE]])/2</f>
        <v>0.700986842105263</v>
      </c>
      <c r="R14" s="0" t="n">
        <v>62</v>
      </c>
      <c r="S14" s="0" t="n">
        <v>65</v>
      </c>
      <c r="T14" s="0" t="n">
        <f aca="false">Tabla351081315327[[#This Row],[efec]]+Tabla351081315327[[#This Row],[no_efe]]</f>
        <v>127</v>
      </c>
    </row>
    <row r="15" customFormat="false" ht="13.8" hidden="false" customHeight="false" outlineLevel="0" collapsed="false">
      <c r="A15" s="0" t="n">
        <v>25</v>
      </c>
      <c r="B15" s="0" t="n">
        <v>25</v>
      </c>
      <c r="C15" s="0" t="n">
        <v>40</v>
      </c>
      <c r="D15" s="0" t="n">
        <v>57</v>
      </c>
      <c r="E15" s="0" t="n">
        <v>5</v>
      </c>
      <c r="F15" s="0" t="n">
        <f aca="false">Tabla351081315327[[#This Row],[no_efec_cor]]+Tabla351081315327[[#This Row],[efec_cor]]</f>
        <v>82</v>
      </c>
      <c r="G15" s="0" t="n">
        <f aca="false">Tabla351081315327[[#This Row],[no_efec_inc]]+Tabla351081315327[[#This Row],[efect_inc]]</f>
        <v>45</v>
      </c>
      <c r="H15" s="9" t="n">
        <f aca="false">Tabla351081315327[[#This Row],[Correctos]]/Tabla351081315327[[#This Row],[total_sec]]</f>
        <v>0.645669291338583</v>
      </c>
      <c r="I15" s="9" t="n">
        <f aca="false">Tabla351081315327[[#This Row],[efec_cor]]/Tabla351081315327[[#This Row],[efec]]</f>
        <v>0.919354838709677</v>
      </c>
      <c r="J15" s="9" t="n">
        <f aca="false">Tabla351081315327[[#This Row],[efect_inc]]/Tabla351081315327[[#This Row],[efec]]</f>
        <v>0.0806451612903226</v>
      </c>
      <c r="K15" s="9" t="n">
        <f aca="false">Tabla351081315327[[#This Row],[no_efec_cor]]/Tabla351081315327[[#This Row],[no_efe]]</f>
        <v>0.384615384615385</v>
      </c>
      <c r="L15" s="9" t="n">
        <f aca="false">Tabla351081315327[[#This Row],[no_efec_inc]]/Tabla351081315327[[#This Row],[no_efe]]</f>
        <v>0.615384615384615</v>
      </c>
      <c r="M15" s="9" t="n">
        <f aca="false">(Tabla351081315327[[#This Row],[% efe_cor]]+Tabla351081315327[[#This Row],[% no_efe_cor]])/2</f>
        <v>0.651985111662531</v>
      </c>
      <c r="N15" s="10" t="n">
        <f aca="false">(Tabla351081315327[[#This Row],[% efe_inc]]+Tabla351081315327[[#This Row],[% no_efect_inc]])/2</f>
        <v>0.348014888337469</v>
      </c>
      <c r="O15" s="11" t="n">
        <f aca="false">Tabla351081315327[[#This Row],[no_efec_cor]]/(Tabla351081315327[[#This Row],[efect_inc]]+Tabla351081315327[[#This Row],[no_efec_cor]])</f>
        <v>0.833333333333333</v>
      </c>
      <c r="P15" s="11" t="n">
        <f aca="false">Tabla351081315327[[#This Row],[efec_cor]]/(Tabla351081315327[[#This Row],[efec_cor]]+Tabla351081315327[[#This Row],[no_efec_inc]])</f>
        <v>0.587628865979381</v>
      </c>
      <c r="Q15" s="11" t="n">
        <f aca="false">(Tabla351081315327[[#This Row],[PNE]]+Tabla351081315327[[#This Row],[PE]])/2</f>
        <v>0.710481099656357</v>
      </c>
      <c r="R15" s="0" t="n">
        <v>62</v>
      </c>
      <c r="S15" s="0" t="n">
        <v>65</v>
      </c>
      <c r="T15" s="0" t="n">
        <f aca="false">Tabla351081315327[[#This Row],[efec]]+Tabla351081315327[[#This Row],[no_efe]]</f>
        <v>127</v>
      </c>
    </row>
    <row r="16" customFormat="false" ht="13.8" hidden="false" customHeight="false" outlineLevel="0" collapsed="false">
      <c r="A16" s="0" t="n">
        <v>30</v>
      </c>
      <c r="B16" s="0" t="n">
        <v>24</v>
      </c>
      <c r="C16" s="0" t="n">
        <v>41</v>
      </c>
      <c r="D16" s="0" t="n">
        <v>58</v>
      </c>
      <c r="E16" s="0" t="n">
        <v>4</v>
      </c>
      <c r="F16" s="0" t="n">
        <f aca="false">Tabla351081315327[[#This Row],[no_efec_cor]]+Tabla351081315327[[#This Row],[efec_cor]]</f>
        <v>82</v>
      </c>
      <c r="G16" s="0" t="n">
        <f aca="false">Tabla351081315327[[#This Row],[no_efec_inc]]+Tabla351081315327[[#This Row],[efect_inc]]</f>
        <v>45</v>
      </c>
      <c r="H16" s="9" t="n">
        <f aca="false">Tabla351081315327[[#This Row],[Correctos]]/Tabla351081315327[[#This Row],[total_sec]]</f>
        <v>0.645669291338583</v>
      </c>
      <c r="I16" s="9" t="n">
        <f aca="false">Tabla351081315327[[#This Row],[efec_cor]]/Tabla351081315327[[#This Row],[efec]]</f>
        <v>0.935483870967742</v>
      </c>
      <c r="J16" s="9" t="n">
        <f aca="false">Tabla351081315327[[#This Row],[efect_inc]]/Tabla351081315327[[#This Row],[efec]]</f>
        <v>0.0645161290322581</v>
      </c>
      <c r="K16" s="9" t="n">
        <f aca="false">Tabla351081315327[[#This Row],[no_efec_cor]]/Tabla351081315327[[#This Row],[no_efe]]</f>
        <v>0.369230769230769</v>
      </c>
      <c r="L16" s="9" t="n">
        <f aca="false">Tabla351081315327[[#This Row],[no_efec_inc]]/Tabla351081315327[[#This Row],[no_efe]]</f>
        <v>0.630769230769231</v>
      </c>
      <c r="M16" s="9" t="n">
        <f aca="false">(Tabla351081315327[[#This Row],[% efe_cor]]+Tabla351081315327[[#This Row],[% no_efe_cor]])/2</f>
        <v>0.652357320099256</v>
      </c>
      <c r="N16" s="10" t="n">
        <f aca="false">(Tabla351081315327[[#This Row],[% efe_inc]]+Tabla351081315327[[#This Row],[% no_efect_inc]])/2</f>
        <v>0.347642679900744</v>
      </c>
      <c r="O16" s="11" t="n">
        <f aca="false">Tabla351081315327[[#This Row],[no_efec_cor]]/(Tabla351081315327[[#This Row],[efect_inc]]+Tabla351081315327[[#This Row],[no_efec_cor]])</f>
        <v>0.857142857142857</v>
      </c>
      <c r="P16" s="11" t="n">
        <f aca="false">Tabla351081315327[[#This Row],[efec_cor]]/(Tabla351081315327[[#This Row],[efec_cor]]+Tabla351081315327[[#This Row],[no_efec_inc]])</f>
        <v>0.585858585858586</v>
      </c>
      <c r="Q16" s="11" t="n">
        <f aca="false">(Tabla351081315327[[#This Row],[PNE]]+Tabla351081315327[[#This Row],[PE]])/2</f>
        <v>0.721500721500721</v>
      </c>
      <c r="R16" s="0" t="n">
        <v>62</v>
      </c>
      <c r="S16" s="0" t="n">
        <v>65</v>
      </c>
      <c r="T16" s="0" t="n">
        <f aca="false">Tabla351081315327[[#This Row],[efec]]+Tabla351081315327[[#This Row],[no_efe]]</f>
        <v>127</v>
      </c>
    </row>
    <row r="17" customFormat="false" ht="13.8" hidden="false" customHeight="false" outlineLevel="0" collapsed="false">
      <c r="A17" s="0" t="n">
        <v>35</v>
      </c>
      <c r="B17" s="0" t="n">
        <v>23</v>
      </c>
      <c r="C17" s="0" t="n">
        <v>42</v>
      </c>
      <c r="D17" s="0" t="n">
        <v>50</v>
      </c>
      <c r="E17" s="0" t="n">
        <v>12</v>
      </c>
      <c r="F17" s="0" t="n">
        <f aca="false">Tabla351081315327[[#This Row],[no_efec_cor]]+Tabla351081315327[[#This Row],[efec_cor]]</f>
        <v>73</v>
      </c>
      <c r="G17" s="0" t="n">
        <f aca="false">Tabla351081315327[[#This Row],[no_efec_inc]]+Tabla351081315327[[#This Row],[efect_inc]]</f>
        <v>54</v>
      </c>
      <c r="H17" s="9" t="n">
        <f aca="false">Tabla351081315327[[#This Row],[Correctos]]/Tabla351081315327[[#This Row],[total_sec]]</f>
        <v>0.574803149606299</v>
      </c>
      <c r="I17" s="9" t="n">
        <f aca="false">Tabla351081315327[[#This Row],[efec_cor]]/Tabla351081315327[[#This Row],[efec]]</f>
        <v>0.806451612903226</v>
      </c>
      <c r="J17" s="9" t="n">
        <f aca="false">Tabla351081315327[[#This Row],[efect_inc]]/Tabla351081315327[[#This Row],[efec]]</f>
        <v>0.193548387096774</v>
      </c>
      <c r="K17" s="9" t="n">
        <f aca="false">Tabla351081315327[[#This Row],[no_efec_cor]]/Tabla351081315327[[#This Row],[no_efe]]</f>
        <v>0.353846153846154</v>
      </c>
      <c r="L17" s="9" t="n">
        <f aca="false">Tabla351081315327[[#This Row],[no_efec_inc]]/Tabla351081315327[[#This Row],[no_efe]]</f>
        <v>0.646153846153846</v>
      </c>
      <c r="M17" s="9" t="n">
        <f aca="false">(Tabla351081315327[[#This Row],[% efe_cor]]+Tabla351081315327[[#This Row],[% no_efe_cor]])/2</f>
        <v>0.58014888337469</v>
      </c>
      <c r="N17" s="10" t="n">
        <f aca="false">(Tabla351081315327[[#This Row],[% efe_inc]]+Tabla351081315327[[#This Row],[% no_efect_inc]])/2</f>
        <v>0.41985111662531</v>
      </c>
      <c r="O17" s="11" t="n">
        <f aca="false">Tabla351081315327[[#This Row],[no_efec_cor]]/(Tabla351081315327[[#This Row],[efect_inc]]+Tabla351081315327[[#This Row],[no_efec_cor]])</f>
        <v>0.657142857142857</v>
      </c>
      <c r="P17" s="11" t="n">
        <f aca="false">Tabla351081315327[[#This Row],[efec_cor]]/(Tabla351081315327[[#This Row],[efec_cor]]+Tabla351081315327[[#This Row],[no_efec_inc]])</f>
        <v>0.543478260869565</v>
      </c>
      <c r="Q17" s="11" t="n">
        <f aca="false">(Tabla351081315327[[#This Row],[PNE]]+Tabla351081315327[[#This Row],[PE]])/2</f>
        <v>0.600310559006211</v>
      </c>
      <c r="R17" s="0" t="n">
        <v>62</v>
      </c>
      <c r="S17" s="0" t="n">
        <v>65</v>
      </c>
      <c r="T17" s="0" t="n">
        <f aca="false">Tabla351081315327[[#This Row],[efec]]+Tabla351081315327[[#This Row],[no_efe]]</f>
        <v>127</v>
      </c>
    </row>
    <row r="18" customFormat="false" ht="13.8" hidden="false" customHeight="false" outlineLevel="0" collapsed="false">
      <c r="A18" s="0" t="n">
        <v>39</v>
      </c>
      <c r="B18" s="0" t="n">
        <v>21</v>
      </c>
      <c r="C18" s="0" t="n">
        <v>44</v>
      </c>
      <c r="D18" s="0" t="n">
        <v>45</v>
      </c>
      <c r="E18" s="0" t="n">
        <v>17</v>
      </c>
      <c r="F18" s="0" t="n">
        <f aca="false">Tabla351081315327[[#This Row],[no_efec_cor]]+Tabla351081315327[[#This Row],[efec_cor]]</f>
        <v>66</v>
      </c>
      <c r="G18" s="0" t="n">
        <f aca="false">Tabla351081315327[[#This Row],[no_efec_inc]]+Tabla351081315327[[#This Row],[efect_inc]]</f>
        <v>61</v>
      </c>
      <c r="H18" s="9" t="n">
        <f aca="false">Tabla351081315327[[#This Row],[Correctos]]/Tabla351081315327[[#This Row],[total_sec]]</f>
        <v>0.519685039370079</v>
      </c>
      <c r="I18" s="9" t="n">
        <f aca="false">Tabla351081315327[[#This Row],[efec_cor]]/Tabla351081315327[[#This Row],[efec]]</f>
        <v>0.725806451612903</v>
      </c>
      <c r="J18" s="9" t="n">
        <f aca="false">Tabla351081315327[[#This Row],[efect_inc]]/Tabla351081315327[[#This Row],[efec]]</f>
        <v>0.274193548387097</v>
      </c>
      <c r="K18" s="9" t="n">
        <f aca="false">Tabla351081315327[[#This Row],[no_efec_cor]]/Tabla351081315327[[#This Row],[no_efe]]</f>
        <v>0.323076923076923</v>
      </c>
      <c r="L18" s="9" t="n">
        <f aca="false">Tabla351081315327[[#This Row],[no_efec_inc]]/Tabla351081315327[[#This Row],[no_efe]]</f>
        <v>0.676923076923077</v>
      </c>
      <c r="M18" s="9" t="n">
        <f aca="false">(Tabla351081315327[[#This Row],[% efe_cor]]+Tabla351081315327[[#This Row],[% no_efe_cor]])/2</f>
        <v>0.524441687344913</v>
      </c>
      <c r="N18" s="10" t="n">
        <f aca="false">(Tabla351081315327[[#This Row],[% efe_inc]]+Tabla351081315327[[#This Row],[% no_efect_inc]])/2</f>
        <v>0.475558312655087</v>
      </c>
      <c r="O18" s="11" t="n">
        <f aca="false">Tabla351081315327[[#This Row],[no_efec_cor]]/(Tabla351081315327[[#This Row],[efect_inc]]+Tabla351081315327[[#This Row],[no_efec_cor]])</f>
        <v>0.552631578947368</v>
      </c>
      <c r="P18" s="11" t="n">
        <f aca="false">Tabla351081315327[[#This Row],[efec_cor]]/(Tabla351081315327[[#This Row],[efec_cor]]+Tabla351081315327[[#This Row],[no_efec_inc]])</f>
        <v>0.50561797752809</v>
      </c>
      <c r="Q18" s="11" t="n">
        <f aca="false">(Tabla351081315327[[#This Row],[PNE]]+Tabla351081315327[[#This Row],[PE]])/2</f>
        <v>0.529124778237729</v>
      </c>
      <c r="R18" s="0" t="n">
        <v>62</v>
      </c>
      <c r="S18" s="0" t="n">
        <v>65</v>
      </c>
      <c r="T18" s="0" t="n">
        <f aca="false">Tabla351081315327[[#This Row],[efec]]+Tabla351081315327[[#This Row],[no_efe]]</f>
        <v>127</v>
      </c>
    </row>
    <row r="20" customFormat="false" ht="19.5" hidden="false" customHeight="false" outlineLevel="0" collapsed="false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4" customFormat="false" ht="15.75" hidden="false" customHeight="false" outlineLevel="0" collapsed="false">
      <c r="A24" s="5" t="s">
        <v>5</v>
      </c>
      <c r="B24" s="5"/>
      <c r="C24" s="5"/>
      <c r="D24" s="5"/>
      <c r="E24" s="5"/>
      <c r="F24" s="5"/>
      <c r="G24" s="5"/>
      <c r="H24" s="5"/>
      <c r="I24" s="5"/>
    </row>
    <row r="25" customFormat="false" ht="15.75" hidden="false" customHeight="false" outlineLevel="0" collapsed="false">
      <c r="A25" s="7" t="s">
        <v>27</v>
      </c>
      <c r="B25" s="7" t="s">
        <v>28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7" t="s">
        <v>17</v>
      </c>
      <c r="N25" s="7" t="s">
        <v>18</v>
      </c>
      <c r="O25" s="7" t="s">
        <v>19</v>
      </c>
      <c r="P25" s="7" t="s">
        <v>20</v>
      </c>
      <c r="Q25" s="7" t="s">
        <v>21</v>
      </c>
      <c r="R25" s="7" t="s">
        <v>22</v>
      </c>
      <c r="S25" s="7" t="s">
        <v>23</v>
      </c>
      <c r="T25" s="7" t="s">
        <v>24</v>
      </c>
      <c r="U25" s="7" t="s">
        <v>25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65</v>
      </c>
      <c r="D26" s="0" t="n">
        <v>0</v>
      </c>
      <c r="E26" s="0" t="n">
        <v>0</v>
      </c>
      <c r="F26" s="0" t="n">
        <v>62</v>
      </c>
      <c r="G26" s="0" t="n">
        <f aca="false">Tabla3510813153424[[#This Row],[no_efec_cor]]+Tabla3510813153424[[#This Row],[efec_cor]]</f>
        <v>65</v>
      </c>
      <c r="H26" s="0" t="n">
        <f aca="false">Tabla3510813153424[[#This Row],[no_efec_inc]]+Tabla3510813153424[[#This Row],[efect_inc]]</f>
        <v>62</v>
      </c>
      <c r="I26" s="9" t="n">
        <f aca="false">Tabla3510813153424[[#This Row],[Correctos]]/Tabla3510813153424[[#This Row],[total_sec]]</f>
        <v>0.511811023622047</v>
      </c>
      <c r="J26" s="9" t="n">
        <f aca="false">Tabla3510813153424[[#This Row],[efec_cor]]/Tabla3510813153424[[#This Row],[efec]]</f>
        <v>0</v>
      </c>
      <c r="K26" s="9" t="n">
        <f aca="false">Tabla3510813153424[[#This Row],[efect_inc]]/Tabla3510813153424[[#This Row],[efec]]</f>
        <v>1</v>
      </c>
      <c r="L26" s="9" t="n">
        <f aca="false">Tabla3510813153424[[#This Row],[no_efec_cor]]/Tabla3510813153424[[#This Row],[no_efe]]</f>
        <v>1</v>
      </c>
      <c r="M26" s="9" t="n">
        <f aca="false">Tabla3510813153424[[#This Row],[no_efec_inc]]/Tabla3510813153424[[#This Row],[no_efe]]</f>
        <v>0</v>
      </c>
      <c r="N26" s="9" t="n">
        <f aca="false">(Tabla3510813153424[[#This Row],[% efe_cor]]+Tabla3510813153424[[#This Row],[% no_efe_cor]])/2</f>
        <v>0.5</v>
      </c>
      <c r="O26" s="10" t="n">
        <f aca="false">(Tabla3510813153424[[#This Row],[% efe_inc]]+Tabla3510813153424[[#This Row],[% no_efect_inc]])/2</f>
        <v>0.5</v>
      </c>
      <c r="P26" s="11" t="n">
        <f aca="false">Tabla3510813153424[[#This Row],[no_efec_cor]]/(Tabla3510813153424[[#This Row],[efect_inc]]+Tabla3510813153424[[#This Row],[no_efec_cor]])</f>
        <v>0.511811023622047</v>
      </c>
      <c r="Q26" s="11" t="e">
        <f aca="false">Tabla3510813153424[[#This Row],[efec_cor]]/(Tabla3510813153424[[#This Row],[efec_cor]]+Tabla3510813153424[[#This Row],[no_efec_inc]])</f>
        <v>#DIV/0!</v>
      </c>
      <c r="R26" s="11" t="e">
        <f aca="false">(Tabla3510813153424[[#This Row],[PNE]]+Tabla3510813153424[[#This Row],[PE]])/2</f>
        <v>#DIV/0!</v>
      </c>
      <c r="S26" s="0" t="n">
        <v>62</v>
      </c>
      <c r="T26" s="0" t="n">
        <v>65</v>
      </c>
      <c r="U26" s="0" t="n">
        <f aca="false">Tabla3510813153424[[#This Row],[efec]]+Tabla3510813153424[[#This Row],[no_efe]]</f>
        <v>127</v>
      </c>
    </row>
    <row r="27" customFormat="false" ht="13.8" hidden="false" customHeight="false" outlineLevel="0" collapsed="false">
      <c r="A27" s="0" t="n">
        <v>1</v>
      </c>
      <c r="B27" s="0" t="n">
        <v>0.1</v>
      </c>
      <c r="C27" s="0" t="n">
        <v>31</v>
      </c>
      <c r="D27" s="0" t="n">
        <v>34</v>
      </c>
      <c r="E27" s="0" t="n">
        <v>52</v>
      </c>
      <c r="F27" s="0" t="n">
        <v>10</v>
      </c>
      <c r="G27" s="0" t="n">
        <f aca="false">Tabla3510813153424[[#This Row],[no_efec_cor]]+Tabla3510813153424[[#This Row],[efec_cor]]</f>
        <v>83</v>
      </c>
      <c r="H27" s="0" t="n">
        <f aca="false">Tabla3510813153424[[#This Row],[no_efec_inc]]+Tabla3510813153424[[#This Row],[efect_inc]]</f>
        <v>44</v>
      </c>
      <c r="I27" s="9" t="n">
        <f aca="false">Tabla3510813153424[[#This Row],[Correctos]]/Tabla3510813153424[[#This Row],[total_sec]]</f>
        <v>0.653543307086614</v>
      </c>
      <c r="J27" s="9" t="n">
        <f aca="false">Tabla3510813153424[[#This Row],[efec_cor]]/Tabla3510813153424[[#This Row],[efec]]</f>
        <v>0.838709677419355</v>
      </c>
      <c r="K27" s="9" t="n">
        <f aca="false">Tabla3510813153424[[#This Row],[efect_inc]]/Tabla3510813153424[[#This Row],[efec]]</f>
        <v>0.161290322580645</v>
      </c>
      <c r="L27" s="9" t="n">
        <f aca="false">Tabla3510813153424[[#This Row],[no_efec_cor]]/Tabla3510813153424[[#This Row],[no_efe]]</f>
        <v>0.476923076923077</v>
      </c>
      <c r="M27" s="9" t="n">
        <f aca="false">Tabla3510813153424[[#This Row],[no_efec_inc]]/Tabla3510813153424[[#This Row],[no_efe]]</f>
        <v>0.523076923076923</v>
      </c>
      <c r="N27" s="9" t="n">
        <f aca="false">(Tabla3510813153424[[#This Row],[% efe_cor]]+Tabla3510813153424[[#This Row],[% no_efe_cor]])/2</f>
        <v>0.657816377171216</v>
      </c>
      <c r="O27" s="10" t="n">
        <f aca="false">(Tabla3510813153424[[#This Row],[% efe_inc]]+Tabla3510813153424[[#This Row],[% no_efect_inc]])/2</f>
        <v>0.342183622828784</v>
      </c>
      <c r="P27" s="11" t="n">
        <f aca="false">Tabla3510813153424[[#This Row],[no_efec_cor]]/(Tabla3510813153424[[#This Row],[efect_inc]]+Tabla3510813153424[[#This Row],[no_efec_cor]])</f>
        <v>0.75609756097561</v>
      </c>
      <c r="Q27" s="11" t="n">
        <f aca="false">Tabla3510813153424[[#This Row],[efec_cor]]/(Tabla3510813153424[[#This Row],[efec_cor]]+Tabla3510813153424[[#This Row],[no_efec_inc]])</f>
        <v>0.604651162790698</v>
      </c>
      <c r="R27" s="11" t="n">
        <f aca="false">(Tabla3510813153424[[#This Row],[PNE]]+Tabla3510813153424[[#This Row],[PE]])/2</f>
        <v>0.680374361883154</v>
      </c>
      <c r="S27" s="0" t="n">
        <v>62</v>
      </c>
      <c r="T27" s="0" t="n">
        <v>65</v>
      </c>
      <c r="U27" s="0" t="n">
        <f aca="false">Tabla3510813153424[[#This Row],[efec]]+Tabla3510813153424[[#This Row],[no_efe]]</f>
        <v>127</v>
      </c>
    </row>
    <row r="28" customFormat="false" ht="13.8" hidden="false" customHeight="false" outlineLevel="0" collapsed="false">
      <c r="A28" s="0" t="n">
        <v>1</v>
      </c>
      <c r="B28" s="0" t="n">
        <v>0.5</v>
      </c>
      <c r="C28" s="0" t="n">
        <v>45</v>
      </c>
      <c r="D28" s="0" t="n">
        <v>20</v>
      </c>
      <c r="E28" s="0" t="n">
        <v>42</v>
      </c>
      <c r="F28" s="0" t="n">
        <v>20</v>
      </c>
      <c r="G28" s="0" t="n">
        <f aca="false">Tabla3510813153424[[#This Row],[no_efec_cor]]+Tabla3510813153424[[#This Row],[efec_cor]]</f>
        <v>87</v>
      </c>
      <c r="H28" s="0" t="n">
        <f aca="false">Tabla3510813153424[[#This Row],[no_efec_inc]]+Tabla3510813153424[[#This Row],[efect_inc]]</f>
        <v>40</v>
      </c>
      <c r="I28" s="9" t="n">
        <f aca="false">Tabla3510813153424[[#This Row],[Correctos]]/Tabla3510813153424[[#This Row],[total_sec]]</f>
        <v>0.68503937007874</v>
      </c>
      <c r="J28" s="9" t="n">
        <f aca="false">Tabla3510813153424[[#This Row],[efec_cor]]/Tabla3510813153424[[#This Row],[efec]]</f>
        <v>0.67741935483871</v>
      </c>
      <c r="K28" s="9" t="n">
        <f aca="false">Tabla3510813153424[[#This Row],[efect_inc]]/Tabla3510813153424[[#This Row],[efec]]</f>
        <v>0.32258064516129</v>
      </c>
      <c r="L28" s="9" t="n">
        <f aca="false">Tabla3510813153424[[#This Row],[no_efec_cor]]/Tabla3510813153424[[#This Row],[no_efe]]</f>
        <v>0.692307692307692</v>
      </c>
      <c r="M28" s="9" t="n">
        <f aca="false">Tabla3510813153424[[#This Row],[no_efec_inc]]/Tabla3510813153424[[#This Row],[no_efe]]</f>
        <v>0.307692307692308</v>
      </c>
      <c r="N28" s="9" t="n">
        <f aca="false">(Tabla3510813153424[[#This Row],[% efe_cor]]+Tabla3510813153424[[#This Row],[% no_efe_cor]])/2</f>
        <v>0.684863523573201</v>
      </c>
      <c r="O28" s="10" t="n">
        <f aca="false">(Tabla3510813153424[[#This Row],[% efe_inc]]+Tabla3510813153424[[#This Row],[% no_efect_inc]])/2</f>
        <v>0.315136476426799</v>
      </c>
      <c r="P28" s="11" t="n">
        <f aca="false">Tabla3510813153424[[#This Row],[no_efec_cor]]/(Tabla3510813153424[[#This Row],[efect_inc]]+Tabla3510813153424[[#This Row],[no_efec_cor]])</f>
        <v>0.692307692307692</v>
      </c>
      <c r="Q28" s="11" t="n">
        <f aca="false">Tabla3510813153424[[#This Row],[efec_cor]]/(Tabla3510813153424[[#This Row],[efec_cor]]+Tabla3510813153424[[#This Row],[no_efec_inc]])</f>
        <v>0.67741935483871</v>
      </c>
      <c r="R28" s="11" t="n">
        <f aca="false">(Tabla3510813153424[[#This Row],[PNE]]+Tabla3510813153424[[#This Row],[PE]])/2</f>
        <v>0.684863523573201</v>
      </c>
      <c r="S28" s="0" t="n">
        <v>62</v>
      </c>
      <c r="T28" s="0" t="n">
        <v>65</v>
      </c>
      <c r="U28" s="0" t="n">
        <f aca="false">Tabla3510813153424[[#This Row],[efec]]+Tabla3510813153424[[#This Row],[no_efe]]</f>
        <v>127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39</v>
      </c>
      <c r="D29" s="0" t="n">
        <v>26</v>
      </c>
      <c r="E29" s="0" t="n">
        <v>50</v>
      </c>
      <c r="F29" s="0" t="n">
        <v>12</v>
      </c>
      <c r="G29" s="0" t="n">
        <f aca="false">Tabla3510813153424[[#This Row],[no_efec_cor]]+Tabla3510813153424[[#This Row],[efec_cor]]</f>
        <v>89</v>
      </c>
      <c r="H29" s="0" t="n">
        <f aca="false">Tabla3510813153424[[#This Row],[no_efec_inc]]+Tabla3510813153424[[#This Row],[efect_inc]]</f>
        <v>38</v>
      </c>
      <c r="I29" s="9" t="n">
        <f aca="false">Tabla3510813153424[[#This Row],[Correctos]]/Tabla3510813153424[[#This Row],[total_sec]]</f>
        <v>0.700787401574803</v>
      </c>
      <c r="J29" s="9" t="n">
        <f aca="false">Tabla3510813153424[[#This Row],[efec_cor]]/Tabla3510813153424[[#This Row],[efec]]</f>
        <v>0.806451612903226</v>
      </c>
      <c r="K29" s="9" t="n">
        <f aca="false">Tabla3510813153424[[#This Row],[efect_inc]]/Tabla3510813153424[[#This Row],[efec]]</f>
        <v>0.193548387096774</v>
      </c>
      <c r="L29" s="9" t="n">
        <f aca="false">Tabla3510813153424[[#This Row],[no_efec_cor]]/Tabla3510813153424[[#This Row],[no_efe]]</f>
        <v>0.6</v>
      </c>
      <c r="M29" s="9" t="n">
        <f aca="false">Tabla3510813153424[[#This Row],[no_efec_inc]]/Tabla3510813153424[[#This Row],[no_efe]]</f>
        <v>0.4</v>
      </c>
      <c r="N29" s="9" t="n">
        <f aca="false">(Tabla3510813153424[[#This Row],[% efe_cor]]+Tabla3510813153424[[#This Row],[% no_efe_cor]])/2</f>
        <v>0.703225806451613</v>
      </c>
      <c r="O29" s="10" t="n">
        <f aca="false">(Tabla3510813153424[[#This Row],[% efe_inc]]+Tabla3510813153424[[#This Row],[% no_efect_inc]])/2</f>
        <v>0.296774193548387</v>
      </c>
      <c r="P29" s="11" t="n">
        <f aca="false">Tabla3510813153424[[#This Row],[no_efec_cor]]/(Tabla3510813153424[[#This Row],[efect_inc]]+Tabla3510813153424[[#This Row],[no_efec_cor]])</f>
        <v>0.764705882352941</v>
      </c>
      <c r="Q29" s="11" t="n">
        <f aca="false">Tabla3510813153424[[#This Row],[efec_cor]]/(Tabla3510813153424[[#This Row],[efec_cor]]+Tabla3510813153424[[#This Row],[no_efec_inc]])</f>
        <v>0.657894736842105</v>
      </c>
      <c r="R29" s="11" t="n">
        <f aca="false">(Tabla3510813153424[[#This Row],[PNE]]+Tabla3510813153424[[#This Row],[PE]])/2</f>
        <v>0.711300309597523</v>
      </c>
      <c r="S29" s="0" t="n">
        <v>62</v>
      </c>
      <c r="T29" s="0" t="n">
        <v>65</v>
      </c>
      <c r="U29" s="0" t="n">
        <f aca="false">Tabla3510813153424[[#This Row],[efec]]+Tabla3510813153424[[#This Row],[no_efe]]</f>
        <v>127</v>
      </c>
    </row>
    <row r="30" customFormat="false" ht="13.8" hidden="false" customHeight="false" outlineLevel="0" collapsed="false">
      <c r="A30" s="0" t="n">
        <v>1</v>
      </c>
      <c r="B30" s="0" t="n">
        <v>2</v>
      </c>
      <c r="C30" s="0" t="n">
        <v>38</v>
      </c>
      <c r="D30" s="0" t="n">
        <v>27</v>
      </c>
      <c r="E30" s="0" t="n">
        <v>54</v>
      </c>
      <c r="F30" s="0" t="n">
        <v>8</v>
      </c>
      <c r="G30" s="0" t="n">
        <f aca="false">Tabla3510813153424[[#This Row],[no_efec_cor]]+Tabla3510813153424[[#This Row],[efec_cor]]</f>
        <v>92</v>
      </c>
      <c r="H30" s="0" t="n">
        <f aca="false">Tabla3510813153424[[#This Row],[no_efec_inc]]+Tabla3510813153424[[#This Row],[efect_inc]]</f>
        <v>35</v>
      </c>
      <c r="I30" s="9" t="n">
        <f aca="false">Tabla3510813153424[[#This Row],[Correctos]]/Tabla3510813153424[[#This Row],[total_sec]]</f>
        <v>0.724409448818898</v>
      </c>
      <c r="J30" s="9" t="n">
        <f aca="false">Tabla3510813153424[[#This Row],[efec_cor]]/Tabla3510813153424[[#This Row],[efec]]</f>
        <v>0.870967741935484</v>
      </c>
      <c r="K30" s="9" t="n">
        <f aca="false">Tabla3510813153424[[#This Row],[efect_inc]]/Tabla3510813153424[[#This Row],[efec]]</f>
        <v>0.129032258064516</v>
      </c>
      <c r="L30" s="9" t="n">
        <f aca="false">Tabla3510813153424[[#This Row],[no_efec_cor]]/Tabla3510813153424[[#This Row],[no_efe]]</f>
        <v>0.584615384615385</v>
      </c>
      <c r="M30" s="9" t="n">
        <f aca="false">Tabla3510813153424[[#This Row],[no_efec_inc]]/Tabla3510813153424[[#This Row],[no_efe]]</f>
        <v>0.415384615384615</v>
      </c>
      <c r="N30" s="9" t="n">
        <f aca="false">(Tabla3510813153424[[#This Row],[% efe_cor]]+Tabla3510813153424[[#This Row],[% no_efe_cor]])/2</f>
        <v>0.727791563275434</v>
      </c>
      <c r="O30" s="10" t="n">
        <f aca="false">(Tabla3510813153424[[#This Row],[% efe_inc]]+Tabla3510813153424[[#This Row],[% no_efect_inc]])/2</f>
        <v>0.272208436724566</v>
      </c>
      <c r="P30" s="11" t="n">
        <f aca="false">Tabla3510813153424[[#This Row],[no_efec_cor]]/(Tabla3510813153424[[#This Row],[efect_inc]]+Tabla3510813153424[[#This Row],[no_efec_cor]])</f>
        <v>0.826086956521739</v>
      </c>
      <c r="Q30" s="11" t="n">
        <f aca="false">Tabla3510813153424[[#This Row],[efec_cor]]/(Tabla3510813153424[[#This Row],[efec_cor]]+Tabla3510813153424[[#This Row],[no_efec_inc]])</f>
        <v>0.666666666666667</v>
      </c>
      <c r="R30" s="11" t="n">
        <f aca="false">(Tabla3510813153424[[#This Row],[PNE]]+Tabla3510813153424[[#This Row],[PE]])/2</f>
        <v>0.746376811594203</v>
      </c>
      <c r="S30" s="0" t="n">
        <v>62</v>
      </c>
      <c r="T30" s="0" t="n">
        <v>65</v>
      </c>
      <c r="U30" s="0" t="n">
        <f aca="false">Tabla3510813153424[[#This Row],[efec]]+Tabla3510813153424[[#This Row],[no_efe]]</f>
        <v>127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37</v>
      </c>
      <c r="D31" s="0" t="n">
        <v>28</v>
      </c>
      <c r="E31" s="0" t="n">
        <v>54</v>
      </c>
      <c r="F31" s="0" t="n">
        <v>8</v>
      </c>
      <c r="G31" s="0" t="n">
        <f aca="false">Tabla3510813153424[[#This Row],[no_efec_cor]]+Tabla3510813153424[[#This Row],[efec_cor]]</f>
        <v>91</v>
      </c>
      <c r="H31" s="0" t="n">
        <f aca="false">Tabla3510813153424[[#This Row],[no_efec_inc]]+Tabla3510813153424[[#This Row],[efect_inc]]</f>
        <v>36</v>
      </c>
      <c r="I31" s="9" t="n">
        <f aca="false">Tabla3510813153424[[#This Row],[Correctos]]/Tabla3510813153424[[#This Row],[total_sec]]</f>
        <v>0.716535433070866</v>
      </c>
      <c r="J31" s="9" t="n">
        <f aca="false">Tabla3510813153424[[#This Row],[efec_cor]]/Tabla3510813153424[[#This Row],[efec]]</f>
        <v>0.870967741935484</v>
      </c>
      <c r="K31" s="9" t="n">
        <f aca="false">Tabla3510813153424[[#This Row],[efect_inc]]/Tabla3510813153424[[#This Row],[efec]]</f>
        <v>0.129032258064516</v>
      </c>
      <c r="L31" s="9" t="n">
        <f aca="false">Tabla3510813153424[[#This Row],[no_efec_cor]]/Tabla3510813153424[[#This Row],[no_efe]]</f>
        <v>0.569230769230769</v>
      </c>
      <c r="M31" s="9" t="n">
        <f aca="false">Tabla3510813153424[[#This Row],[no_efec_inc]]/Tabla3510813153424[[#This Row],[no_efe]]</f>
        <v>0.430769230769231</v>
      </c>
      <c r="N31" s="9" t="n">
        <f aca="false">(Tabla3510813153424[[#This Row],[% efe_cor]]+Tabla3510813153424[[#This Row],[% no_efe_cor]])/2</f>
        <v>0.720099255583127</v>
      </c>
      <c r="O31" s="10" t="n">
        <f aca="false">(Tabla3510813153424[[#This Row],[% efe_inc]]+Tabla3510813153424[[#This Row],[% no_efect_inc]])/2</f>
        <v>0.279900744416873</v>
      </c>
      <c r="P31" s="11" t="n">
        <f aca="false">Tabla3510813153424[[#This Row],[no_efec_cor]]/(Tabla3510813153424[[#This Row],[efect_inc]]+Tabla3510813153424[[#This Row],[no_efec_cor]])</f>
        <v>0.822222222222222</v>
      </c>
      <c r="Q31" s="11" t="n">
        <f aca="false">Tabla3510813153424[[#This Row],[efec_cor]]/(Tabla3510813153424[[#This Row],[efec_cor]]+Tabla3510813153424[[#This Row],[no_efec_inc]])</f>
        <v>0.658536585365854</v>
      </c>
      <c r="R31" s="11" t="n">
        <f aca="false">(Tabla3510813153424[[#This Row],[PNE]]+Tabla3510813153424[[#This Row],[PE]])/2</f>
        <v>0.740379403794038</v>
      </c>
      <c r="S31" s="0" t="n">
        <v>62</v>
      </c>
      <c r="T31" s="0" t="n">
        <v>65</v>
      </c>
      <c r="U31" s="0" t="n">
        <f aca="false">Tabla3510813153424[[#This Row],[efec]]+Tabla3510813153424[[#This Row],[no_efe]]</f>
        <v>127</v>
      </c>
    </row>
    <row r="32" customFormat="false" ht="13.8" hidden="false" customHeight="false" outlineLevel="0" collapsed="false">
      <c r="A32" s="0" t="n">
        <v>1</v>
      </c>
      <c r="B32" s="0" t="n">
        <v>5</v>
      </c>
      <c r="C32" s="0" t="n">
        <v>38</v>
      </c>
      <c r="D32" s="0" t="n">
        <v>27</v>
      </c>
      <c r="E32" s="0" t="n">
        <v>52</v>
      </c>
      <c r="F32" s="0" t="n">
        <v>10</v>
      </c>
      <c r="G32" s="0" t="n">
        <f aca="false">Tabla3510813153424[[#This Row],[no_efec_cor]]+Tabla3510813153424[[#This Row],[efec_cor]]</f>
        <v>90</v>
      </c>
      <c r="H32" s="0" t="n">
        <f aca="false">Tabla3510813153424[[#This Row],[no_efec_inc]]+Tabla3510813153424[[#This Row],[efect_inc]]</f>
        <v>37</v>
      </c>
      <c r="I32" s="9" t="n">
        <f aca="false">Tabla3510813153424[[#This Row],[Correctos]]/Tabla3510813153424[[#This Row],[total_sec]]</f>
        <v>0.708661417322835</v>
      </c>
      <c r="J32" s="9" t="n">
        <f aca="false">Tabla3510813153424[[#This Row],[efec_cor]]/Tabla3510813153424[[#This Row],[efec]]</f>
        <v>0.838709677419355</v>
      </c>
      <c r="K32" s="9" t="n">
        <f aca="false">Tabla3510813153424[[#This Row],[efect_inc]]/Tabla3510813153424[[#This Row],[efec]]</f>
        <v>0.161290322580645</v>
      </c>
      <c r="L32" s="9" t="n">
        <f aca="false">Tabla3510813153424[[#This Row],[no_efec_cor]]/Tabla3510813153424[[#This Row],[no_efe]]</f>
        <v>0.584615384615385</v>
      </c>
      <c r="M32" s="9" t="n">
        <f aca="false">Tabla3510813153424[[#This Row],[no_efec_inc]]/Tabla3510813153424[[#This Row],[no_efe]]</f>
        <v>0.415384615384615</v>
      </c>
      <c r="N32" s="9" t="n">
        <f aca="false">(Tabla3510813153424[[#This Row],[% efe_cor]]+Tabla3510813153424[[#This Row],[% no_efe_cor]])/2</f>
        <v>0.71166253101737</v>
      </c>
      <c r="O32" s="10" t="n">
        <f aca="false">(Tabla3510813153424[[#This Row],[% efe_inc]]+Tabla3510813153424[[#This Row],[% no_efect_inc]])/2</f>
        <v>0.28833746898263</v>
      </c>
      <c r="P32" s="11" t="n">
        <f aca="false">Tabla3510813153424[[#This Row],[no_efec_cor]]/(Tabla3510813153424[[#This Row],[efect_inc]]+Tabla3510813153424[[#This Row],[no_efec_cor]])</f>
        <v>0.791666666666667</v>
      </c>
      <c r="Q32" s="11" t="n">
        <f aca="false">Tabla3510813153424[[#This Row],[efec_cor]]/(Tabla3510813153424[[#This Row],[efec_cor]]+Tabla3510813153424[[#This Row],[no_efec_inc]])</f>
        <v>0.658227848101266</v>
      </c>
      <c r="R32" s="11" t="n">
        <f aca="false">(Tabla3510813153424[[#This Row],[PNE]]+Tabla3510813153424[[#This Row],[PE]])/2</f>
        <v>0.724947257383966</v>
      </c>
      <c r="S32" s="0" t="n">
        <v>62</v>
      </c>
      <c r="T32" s="0" t="n">
        <v>65</v>
      </c>
      <c r="U32" s="0" t="n">
        <f aca="false">Tabla3510813153424[[#This Row],[efec]]+Tabla3510813153424[[#This Row],[no_efe]]</f>
        <v>127</v>
      </c>
    </row>
    <row r="33" customFormat="false" ht="13.8" hidden="false" customHeight="false" outlineLevel="0" collapsed="false">
      <c r="A33" s="0" t="n">
        <v>2</v>
      </c>
      <c r="B33" s="0" t="n">
        <v>0.5</v>
      </c>
      <c r="C33" s="0" t="n">
        <v>47</v>
      </c>
      <c r="D33" s="0" t="n">
        <v>18</v>
      </c>
      <c r="E33" s="0" t="n">
        <v>43</v>
      </c>
      <c r="F33" s="0" t="n">
        <v>19</v>
      </c>
      <c r="G33" s="0" t="n">
        <f aca="false">Tabla3510813153424[[#This Row],[no_efec_cor]]+Tabla3510813153424[[#This Row],[efec_cor]]</f>
        <v>90</v>
      </c>
      <c r="H33" s="0" t="n">
        <f aca="false">Tabla3510813153424[[#This Row],[no_efec_inc]]+Tabla3510813153424[[#This Row],[efect_inc]]</f>
        <v>37</v>
      </c>
      <c r="I33" s="9" t="n">
        <f aca="false">Tabla3510813153424[[#This Row],[Correctos]]/Tabla3510813153424[[#This Row],[total_sec]]</f>
        <v>0.708661417322835</v>
      </c>
      <c r="J33" s="9" t="n">
        <f aca="false">Tabla3510813153424[[#This Row],[efec_cor]]/Tabla3510813153424[[#This Row],[efec]]</f>
        <v>0.693548387096774</v>
      </c>
      <c r="K33" s="9" t="n">
        <f aca="false">Tabla3510813153424[[#This Row],[efect_inc]]/Tabla3510813153424[[#This Row],[efec]]</f>
        <v>0.306451612903226</v>
      </c>
      <c r="L33" s="9" t="n">
        <f aca="false">Tabla3510813153424[[#This Row],[no_efec_cor]]/Tabla3510813153424[[#This Row],[no_efe]]</f>
        <v>0.723076923076923</v>
      </c>
      <c r="M33" s="9" t="n">
        <f aca="false">Tabla3510813153424[[#This Row],[no_efec_inc]]/Tabla3510813153424[[#This Row],[no_efe]]</f>
        <v>0.276923076923077</v>
      </c>
      <c r="N33" s="9" t="n">
        <f aca="false">(Tabla3510813153424[[#This Row],[% efe_cor]]+Tabla3510813153424[[#This Row],[% no_efe_cor]])/2</f>
        <v>0.708312655086849</v>
      </c>
      <c r="O33" s="10" t="n">
        <f aca="false">(Tabla3510813153424[[#This Row],[% efe_inc]]+Tabla3510813153424[[#This Row],[% no_efect_inc]])/2</f>
        <v>0.291687344913151</v>
      </c>
      <c r="P33" s="11" t="n">
        <f aca="false">Tabla3510813153424[[#This Row],[no_efec_cor]]/(Tabla3510813153424[[#This Row],[efect_inc]]+Tabla3510813153424[[#This Row],[no_efec_cor]])</f>
        <v>0.712121212121212</v>
      </c>
      <c r="Q33" s="11" t="n">
        <f aca="false">Tabla3510813153424[[#This Row],[efec_cor]]/(Tabla3510813153424[[#This Row],[efec_cor]]+Tabla3510813153424[[#This Row],[no_efec_inc]])</f>
        <v>0.704918032786885</v>
      </c>
      <c r="R33" s="11" t="n">
        <f aca="false">(Tabla3510813153424[[#This Row],[PNE]]+Tabla3510813153424[[#This Row],[PE]])/2</f>
        <v>0.708519622454049</v>
      </c>
      <c r="S33" s="0" t="n">
        <v>62</v>
      </c>
      <c r="T33" s="0" t="n">
        <v>65</v>
      </c>
      <c r="U33" s="0" t="n">
        <f aca="false">Tabla3510813153424[[#This Row],[efec]]+Tabla3510813153424[[#This Row],[no_efe]]</f>
        <v>127</v>
      </c>
    </row>
    <row r="34" customFormat="false" ht="13.8" hidden="false" customHeight="false" outlineLevel="0" collapsed="false">
      <c r="A34" s="0" t="n">
        <v>3</v>
      </c>
      <c r="B34" s="0" t="n">
        <v>0.5</v>
      </c>
      <c r="C34" s="0" t="n">
        <v>49</v>
      </c>
      <c r="D34" s="0" t="n">
        <v>16</v>
      </c>
      <c r="E34" s="0" t="n">
        <v>40</v>
      </c>
      <c r="F34" s="0" t="n">
        <v>22</v>
      </c>
      <c r="G34" s="0" t="n">
        <f aca="false">Tabla3510813153424[[#This Row],[no_efec_cor]]+Tabla3510813153424[[#This Row],[efec_cor]]</f>
        <v>89</v>
      </c>
      <c r="H34" s="0" t="n">
        <f aca="false">Tabla3510813153424[[#This Row],[no_efec_inc]]+Tabla3510813153424[[#This Row],[efect_inc]]</f>
        <v>38</v>
      </c>
      <c r="I34" s="9" t="n">
        <f aca="false">Tabla3510813153424[[#This Row],[Correctos]]/Tabla3510813153424[[#This Row],[total_sec]]</f>
        <v>0.700787401574803</v>
      </c>
      <c r="J34" s="9" t="n">
        <f aca="false">Tabla3510813153424[[#This Row],[efec_cor]]/Tabla3510813153424[[#This Row],[efec]]</f>
        <v>0.645161290322581</v>
      </c>
      <c r="K34" s="9" t="n">
        <f aca="false">Tabla3510813153424[[#This Row],[efect_inc]]/Tabla3510813153424[[#This Row],[efec]]</f>
        <v>0.354838709677419</v>
      </c>
      <c r="L34" s="9" t="n">
        <f aca="false">Tabla3510813153424[[#This Row],[no_efec_cor]]/Tabla3510813153424[[#This Row],[no_efe]]</f>
        <v>0.753846153846154</v>
      </c>
      <c r="M34" s="9" t="n">
        <f aca="false">Tabla3510813153424[[#This Row],[no_efec_inc]]/Tabla3510813153424[[#This Row],[no_efe]]</f>
        <v>0.246153846153846</v>
      </c>
      <c r="N34" s="9" t="n">
        <f aca="false">(Tabla3510813153424[[#This Row],[% efe_cor]]+Tabla3510813153424[[#This Row],[% no_efe_cor]])/2</f>
        <v>0.699503722084367</v>
      </c>
      <c r="O34" s="10" t="n">
        <f aca="false">(Tabla3510813153424[[#This Row],[% efe_inc]]+Tabla3510813153424[[#This Row],[% no_efect_inc]])/2</f>
        <v>0.300496277915633</v>
      </c>
      <c r="P34" s="11" t="n">
        <f aca="false">Tabla3510813153424[[#This Row],[no_efec_cor]]/(Tabla3510813153424[[#This Row],[efect_inc]]+Tabla3510813153424[[#This Row],[no_efec_cor]])</f>
        <v>0.690140845070423</v>
      </c>
      <c r="Q34" s="11" t="n">
        <f aca="false">Tabla3510813153424[[#This Row],[efec_cor]]/(Tabla3510813153424[[#This Row],[efec_cor]]+Tabla3510813153424[[#This Row],[no_efec_inc]])</f>
        <v>0.714285714285714</v>
      </c>
      <c r="R34" s="11" t="n">
        <f aca="false">(Tabla3510813153424[[#This Row],[PNE]]+Tabla3510813153424[[#This Row],[PE]])/2</f>
        <v>0.702213279678068</v>
      </c>
      <c r="S34" s="0" t="n">
        <v>62</v>
      </c>
      <c r="T34" s="0" t="n">
        <v>65</v>
      </c>
      <c r="U34" s="0" t="n">
        <f aca="false">Tabla3510813153424[[#This Row],[efec]]+Tabla3510813153424[[#This Row],[no_efe]]</f>
        <v>127</v>
      </c>
    </row>
    <row r="35" customFormat="false" ht="13.8" hidden="false" customHeight="false" outlineLevel="0" collapsed="false">
      <c r="A35" s="0" t="n">
        <v>5</v>
      </c>
      <c r="B35" s="0" t="n">
        <v>0.5</v>
      </c>
      <c r="C35" s="0" t="n">
        <v>49</v>
      </c>
      <c r="D35" s="0" t="n">
        <v>16</v>
      </c>
      <c r="E35" s="0" t="n">
        <v>40</v>
      </c>
      <c r="F35" s="0" t="n">
        <v>22</v>
      </c>
      <c r="G35" s="0" t="n">
        <f aca="false">Tabla3510813153424[[#This Row],[no_efec_cor]]+Tabla3510813153424[[#This Row],[efec_cor]]</f>
        <v>89</v>
      </c>
      <c r="H35" s="0" t="n">
        <f aca="false">Tabla3510813153424[[#This Row],[no_efec_inc]]+Tabla3510813153424[[#This Row],[efect_inc]]</f>
        <v>38</v>
      </c>
      <c r="I35" s="9" t="n">
        <f aca="false">Tabla3510813153424[[#This Row],[Correctos]]/Tabla3510813153424[[#This Row],[total_sec]]</f>
        <v>0.700787401574803</v>
      </c>
      <c r="J35" s="9" t="n">
        <f aca="false">Tabla3510813153424[[#This Row],[efec_cor]]/Tabla3510813153424[[#This Row],[efec]]</f>
        <v>0.645161290322581</v>
      </c>
      <c r="K35" s="9" t="n">
        <f aca="false">Tabla3510813153424[[#This Row],[efect_inc]]/Tabla3510813153424[[#This Row],[efec]]</f>
        <v>0.354838709677419</v>
      </c>
      <c r="L35" s="9" t="n">
        <f aca="false">Tabla3510813153424[[#This Row],[no_efec_cor]]/Tabla3510813153424[[#This Row],[no_efe]]</f>
        <v>0.753846153846154</v>
      </c>
      <c r="M35" s="9" t="n">
        <f aca="false">Tabla3510813153424[[#This Row],[no_efec_inc]]/Tabla3510813153424[[#This Row],[no_efe]]</f>
        <v>0.246153846153846</v>
      </c>
      <c r="N35" s="9" t="n">
        <f aca="false">(Tabla3510813153424[[#This Row],[% efe_cor]]+Tabla3510813153424[[#This Row],[% no_efe_cor]])/2</f>
        <v>0.699503722084367</v>
      </c>
      <c r="O35" s="10" t="n">
        <f aca="false">(Tabla3510813153424[[#This Row],[% efe_inc]]+Tabla3510813153424[[#This Row],[% no_efect_inc]])/2</f>
        <v>0.300496277915633</v>
      </c>
      <c r="P35" s="11" t="n">
        <f aca="false">Tabla3510813153424[[#This Row],[no_efec_cor]]/(Tabla3510813153424[[#This Row],[efect_inc]]+Tabla3510813153424[[#This Row],[no_efec_cor]])</f>
        <v>0.690140845070423</v>
      </c>
      <c r="Q35" s="11" t="n">
        <f aca="false">Tabla3510813153424[[#This Row],[efec_cor]]/(Tabla3510813153424[[#This Row],[efec_cor]]+Tabla3510813153424[[#This Row],[no_efec_inc]])</f>
        <v>0.714285714285714</v>
      </c>
      <c r="R35" s="11" t="n">
        <f aca="false">(Tabla3510813153424[[#This Row],[PNE]]+Tabla3510813153424[[#This Row],[PE]])/2</f>
        <v>0.702213279678068</v>
      </c>
      <c r="S35" s="0" t="n">
        <v>62</v>
      </c>
      <c r="T35" s="0" t="n">
        <v>65</v>
      </c>
      <c r="U35" s="0" t="n">
        <f aca="false">Tabla3510813153424[[#This Row],[efec]]+Tabla3510813153424[[#This Row],[no_efe]]</f>
        <v>127</v>
      </c>
    </row>
    <row r="36" customFormat="false" ht="13.8" hidden="false" customHeight="false" outlineLevel="0" collapsed="false">
      <c r="A36" s="0" t="n">
        <v>5</v>
      </c>
      <c r="B36" s="0" t="n">
        <v>1</v>
      </c>
      <c r="C36" s="0" t="n">
        <v>43</v>
      </c>
      <c r="D36" s="0" t="n">
        <v>22</v>
      </c>
      <c r="E36" s="0" t="n">
        <v>43</v>
      </c>
      <c r="F36" s="0" t="n">
        <v>19</v>
      </c>
      <c r="G36" s="0" t="n">
        <f aca="false">Tabla3510813153424[[#This Row],[no_efec_cor]]+Tabla3510813153424[[#This Row],[efec_cor]]</f>
        <v>86</v>
      </c>
      <c r="H36" s="0" t="n">
        <f aca="false">Tabla3510813153424[[#This Row],[no_efec_inc]]+Tabla3510813153424[[#This Row],[efect_inc]]</f>
        <v>41</v>
      </c>
      <c r="I36" s="9" t="n">
        <f aca="false">Tabla3510813153424[[#This Row],[Correctos]]/Tabla3510813153424[[#This Row],[total_sec]]</f>
        <v>0.677165354330709</v>
      </c>
      <c r="J36" s="9" t="n">
        <f aca="false">Tabla3510813153424[[#This Row],[efec_cor]]/Tabla3510813153424[[#This Row],[efec]]</f>
        <v>0.693548387096774</v>
      </c>
      <c r="K36" s="9" t="n">
        <f aca="false">Tabla3510813153424[[#This Row],[efect_inc]]/Tabla3510813153424[[#This Row],[efec]]</f>
        <v>0.306451612903226</v>
      </c>
      <c r="L36" s="9" t="n">
        <f aca="false">Tabla3510813153424[[#This Row],[no_efec_cor]]/Tabla3510813153424[[#This Row],[no_efe]]</f>
        <v>0.661538461538462</v>
      </c>
      <c r="M36" s="9" t="n">
        <f aca="false">Tabla3510813153424[[#This Row],[no_efec_inc]]/Tabla3510813153424[[#This Row],[no_efe]]</f>
        <v>0.338461538461538</v>
      </c>
      <c r="N36" s="9" t="n">
        <f aca="false">(Tabla3510813153424[[#This Row],[% efe_cor]]+Tabla3510813153424[[#This Row],[% no_efe_cor]])/2</f>
        <v>0.677543424317618</v>
      </c>
      <c r="O36" s="10" t="n">
        <f aca="false">(Tabla3510813153424[[#This Row],[% efe_inc]]+Tabla3510813153424[[#This Row],[% no_efect_inc]])/2</f>
        <v>0.322456575682382</v>
      </c>
      <c r="P36" s="11" t="n">
        <f aca="false">Tabla3510813153424[[#This Row],[no_efec_cor]]/(Tabla3510813153424[[#This Row],[efect_inc]]+Tabla3510813153424[[#This Row],[no_efec_cor]])</f>
        <v>0.693548387096774</v>
      </c>
      <c r="Q36" s="11" t="n">
        <f aca="false">Tabla3510813153424[[#This Row],[efec_cor]]/(Tabla3510813153424[[#This Row],[efec_cor]]+Tabla3510813153424[[#This Row],[no_efec_inc]])</f>
        <v>0.661538461538462</v>
      </c>
      <c r="R36" s="11" t="n">
        <f aca="false">(Tabla3510813153424[[#This Row],[PNE]]+Tabla3510813153424[[#This Row],[PE]])/2</f>
        <v>0.677543424317618</v>
      </c>
      <c r="S36" s="0" t="n">
        <v>62</v>
      </c>
      <c r="T36" s="0" t="n">
        <v>65</v>
      </c>
      <c r="U36" s="0" t="n">
        <f aca="false">Tabla3510813153424[[#This Row],[efec]]+Tabla3510813153424[[#This Row],[no_efe]]</f>
        <v>127</v>
      </c>
    </row>
    <row r="37" customFormat="false" ht="13.8" hidden="false" customHeight="false" outlineLevel="0" collapsed="false">
      <c r="A37" s="0" t="n">
        <v>0.5</v>
      </c>
      <c r="B37" s="0" t="n">
        <v>1</v>
      </c>
      <c r="C37" s="0" t="n">
        <v>41</v>
      </c>
      <c r="D37" s="0" t="n">
        <v>24</v>
      </c>
      <c r="E37" s="0" t="n">
        <v>44</v>
      </c>
      <c r="F37" s="0" t="n">
        <v>18</v>
      </c>
      <c r="G37" s="0" t="n">
        <f aca="false">Tabla3510813153424[[#This Row],[no_efec_cor]]+Tabla3510813153424[[#This Row],[efec_cor]]</f>
        <v>85</v>
      </c>
      <c r="H37" s="0" t="n">
        <f aca="false">Tabla3510813153424[[#This Row],[no_efec_inc]]+Tabla3510813153424[[#This Row],[efect_inc]]</f>
        <v>42</v>
      </c>
      <c r="I37" s="9" t="n">
        <f aca="false">Tabla3510813153424[[#This Row],[Correctos]]/Tabla3510813153424[[#This Row],[total_sec]]</f>
        <v>0.669291338582677</v>
      </c>
      <c r="J37" s="9" t="n">
        <f aca="false">Tabla3510813153424[[#This Row],[efec_cor]]/Tabla3510813153424[[#This Row],[efec]]</f>
        <v>0.709677419354839</v>
      </c>
      <c r="K37" s="9" t="n">
        <f aca="false">Tabla3510813153424[[#This Row],[efect_inc]]/Tabla3510813153424[[#This Row],[efec]]</f>
        <v>0.290322580645161</v>
      </c>
      <c r="L37" s="9" t="n">
        <f aca="false">Tabla3510813153424[[#This Row],[no_efec_cor]]/Tabla3510813153424[[#This Row],[no_efe]]</f>
        <v>0.630769230769231</v>
      </c>
      <c r="M37" s="9" t="n">
        <f aca="false">Tabla3510813153424[[#This Row],[no_efec_inc]]/Tabla3510813153424[[#This Row],[no_efe]]</f>
        <v>0.369230769230769</v>
      </c>
      <c r="N37" s="9" t="n">
        <f aca="false">(Tabla3510813153424[[#This Row],[% efe_cor]]+Tabla3510813153424[[#This Row],[% no_efe_cor]])/2</f>
        <v>0.670223325062035</v>
      </c>
      <c r="O37" s="10" t="n">
        <f aca="false">(Tabla3510813153424[[#This Row],[% efe_inc]]+Tabla3510813153424[[#This Row],[% no_efect_inc]])/2</f>
        <v>0.329776674937965</v>
      </c>
      <c r="P37" s="11" t="n">
        <f aca="false">Tabla3510813153424[[#This Row],[no_efec_cor]]/(Tabla3510813153424[[#This Row],[efect_inc]]+Tabla3510813153424[[#This Row],[no_efec_cor]])</f>
        <v>0.694915254237288</v>
      </c>
      <c r="Q37" s="11" t="n">
        <f aca="false">Tabla3510813153424[[#This Row],[efec_cor]]/(Tabla3510813153424[[#This Row],[efec_cor]]+Tabla3510813153424[[#This Row],[no_efec_inc]])</f>
        <v>0.647058823529412</v>
      </c>
      <c r="R37" s="11" t="n">
        <f aca="false">(Tabla3510813153424[[#This Row],[PNE]]+Tabla3510813153424[[#This Row],[PE]])/2</f>
        <v>0.67098703888335</v>
      </c>
      <c r="S37" s="0" t="n">
        <v>62</v>
      </c>
      <c r="T37" s="0" t="n">
        <v>65</v>
      </c>
      <c r="U37" s="0" t="n">
        <f aca="false">Tabla3510813153424[[#This Row],[efec]]+Tabla3510813153424[[#This Row],[no_efe]]</f>
        <v>127</v>
      </c>
    </row>
    <row r="38" customFormat="false" ht="13.8" hidden="false" customHeight="false" outlineLevel="0" collapsed="false">
      <c r="A38" s="0" t="n">
        <v>0.1</v>
      </c>
      <c r="B38" s="0" t="n">
        <v>1</v>
      </c>
      <c r="C38" s="0" t="n">
        <v>60</v>
      </c>
      <c r="D38" s="0" t="n">
        <v>5</v>
      </c>
      <c r="E38" s="0" t="n">
        <v>22</v>
      </c>
      <c r="F38" s="0" t="n">
        <v>40</v>
      </c>
      <c r="G38" s="0" t="n">
        <f aca="false">Tabla3510813153424[[#This Row],[no_efec_cor]]+Tabla3510813153424[[#This Row],[efec_cor]]</f>
        <v>82</v>
      </c>
      <c r="H38" s="0" t="n">
        <f aca="false">Tabla3510813153424[[#This Row],[no_efec_inc]]+Tabla3510813153424[[#This Row],[efect_inc]]</f>
        <v>45</v>
      </c>
      <c r="I38" s="9" t="n">
        <f aca="false">Tabla3510813153424[[#This Row],[Correctos]]/Tabla3510813153424[[#This Row],[total_sec]]</f>
        <v>0.645669291338583</v>
      </c>
      <c r="J38" s="9" t="n">
        <f aca="false">Tabla3510813153424[[#This Row],[efec_cor]]/Tabla3510813153424[[#This Row],[efec]]</f>
        <v>0.354838709677419</v>
      </c>
      <c r="K38" s="9" t="n">
        <f aca="false">Tabla3510813153424[[#This Row],[efect_inc]]/Tabla3510813153424[[#This Row],[efec]]</f>
        <v>0.645161290322581</v>
      </c>
      <c r="L38" s="9" t="n">
        <f aca="false">Tabla3510813153424[[#This Row],[no_efec_cor]]/Tabla3510813153424[[#This Row],[no_efe]]</f>
        <v>0.923076923076923</v>
      </c>
      <c r="M38" s="9" t="n">
        <f aca="false">Tabla3510813153424[[#This Row],[no_efec_inc]]/Tabla3510813153424[[#This Row],[no_efe]]</f>
        <v>0.0769230769230769</v>
      </c>
      <c r="N38" s="9" t="n">
        <f aca="false">(Tabla3510813153424[[#This Row],[% efe_cor]]+Tabla3510813153424[[#This Row],[% no_efe_cor]])/2</f>
        <v>0.638957816377171</v>
      </c>
      <c r="O38" s="10" t="n">
        <f aca="false">(Tabla3510813153424[[#This Row],[% efe_inc]]+Tabla3510813153424[[#This Row],[% no_efect_inc]])/2</f>
        <v>0.361042183622829</v>
      </c>
      <c r="P38" s="11" t="n">
        <f aca="false">Tabla3510813153424[[#This Row],[no_efec_cor]]/(Tabla3510813153424[[#This Row],[efect_inc]]+Tabla3510813153424[[#This Row],[no_efec_cor]])</f>
        <v>0.6</v>
      </c>
      <c r="Q38" s="11" t="n">
        <f aca="false">Tabla3510813153424[[#This Row],[efec_cor]]/(Tabla3510813153424[[#This Row],[efec_cor]]+Tabla3510813153424[[#This Row],[no_efec_inc]])</f>
        <v>0.814814814814815</v>
      </c>
      <c r="R38" s="11" t="n">
        <f aca="false">(Tabla3510813153424[[#This Row],[PNE]]+Tabla3510813153424[[#This Row],[PE]])/2</f>
        <v>0.707407407407407</v>
      </c>
      <c r="S38" s="0" t="n">
        <v>62</v>
      </c>
      <c r="T38" s="0" t="n">
        <v>65</v>
      </c>
      <c r="U38" s="0" t="n">
        <f aca="false">Tabla3510813153424[[#This Row],[efec]]+Tabla3510813153424[[#This Row],[no_efe]]</f>
        <v>127</v>
      </c>
    </row>
    <row r="39" customFormat="false" ht="13.8" hidden="false" customHeight="false" outlineLevel="0" collapsed="false">
      <c r="A39" s="0" t="n">
        <v>0.5</v>
      </c>
      <c r="B39" s="0" t="n">
        <v>0.5</v>
      </c>
      <c r="C39" s="0" t="n">
        <v>33</v>
      </c>
      <c r="D39" s="0" t="n">
        <v>32</v>
      </c>
      <c r="E39" s="0" t="n">
        <v>48</v>
      </c>
      <c r="F39" s="0" t="n">
        <v>14</v>
      </c>
      <c r="G39" s="0" t="n">
        <f aca="false">Tabla3510813153424[[#This Row],[no_efec_cor]]+Tabla3510813153424[[#This Row],[efec_cor]]</f>
        <v>81</v>
      </c>
      <c r="H39" s="0" t="n">
        <f aca="false">Tabla3510813153424[[#This Row],[no_efec_inc]]+Tabla3510813153424[[#This Row],[efect_inc]]</f>
        <v>46</v>
      </c>
      <c r="I39" s="9" t="n">
        <f aca="false">Tabla3510813153424[[#This Row],[Correctos]]/Tabla3510813153424[[#This Row],[total_sec]]</f>
        <v>0.637795275590551</v>
      </c>
      <c r="J39" s="9" t="n">
        <f aca="false">Tabla3510813153424[[#This Row],[efec_cor]]/Tabla3510813153424[[#This Row],[efec]]</f>
        <v>0.774193548387097</v>
      </c>
      <c r="K39" s="9" t="n">
        <f aca="false">Tabla3510813153424[[#This Row],[efect_inc]]/Tabla3510813153424[[#This Row],[efec]]</f>
        <v>0.225806451612903</v>
      </c>
      <c r="L39" s="9" t="n">
        <f aca="false">Tabla3510813153424[[#This Row],[no_efec_cor]]/Tabla3510813153424[[#This Row],[no_efe]]</f>
        <v>0.507692307692308</v>
      </c>
      <c r="M39" s="9" t="n">
        <f aca="false">Tabla3510813153424[[#This Row],[no_efec_inc]]/Tabla3510813153424[[#This Row],[no_efe]]</f>
        <v>0.492307692307692</v>
      </c>
      <c r="N39" s="9" t="n">
        <f aca="false">(Tabla3510813153424[[#This Row],[% efe_cor]]+Tabla3510813153424[[#This Row],[% no_efe_cor]])/2</f>
        <v>0.640942928039702</v>
      </c>
      <c r="O39" s="10" t="n">
        <f aca="false">(Tabla3510813153424[[#This Row],[% efe_inc]]+Tabla3510813153424[[#This Row],[% no_efect_inc]])/2</f>
        <v>0.359057071960298</v>
      </c>
      <c r="P39" s="11" t="n">
        <f aca="false">Tabla3510813153424[[#This Row],[no_efec_cor]]/(Tabla3510813153424[[#This Row],[efect_inc]]+Tabla3510813153424[[#This Row],[no_efec_cor]])</f>
        <v>0.702127659574468</v>
      </c>
      <c r="Q39" s="11" t="n">
        <f aca="false">Tabla3510813153424[[#This Row],[efec_cor]]/(Tabla3510813153424[[#This Row],[efec_cor]]+Tabla3510813153424[[#This Row],[no_efec_inc]])</f>
        <v>0.6</v>
      </c>
      <c r="R39" s="11" t="n">
        <f aca="false">(Tabla3510813153424[[#This Row],[PNE]]+Tabla3510813153424[[#This Row],[PE]])/2</f>
        <v>0.651063829787234</v>
      </c>
      <c r="S39" s="0" t="n">
        <v>62</v>
      </c>
      <c r="T39" s="0" t="n">
        <v>65</v>
      </c>
      <c r="U39" s="0" t="n">
        <f aca="false">Tabla3510813153424[[#This Row],[efec]]+Tabla3510813153424[[#This Row],[no_efe]]</f>
        <v>127</v>
      </c>
    </row>
  </sheetData>
  <mergeCells count="9">
    <mergeCell ref="A1:U1"/>
    <mergeCell ref="A2:U2"/>
    <mergeCell ref="A4:B4"/>
    <mergeCell ref="A5:B5"/>
    <mergeCell ref="A6:B6"/>
    <mergeCell ref="A8:I8"/>
    <mergeCell ref="A20:U20"/>
    <mergeCell ref="A21:U21"/>
    <mergeCell ref="A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C39" activeCellId="1" sqref="A81:E91 C39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63</v>
      </c>
    </row>
    <row r="5" customFormat="false" ht="15" hidden="false" customHeight="false" outlineLevel="0" collapsed="false">
      <c r="A5" s="3" t="s">
        <v>3</v>
      </c>
      <c r="B5" s="3"/>
      <c r="C5" s="4" t="n">
        <v>64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127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49</v>
      </c>
      <c r="C10" s="0" t="n">
        <v>15</v>
      </c>
      <c r="D10" s="0" t="n">
        <v>38</v>
      </c>
      <c r="E10" s="0" t="n">
        <v>28</v>
      </c>
      <c r="F10" s="0" t="n">
        <f aca="false">Tabla351081315325[[#This Row],[no_efec_cor]]+Tabla351081315325[[#This Row],[efec_cor]]</f>
        <v>87</v>
      </c>
      <c r="G10" s="0" t="n">
        <f aca="false">Tabla351081315325[[#This Row],[no_efec_inc]]+Tabla351081315325[[#This Row],[efect_inc]]</f>
        <v>43</v>
      </c>
      <c r="H10" s="9" t="n">
        <f aca="false">Tabla351081315325[[#This Row],[Correctos]]/Tabla351081315325[[#This Row],[total_sec]]</f>
        <v>0.68503937007874</v>
      </c>
      <c r="I10" s="9" t="n">
        <f aca="false">Tabla351081315325[[#This Row],[efec_cor]]/Tabla351081315325[[#This Row],[efec]]</f>
        <v>0.603174603174603</v>
      </c>
      <c r="J10" s="9" t="n">
        <f aca="false">Tabla351081315325[[#This Row],[efect_inc]]/Tabla351081315325[[#This Row],[efec]]</f>
        <v>0.444444444444444</v>
      </c>
      <c r="K10" s="9" t="n">
        <f aca="false">Tabla351081315325[[#This Row],[no_efec_cor]]/Tabla351081315325[[#This Row],[no_efe]]</f>
        <v>0.765625</v>
      </c>
      <c r="L10" s="9" t="n">
        <f aca="false">Tabla351081315325[[#This Row],[no_efec_inc]]/Tabla351081315325[[#This Row],[no_efe]]</f>
        <v>0.234375</v>
      </c>
      <c r="M10" s="9" t="n">
        <f aca="false">(Tabla351081315325[[#This Row],[% efe_cor]]+Tabla351081315325[[#This Row],[% no_efe_cor]])/2</f>
        <v>0.684399801587302</v>
      </c>
      <c r="N10" s="10" t="n">
        <f aca="false">(Tabla351081315325[[#This Row],[% efe_inc]]+Tabla351081315325[[#This Row],[% no_efect_inc]])/2</f>
        <v>0.339409722222222</v>
      </c>
      <c r="O10" s="11" t="n">
        <f aca="false">Tabla351081315325[[#This Row],[no_efec_cor]]/(Tabla351081315325[[#This Row],[efect_inc]]+Tabla351081315325[[#This Row],[no_efec_cor]])</f>
        <v>0.636363636363636</v>
      </c>
      <c r="P10" s="11" t="n">
        <f aca="false">Tabla351081315325[[#This Row],[efec_cor]]/(Tabla351081315325[[#This Row],[efec_cor]]+Tabla351081315325[[#This Row],[no_efec_inc]])</f>
        <v>0.716981132075472</v>
      </c>
      <c r="Q10" s="11" t="n">
        <f aca="false">(Tabla351081315325[[#This Row],[PNE]]+Tabla351081315325[[#This Row],[PE]])/2</f>
        <v>0.676672384219554</v>
      </c>
      <c r="R10" s="0" t="n">
        <v>63</v>
      </c>
      <c r="S10" s="0" t="n">
        <v>64</v>
      </c>
      <c r="T10" s="0" t="n">
        <f aca="false">Tabla351081315325[[#This Row],[efec]]+Tabla351081315325[[#This Row],[no_efe]]</f>
        <v>127</v>
      </c>
    </row>
    <row r="11" customFormat="false" ht="13.8" hidden="false" customHeight="false" outlineLevel="0" collapsed="false">
      <c r="A11" s="0" t="n">
        <v>5</v>
      </c>
      <c r="B11" s="0" t="n">
        <v>49</v>
      </c>
      <c r="C11" s="0" t="n">
        <v>15</v>
      </c>
      <c r="D11" s="0" t="n">
        <v>34</v>
      </c>
      <c r="E11" s="0" t="n">
        <v>29</v>
      </c>
      <c r="F11" s="0" t="n">
        <f aca="false">Tabla351081315325[[#This Row],[no_efec_cor]]+Tabla351081315325[[#This Row],[efec_cor]]</f>
        <v>83</v>
      </c>
      <c r="G11" s="0" t="n">
        <f aca="false">Tabla351081315325[[#This Row],[no_efec_inc]]+Tabla351081315325[[#This Row],[efect_inc]]</f>
        <v>44</v>
      </c>
      <c r="H11" s="9" t="n">
        <f aca="false">Tabla351081315325[[#This Row],[Correctos]]/Tabla351081315325[[#This Row],[total_sec]]</f>
        <v>0.653543307086614</v>
      </c>
      <c r="I11" s="9" t="n">
        <f aca="false">Tabla351081315325[[#This Row],[efec_cor]]/Tabla351081315325[[#This Row],[efec]]</f>
        <v>0.53968253968254</v>
      </c>
      <c r="J11" s="9" t="n">
        <f aca="false">Tabla351081315325[[#This Row],[efect_inc]]/Tabla351081315325[[#This Row],[efec]]</f>
        <v>0.46031746031746</v>
      </c>
      <c r="K11" s="9" t="n">
        <f aca="false">Tabla351081315325[[#This Row],[no_efec_cor]]/Tabla351081315325[[#This Row],[no_efe]]</f>
        <v>0.765625</v>
      </c>
      <c r="L11" s="9" t="n">
        <f aca="false">Tabla351081315325[[#This Row],[no_efec_inc]]/Tabla351081315325[[#This Row],[no_efe]]</f>
        <v>0.234375</v>
      </c>
      <c r="M11" s="9" t="n">
        <f aca="false">(Tabla351081315325[[#This Row],[% efe_cor]]+Tabla351081315325[[#This Row],[% no_efe_cor]])/2</f>
        <v>0.65265376984127</v>
      </c>
      <c r="N11" s="10" t="n">
        <f aca="false">(Tabla351081315325[[#This Row],[% efe_inc]]+Tabla351081315325[[#This Row],[% no_efect_inc]])/2</f>
        <v>0.34734623015873</v>
      </c>
      <c r="O11" s="11" t="n">
        <f aca="false">Tabla351081315325[[#This Row],[no_efec_cor]]/(Tabla351081315325[[#This Row],[efect_inc]]+Tabla351081315325[[#This Row],[no_efec_cor]])</f>
        <v>0.628205128205128</v>
      </c>
      <c r="P11" s="11" t="n">
        <f aca="false">Tabla351081315325[[#This Row],[efec_cor]]/(Tabla351081315325[[#This Row],[efec_cor]]+Tabla351081315325[[#This Row],[no_efec_inc]])</f>
        <v>0.693877551020408</v>
      </c>
      <c r="Q11" s="11" t="n">
        <f aca="false">(Tabla351081315325[[#This Row],[PNE]]+Tabla351081315325[[#This Row],[PE]])/2</f>
        <v>0.661041339612768</v>
      </c>
      <c r="R11" s="0" t="n">
        <v>63</v>
      </c>
      <c r="S11" s="0" t="n">
        <v>64</v>
      </c>
      <c r="T11" s="0" t="n">
        <f aca="false">Tabla351081315325[[#This Row],[efec]]+Tabla351081315325[[#This Row],[no_efe]]</f>
        <v>127</v>
      </c>
    </row>
    <row r="12" customFormat="false" ht="13.8" hidden="false" customHeight="false" outlineLevel="0" collapsed="false">
      <c r="A12" s="0" t="n">
        <v>10</v>
      </c>
      <c r="B12" s="0" t="n">
        <v>40</v>
      </c>
      <c r="C12" s="0" t="n">
        <v>24</v>
      </c>
      <c r="D12" s="0" t="n">
        <v>42</v>
      </c>
      <c r="E12" s="0" t="n">
        <v>21</v>
      </c>
      <c r="F12" s="0" t="n">
        <f aca="false">Tabla351081315325[[#This Row],[no_efec_cor]]+Tabla351081315325[[#This Row],[efec_cor]]</f>
        <v>82</v>
      </c>
      <c r="G12" s="0" t="n">
        <f aca="false">Tabla351081315325[[#This Row],[no_efec_inc]]+Tabla351081315325[[#This Row],[efect_inc]]</f>
        <v>45</v>
      </c>
      <c r="H12" s="9" t="n">
        <f aca="false">Tabla351081315325[[#This Row],[Correctos]]/Tabla351081315325[[#This Row],[total_sec]]</f>
        <v>0.645669291338583</v>
      </c>
      <c r="I12" s="9" t="n">
        <f aca="false">Tabla351081315325[[#This Row],[efec_cor]]/Tabla351081315325[[#This Row],[efec]]</f>
        <v>0.666666666666667</v>
      </c>
      <c r="J12" s="9" t="n">
        <f aca="false">Tabla351081315325[[#This Row],[efect_inc]]/Tabla351081315325[[#This Row],[efec]]</f>
        <v>0.333333333333333</v>
      </c>
      <c r="K12" s="9" t="n">
        <f aca="false">Tabla351081315325[[#This Row],[no_efec_cor]]/Tabla351081315325[[#This Row],[no_efe]]</f>
        <v>0.625</v>
      </c>
      <c r="L12" s="9" t="n">
        <f aca="false">Tabla351081315325[[#This Row],[no_efec_inc]]/Tabla351081315325[[#This Row],[no_efe]]</f>
        <v>0.375</v>
      </c>
      <c r="M12" s="9" t="n">
        <f aca="false">(Tabla351081315325[[#This Row],[% efe_cor]]+Tabla351081315325[[#This Row],[% no_efe_cor]])/2</f>
        <v>0.645833333333333</v>
      </c>
      <c r="N12" s="10" t="n">
        <f aca="false">(Tabla351081315325[[#This Row],[% efe_inc]]+Tabla351081315325[[#This Row],[% no_efect_inc]])/2</f>
        <v>0.354166666666667</v>
      </c>
      <c r="O12" s="11" t="n">
        <f aca="false">Tabla351081315325[[#This Row],[no_efec_cor]]/(Tabla351081315325[[#This Row],[efect_inc]]+Tabla351081315325[[#This Row],[no_efec_cor]])</f>
        <v>0.655737704918033</v>
      </c>
      <c r="P12" s="11" t="n">
        <f aca="false">Tabla351081315325[[#This Row],[efec_cor]]/(Tabla351081315325[[#This Row],[efec_cor]]+Tabla351081315325[[#This Row],[no_efec_inc]])</f>
        <v>0.636363636363636</v>
      </c>
      <c r="Q12" s="11" t="n">
        <f aca="false">(Tabla351081315325[[#This Row],[PNE]]+Tabla351081315325[[#This Row],[PE]])/2</f>
        <v>0.646050670640835</v>
      </c>
      <c r="R12" s="0" t="n">
        <v>63</v>
      </c>
      <c r="S12" s="0" t="n">
        <v>64</v>
      </c>
      <c r="T12" s="0" t="n">
        <f aca="false">Tabla351081315325[[#This Row],[efec]]+Tabla351081315325[[#This Row],[no_efe]]</f>
        <v>127</v>
      </c>
    </row>
    <row r="13" customFormat="false" ht="13.8" hidden="false" customHeight="false" outlineLevel="0" collapsed="false">
      <c r="A13" s="0" t="n">
        <v>15</v>
      </c>
      <c r="B13" s="0" t="n">
        <v>42</v>
      </c>
      <c r="C13" s="0" t="n">
        <v>22</v>
      </c>
      <c r="D13" s="0" t="n">
        <v>36</v>
      </c>
      <c r="E13" s="0" t="n">
        <v>27</v>
      </c>
      <c r="F13" s="0" t="n">
        <f aca="false">Tabla351081315325[[#This Row],[no_efec_cor]]+Tabla351081315325[[#This Row],[efec_cor]]</f>
        <v>78</v>
      </c>
      <c r="G13" s="0" t="n">
        <f aca="false">Tabla351081315325[[#This Row],[no_efec_inc]]+Tabla351081315325[[#This Row],[efect_inc]]</f>
        <v>49</v>
      </c>
      <c r="H13" s="9" t="n">
        <f aca="false">Tabla351081315325[[#This Row],[Correctos]]/Tabla351081315325[[#This Row],[total_sec]]</f>
        <v>0.614173228346457</v>
      </c>
      <c r="I13" s="9" t="n">
        <f aca="false">Tabla351081315325[[#This Row],[efec_cor]]/Tabla351081315325[[#This Row],[efec]]</f>
        <v>0.571428571428571</v>
      </c>
      <c r="J13" s="9" t="n">
        <f aca="false">Tabla351081315325[[#This Row],[efect_inc]]/Tabla351081315325[[#This Row],[efec]]</f>
        <v>0.428571428571429</v>
      </c>
      <c r="K13" s="9" t="n">
        <f aca="false">Tabla351081315325[[#This Row],[no_efec_cor]]/Tabla351081315325[[#This Row],[no_efe]]</f>
        <v>0.65625</v>
      </c>
      <c r="L13" s="9" t="n">
        <f aca="false">Tabla351081315325[[#This Row],[no_efec_inc]]/Tabla351081315325[[#This Row],[no_efe]]</f>
        <v>0.34375</v>
      </c>
      <c r="M13" s="9" t="n">
        <f aca="false">(Tabla351081315325[[#This Row],[% efe_cor]]+Tabla351081315325[[#This Row],[% no_efe_cor]])/2</f>
        <v>0.613839285714286</v>
      </c>
      <c r="N13" s="10" t="n">
        <f aca="false">(Tabla351081315325[[#This Row],[% efe_inc]]+Tabla351081315325[[#This Row],[% no_efect_inc]])/2</f>
        <v>0.386160714285714</v>
      </c>
      <c r="O13" s="11" t="n">
        <f aca="false">Tabla351081315325[[#This Row],[no_efec_cor]]/(Tabla351081315325[[#This Row],[efect_inc]]+Tabla351081315325[[#This Row],[no_efec_cor]])</f>
        <v>0.608695652173913</v>
      </c>
      <c r="P13" s="11" t="n">
        <f aca="false">Tabla351081315325[[#This Row],[efec_cor]]/(Tabla351081315325[[#This Row],[efec_cor]]+Tabla351081315325[[#This Row],[no_efec_inc]])</f>
        <v>0.620689655172414</v>
      </c>
      <c r="Q13" s="11" t="n">
        <f aca="false">(Tabla351081315325[[#This Row],[PNE]]+Tabla351081315325[[#This Row],[PE]])/2</f>
        <v>0.614692653673163</v>
      </c>
      <c r="R13" s="0" t="n">
        <v>63</v>
      </c>
      <c r="S13" s="0" t="n">
        <v>64</v>
      </c>
      <c r="T13" s="0" t="n">
        <f aca="false">Tabla351081315325[[#This Row],[efec]]+Tabla351081315325[[#This Row],[no_efe]]</f>
        <v>127</v>
      </c>
    </row>
    <row r="14" customFormat="false" ht="13.8" hidden="false" customHeight="false" outlineLevel="0" collapsed="false">
      <c r="A14" s="0" t="n">
        <v>20</v>
      </c>
      <c r="B14" s="0" t="n">
        <v>32</v>
      </c>
      <c r="C14" s="0" t="n">
        <v>32</v>
      </c>
      <c r="D14" s="0" t="n">
        <v>44</v>
      </c>
      <c r="E14" s="0" t="n">
        <v>19</v>
      </c>
      <c r="F14" s="0" t="n">
        <f aca="false">Tabla351081315325[[#This Row],[no_efec_cor]]+Tabla351081315325[[#This Row],[efec_cor]]</f>
        <v>76</v>
      </c>
      <c r="G14" s="0" t="n">
        <f aca="false">Tabla351081315325[[#This Row],[no_efec_inc]]+Tabla351081315325[[#This Row],[efect_inc]]</f>
        <v>51</v>
      </c>
      <c r="H14" s="9" t="n">
        <f aca="false">Tabla351081315325[[#This Row],[Correctos]]/Tabla351081315325[[#This Row],[total_sec]]</f>
        <v>0.598425196850394</v>
      </c>
      <c r="I14" s="9" t="n">
        <f aca="false">Tabla351081315325[[#This Row],[efec_cor]]/Tabla351081315325[[#This Row],[efec]]</f>
        <v>0.698412698412698</v>
      </c>
      <c r="J14" s="9" t="n">
        <f aca="false">Tabla351081315325[[#This Row],[efect_inc]]/Tabla351081315325[[#This Row],[efec]]</f>
        <v>0.301587301587302</v>
      </c>
      <c r="K14" s="9" t="n">
        <f aca="false">Tabla351081315325[[#This Row],[no_efec_cor]]/Tabla351081315325[[#This Row],[no_efe]]</f>
        <v>0.5</v>
      </c>
      <c r="L14" s="9" t="n">
        <f aca="false">Tabla351081315325[[#This Row],[no_efec_inc]]/Tabla351081315325[[#This Row],[no_efe]]</f>
        <v>0.5</v>
      </c>
      <c r="M14" s="9" t="n">
        <f aca="false">(Tabla351081315325[[#This Row],[% efe_cor]]+Tabla351081315325[[#This Row],[% no_efe_cor]])/2</f>
        <v>0.599206349206349</v>
      </c>
      <c r="N14" s="10" t="n">
        <f aca="false">(Tabla351081315325[[#This Row],[% efe_inc]]+Tabla351081315325[[#This Row],[% no_efect_inc]])/2</f>
        <v>0.400793650793651</v>
      </c>
      <c r="O14" s="11" t="n">
        <f aca="false">Tabla351081315325[[#This Row],[no_efec_cor]]/(Tabla351081315325[[#This Row],[efect_inc]]+Tabla351081315325[[#This Row],[no_efec_cor]])</f>
        <v>0.627450980392157</v>
      </c>
      <c r="P14" s="11" t="n">
        <f aca="false">Tabla351081315325[[#This Row],[efec_cor]]/(Tabla351081315325[[#This Row],[efec_cor]]+Tabla351081315325[[#This Row],[no_efec_inc]])</f>
        <v>0.578947368421053</v>
      </c>
      <c r="Q14" s="11" t="n">
        <f aca="false">(Tabla351081315325[[#This Row],[PNE]]+Tabla351081315325[[#This Row],[PE]])/2</f>
        <v>0.603199174406605</v>
      </c>
      <c r="R14" s="0" t="n">
        <v>63</v>
      </c>
      <c r="S14" s="0" t="n">
        <v>64</v>
      </c>
      <c r="T14" s="0" t="n">
        <f aca="false">Tabla351081315325[[#This Row],[efec]]+Tabla351081315325[[#This Row],[no_efe]]</f>
        <v>127</v>
      </c>
    </row>
    <row r="15" customFormat="false" ht="13.8" hidden="false" customHeight="false" outlineLevel="0" collapsed="false">
      <c r="A15" s="0" t="n">
        <v>25</v>
      </c>
      <c r="B15" s="0" t="n">
        <v>31</v>
      </c>
      <c r="C15" s="0" t="n">
        <v>33</v>
      </c>
      <c r="D15" s="0" t="n">
        <v>49</v>
      </c>
      <c r="E15" s="0" t="n">
        <v>14</v>
      </c>
      <c r="F15" s="0" t="n">
        <f aca="false">Tabla351081315325[[#This Row],[no_efec_cor]]+Tabla351081315325[[#This Row],[efec_cor]]</f>
        <v>80</v>
      </c>
      <c r="G15" s="0" t="n">
        <f aca="false">Tabla351081315325[[#This Row],[no_efec_inc]]+Tabla351081315325[[#This Row],[efect_inc]]</f>
        <v>47</v>
      </c>
      <c r="H15" s="9" t="n">
        <f aca="false">Tabla351081315325[[#This Row],[Correctos]]/Tabla351081315325[[#This Row],[total_sec]]</f>
        <v>0.62992125984252</v>
      </c>
      <c r="I15" s="9" t="n">
        <f aca="false">Tabla351081315325[[#This Row],[efec_cor]]/Tabla351081315325[[#This Row],[efec]]</f>
        <v>0.777777777777778</v>
      </c>
      <c r="J15" s="9" t="n">
        <f aca="false">Tabla351081315325[[#This Row],[efect_inc]]/Tabla351081315325[[#This Row],[efec]]</f>
        <v>0.222222222222222</v>
      </c>
      <c r="K15" s="9" t="n">
        <f aca="false">Tabla351081315325[[#This Row],[no_efec_cor]]/Tabla351081315325[[#This Row],[no_efe]]</f>
        <v>0.484375</v>
      </c>
      <c r="L15" s="9" t="n">
        <f aca="false">Tabla351081315325[[#This Row],[no_efec_inc]]/Tabla351081315325[[#This Row],[no_efe]]</f>
        <v>0.515625</v>
      </c>
      <c r="M15" s="9" t="n">
        <f aca="false">(Tabla351081315325[[#This Row],[% efe_cor]]+Tabla351081315325[[#This Row],[% no_efe_cor]])/2</f>
        <v>0.631076388888889</v>
      </c>
      <c r="N15" s="10" t="n">
        <f aca="false">(Tabla351081315325[[#This Row],[% efe_inc]]+Tabla351081315325[[#This Row],[% no_efect_inc]])/2</f>
        <v>0.368923611111111</v>
      </c>
      <c r="O15" s="11" t="n">
        <f aca="false">Tabla351081315325[[#This Row],[no_efec_cor]]/(Tabla351081315325[[#This Row],[efect_inc]]+Tabla351081315325[[#This Row],[no_efec_cor]])</f>
        <v>0.688888888888889</v>
      </c>
      <c r="P15" s="11" t="n">
        <f aca="false">Tabla351081315325[[#This Row],[efec_cor]]/(Tabla351081315325[[#This Row],[efec_cor]]+Tabla351081315325[[#This Row],[no_efec_inc]])</f>
        <v>0.597560975609756</v>
      </c>
      <c r="Q15" s="11" t="n">
        <f aca="false">(Tabla351081315325[[#This Row],[PNE]]+Tabla351081315325[[#This Row],[PE]])/2</f>
        <v>0.643224932249322</v>
      </c>
      <c r="R15" s="0" t="n">
        <v>63</v>
      </c>
      <c r="S15" s="0" t="n">
        <v>64</v>
      </c>
      <c r="T15" s="0" t="n">
        <f aca="false">Tabla351081315325[[#This Row],[efec]]+Tabla351081315325[[#This Row],[no_efe]]</f>
        <v>127</v>
      </c>
    </row>
    <row r="16" customFormat="false" ht="13.8" hidden="false" customHeight="false" outlineLevel="0" collapsed="false">
      <c r="A16" s="0" t="n">
        <v>30</v>
      </c>
      <c r="B16" s="0" t="n">
        <v>21</v>
      </c>
      <c r="C16" s="0" t="n">
        <v>43</v>
      </c>
      <c r="D16" s="0" t="n">
        <v>55</v>
      </c>
      <c r="E16" s="0" t="n">
        <v>8</v>
      </c>
      <c r="F16" s="0" t="n">
        <f aca="false">Tabla351081315325[[#This Row],[no_efec_cor]]+Tabla351081315325[[#This Row],[efec_cor]]</f>
        <v>76</v>
      </c>
      <c r="G16" s="0" t="n">
        <f aca="false">Tabla351081315325[[#This Row],[no_efec_inc]]+Tabla351081315325[[#This Row],[efect_inc]]</f>
        <v>51</v>
      </c>
      <c r="H16" s="9" t="n">
        <f aca="false">Tabla351081315325[[#This Row],[Correctos]]/Tabla351081315325[[#This Row],[total_sec]]</f>
        <v>0.598425196850394</v>
      </c>
      <c r="I16" s="9" t="n">
        <f aca="false">Tabla351081315325[[#This Row],[efec_cor]]/Tabla351081315325[[#This Row],[efec]]</f>
        <v>0.873015873015873</v>
      </c>
      <c r="J16" s="9" t="n">
        <f aca="false">Tabla351081315325[[#This Row],[efect_inc]]/Tabla351081315325[[#This Row],[efec]]</f>
        <v>0.126984126984127</v>
      </c>
      <c r="K16" s="9" t="n">
        <f aca="false">Tabla351081315325[[#This Row],[no_efec_cor]]/Tabla351081315325[[#This Row],[no_efe]]</f>
        <v>0.328125</v>
      </c>
      <c r="L16" s="9" t="n">
        <f aca="false">Tabla351081315325[[#This Row],[no_efec_inc]]/Tabla351081315325[[#This Row],[no_efe]]</f>
        <v>0.671875</v>
      </c>
      <c r="M16" s="9" t="n">
        <f aca="false">(Tabla351081315325[[#This Row],[% efe_cor]]+Tabla351081315325[[#This Row],[% no_efe_cor]])/2</f>
        <v>0.600570436507936</v>
      </c>
      <c r="N16" s="10" t="n">
        <f aca="false">(Tabla351081315325[[#This Row],[% efe_inc]]+Tabla351081315325[[#This Row],[% no_efect_inc]])/2</f>
        <v>0.399429563492063</v>
      </c>
      <c r="O16" s="11" t="n">
        <f aca="false">Tabla351081315325[[#This Row],[no_efec_cor]]/(Tabla351081315325[[#This Row],[efect_inc]]+Tabla351081315325[[#This Row],[no_efec_cor]])</f>
        <v>0.724137931034483</v>
      </c>
      <c r="P16" s="11" t="n">
        <f aca="false">Tabla351081315325[[#This Row],[efec_cor]]/(Tabla351081315325[[#This Row],[efec_cor]]+Tabla351081315325[[#This Row],[no_efec_inc]])</f>
        <v>0.561224489795918</v>
      </c>
      <c r="Q16" s="11" t="n">
        <f aca="false">(Tabla351081315325[[#This Row],[PNE]]+Tabla351081315325[[#This Row],[PE]])/2</f>
        <v>0.642681210415201</v>
      </c>
      <c r="R16" s="0" t="n">
        <v>63</v>
      </c>
      <c r="S16" s="0" t="n">
        <v>64</v>
      </c>
      <c r="T16" s="0" t="n">
        <f aca="false">Tabla351081315325[[#This Row],[efec]]+Tabla351081315325[[#This Row],[no_efe]]</f>
        <v>127</v>
      </c>
    </row>
    <row r="17" customFormat="false" ht="13.8" hidden="false" customHeight="false" outlineLevel="0" collapsed="false">
      <c r="A17" s="0" t="n">
        <v>35</v>
      </c>
      <c r="B17" s="0" t="n">
        <v>20</v>
      </c>
      <c r="C17" s="0" t="n">
        <v>44</v>
      </c>
      <c r="D17" s="0" t="n">
        <v>53</v>
      </c>
      <c r="E17" s="0" t="n">
        <v>10</v>
      </c>
      <c r="F17" s="0" t="n">
        <f aca="false">Tabla351081315325[[#This Row],[no_efec_cor]]+Tabla351081315325[[#This Row],[efec_cor]]</f>
        <v>73</v>
      </c>
      <c r="G17" s="0" t="n">
        <f aca="false">Tabla351081315325[[#This Row],[no_efec_inc]]+Tabla351081315325[[#This Row],[efect_inc]]</f>
        <v>54</v>
      </c>
      <c r="H17" s="9" t="n">
        <f aca="false">Tabla351081315325[[#This Row],[Correctos]]/Tabla351081315325[[#This Row],[total_sec]]</f>
        <v>0.574803149606299</v>
      </c>
      <c r="I17" s="9" t="n">
        <f aca="false">Tabla351081315325[[#This Row],[efec_cor]]/Tabla351081315325[[#This Row],[efec]]</f>
        <v>0.841269841269841</v>
      </c>
      <c r="J17" s="9" t="n">
        <f aca="false">Tabla351081315325[[#This Row],[efect_inc]]/Tabla351081315325[[#This Row],[efec]]</f>
        <v>0.158730158730159</v>
      </c>
      <c r="K17" s="9" t="n">
        <f aca="false">Tabla351081315325[[#This Row],[no_efec_cor]]/Tabla351081315325[[#This Row],[no_efe]]</f>
        <v>0.3125</v>
      </c>
      <c r="L17" s="9" t="n">
        <f aca="false">Tabla351081315325[[#This Row],[no_efec_inc]]/Tabla351081315325[[#This Row],[no_efe]]</f>
        <v>0.6875</v>
      </c>
      <c r="M17" s="9" t="n">
        <f aca="false">(Tabla351081315325[[#This Row],[% efe_cor]]+Tabla351081315325[[#This Row],[% no_efe_cor]])/2</f>
        <v>0.576884920634921</v>
      </c>
      <c r="N17" s="10" t="n">
        <f aca="false">(Tabla351081315325[[#This Row],[% efe_inc]]+Tabla351081315325[[#This Row],[% no_efect_inc]])/2</f>
        <v>0.423115079365079</v>
      </c>
      <c r="O17" s="11" t="n">
        <f aca="false">Tabla351081315325[[#This Row],[no_efec_cor]]/(Tabla351081315325[[#This Row],[efect_inc]]+Tabla351081315325[[#This Row],[no_efec_cor]])</f>
        <v>0.666666666666667</v>
      </c>
      <c r="P17" s="11" t="n">
        <f aca="false">Tabla351081315325[[#This Row],[efec_cor]]/(Tabla351081315325[[#This Row],[efec_cor]]+Tabla351081315325[[#This Row],[no_efec_inc]])</f>
        <v>0.54639175257732</v>
      </c>
      <c r="Q17" s="11" t="n">
        <f aca="false">(Tabla351081315325[[#This Row],[PNE]]+Tabla351081315325[[#This Row],[PE]])/2</f>
        <v>0.606529209621993</v>
      </c>
      <c r="R17" s="0" t="n">
        <v>63</v>
      </c>
      <c r="S17" s="0" t="n">
        <v>64</v>
      </c>
      <c r="T17" s="0" t="n">
        <f aca="false">Tabla351081315325[[#This Row],[efec]]+Tabla351081315325[[#This Row],[no_efe]]</f>
        <v>127</v>
      </c>
    </row>
    <row r="18" customFormat="false" ht="13.8" hidden="false" customHeight="false" outlineLevel="0" collapsed="false">
      <c r="A18" s="0" t="n">
        <v>39</v>
      </c>
      <c r="B18" s="0" t="n">
        <v>19</v>
      </c>
      <c r="C18" s="0" t="n">
        <v>45</v>
      </c>
      <c r="D18" s="0" t="n">
        <v>60</v>
      </c>
      <c r="E18" s="0" t="n">
        <v>3</v>
      </c>
      <c r="F18" s="0" t="n">
        <f aca="false">Tabla351081315325[[#This Row],[no_efec_cor]]+Tabla351081315325[[#This Row],[efec_cor]]</f>
        <v>79</v>
      </c>
      <c r="G18" s="0" t="n">
        <f aca="false">Tabla351081315325[[#This Row],[no_efec_inc]]+Tabla351081315325[[#This Row],[efect_inc]]</f>
        <v>48</v>
      </c>
      <c r="H18" s="9" t="n">
        <f aca="false">Tabla351081315325[[#This Row],[Correctos]]/Tabla351081315325[[#This Row],[total_sec]]</f>
        <v>0.622047244094488</v>
      </c>
      <c r="I18" s="9" t="n">
        <f aca="false">Tabla351081315325[[#This Row],[efec_cor]]/Tabla351081315325[[#This Row],[efec]]</f>
        <v>0.952380952380952</v>
      </c>
      <c r="J18" s="9" t="n">
        <f aca="false">Tabla351081315325[[#This Row],[efect_inc]]/Tabla351081315325[[#This Row],[efec]]</f>
        <v>0.0476190476190476</v>
      </c>
      <c r="K18" s="9" t="n">
        <f aca="false">Tabla351081315325[[#This Row],[no_efec_cor]]/Tabla351081315325[[#This Row],[no_efe]]</f>
        <v>0.296875</v>
      </c>
      <c r="L18" s="9" t="n">
        <f aca="false">Tabla351081315325[[#This Row],[no_efec_inc]]/Tabla351081315325[[#This Row],[no_efe]]</f>
        <v>0.703125</v>
      </c>
      <c r="M18" s="9" t="n">
        <f aca="false">(Tabla351081315325[[#This Row],[% efe_cor]]+Tabla351081315325[[#This Row],[% no_efe_cor]])/2</f>
        <v>0.624627976190476</v>
      </c>
      <c r="N18" s="10" t="n">
        <f aca="false">(Tabla351081315325[[#This Row],[% efe_inc]]+Tabla351081315325[[#This Row],[% no_efect_inc]])/2</f>
        <v>0.375372023809524</v>
      </c>
      <c r="O18" s="11" t="n">
        <f aca="false">Tabla351081315325[[#This Row],[no_efec_cor]]/(Tabla351081315325[[#This Row],[efect_inc]]+Tabla351081315325[[#This Row],[no_efec_cor]])</f>
        <v>0.863636363636364</v>
      </c>
      <c r="P18" s="11" t="n">
        <f aca="false">Tabla351081315325[[#This Row],[efec_cor]]/(Tabla351081315325[[#This Row],[efec_cor]]+Tabla351081315325[[#This Row],[no_efec_inc]])</f>
        <v>0.571428571428571</v>
      </c>
      <c r="Q18" s="11" t="n">
        <f aca="false">(Tabla351081315325[[#This Row],[PNE]]+Tabla351081315325[[#This Row],[PE]])/2</f>
        <v>0.717532467532467</v>
      </c>
      <c r="R18" s="0" t="n">
        <v>63</v>
      </c>
      <c r="S18" s="0" t="n">
        <v>64</v>
      </c>
      <c r="T18" s="0" t="n">
        <f aca="false">Tabla351081315325[[#This Row],[efec]]+Tabla351081315325[[#This Row],[no_efe]]</f>
        <v>127</v>
      </c>
    </row>
    <row r="20" customFormat="false" ht="19.5" hidden="false" customHeight="false" outlineLevel="0" collapsed="false">
      <c r="A20" s="1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4" customFormat="false" ht="15.75" hidden="false" customHeight="false" outlineLevel="0" collapsed="false">
      <c r="A24" s="5" t="s">
        <v>5</v>
      </c>
      <c r="B24" s="5"/>
      <c r="C24" s="5"/>
      <c r="D24" s="5"/>
      <c r="E24" s="5"/>
      <c r="F24" s="5"/>
      <c r="G24" s="5"/>
      <c r="H24" s="5"/>
      <c r="I24" s="5"/>
    </row>
    <row r="25" customFormat="false" ht="15.75" hidden="false" customHeight="false" outlineLevel="0" collapsed="false">
      <c r="A25" s="7" t="s">
        <v>27</v>
      </c>
      <c r="B25" s="7" t="s">
        <v>28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7" t="s">
        <v>17</v>
      </c>
      <c r="N25" s="7" t="s">
        <v>18</v>
      </c>
      <c r="O25" s="7" t="s">
        <v>19</v>
      </c>
      <c r="P25" s="7" t="s">
        <v>20</v>
      </c>
      <c r="Q25" s="7" t="s">
        <v>21</v>
      </c>
      <c r="R25" s="7" t="s">
        <v>22</v>
      </c>
      <c r="S25" s="7" t="s">
        <v>23</v>
      </c>
      <c r="T25" s="7" t="s">
        <v>24</v>
      </c>
      <c r="U25" s="7" t="s">
        <v>25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15</v>
      </c>
      <c r="D26" s="0" t="n">
        <v>49</v>
      </c>
      <c r="E26" s="0" t="n">
        <v>61</v>
      </c>
      <c r="F26" s="0" t="n">
        <v>2</v>
      </c>
      <c r="G26" s="0" t="n">
        <f aca="false">Tabla3510813153423[[#This Row],[no_efec_cor]]+Tabla3510813153423[[#This Row],[efec_cor]]</f>
        <v>76</v>
      </c>
      <c r="H26" s="0" t="n">
        <f aca="false">Tabla3510813153423[[#This Row],[no_efec_inc]]+Tabla3510813153423[[#This Row],[efect_inc]]</f>
        <v>51</v>
      </c>
      <c r="I26" s="9" t="n">
        <f aca="false">Tabla3510813153423[[#This Row],[Correctos]]/Tabla3510813153423[[#This Row],[total_sec]]</f>
        <v>0.598425196850394</v>
      </c>
      <c r="J26" s="9" t="n">
        <f aca="false">Tabla3510813153423[[#This Row],[efec_cor]]/Tabla3510813153423[[#This Row],[efec]]</f>
        <v>0.968253968253968</v>
      </c>
      <c r="K26" s="9" t="n">
        <f aca="false">Tabla3510813153423[[#This Row],[efect_inc]]/Tabla3510813153423[[#This Row],[efec]]</f>
        <v>0.0317460317460317</v>
      </c>
      <c r="L26" s="9" t="n">
        <f aca="false">Tabla3510813153423[[#This Row],[no_efec_cor]]/Tabla3510813153423[[#This Row],[no_efe]]</f>
        <v>0.234375</v>
      </c>
      <c r="M26" s="9" t="n">
        <f aca="false">Tabla3510813153423[[#This Row],[no_efec_inc]]/Tabla3510813153423[[#This Row],[no_efe]]</f>
        <v>0.765625</v>
      </c>
      <c r="N26" s="9" t="n">
        <f aca="false">(Tabla3510813153423[[#This Row],[% efe_cor]]+Tabla3510813153423[[#This Row],[% no_efe_cor]])/2</f>
        <v>0.601314484126984</v>
      </c>
      <c r="O26" s="10" t="n">
        <f aca="false">(Tabla3510813153423[[#This Row],[% efe_inc]]+Tabla3510813153423[[#This Row],[% no_efect_inc]])/2</f>
        <v>0.398685515873016</v>
      </c>
      <c r="P26" s="11" t="n">
        <f aca="false">Tabla3510813153423[[#This Row],[no_efec_cor]]/(Tabla3510813153423[[#This Row],[efect_inc]]+Tabla3510813153423[[#This Row],[no_efec_cor]])</f>
        <v>0.882352941176471</v>
      </c>
      <c r="Q26" s="11" t="n">
        <f aca="false">Tabla3510813153423[[#This Row],[efec_cor]]/(Tabla3510813153423[[#This Row],[efec_cor]]+Tabla3510813153423[[#This Row],[no_efec_inc]])</f>
        <v>0.554545454545455</v>
      </c>
      <c r="R26" s="11" t="n">
        <f aca="false">(Tabla3510813153423[[#This Row],[PNE]]+Tabla3510813153423[[#This Row],[PE]])/2</f>
        <v>0.718449197860963</v>
      </c>
      <c r="S26" s="0" t="n">
        <v>63</v>
      </c>
      <c r="T26" s="0" t="n">
        <v>64</v>
      </c>
      <c r="U26" s="0" t="n">
        <f aca="false">Tabla3510813153423[[#This Row],[efec]]+Tabla3510813153423[[#This Row],[no_efe]]</f>
        <v>127</v>
      </c>
    </row>
    <row r="27" customFormat="false" ht="13.8" hidden="false" customHeight="false" outlineLevel="0" collapsed="false">
      <c r="A27" s="0" t="n">
        <v>1</v>
      </c>
      <c r="B27" s="0" t="n">
        <v>0.1</v>
      </c>
      <c r="C27" s="0" t="n">
        <v>27</v>
      </c>
      <c r="D27" s="0" t="n">
        <v>37</v>
      </c>
      <c r="E27" s="0" t="n">
        <v>52</v>
      </c>
      <c r="F27" s="0" t="n">
        <v>11</v>
      </c>
      <c r="G27" s="0" t="n">
        <f aca="false">Tabla3510813153423[[#This Row],[no_efec_cor]]+Tabla3510813153423[[#This Row],[efec_cor]]</f>
        <v>79</v>
      </c>
      <c r="H27" s="0" t="n">
        <f aca="false">Tabla3510813153423[[#This Row],[no_efec_inc]]+Tabla3510813153423[[#This Row],[efect_inc]]</f>
        <v>48</v>
      </c>
      <c r="I27" s="9" t="n">
        <f aca="false">Tabla3510813153423[[#This Row],[Correctos]]/Tabla3510813153423[[#This Row],[total_sec]]</f>
        <v>0.622047244094488</v>
      </c>
      <c r="J27" s="9" t="n">
        <f aca="false">Tabla3510813153423[[#This Row],[efec_cor]]/Tabla3510813153423[[#This Row],[efec]]</f>
        <v>0.825396825396825</v>
      </c>
      <c r="K27" s="9" t="n">
        <f aca="false">Tabla3510813153423[[#This Row],[efect_inc]]/Tabla3510813153423[[#This Row],[efec]]</f>
        <v>0.174603174603175</v>
      </c>
      <c r="L27" s="9" t="n">
        <f aca="false">Tabla3510813153423[[#This Row],[no_efec_cor]]/Tabla3510813153423[[#This Row],[no_efe]]</f>
        <v>0.421875</v>
      </c>
      <c r="M27" s="9" t="n">
        <f aca="false">Tabla3510813153423[[#This Row],[no_efec_inc]]/Tabla3510813153423[[#This Row],[no_efe]]</f>
        <v>0.578125</v>
      </c>
      <c r="N27" s="9" t="n">
        <f aca="false">(Tabla3510813153423[[#This Row],[% efe_cor]]+Tabla3510813153423[[#This Row],[% no_efe_cor]])/2</f>
        <v>0.623635912698413</v>
      </c>
      <c r="O27" s="10" t="n">
        <f aca="false">(Tabla3510813153423[[#This Row],[% efe_inc]]+Tabla3510813153423[[#This Row],[% no_efect_inc]])/2</f>
        <v>0.376364087301587</v>
      </c>
      <c r="P27" s="11" t="n">
        <f aca="false">Tabla3510813153423[[#This Row],[no_efec_cor]]/(Tabla3510813153423[[#This Row],[efect_inc]]+Tabla3510813153423[[#This Row],[no_efec_cor]])</f>
        <v>0.710526315789474</v>
      </c>
      <c r="Q27" s="11" t="n">
        <f aca="false">Tabla3510813153423[[#This Row],[efec_cor]]/(Tabla3510813153423[[#This Row],[efec_cor]]+Tabla3510813153423[[#This Row],[no_efec_inc]])</f>
        <v>0.584269662921348</v>
      </c>
      <c r="R27" s="11" t="n">
        <f aca="false">(Tabla3510813153423[[#This Row],[PNE]]+Tabla3510813153423[[#This Row],[PE]])/2</f>
        <v>0.647397989355411</v>
      </c>
      <c r="S27" s="0" t="n">
        <v>63</v>
      </c>
      <c r="T27" s="0" t="n">
        <v>64</v>
      </c>
      <c r="U27" s="0" t="n">
        <f aca="false">Tabla3510813153423[[#This Row],[efec]]+Tabla3510813153423[[#This Row],[no_efe]]</f>
        <v>127</v>
      </c>
    </row>
    <row r="28" customFormat="false" ht="13.8" hidden="false" customHeight="false" outlineLevel="0" collapsed="false">
      <c r="A28" s="0" t="n">
        <v>1</v>
      </c>
      <c r="B28" s="0" t="n">
        <v>0.5</v>
      </c>
      <c r="C28" s="0" t="n">
        <v>37</v>
      </c>
      <c r="D28" s="0" t="n">
        <v>27</v>
      </c>
      <c r="E28" s="0" t="n">
        <v>46</v>
      </c>
      <c r="F28" s="0" t="n">
        <v>17</v>
      </c>
      <c r="G28" s="0" t="n">
        <f aca="false">Tabla3510813153423[[#This Row],[no_efec_cor]]+Tabla3510813153423[[#This Row],[efec_cor]]</f>
        <v>83</v>
      </c>
      <c r="H28" s="0" t="n">
        <f aca="false">Tabla3510813153423[[#This Row],[no_efec_inc]]+Tabla3510813153423[[#This Row],[efect_inc]]</f>
        <v>44</v>
      </c>
      <c r="I28" s="9" t="n">
        <f aca="false">Tabla3510813153423[[#This Row],[Correctos]]/Tabla3510813153423[[#This Row],[total_sec]]</f>
        <v>0.653543307086614</v>
      </c>
      <c r="J28" s="9" t="n">
        <f aca="false">Tabla3510813153423[[#This Row],[efec_cor]]/Tabla3510813153423[[#This Row],[efec]]</f>
        <v>0.73015873015873</v>
      </c>
      <c r="K28" s="9" t="n">
        <f aca="false">Tabla3510813153423[[#This Row],[efect_inc]]/Tabla3510813153423[[#This Row],[efec]]</f>
        <v>0.26984126984127</v>
      </c>
      <c r="L28" s="9" t="n">
        <f aca="false">Tabla3510813153423[[#This Row],[no_efec_cor]]/Tabla3510813153423[[#This Row],[no_efe]]</f>
        <v>0.578125</v>
      </c>
      <c r="M28" s="9" t="n">
        <f aca="false">Tabla3510813153423[[#This Row],[no_efec_inc]]/Tabla3510813153423[[#This Row],[no_efe]]</f>
        <v>0.421875</v>
      </c>
      <c r="N28" s="9" t="n">
        <f aca="false">(Tabla3510813153423[[#This Row],[% efe_cor]]+Tabla3510813153423[[#This Row],[% no_efe_cor]])/2</f>
        <v>0.654141865079365</v>
      </c>
      <c r="O28" s="10" t="n">
        <f aca="false">(Tabla3510813153423[[#This Row],[% efe_inc]]+Tabla3510813153423[[#This Row],[% no_efect_inc]])/2</f>
        <v>0.345858134920635</v>
      </c>
      <c r="P28" s="11" t="n">
        <f aca="false">Tabla3510813153423[[#This Row],[no_efec_cor]]/(Tabla3510813153423[[#This Row],[efect_inc]]+Tabla3510813153423[[#This Row],[no_efec_cor]])</f>
        <v>0.685185185185185</v>
      </c>
      <c r="Q28" s="11" t="n">
        <f aca="false">Tabla3510813153423[[#This Row],[efec_cor]]/(Tabla3510813153423[[#This Row],[efec_cor]]+Tabla3510813153423[[#This Row],[no_efec_inc]])</f>
        <v>0.63013698630137</v>
      </c>
      <c r="R28" s="11" t="n">
        <f aca="false">(Tabla3510813153423[[#This Row],[PNE]]+Tabla3510813153423[[#This Row],[PE]])/2</f>
        <v>0.657661085743278</v>
      </c>
      <c r="S28" s="0" t="n">
        <v>63</v>
      </c>
      <c r="T28" s="0" t="n">
        <v>64</v>
      </c>
      <c r="U28" s="0" t="n">
        <f aca="false">Tabla3510813153423[[#This Row],[efec]]+Tabla3510813153423[[#This Row],[no_efe]]</f>
        <v>127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40</v>
      </c>
      <c r="D29" s="0" t="n">
        <v>24</v>
      </c>
      <c r="E29" s="0" t="n">
        <v>47</v>
      </c>
      <c r="F29" s="0" t="n">
        <v>16</v>
      </c>
      <c r="G29" s="0" t="n">
        <f aca="false">Tabla3510813153423[[#This Row],[no_efec_cor]]+Tabla3510813153423[[#This Row],[efec_cor]]</f>
        <v>87</v>
      </c>
      <c r="H29" s="0" t="n">
        <f aca="false">Tabla3510813153423[[#This Row],[no_efec_inc]]+Tabla3510813153423[[#This Row],[efect_inc]]</f>
        <v>40</v>
      </c>
      <c r="I29" s="9" t="n">
        <f aca="false">Tabla3510813153423[[#This Row],[Correctos]]/Tabla3510813153423[[#This Row],[total_sec]]</f>
        <v>0.68503937007874</v>
      </c>
      <c r="J29" s="9" t="n">
        <f aca="false">Tabla3510813153423[[#This Row],[efec_cor]]/Tabla3510813153423[[#This Row],[efec]]</f>
        <v>0.746031746031746</v>
      </c>
      <c r="K29" s="9" t="n">
        <f aca="false">Tabla3510813153423[[#This Row],[efect_inc]]/Tabla3510813153423[[#This Row],[efec]]</f>
        <v>0.253968253968254</v>
      </c>
      <c r="L29" s="9" t="n">
        <f aca="false">Tabla3510813153423[[#This Row],[no_efec_cor]]/Tabla3510813153423[[#This Row],[no_efe]]</f>
        <v>0.625</v>
      </c>
      <c r="M29" s="9" t="n">
        <f aca="false">Tabla3510813153423[[#This Row],[no_efec_inc]]/Tabla3510813153423[[#This Row],[no_efe]]</f>
        <v>0.375</v>
      </c>
      <c r="N29" s="9" t="n">
        <f aca="false">(Tabla3510813153423[[#This Row],[% efe_cor]]+Tabla3510813153423[[#This Row],[% no_efe_cor]])/2</f>
        <v>0.685515873015873</v>
      </c>
      <c r="O29" s="10" t="n">
        <f aca="false">(Tabla3510813153423[[#This Row],[% efe_inc]]+Tabla3510813153423[[#This Row],[% no_efect_inc]])/2</f>
        <v>0.314484126984127</v>
      </c>
      <c r="P29" s="11" t="n">
        <f aca="false">Tabla3510813153423[[#This Row],[no_efec_cor]]/(Tabla3510813153423[[#This Row],[efect_inc]]+Tabla3510813153423[[#This Row],[no_efec_cor]])</f>
        <v>0.714285714285714</v>
      </c>
      <c r="Q29" s="11" t="n">
        <f aca="false">Tabla3510813153423[[#This Row],[efec_cor]]/(Tabla3510813153423[[#This Row],[efec_cor]]+Tabla3510813153423[[#This Row],[no_efec_inc]])</f>
        <v>0.661971830985916</v>
      </c>
      <c r="R29" s="11" t="n">
        <f aca="false">(Tabla3510813153423[[#This Row],[PNE]]+Tabla3510813153423[[#This Row],[PE]])/2</f>
        <v>0.688128772635815</v>
      </c>
      <c r="S29" s="0" t="n">
        <v>63</v>
      </c>
      <c r="T29" s="0" t="n">
        <v>64</v>
      </c>
      <c r="U29" s="0" t="n">
        <f aca="false">Tabla3510813153423[[#This Row],[efec]]+Tabla3510813153423[[#This Row],[no_efe]]</f>
        <v>127</v>
      </c>
    </row>
    <row r="30" customFormat="false" ht="13.8" hidden="false" customHeight="false" outlineLevel="0" collapsed="false">
      <c r="A30" s="0" t="n">
        <v>1</v>
      </c>
      <c r="B30" s="0" t="n">
        <v>2</v>
      </c>
      <c r="C30" s="0" t="n">
        <v>41</v>
      </c>
      <c r="D30" s="0" t="n">
        <v>23</v>
      </c>
      <c r="E30" s="0" t="n">
        <v>40</v>
      </c>
      <c r="F30" s="0" t="n">
        <v>23</v>
      </c>
      <c r="G30" s="0" t="n">
        <f aca="false">Tabla3510813153423[[#This Row],[no_efec_cor]]+Tabla3510813153423[[#This Row],[efec_cor]]</f>
        <v>81</v>
      </c>
      <c r="H30" s="0" t="n">
        <f aca="false">Tabla3510813153423[[#This Row],[no_efec_inc]]+Tabla3510813153423[[#This Row],[efect_inc]]</f>
        <v>46</v>
      </c>
      <c r="I30" s="9" t="n">
        <f aca="false">Tabla3510813153423[[#This Row],[Correctos]]/Tabla3510813153423[[#This Row],[total_sec]]</f>
        <v>0.637795275590551</v>
      </c>
      <c r="J30" s="9" t="n">
        <f aca="false">Tabla3510813153423[[#This Row],[efec_cor]]/Tabla3510813153423[[#This Row],[efec]]</f>
        <v>0.634920634920635</v>
      </c>
      <c r="K30" s="9" t="n">
        <f aca="false">Tabla3510813153423[[#This Row],[efect_inc]]/Tabla3510813153423[[#This Row],[efec]]</f>
        <v>0.365079365079365</v>
      </c>
      <c r="L30" s="9" t="n">
        <f aca="false">Tabla3510813153423[[#This Row],[no_efec_cor]]/Tabla3510813153423[[#This Row],[no_efe]]</f>
        <v>0.640625</v>
      </c>
      <c r="M30" s="9" t="n">
        <f aca="false">Tabla3510813153423[[#This Row],[no_efec_inc]]/Tabla3510813153423[[#This Row],[no_efe]]</f>
        <v>0.359375</v>
      </c>
      <c r="N30" s="9" t="n">
        <f aca="false">(Tabla3510813153423[[#This Row],[% efe_cor]]+Tabla3510813153423[[#This Row],[% no_efe_cor]])/2</f>
        <v>0.637772817460317</v>
      </c>
      <c r="O30" s="10" t="n">
        <f aca="false">(Tabla3510813153423[[#This Row],[% efe_inc]]+Tabla3510813153423[[#This Row],[% no_efect_inc]])/2</f>
        <v>0.362227182539683</v>
      </c>
      <c r="P30" s="11" t="n">
        <f aca="false">Tabla3510813153423[[#This Row],[no_efec_cor]]/(Tabla3510813153423[[#This Row],[efect_inc]]+Tabla3510813153423[[#This Row],[no_efec_cor]])</f>
        <v>0.640625</v>
      </c>
      <c r="Q30" s="11" t="n">
        <f aca="false">Tabla3510813153423[[#This Row],[efec_cor]]/(Tabla3510813153423[[#This Row],[efec_cor]]+Tabla3510813153423[[#This Row],[no_efec_inc]])</f>
        <v>0.634920634920635</v>
      </c>
      <c r="R30" s="11" t="n">
        <f aca="false">(Tabla3510813153423[[#This Row],[PNE]]+Tabla3510813153423[[#This Row],[PE]])/2</f>
        <v>0.637772817460317</v>
      </c>
      <c r="S30" s="0" t="n">
        <v>63</v>
      </c>
      <c r="T30" s="0" t="n">
        <v>64</v>
      </c>
      <c r="U30" s="0" t="n">
        <f aca="false">Tabla3510813153423[[#This Row],[efec]]+Tabla3510813153423[[#This Row],[no_efe]]</f>
        <v>127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47</v>
      </c>
      <c r="D31" s="0" t="n">
        <v>17</v>
      </c>
      <c r="E31" s="0" t="n">
        <v>32</v>
      </c>
      <c r="F31" s="0" t="n">
        <v>31</v>
      </c>
      <c r="G31" s="0" t="n">
        <f aca="false">Tabla3510813153423[[#This Row],[no_efec_cor]]+Tabla3510813153423[[#This Row],[efec_cor]]</f>
        <v>79</v>
      </c>
      <c r="H31" s="0" t="n">
        <f aca="false">Tabla3510813153423[[#This Row],[no_efec_inc]]+Tabla3510813153423[[#This Row],[efect_inc]]</f>
        <v>48</v>
      </c>
      <c r="I31" s="9" t="n">
        <f aca="false">Tabla3510813153423[[#This Row],[Correctos]]/Tabla3510813153423[[#This Row],[total_sec]]</f>
        <v>0.622047244094488</v>
      </c>
      <c r="J31" s="9" t="n">
        <f aca="false">Tabla3510813153423[[#This Row],[efec_cor]]/Tabla3510813153423[[#This Row],[efec]]</f>
        <v>0.507936507936508</v>
      </c>
      <c r="K31" s="9" t="n">
        <f aca="false">Tabla3510813153423[[#This Row],[efect_inc]]/Tabla3510813153423[[#This Row],[efec]]</f>
        <v>0.492063492063492</v>
      </c>
      <c r="L31" s="9" t="n">
        <f aca="false">Tabla3510813153423[[#This Row],[no_efec_cor]]/Tabla3510813153423[[#This Row],[no_efe]]</f>
        <v>0.734375</v>
      </c>
      <c r="M31" s="9" t="n">
        <f aca="false">Tabla3510813153423[[#This Row],[no_efec_inc]]/Tabla3510813153423[[#This Row],[no_efe]]</f>
        <v>0.265625</v>
      </c>
      <c r="N31" s="9" t="n">
        <f aca="false">(Tabla3510813153423[[#This Row],[% efe_cor]]+Tabla3510813153423[[#This Row],[% no_efe_cor]])/2</f>
        <v>0.621155753968254</v>
      </c>
      <c r="O31" s="10" t="n">
        <f aca="false">(Tabla3510813153423[[#This Row],[% efe_inc]]+Tabla3510813153423[[#This Row],[% no_efect_inc]])/2</f>
        <v>0.378844246031746</v>
      </c>
      <c r="P31" s="11" t="n">
        <f aca="false">Tabla3510813153423[[#This Row],[no_efec_cor]]/(Tabla3510813153423[[#This Row],[efect_inc]]+Tabla3510813153423[[#This Row],[no_efec_cor]])</f>
        <v>0.602564102564102</v>
      </c>
      <c r="Q31" s="11" t="n">
        <f aca="false">Tabla3510813153423[[#This Row],[efec_cor]]/(Tabla3510813153423[[#This Row],[efec_cor]]+Tabla3510813153423[[#This Row],[no_efec_inc]])</f>
        <v>0.653061224489796</v>
      </c>
      <c r="R31" s="11" t="n">
        <f aca="false">(Tabla3510813153423[[#This Row],[PNE]]+Tabla3510813153423[[#This Row],[PE]])/2</f>
        <v>0.627812663526949</v>
      </c>
      <c r="S31" s="0" t="n">
        <v>63</v>
      </c>
      <c r="T31" s="0" t="n">
        <v>64</v>
      </c>
      <c r="U31" s="0" t="n">
        <f aca="false">Tabla3510813153423[[#This Row],[efec]]+Tabla3510813153423[[#This Row],[no_efe]]</f>
        <v>127</v>
      </c>
    </row>
    <row r="32" customFormat="false" ht="13.8" hidden="false" customHeight="false" outlineLevel="0" collapsed="false">
      <c r="A32" s="0" t="n">
        <v>1</v>
      </c>
      <c r="B32" s="0" t="n">
        <v>5</v>
      </c>
      <c r="C32" s="0" t="n">
        <v>54</v>
      </c>
      <c r="D32" s="0" t="n">
        <v>10</v>
      </c>
      <c r="E32" s="0" t="n">
        <v>26</v>
      </c>
      <c r="F32" s="0" t="n">
        <v>37</v>
      </c>
      <c r="G32" s="0" t="n">
        <f aca="false">Tabla3510813153423[[#This Row],[no_efec_cor]]+Tabla3510813153423[[#This Row],[efec_cor]]</f>
        <v>80</v>
      </c>
      <c r="H32" s="0" t="n">
        <f aca="false">Tabla3510813153423[[#This Row],[no_efec_inc]]+Tabla3510813153423[[#This Row],[efect_inc]]</f>
        <v>47</v>
      </c>
      <c r="I32" s="9" t="n">
        <f aca="false">Tabla3510813153423[[#This Row],[Correctos]]/Tabla3510813153423[[#This Row],[total_sec]]</f>
        <v>0.62992125984252</v>
      </c>
      <c r="J32" s="9" t="n">
        <f aca="false">Tabla3510813153423[[#This Row],[efec_cor]]/Tabla3510813153423[[#This Row],[efec]]</f>
        <v>0.412698412698413</v>
      </c>
      <c r="K32" s="9" t="n">
        <f aca="false">Tabla3510813153423[[#This Row],[efect_inc]]/Tabla3510813153423[[#This Row],[efec]]</f>
        <v>0.587301587301587</v>
      </c>
      <c r="L32" s="9" t="n">
        <f aca="false">Tabla3510813153423[[#This Row],[no_efec_cor]]/Tabla3510813153423[[#This Row],[no_efe]]</f>
        <v>0.84375</v>
      </c>
      <c r="M32" s="9" t="n">
        <f aca="false">Tabla3510813153423[[#This Row],[no_efec_inc]]/Tabla3510813153423[[#This Row],[no_efe]]</f>
        <v>0.15625</v>
      </c>
      <c r="N32" s="9" t="n">
        <f aca="false">(Tabla3510813153423[[#This Row],[% efe_cor]]+Tabla3510813153423[[#This Row],[% no_efe_cor]])/2</f>
        <v>0.628224206349206</v>
      </c>
      <c r="O32" s="10" t="n">
        <f aca="false">(Tabla3510813153423[[#This Row],[% efe_inc]]+Tabla3510813153423[[#This Row],[% no_efect_inc]])/2</f>
        <v>0.371775793650794</v>
      </c>
      <c r="P32" s="11" t="n">
        <f aca="false">Tabla3510813153423[[#This Row],[no_efec_cor]]/(Tabla3510813153423[[#This Row],[efect_inc]]+Tabla3510813153423[[#This Row],[no_efec_cor]])</f>
        <v>0.593406593406593</v>
      </c>
      <c r="Q32" s="11" t="n">
        <f aca="false">Tabla3510813153423[[#This Row],[efec_cor]]/(Tabla3510813153423[[#This Row],[efec_cor]]+Tabla3510813153423[[#This Row],[no_efec_inc]])</f>
        <v>0.722222222222222</v>
      </c>
      <c r="R32" s="11" t="n">
        <f aca="false">(Tabla3510813153423[[#This Row],[PNE]]+Tabla3510813153423[[#This Row],[PE]])/2</f>
        <v>0.657814407814408</v>
      </c>
      <c r="S32" s="0" t="n">
        <v>63</v>
      </c>
      <c r="T32" s="0" t="n">
        <v>64</v>
      </c>
      <c r="U32" s="0" t="n">
        <f aca="false">Tabla3510813153423[[#This Row],[efec]]+Tabla3510813153423[[#This Row],[no_efe]]</f>
        <v>127</v>
      </c>
    </row>
    <row r="33" customFormat="false" ht="13.8" hidden="false" customHeight="false" outlineLevel="0" collapsed="false">
      <c r="A33" s="0" t="n">
        <v>2</v>
      </c>
      <c r="B33" s="0" t="n">
        <v>0.5</v>
      </c>
      <c r="C33" s="0" t="n">
        <v>39</v>
      </c>
      <c r="D33" s="0" t="n">
        <v>25</v>
      </c>
      <c r="E33" s="0" t="n">
        <v>43</v>
      </c>
      <c r="F33" s="0" t="n">
        <v>20</v>
      </c>
      <c r="G33" s="0" t="n">
        <f aca="false">Tabla3510813153423[[#This Row],[no_efec_cor]]+Tabla3510813153423[[#This Row],[efec_cor]]</f>
        <v>82</v>
      </c>
      <c r="H33" s="0" t="n">
        <f aca="false">Tabla3510813153423[[#This Row],[no_efec_inc]]+Tabla3510813153423[[#This Row],[efect_inc]]</f>
        <v>45</v>
      </c>
      <c r="I33" s="9" t="n">
        <f aca="false">Tabla3510813153423[[#This Row],[Correctos]]/Tabla3510813153423[[#This Row],[total_sec]]</f>
        <v>0.645669291338583</v>
      </c>
      <c r="J33" s="9" t="n">
        <f aca="false">Tabla3510813153423[[#This Row],[efec_cor]]/Tabla3510813153423[[#This Row],[efec]]</f>
        <v>0.682539682539683</v>
      </c>
      <c r="K33" s="9" t="n">
        <f aca="false">Tabla3510813153423[[#This Row],[efect_inc]]/Tabla3510813153423[[#This Row],[efec]]</f>
        <v>0.317460317460317</v>
      </c>
      <c r="L33" s="9" t="n">
        <f aca="false">Tabla3510813153423[[#This Row],[no_efec_cor]]/Tabla3510813153423[[#This Row],[no_efe]]</f>
        <v>0.609375</v>
      </c>
      <c r="M33" s="9" t="n">
        <f aca="false">Tabla3510813153423[[#This Row],[no_efec_inc]]/Tabla3510813153423[[#This Row],[no_efe]]</f>
        <v>0.390625</v>
      </c>
      <c r="N33" s="9" t="n">
        <f aca="false">(Tabla3510813153423[[#This Row],[% efe_cor]]+Tabla3510813153423[[#This Row],[% no_efe_cor]])/2</f>
        <v>0.645957341269841</v>
      </c>
      <c r="O33" s="10" t="n">
        <f aca="false">(Tabla3510813153423[[#This Row],[% efe_inc]]+Tabla3510813153423[[#This Row],[% no_efect_inc]])/2</f>
        <v>0.354042658730159</v>
      </c>
      <c r="P33" s="11" t="n">
        <f aca="false">Tabla3510813153423[[#This Row],[no_efec_cor]]/(Tabla3510813153423[[#This Row],[efect_inc]]+Tabla3510813153423[[#This Row],[no_efec_cor]])</f>
        <v>0.661016949152542</v>
      </c>
      <c r="Q33" s="11" t="n">
        <f aca="false">Tabla3510813153423[[#This Row],[efec_cor]]/(Tabla3510813153423[[#This Row],[efec_cor]]+Tabla3510813153423[[#This Row],[no_efec_inc]])</f>
        <v>0.632352941176471</v>
      </c>
      <c r="R33" s="11" t="n">
        <f aca="false">(Tabla3510813153423[[#This Row],[PNE]]+Tabla3510813153423[[#This Row],[PE]])/2</f>
        <v>0.646684945164506</v>
      </c>
      <c r="S33" s="0" t="n">
        <v>63</v>
      </c>
      <c r="T33" s="0" t="n">
        <v>64</v>
      </c>
      <c r="U33" s="0" t="n">
        <f aca="false">Tabla3510813153423[[#This Row],[efec]]+Tabla3510813153423[[#This Row],[no_efe]]</f>
        <v>127</v>
      </c>
    </row>
    <row r="34" customFormat="false" ht="13.8" hidden="false" customHeight="false" outlineLevel="0" collapsed="false">
      <c r="A34" s="0" t="n">
        <v>3</v>
      </c>
      <c r="B34" s="0" t="n">
        <v>0.5</v>
      </c>
      <c r="C34" s="0" t="n">
        <v>43</v>
      </c>
      <c r="D34" s="0" t="n">
        <v>21</v>
      </c>
      <c r="E34" s="0" t="n">
        <v>42</v>
      </c>
      <c r="F34" s="0" t="n">
        <v>21</v>
      </c>
      <c r="G34" s="0" t="n">
        <f aca="false">Tabla3510813153423[[#This Row],[no_efec_cor]]+Tabla3510813153423[[#This Row],[efec_cor]]</f>
        <v>85</v>
      </c>
      <c r="H34" s="0" t="n">
        <f aca="false">Tabla3510813153423[[#This Row],[no_efec_inc]]+Tabla3510813153423[[#This Row],[efect_inc]]</f>
        <v>42</v>
      </c>
      <c r="I34" s="9" t="n">
        <f aca="false">Tabla3510813153423[[#This Row],[Correctos]]/Tabla3510813153423[[#This Row],[total_sec]]</f>
        <v>0.669291338582677</v>
      </c>
      <c r="J34" s="9" t="n">
        <f aca="false">Tabla3510813153423[[#This Row],[efec_cor]]/Tabla3510813153423[[#This Row],[efec]]</f>
        <v>0.666666666666667</v>
      </c>
      <c r="K34" s="9" t="n">
        <f aca="false">Tabla3510813153423[[#This Row],[efect_inc]]/Tabla3510813153423[[#This Row],[efec]]</f>
        <v>0.333333333333333</v>
      </c>
      <c r="L34" s="9" t="n">
        <f aca="false">Tabla3510813153423[[#This Row],[no_efec_cor]]/Tabla3510813153423[[#This Row],[no_efe]]</f>
        <v>0.671875</v>
      </c>
      <c r="M34" s="9" t="n">
        <f aca="false">Tabla3510813153423[[#This Row],[no_efec_inc]]/Tabla3510813153423[[#This Row],[no_efe]]</f>
        <v>0.328125</v>
      </c>
      <c r="N34" s="9" t="n">
        <f aca="false">(Tabla3510813153423[[#This Row],[% efe_cor]]+Tabla3510813153423[[#This Row],[% no_efe_cor]])/2</f>
        <v>0.669270833333333</v>
      </c>
      <c r="O34" s="10" t="n">
        <f aca="false">(Tabla3510813153423[[#This Row],[% efe_inc]]+Tabla3510813153423[[#This Row],[% no_efect_inc]])/2</f>
        <v>0.330729166666667</v>
      </c>
      <c r="P34" s="11" t="n">
        <f aca="false">Tabla3510813153423[[#This Row],[no_efec_cor]]/(Tabla3510813153423[[#This Row],[efect_inc]]+Tabla3510813153423[[#This Row],[no_efec_cor]])</f>
        <v>0.671875</v>
      </c>
      <c r="Q34" s="11" t="n">
        <f aca="false">Tabla3510813153423[[#This Row],[efec_cor]]/(Tabla3510813153423[[#This Row],[efec_cor]]+Tabla3510813153423[[#This Row],[no_efec_inc]])</f>
        <v>0.666666666666667</v>
      </c>
      <c r="R34" s="11" t="n">
        <f aca="false">(Tabla3510813153423[[#This Row],[PNE]]+Tabla3510813153423[[#This Row],[PE]])/2</f>
        <v>0.669270833333333</v>
      </c>
      <c r="S34" s="0" t="n">
        <v>63</v>
      </c>
      <c r="T34" s="0" t="n">
        <v>64</v>
      </c>
      <c r="U34" s="0" t="n">
        <f aca="false">Tabla3510813153423[[#This Row],[efec]]+Tabla3510813153423[[#This Row],[no_efe]]</f>
        <v>127</v>
      </c>
    </row>
    <row r="35" customFormat="false" ht="13.8" hidden="false" customHeight="false" outlineLevel="0" collapsed="false">
      <c r="A35" s="0" t="n">
        <v>5</v>
      </c>
      <c r="B35" s="0" t="n">
        <v>0.5</v>
      </c>
      <c r="C35" s="0" t="n">
        <v>43</v>
      </c>
      <c r="D35" s="0" t="n">
        <v>21</v>
      </c>
      <c r="E35" s="0" t="n">
        <v>40</v>
      </c>
      <c r="F35" s="0" t="n">
        <v>23</v>
      </c>
      <c r="G35" s="0" t="n">
        <f aca="false">Tabla3510813153423[[#This Row],[no_efec_cor]]+Tabla3510813153423[[#This Row],[efec_cor]]</f>
        <v>83</v>
      </c>
      <c r="H35" s="0" t="n">
        <f aca="false">Tabla3510813153423[[#This Row],[no_efec_inc]]+Tabla3510813153423[[#This Row],[efect_inc]]</f>
        <v>44</v>
      </c>
      <c r="I35" s="9" t="n">
        <f aca="false">Tabla3510813153423[[#This Row],[Correctos]]/Tabla3510813153423[[#This Row],[total_sec]]</f>
        <v>0.653543307086614</v>
      </c>
      <c r="J35" s="9" t="n">
        <f aca="false">Tabla3510813153423[[#This Row],[efec_cor]]/Tabla3510813153423[[#This Row],[efec]]</f>
        <v>0.634920634920635</v>
      </c>
      <c r="K35" s="9" t="n">
        <f aca="false">Tabla3510813153423[[#This Row],[efect_inc]]/Tabla3510813153423[[#This Row],[efec]]</f>
        <v>0.365079365079365</v>
      </c>
      <c r="L35" s="9" t="n">
        <f aca="false">Tabla3510813153423[[#This Row],[no_efec_cor]]/Tabla3510813153423[[#This Row],[no_efe]]</f>
        <v>0.671875</v>
      </c>
      <c r="M35" s="9" t="n">
        <f aca="false">Tabla3510813153423[[#This Row],[no_efec_inc]]/Tabla3510813153423[[#This Row],[no_efe]]</f>
        <v>0.328125</v>
      </c>
      <c r="N35" s="9" t="n">
        <f aca="false">(Tabla3510813153423[[#This Row],[% efe_cor]]+Tabla3510813153423[[#This Row],[% no_efe_cor]])/2</f>
        <v>0.653397817460317</v>
      </c>
      <c r="O35" s="10" t="n">
        <f aca="false">(Tabla3510813153423[[#This Row],[% efe_inc]]+Tabla3510813153423[[#This Row],[% no_efect_inc]])/2</f>
        <v>0.346602182539683</v>
      </c>
      <c r="P35" s="11" t="n">
        <f aca="false">Tabla3510813153423[[#This Row],[no_efec_cor]]/(Tabla3510813153423[[#This Row],[efect_inc]]+Tabla3510813153423[[#This Row],[no_efec_cor]])</f>
        <v>0.651515151515152</v>
      </c>
      <c r="Q35" s="11" t="n">
        <f aca="false">Tabla3510813153423[[#This Row],[efec_cor]]/(Tabla3510813153423[[#This Row],[efec_cor]]+Tabla3510813153423[[#This Row],[no_efec_inc]])</f>
        <v>0.655737704918033</v>
      </c>
      <c r="R35" s="11" t="n">
        <f aca="false">(Tabla3510813153423[[#This Row],[PNE]]+Tabla3510813153423[[#This Row],[PE]])/2</f>
        <v>0.653626428216592</v>
      </c>
      <c r="S35" s="0" t="n">
        <v>63</v>
      </c>
      <c r="T35" s="0" t="n">
        <v>64</v>
      </c>
      <c r="U35" s="0" t="n">
        <f aca="false">Tabla3510813153423[[#This Row],[efec]]+Tabla3510813153423[[#This Row],[no_efe]]</f>
        <v>127</v>
      </c>
    </row>
    <row r="36" customFormat="false" ht="13.8" hidden="false" customHeight="false" outlineLevel="0" collapsed="false">
      <c r="A36" s="0" t="n">
        <v>5</v>
      </c>
      <c r="B36" s="0" t="n">
        <v>1</v>
      </c>
      <c r="C36" s="0" t="n">
        <v>42</v>
      </c>
      <c r="D36" s="0" t="n">
        <v>22</v>
      </c>
      <c r="E36" s="0" t="n">
        <v>42</v>
      </c>
      <c r="F36" s="0" t="n">
        <v>21</v>
      </c>
      <c r="G36" s="0" t="n">
        <f aca="false">Tabla3510813153423[[#This Row],[no_efec_cor]]+Tabla3510813153423[[#This Row],[efec_cor]]</f>
        <v>84</v>
      </c>
      <c r="H36" s="0" t="n">
        <f aca="false">Tabla3510813153423[[#This Row],[no_efec_inc]]+Tabla3510813153423[[#This Row],[efect_inc]]</f>
        <v>43</v>
      </c>
      <c r="I36" s="9" t="n">
        <f aca="false">Tabla3510813153423[[#This Row],[Correctos]]/Tabla3510813153423[[#This Row],[total_sec]]</f>
        <v>0.661417322834646</v>
      </c>
      <c r="J36" s="9" t="n">
        <f aca="false">Tabla3510813153423[[#This Row],[efec_cor]]/Tabla3510813153423[[#This Row],[efec]]</f>
        <v>0.666666666666667</v>
      </c>
      <c r="K36" s="9" t="n">
        <f aca="false">Tabla3510813153423[[#This Row],[efect_inc]]/Tabla3510813153423[[#This Row],[efec]]</f>
        <v>0.333333333333333</v>
      </c>
      <c r="L36" s="9" t="n">
        <f aca="false">Tabla3510813153423[[#This Row],[no_efec_cor]]/Tabla3510813153423[[#This Row],[no_efe]]</f>
        <v>0.65625</v>
      </c>
      <c r="M36" s="9" t="n">
        <f aca="false">Tabla3510813153423[[#This Row],[no_efec_inc]]/Tabla3510813153423[[#This Row],[no_efe]]</f>
        <v>0.34375</v>
      </c>
      <c r="N36" s="9" t="n">
        <f aca="false">(Tabla3510813153423[[#This Row],[% efe_cor]]+Tabla3510813153423[[#This Row],[% no_efe_cor]])/2</f>
        <v>0.661458333333333</v>
      </c>
      <c r="O36" s="10" t="n">
        <f aca="false">(Tabla3510813153423[[#This Row],[% efe_inc]]+Tabla3510813153423[[#This Row],[% no_efect_inc]])/2</f>
        <v>0.338541666666667</v>
      </c>
      <c r="P36" s="11" t="n">
        <f aca="false">Tabla3510813153423[[#This Row],[no_efec_cor]]/(Tabla3510813153423[[#This Row],[efect_inc]]+Tabla3510813153423[[#This Row],[no_efec_cor]])</f>
        <v>0.666666666666667</v>
      </c>
      <c r="Q36" s="11" t="n">
        <f aca="false">Tabla3510813153423[[#This Row],[efec_cor]]/(Tabla3510813153423[[#This Row],[efec_cor]]+Tabla3510813153423[[#This Row],[no_efec_inc]])</f>
        <v>0.65625</v>
      </c>
      <c r="R36" s="11" t="n">
        <f aca="false">(Tabla3510813153423[[#This Row],[PNE]]+Tabla3510813153423[[#This Row],[PE]])/2</f>
        <v>0.661458333333333</v>
      </c>
      <c r="S36" s="0" t="n">
        <v>63</v>
      </c>
      <c r="T36" s="0" t="n">
        <v>64</v>
      </c>
      <c r="U36" s="0" t="n">
        <f aca="false">Tabla3510813153423[[#This Row],[efec]]+Tabla3510813153423[[#This Row],[no_efe]]</f>
        <v>127</v>
      </c>
    </row>
    <row r="37" customFormat="false" ht="13.8" hidden="false" customHeight="false" outlineLevel="0" collapsed="false">
      <c r="A37" s="0" t="n">
        <v>0.5</v>
      </c>
      <c r="B37" s="0" t="n">
        <v>1</v>
      </c>
      <c r="C37" s="0" t="n">
        <v>45</v>
      </c>
      <c r="D37" s="0" t="n">
        <v>19</v>
      </c>
      <c r="E37" s="0" t="n">
        <v>36</v>
      </c>
      <c r="F37" s="0" t="n">
        <v>27</v>
      </c>
      <c r="G37" s="0" t="n">
        <f aca="false">Tabla3510813153423[[#This Row],[no_efec_cor]]+Tabla3510813153423[[#This Row],[efec_cor]]</f>
        <v>81</v>
      </c>
      <c r="H37" s="0" t="n">
        <f aca="false">Tabla3510813153423[[#This Row],[no_efec_inc]]+Tabla3510813153423[[#This Row],[efect_inc]]</f>
        <v>46</v>
      </c>
      <c r="I37" s="9" t="n">
        <f aca="false">Tabla3510813153423[[#This Row],[Correctos]]/Tabla3510813153423[[#This Row],[total_sec]]</f>
        <v>0.637795275590551</v>
      </c>
      <c r="J37" s="9" t="n">
        <f aca="false">Tabla3510813153423[[#This Row],[efec_cor]]/Tabla3510813153423[[#This Row],[efec]]</f>
        <v>0.571428571428571</v>
      </c>
      <c r="K37" s="9" t="n">
        <f aca="false">Tabla3510813153423[[#This Row],[efect_inc]]/Tabla3510813153423[[#This Row],[efec]]</f>
        <v>0.428571428571429</v>
      </c>
      <c r="L37" s="9" t="n">
        <f aca="false">Tabla3510813153423[[#This Row],[no_efec_cor]]/Tabla3510813153423[[#This Row],[no_efe]]</f>
        <v>0.703125</v>
      </c>
      <c r="M37" s="9" t="n">
        <f aca="false">Tabla3510813153423[[#This Row],[no_efec_inc]]/Tabla3510813153423[[#This Row],[no_efe]]</f>
        <v>0.296875</v>
      </c>
      <c r="N37" s="9" t="n">
        <f aca="false">(Tabla3510813153423[[#This Row],[% efe_cor]]+Tabla3510813153423[[#This Row],[% no_efe_cor]])/2</f>
        <v>0.637276785714286</v>
      </c>
      <c r="O37" s="10" t="n">
        <f aca="false">(Tabla3510813153423[[#This Row],[% efe_inc]]+Tabla3510813153423[[#This Row],[% no_efect_inc]])/2</f>
        <v>0.362723214285714</v>
      </c>
      <c r="P37" s="11" t="n">
        <f aca="false">Tabla3510813153423[[#This Row],[no_efec_cor]]/(Tabla3510813153423[[#This Row],[efect_inc]]+Tabla3510813153423[[#This Row],[no_efec_cor]])</f>
        <v>0.625</v>
      </c>
      <c r="Q37" s="11" t="n">
        <f aca="false">Tabla3510813153423[[#This Row],[efec_cor]]/(Tabla3510813153423[[#This Row],[efec_cor]]+Tabla3510813153423[[#This Row],[no_efec_inc]])</f>
        <v>0.654545454545455</v>
      </c>
      <c r="R37" s="11" t="n">
        <f aca="false">(Tabla3510813153423[[#This Row],[PNE]]+Tabla3510813153423[[#This Row],[PE]])/2</f>
        <v>0.639772727272727</v>
      </c>
      <c r="S37" s="0" t="n">
        <v>63</v>
      </c>
      <c r="T37" s="0" t="n">
        <v>64</v>
      </c>
      <c r="U37" s="0" t="n">
        <f aca="false">Tabla3510813153423[[#This Row],[efec]]+Tabla3510813153423[[#This Row],[no_efe]]</f>
        <v>127</v>
      </c>
    </row>
    <row r="38" customFormat="false" ht="13.8" hidden="false" customHeight="false" outlineLevel="0" collapsed="false">
      <c r="A38" s="0" t="n">
        <v>0.1</v>
      </c>
      <c r="B38" s="0" t="n">
        <v>1</v>
      </c>
      <c r="C38" s="0" t="n">
        <v>59</v>
      </c>
      <c r="D38" s="0" t="n">
        <v>5</v>
      </c>
      <c r="E38" s="0" t="n">
        <v>22</v>
      </c>
      <c r="F38" s="0" t="n">
        <v>41</v>
      </c>
      <c r="G38" s="0" t="n">
        <f aca="false">Tabla3510813153423[[#This Row],[no_efec_cor]]+Tabla3510813153423[[#This Row],[efec_cor]]</f>
        <v>81</v>
      </c>
      <c r="H38" s="0" t="n">
        <f aca="false">Tabla3510813153423[[#This Row],[no_efec_inc]]+Tabla3510813153423[[#This Row],[efect_inc]]</f>
        <v>46</v>
      </c>
      <c r="I38" s="9" t="n">
        <f aca="false">Tabla3510813153423[[#This Row],[Correctos]]/Tabla3510813153423[[#This Row],[total_sec]]</f>
        <v>0.637795275590551</v>
      </c>
      <c r="J38" s="9" t="n">
        <f aca="false">Tabla3510813153423[[#This Row],[efec_cor]]/Tabla3510813153423[[#This Row],[efec]]</f>
        <v>0.349206349206349</v>
      </c>
      <c r="K38" s="9" t="n">
        <f aca="false">Tabla3510813153423[[#This Row],[efect_inc]]/Tabla3510813153423[[#This Row],[efec]]</f>
        <v>0.650793650793651</v>
      </c>
      <c r="L38" s="9" t="n">
        <f aca="false">Tabla3510813153423[[#This Row],[no_efec_cor]]/Tabla3510813153423[[#This Row],[no_efe]]</f>
        <v>0.921875</v>
      </c>
      <c r="M38" s="9" t="n">
        <f aca="false">Tabla3510813153423[[#This Row],[no_efec_inc]]/Tabla3510813153423[[#This Row],[no_efe]]</f>
        <v>0.078125</v>
      </c>
      <c r="N38" s="9" t="n">
        <f aca="false">(Tabla3510813153423[[#This Row],[% efe_cor]]+Tabla3510813153423[[#This Row],[% no_efe_cor]])/2</f>
        <v>0.635540674603175</v>
      </c>
      <c r="O38" s="10" t="n">
        <f aca="false">(Tabla3510813153423[[#This Row],[% efe_inc]]+Tabla3510813153423[[#This Row],[% no_efect_inc]])/2</f>
        <v>0.364459325396825</v>
      </c>
      <c r="P38" s="11" t="n">
        <f aca="false">Tabla3510813153423[[#This Row],[no_efec_cor]]/(Tabla3510813153423[[#This Row],[efect_inc]]+Tabla3510813153423[[#This Row],[no_efec_cor]])</f>
        <v>0.59</v>
      </c>
      <c r="Q38" s="11" t="n">
        <f aca="false">Tabla3510813153423[[#This Row],[efec_cor]]/(Tabla3510813153423[[#This Row],[efec_cor]]+Tabla3510813153423[[#This Row],[no_efec_inc]])</f>
        <v>0.814814814814815</v>
      </c>
      <c r="R38" s="11" t="n">
        <f aca="false">(Tabla3510813153423[[#This Row],[PNE]]+Tabla3510813153423[[#This Row],[PE]])/2</f>
        <v>0.702407407407407</v>
      </c>
      <c r="S38" s="0" t="n">
        <v>63</v>
      </c>
      <c r="T38" s="0" t="n">
        <v>64</v>
      </c>
      <c r="U38" s="0" t="n">
        <f aca="false">Tabla3510813153423[[#This Row],[efec]]+Tabla3510813153423[[#This Row],[no_efe]]</f>
        <v>127</v>
      </c>
    </row>
    <row r="39" customFormat="false" ht="13.8" hidden="false" customHeight="false" outlineLevel="0" collapsed="false">
      <c r="A39" s="0" t="n">
        <v>0.5</v>
      </c>
      <c r="B39" s="0" t="n">
        <v>0.5</v>
      </c>
      <c r="C39" s="0" t="n">
        <v>35</v>
      </c>
      <c r="D39" s="0" t="n">
        <v>29</v>
      </c>
      <c r="E39" s="0" t="n">
        <v>45</v>
      </c>
      <c r="F39" s="0" t="n">
        <v>18</v>
      </c>
      <c r="G39" s="0" t="n">
        <f aca="false">Tabla3510813153423[[#This Row],[no_efec_cor]]+Tabla3510813153423[[#This Row],[efec_cor]]</f>
        <v>80</v>
      </c>
      <c r="H39" s="0" t="n">
        <f aca="false">Tabla3510813153423[[#This Row],[no_efec_inc]]+Tabla3510813153423[[#This Row],[efect_inc]]</f>
        <v>47</v>
      </c>
      <c r="I39" s="9" t="n">
        <f aca="false">Tabla3510813153423[[#This Row],[Correctos]]/Tabla3510813153423[[#This Row],[total_sec]]</f>
        <v>0.62992125984252</v>
      </c>
      <c r="J39" s="9" t="n">
        <f aca="false">Tabla3510813153423[[#This Row],[efec_cor]]/Tabla3510813153423[[#This Row],[efec]]</f>
        <v>0.714285714285714</v>
      </c>
      <c r="K39" s="9" t="n">
        <f aca="false">Tabla3510813153423[[#This Row],[efect_inc]]/Tabla3510813153423[[#This Row],[efec]]</f>
        <v>0.285714285714286</v>
      </c>
      <c r="L39" s="9" t="n">
        <f aca="false">Tabla3510813153423[[#This Row],[no_efec_cor]]/Tabla3510813153423[[#This Row],[no_efe]]</f>
        <v>0.546875</v>
      </c>
      <c r="M39" s="9" t="n">
        <f aca="false">Tabla3510813153423[[#This Row],[no_efec_inc]]/Tabla3510813153423[[#This Row],[no_efe]]</f>
        <v>0.453125</v>
      </c>
      <c r="N39" s="9" t="n">
        <f aca="false">(Tabla3510813153423[[#This Row],[% efe_cor]]+Tabla3510813153423[[#This Row],[% no_efe_cor]])/2</f>
        <v>0.630580357142857</v>
      </c>
      <c r="O39" s="10" t="n">
        <f aca="false">(Tabla3510813153423[[#This Row],[% efe_inc]]+Tabla3510813153423[[#This Row],[% no_efect_inc]])/2</f>
        <v>0.369419642857143</v>
      </c>
      <c r="P39" s="11" t="n">
        <f aca="false">Tabla3510813153423[[#This Row],[no_efec_cor]]/(Tabla3510813153423[[#This Row],[efect_inc]]+Tabla3510813153423[[#This Row],[no_efec_cor]])</f>
        <v>0.660377358490566</v>
      </c>
      <c r="Q39" s="11" t="n">
        <f aca="false">Tabla3510813153423[[#This Row],[efec_cor]]/(Tabla3510813153423[[#This Row],[efec_cor]]+Tabla3510813153423[[#This Row],[no_efec_inc]])</f>
        <v>0.608108108108108</v>
      </c>
      <c r="R39" s="11" t="n">
        <f aca="false">(Tabla3510813153423[[#This Row],[PNE]]+Tabla3510813153423[[#This Row],[PE]])/2</f>
        <v>0.634242733299337</v>
      </c>
      <c r="S39" s="0" t="n">
        <v>63</v>
      </c>
      <c r="T39" s="0" t="n">
        <v>64</v>
      </c>
      <c r="U39" s="0" t="n">
        <f aca="false">Tabla3510813153423[[#This Row],[efec]]+Tabla3510813153423[[#This Row],[no_efe]]</f>
        <v>127</v>
      </c>
    </row>
  </sheetData>
  <mergeCells count="9">
    <mergeCell ref="A1:U1"/>
    <mergeCell ref="A2:U2"/>
    <mergeCell ref="A4:B4"/>
    <mergeCell ref="A5:B5"/>
    <mergeCell ref="A6:B6"/>
    <mergeCell ref="A8:I8"/>
    <mergeCell ref="A20:U20"/>
    <mergeCell ref="A21:U21"/>
    <mergeCell ref="A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T10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81" activeCellId="0" sqref="A81:E9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4.44"/>
    <col collapsed="false" customWidth="true" hidden="false" outlineLevel="0" max="3" min="3" style="0" width="11.24"/>
    <col collapsed="false" customWidth="true" hidden="false" outlineLevel="0" max="4" min="4" style="0" width="10.25"/>
    <col collapsed="false" customWidth="true" hidden="false" outlineLevel="0" max="5" min="5" style="0" width="7.61"/>
    <col collapsed="false" customWidth="true" hidden="false" outlineLevel="0" max="6" min="6" style="0" width="9.37"/>
    <col collapsed="false" customWidth="true" hidden="false" outlineLevel="0" max="7" min="7" style="0" width="9.26"/>
    <col collapsed="false" customWidth="true" hidden="false" outlineLevel="0" max="9" min="9" style="0" width="14.57"/>
    <col collapsed="false" customWidth="true" hidden="false" outlineLevel="0" max="10" min="10" style="0" width="15.71"/>
    <col collapsed="false" customWidth="true" hidden="false" outlineLevel="0" max="11" min="11" style="0" width="16.14"/>
    <col collapsed="false" customWidth="true" hidden="false" outlineLevel="0" max="12" min="12" style="0" width="18.57"/>
    <col collapsed="false" customWidth="true" hidden="false" outlineLevel="0" max="13" min="13" style="0" width="11.43"/>
  </cols>
  <sheetData>
    <row r="1" customFormat="false" ht="19.5" hidden="false" customHeight="false" outlineLevel="0" collapsed="false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customFormat="false" ht="15" hidden="false" customHeight="false" outlineLevel="0" collapsed="false">
      <c r="A3" s="3" t="s">
        <v>2</v>
      </c>
      <c r="B3" s="3"/>
      <c r="C3" s="4" t="n">
        <v>81</v>
      </c>
    </row>
    <row r="4" customFormat="false" ht="15" hidden="false" customHeight="false" outlineLevel="0" collapsed="false">
      <c r="A4" s="3" t="s">
        <v>3</v>
      </c>
      <c r="B4" s="3"/>
      <c r="C4" s="4" t="n">
        <v>81</v>
      </c>
    </row>
    <row r="5" customFormat="false" ht="15" hidden="false" customHeight="false" outlineLevel="0" collapsed="false">
      <c r="A5" s="3" t="s">
        <v>4</v>
      </c>
      <c r="B5" s="3"/>
      <c r="C5" s="4" t="n">
        <f aca="false">SUM(C3:C4)</f>
        <v>162</v>
      </c>
    </row>
    <row r="7" customFormat="false" ht="15" hidden="false" customHeight="false" outlineLevel="0" collapsed="false">
      <c r="A7" s="13" t="s">
        <v>5</v>
      </c>
      <c r="B7" s="13"/>
      <c r="C7" s="13"/>
      <c r="D7" s="13"/>
      <c r="E7" s="13"/>
      <c r="F7" s="13"/>
      <c r="G7" s="13"/>
      <c r="H7" s="12"/>
      <c r="I7" s="12"/>
    </row>
    <row r="8" customFormat="false" ht="16.5" hidden="false" customHeight="false" outlineLevel="0" collapsed="false">
      <c r="A8" s="14" t="s">
        <v>38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customFormat="false" ht="15.75" hidden="false" customHeight="false" outlineLevel="0" collapsed="false">
      <c r="A9" s="7" t="s">
        <v>39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s">
        <v>40</v>
      </c>
      <c r="B10" s="0" t="n">
        <v>50</v>
      </c>
      <c r="C10" s="0" t="n">
        <v>18</v>
      </c>
      <c r="D10" s="0" t="n">
        <v>30</v>
      </c>
      <c r="E10" s="0" t="n">
        <v>38</v>
      </c>
      <c r="F10" s="0" t="n">
        <f aca="false">Tabla3510813153[[#This Row],[no_efec_cor]]+Tabla3510813153[[#This Row],[efec_cor]]</f>
        <v>80</v>
      </c>
      <c r="G10" s="0" t="n">
        <f aca="false">Tabla3510813153[[#This Row],[no_efec_inc]]+Tabla3510813153[[#This Row],[efect_inc]]</f>
        <v>56</v>
      </c>
      <c r="H10" s="9" t="n">
        <f aca="false">Tabla3510813153[[#This Row],[Correctos]]/Tabla3510813153[[#This Row],[total_sec]]</f>
        <v>0.588235294117647</v>
      </c>
      <c r="I10" s="9" t="n">
        <f aca="false">Tabla3510813153[[#This Row],[efec_cor]]/Tabla3510813153[[#This Row],[efec]]</f>
        <v>0.441176470588235</v>
      </c>
      <c r="J10" s="9" t="n">
        <f aca="false">Tabla3510813153[[#This Row],[efect_inc]]/Tabla3510813153[[#This Row],[efec]]</f>
        <v>0.558823529411765</v>
      </c>
      <c r="K10" s="9" t="n">
        <f aca="false">Tabla3510813153[[#This Row],[no_efec_cor]]/Tabla3510813153[[#This Row],[no_efe]]</f>
        <v>0.735294117647059</v>
      </c>
      <c r="L10" s="9" t="n">
        <f aca="false">Tabla3510813153[[#This Row],[no_efec_inc]]/Tabla3510813153[[#This Row],[no_efe]]</f>
        <v>0.264705882352941</v>
      </c>
      <c r="M10" s="9" t="n">
        <f aca="false">(Tabla3510813153[[#This Row],[% efe_cor]]+Tabla3510813153[[#This Row],[% no_efe_cor]])/2</f>
        <v>0.588235294117647</v>
      </c>
      <c r="N10" s="9" t="n">
        <f aca="false">(Tabla3510813153[[#This Row],[% efe_inc]]+Tabla3510813153[[#This Row],[% no_efect_inc]])/2</f>
        <v>0.411764705882353</v>
      </c>
      <c r="O10" s="11" t="n">
        <f aca="false">Tabla3510813153[[#This Row],[no_efec_cor]]/(Tabla3510813153[[#This Row],[efect_inc]]+Tabla3510813153[[#This Row],[no_efec_cor]])</f>
        <v>0.568181818181818</v>
      </c>
      <c r="P10" s="11" t="n">
        <f aca="false">Tabla3510813153[[#This Row],[efec_cor]]/(Tabla3510813153[[#This Row],[efec_cor]]+Tabla3510813153[[#This Row],[no_efec_inc]])</f>
        <v>0.625</v>
      </c>
      <c r="Q10" s="11" t="n">
        <f aca="false">(Tabla3510813153[[#This Row],[PNE]]+Tabla3510813153[[#This Row],[PE]])/2</f>
        <v>0.596590909090909</v>
      </c>
      <c r="R10" s="0" t="n">
        <v>68</v>
      </c>
      <c r="S10" s="0" t="n">
        <v>68</v>
      </c>
      <c r="T10" s="0" t="n">
        <f aca="false">Tabla3510813153[[#This Row],[efec]]+Tabla3510813153[[#This Row],[no_efe]]</f>
        <v>136</v>
      </c>
    </row>
    <row r="11" customFormat="false" ht="13.8" hidden="false" customHeight="false" outlineLevel="0" collapsed="false">
      <c r="A11" s="0" t="s">
        <v>41</v>
      </c>
      <c r="B11" s="0" t="n">
        <v>67</v>
      </c>
      <c r="C11" s="0" t="n">
        <v>11</v>
      </c>
      <c r="D11" s="0" t="n">
        <v>22</v>
      </c>
      <c r="E11" s="0" t="n">
        <v>55</v>
      </c>
      <c r="F11" s="0" t="n">
        <f aca="false">Tabla3510813153[[#This Row],[no_efec_cor]]+Tabla3510813153[[#This Row],[efec_cor]]</f>
        <v>89</v>
      </c>
      <c r="G11" s="0" t="n">
        <f aca="false">Tabla3510813153[[#This Row],[no_efec_inc]]+Tabla3510813153[[#This Row],[efect_inc]]</f>
        <v>66</v>
      </c>
      <c r="H11" s="9" t="n">
        <f aca="false">Tabla3510813153[[#This Row],[Correctos]]/Tabla3510813153[[#This Row],[total_sec]]</f>
        <v>0.574193548387097</v>
      </c>
      <c r="I11" s="9" t="n">
        <f aca="false">Tabla3510813153[[#This Row],[efec_cor]]/Tabla3510813153[[#This Row],[efec]]</f>
        <v>0.282051282051282</v>
      </c>
      <c r="J11" s="9" t="n">
        <f aca="false">Tabla3510813153[[#This Row],[efect_inc]]/Tabla3510813153[[#This Row],[efec]]</f>
        <v>0.705128205128205</v>
      </c>
      <c r="K11" s="9" t="n">
        <f aca="false">Tabla3510813153[[#This Row],[no_efec_cor]]/Tabla3510813153[[#This Row],[no_efe]]</f>
        <v>0.87012987012987</v>
      </c>
      <c r="L11" s="9" t="n">
        <f aca="false">Tabla3510813153[[#This Row],[no_efec_inc]]/Tabla3510813153[[#This Row],[no_efe]]</f>
        <v>0.142857142857143</v>
      </c>
      <c r="M11" s="9" t="n">
        <f aca="false">(Tabla3510813153[[#This Row],[% efe_cor]]+Tabla3510813153[[#This Row],[% no_efe_cor]])/2</f>
        <v>0.576090576090576</v>
      </c>
      <c r="N11" s="9" t="n">
        <f aca="false">(Tabla3510813153[[#This Row],[% efe_inc]]+Tabla3510813153[[#This Row],[% no_efect_inc]])/2</f>
        <v>0.423992673992674</v>
      </c>
      <c r="O11" s="11" t="n">
        <f aca="false">Tabla3510813153[[#This Row],[no_efec_cor]]/(Tabla3510813153[[#This Row],[efect_inc]]+Tabla3510813153[[#This Row],[no_efec_cor]])</f>
        <v>0.549180327868853</v>
      </c>
      <c r="P11" s="11" t="n">
        <f aca="false">Tabla3510813153[[#This Row],[efec_cor]]/(Tabla3510813153[[#This Row],[efec_cor]]+Tabla3510813153[[#This Row],[no_efec_inc]])</f>
        <v>0.666666666666667</v>
      </c>
      <c r="Q11" s="11" t="n">
        <f aca="false">(Tabla3510813153[[#This Row],[PNE]]+Tabla3510813153[[#This Row],[PE]])/2</f>
        <v>0.60792349726776</v>
      </c>
      <c r="R11" s="0" t="n">
        <v>78</v>
      </c>
      <c r="S11" s="0" t="n">
        <v>77</v>
      </c>
      <c r="T11" s="0" t="n">
        <f aca="false">Tabla3510813153[[#This Row],[efec]]+Tabla3510813153[[#This Row],[no_efe]]</f>
        <v>155</v>
      </c>
    </row>
    <row r="12" customFormat="false" ht="13.8" hidden="false" customHeight="false" outlineLevel="0" collapsed="false">
      <c r="A12" s="0" t="s">
        <v>42</v>
      </c>
      <c r="B12" s="0" t="n">
        <v>23</v>
      </c>
      <c r="C12" s="0" t="n">
        <v>52</v>
      </c>
      <c r="D12" s="0" t="n">
        <v>66</v>
      </c>
      <c r="E12" s="0" t="n">
        <v>13</v>
      </c>
      <c r="F12" s="0" t="n">
        <f aca="false">Tabla3510813153[[#This Row],[no_efec_cor]]+Tabla3510813153[[#This Row],[efec_cor]]</f>
        <v>89</v>
      </c>
      <c r="G12" s="0" t="n">
        <f aca="false">Tabla3510813153[[#This Row],[no_efec_inc]]+Tabla3510813153[[#This Row],[efect_inc]]</f>
        <v>65</v>
      </c>
      <c r="H12" s="9" t="n">
        <f aca="false">Tabla3510813153[[#This Row],[Correctos]]/Tabla3510813153[[#This Row],[total_sec]]</f>
        <v>0.577922077922078</v>
      </c>
      <c r="I12" s="9" t="n">
        <f aca="false">Tabla3510813153[[#This Row],[efec_cor]]/Tabla3510813153[[#This Row],[efec]]</f>
        <v>0.88</v>
      </c>
      <c r="J12" s="9" t="n">
        <f aca="false">Tabla3510813153[[#This Row],[efect_inc]]/Tabla3510813153[[#This Row],[efec]]</f>
        <v>0.173333333333333</v>
      </c>
      <c r="K12" s="9" t="n">
        <f aca="false">Tabla3510813153[[#This Row],[no_efec_cor]]/Tabla3510813153[[#This Row],[no_efe]]</f>
        <v>0.291139240506329</v>
      </c>
      <c r="L12" s="9" t="n">
        <f aca="false">Tabla3510813153[[#This Row],[no_efec_inc]]/Tabla3510813153[[#This Row],[no_efe]]</f>
        <v>0.658227848101266</v>
      </c>
      <c r="M12" s="9" t="n">
        <f aca="false">(Tabla3510813153[[#This Row],[% efe_cor]]+Tabla3510813153[[#This Row],[% no_efe_cor]])/2</f>
        <v>0.585569620253165</v>
      </c>
      <c r="N12" s="10" t="n">
        <f aca="false">(Tabla3510813153[[#This Row],[% efe_inc]]+Tabla3510813153[[#This Row],[% no_efect_inc]])/2</f>
        <v>0.4157805907173</v>
      </c>
      <c r="O12" s="11" t="n">
        <f aca="false">Tabla3510813153[[#This Row],[no_efec_cor]]/(Tabla3510813153[[#This Row],[efect_inc]]+Tabla3510813153[[#This Row],[no_efec_cor]])</f>
        <v>0.638888888888889</v>
      </c>
      <c r="P12" s="11" t="n">
        <f aca="false">Tabla3510813153[[#This Row],[efec_cor]]/(Tabla3510813153[[#This Row],[efec_cor]]+Tabla3510813153[[#This Row],[no_efec_inc]])</f>
        <v>0.559322033898305</v>
      </c>
      <c r="Q12" s="11" t="n">
        <f aca="false">(Tabla3510813153[[#This Row],[PNE]]+Tabla3510813153[[#This Row],[PE]])/2</f>
        <v>0.599105461393597</v>
      </c>
      <c r="R12" s="0" t="n">
        <v>75</v>
      </c>
      <c r="S12" s="0" t="n">
        <v>79</v>
      </c>
      <c r="T12" s="0" t="n">
        <f aca="false">Tabla3510813153[[#This Row],[efec]]+Tabla3510813153[[#This Row],[no_efe]]</f>
        <v>154</v>
      </c>
    </row>
    <row r="13" customFormat="false" ht="13.8" hidden="false" customHeight="false" outlineLevel="0" collapsed="false">
      <c r="A13" s="0" t="s">
        <v>43</v>
      </c>
      <c r="B13" s="0" t="n">
        <v>51</v>
      </c>
      <c r="C13" s="0" t="n">
        <v>14</v>
      </c>
      <c r="D13" s="0" t="n">
        <v>28</v>
      </c>
      <c r="E13" s="0" t="n">
        <v>33</v>
      </c>
      <c r="F13" s="0" t="n">
        <f aca="false">Tabla3510813153[[#This Row],[no_efec_cor]]+Tabla3510813153[[#This Row],[efec_cor]]</f>
        <v>79</v>
      </c>
      <c r="G13" s="0" t="n">
        <f aca="false">Tabla3510813153[[#This Row],[no_efec_inc]]+Tabla3510813153[[#This Row],[efect_inc]]</f>
        <v>47</v>
      </c>
      <c r="H13" s="9" t="n">
        <f aca="false">Tabla3510813153[[#This Row],[Correctos]]/Tabla3510813153[[#This Row],[total_sec]]</f>
        <v>0.626984126984127</v>
      </c>
      <c r="I13" s="9" t="n">
        <f aca="false">Tabla3510813153[[#This Row],[efec_cor]]/Tabla3510813153[[#This Row],[efec]]</f>
        <v>0.430769230769231</v>
      </c>
      <c r="J13" s="9" t="n">
        <f aca="false">Tabla3510813153[[#This Row],[efect_inc]]/Tabla3510813153[[#This Row],[efec]]</f>
        <v>0.507692307692308</v>
      </c>
      <c r="K13" s="9" t="n">
        <f aca="false">Tabla3510813153[[#This Row],[no_efec_cor]]/Tabla3510813153[[#This Row],[no_efe]]</f>
        <v>0.836065573770492</v>
      </c>
      <c r="L13" s="9" t="n">
        <f aca="false">Tabla3510813153[[#This Row],[no_efec_inc]]/Tabla3510813153[[#This Row],[no_efe]]</f>
        <v>0.229508196721311</v>
      </c>
      <c r="M13" s="9" t="n">
        <f aca="false">(Tabla3510813153[[#This Row],[% efe_cor]]+Tabla3510813153[[#This Row],[% no_efe_cor]])/2</f>
        <v>0.633417402269861</v>
      </c>
      <c r="N13" s="10" t="n">
        <f aca="false">(Tabla3510813153[[#This Row],[% efe_inc]]+Tabla3510813153[[#This Row],[% no_efect_inc]])/2</f>
        <v>0.36860025220681</v>
      </c>
      <c r="O13" s="11" t="n">
        <f aca="false">Tabla3510813153[[#This Row],[no_efec_cor]]/(Tabla3510813153[[#This Row],[efect_inc]]+Tabla3510813153[[#This Row],[no_efec_cor]])</f>
        <v>0.607142857142857</v>
      </c>
      <c r="P13" s="11" t="n">
        <f aca="false">Tabla3510813153[[#This Row],[efec_cor]]/(Tabla3510813153[[#This Row],[efec_cor]]+Tabla3510813153[[#This Row],[no_efec_inc]])</f>
        <v>0.666666666666667</v>
      </c>
      <c r="Q13" s="11" t="n">
        <f aca="false">(Tabla3510813153[[#This Row],[PNE]]+Tabla3510813153[[#This Row],[PE]])/2</f>
        <v>0.636904761904762</v>
      </c>
      <c r="R13" s="0" t="n">
        <v>65</v>
      </c>
      <c r="S13" s="0" t="n">
        <v>61</v>
      </c>
      <c r="T13" s="0" t="n">
        <f aca="false">Tabla3510813153[[#This Row],[efec]]+Tabla3510813153[[#This Row],[no_efe]]</f>
        <v>126</v>
      </c>
    </row>
    <row r="14" customFormat="false" ht="13.8" hidden="false" customHeight="false" outlineLevel="0" collapsed="false">
      <c r="A14" s="0" t="s">
        <v>44</v>
      </c>
      <c r="B14" s="0" t="n">
        <v>20</v>
      </c>
      <c r="C14" s="0" t="n">
        <v>42</v>
      </c>
      <c r="D14" s="0" t="n">
        <v>56</v>
      </c>
      <c r="E14" s="0" t="n">
        <v>9</v>
      </c>
      <c r="F14" s="0" t="n">
        <f aca="false">Tabla3510813153[[#This Row],[no_efec_cor]]+Tabla3510813153[[#This Row],[efec_cor]]</f>
        <v>76</v>
      </c>
      <c r="G14" s="0" t="n">
        <f aca="false">Tabla3510813153[[#This Row],[no_efec_inc]]+Tabla3510813153[[#This Row],[efect_inc]]</f>
        <v>51</v>
      </c>
      <c r="H14" s="9" t="n">
        <f aca="false">Tabla3510813153[[#This Row],[Correctos]]/Tabla3510813153[[#This Row],[total_sec]]</f>
        <v>0.598425196850394</v>
      </c>
      <c r="I14" s="9" t="n">
        <f aca="false">Tabla3510813153[[#This Row],[efec_cor]]/Tabla3510813153[[#This Row],[efec]]</f>
        <v>0.903225806451613</v>
      </c>
      <c r="J14" s="9" t="n">
        <f aca="false">Tabla3510813153[[#This Row],[efect_inc]]/Tabla3510813153[[#This Row],[efec]]</f>
        <v>0.145161290322581</v>
      </c>
      <c r="K14" s="9" t="n">
        <f aca="false">Tabla3510813153[[#This Row],[no_efec_cor]]/Tabla3510813153[[#This Row],[no_efe]]</f>
        <v>0.307692307692308</v>
      </c>
      <c r="L14" s="9" t="n">
        <f aca="false">Tabla3510813153[[#This Row],[no_efec_inc]]/Tabla3510813153[[#This Row],[no_efe]]</f>
        <v>0.646153846153846</v>
      </c>
      <c r="M14" s="9" t="n">
        <f aca="false">(Tabla3510813153[[#This Row],[% efe_cor]]+Tabla3510813153[[#This Row],[% no_efe_cor]])/2</f>
        <v>0.60545905707196</v>
      </c>
      <c r="N14" s="10" t="n">
        <f aca="false">(Tabla3510813153[[#This Row],[% efe_inc]]+Tabla3510813153[[#This Row],[% no_efect_inc]])/2</f>
        <v>0.395657568238213</v>
      </c>
      <c r="O14" s="11" t="n">
        <f aca="false">Tabla3510813153[[#This Row],[no_efec_cor]]/(Tabla3510813153[[#This Row],[efect_inc]]+Tabla3510813153[[#This Row],[no_efec_cor]])</f>
        <v>0.689655172413793</v>
      </c>
      <c r="P14" s="11" t="n">
        <f aca="false">Tabla3510813153[[#This Row],[efec_cor]]/(Tabla3510813153[[#This Row],[efec_cor]]+Tabla3510813153[[#This Row],[no_efec_inc]])</f>
        <v>0.571428571428571</v>
      </c>
      <c r="Q14" s="11" t="n">
        <f aca="false">(Tabla3510813153[[#This Row],[PNE]]+Tabla3510813153[[#This Row],[PE]])/2</f>
        <v>0.630541871921182</v>
      </c>
      <c r="R14" s="0" t="n">
        <v>62</v>
      </c>
      <c r="S14" s="0" t="n">
        <v>65</v>
      </c>
      <c r="T14" s="0" t="n">
        <f aca="false">Tabla3510813153[[#This Row],[efec]]+Tabla3510813153[[#This Row],[no_efe]]</f>
        <v>127</v>
      </c>
    </row>
    <row r="15" customFormat="false" ht="13.8" hidden="false" customHeight="false" outlineLevel="0" collapsed="false">
      <c r="A15" s="0" t="s">
        <v>45</v>
      </c>
      <c r="B15" s="0" t="n">
        <v>23</v>
      </c>
      <c r="C15" s="0" t="n">
        <v>40</v>
      </c>
      <c r="D15" s="0" t="n">
        <v>50</v>
      </c>
      <c r="E15" s="0" t="n">
        <v>14</v>
      </c>
      <c r="F15" s="0" t="n">
        <f aca="false">Tabla3510813153[[#This Row],[no_efec_cor]]+Tabla3510813153[[#This Row],[efec_cor]]</f>
        <v>73</v>
      </c>
      <c r="G15" s="0" t="n">
        <f aca="false">Tabla3510813153[[#This Row],[no_efec_inc]]+Tabla3510813153[[#This Row],[efect_inc]]</f>
        <v>54</v>
      </c>
      <c r="H15" s="9" t="n">
        <f aca="false">Tabla3510813153[[#This Row],[Correctos]]/Tabla3510813153[[#This Row],[total_sec]]</f>
        <v>0.574803149606299</v>
      </c>
      <c r="I15" s="9" t="n">
        <f aca="false">Tabla3510813153[[#This Row],[efec_cor]]/Tabla3510813153[[#This Row],[efec]]</f>
        <v>0.793650793650794</v>
      </c>
      <c r="J15" s="9" t="n">
        <f aca="false">Tabla3510813153[[#This Row],[efect_inc]]/Tabla3510813153[[#This Row],[efec]]</f>
        <v>0.222222222222222</v>
      </c>
      <c r="K15" s="9" t="n">
        <f aca="false">Tabla3510813153[[#This Row],[no_efec_cor]]/Tabla3510813153[[#This Row],[no_efe]]</f>
        <v>0.359375</v>
      </c>
      <c r="L15" s="9" t="n">
        <f aca="false">Tabla3510813153[[#This Row],[no_efec_inc]]/Tabla3510813153[[#This Row],[no_efe]]</f>
        <v>0.625</v>
      </c>
      <c r="M15" s="9" t="n">
        <f aca="false">(Tabla3510813153[[#This Row],[% efe_cor]]+Tabla3510813153[[#This Row],[% no_efe_cor]])/2</f>
        <v>0.576512896825397</v>
      </c>
      <c r="N15" s="10" t="n">
        <f aca="false">(Tabla3510813153[[#This Row],[% efe_inc]]+Tabla3510813153[[#This Row],[% no_efect_inc]])/2</f>
        <v>0.423611111111111</v>
      </c>
      <c r="O15" s="11" t="n">
        <f aca="false">Tabla3510813153[[#This Row],[no_efec_cor]]/(Tabla3510813153[[#This Row],[efect_inc]]+Tabla3510813153[[#This Row],[no_efec_cor]])</f>
        <v>0.621621621621622</v>
      </c>
      <c r="P15" s="11" t="n">
        <f aca="false">Tabla3510813153[[#This Row],[efec_cor]]/(Tabla3510813153[[#This Row],[efec_cor]]+Tabla3510813153[[#This Row],[no_efec_inc]])</f>
        <v>0.555555555555556</v>
      </c>
      <c r="Q15" s="11" t="n">
        <f aca="false">(Tabla3510813153[[#This Row],[PNE]]+Tabla3510813153[[#This Row],[PE]])/2</f>
        <v>0.588588588588589</v>
      </c>
      <c r="R15" s="0" t="n">
        <v>63</v>
      </c>
      <c r="S15" s="0" t="n">
        <v>64</v>
      </c>
      <c r="T15" s="0" t="n">
        <f aca="false">Tabla3510813153[[#This Row],[efec]]+Tabla3510813153[[#This Row],[no_efe]]</f>
        <v>127</v>
      </c>
    </row>
    <row r="16" customFormat="false" ht="15" hidden="false" customHeight="false" outlineLevel="0" collapsed="false">
      <c r="H16" s="10"/>
      <c r="I16" s="11"/>
      <c r="J16" s="11"/>
      <c r="K16" s="11"/>
    </row>
    <row r="17" customFormat="false" ht="15" hidden="false" customHeight="false" outlineLevel="0" collapsed="false">
      <c r="A17" s="13" t="s">
        <v>5</v>
      </c>
      <c r="B17" s="13"/>
      <c r="C17" s="13"/>
      <c r="D17" s="13"/>
      <c r="E17" s="13"/>
      <c r="F17" s="13"/>
      <c r="G17" s="13"/>
    </row>
    <row r="18" customFormat="false" ht="16.5" hidden="false" customHeight="false" outlineLevel="0" collapsed="false">
      <c r="A18" s="14" t="s">
        <v>46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15.75" hidden="false" customHeight="false" outlineLevel="0" collapsed="false">
      <c r="A19" s="7" t="s">
        <v>39</v>
      </c>
      <c r="B19" s="8" t="s">
        <v>7</v>
      </c>
      <c r="C19" s="8" t="s">
        <v>8</v>
      </c>
      <c r="D19" s="8" t="s">
        <v>9</v>
      </c>
      <c r="E19" s="8" t="s">
        <v>10</v>
      </c>
      <c r="F19" s="8" t="s">
        <v>11</v>
      </c>
      <c r="G19" s="8" t="s">
        <v>12</v>
      </c>
      <c r="H19" s="7" t="s">
        <v>13</v>
      </c>
      <c r="I19" s="7" t="s">
        <v>14</v>
      </c>
      <c r="J19" s="7" t="s">
        <v>15</v>
      </c>
      <c r="K19" s="7" t="s">
        <v>16</v>
      </c>
      <c r="L19" s="7" t="s">
        <v>17</v>
      </c>
      <c r="M19" s="7" t="s">
        <v>18</v>
      </c>
      <c r="N19" s="7" t="s">
        <v>19</v>
      </c>
      <c r="O19" s="7" t="s">
        <v>20</v>
      </c>
      <c r="P19" s="7" t="s">
        <v>21</v>
      </c>
      <c r="Q19" s="7" t="s">
        <v>22</v>
      </c>
      <c r="R19" s="7" t="s">
        <v>23</v>
      </c>
      <c r="S19" s="7" t="s">
        <v>24</v>
      </c>
      <c r="T19" s="7" t="s">
        <v>25</v>
      </c>
    </row>
    <row r="20" customFormat="false" ht="13.8" hidden="false" customHeight="false" outlineLevel="0" collapsed="false">
      <c r="A20" s="0" t="s">
        <v>40</v>
      </c>
      <c r="B20" s="0" t="n">
        <v>36</v>
      </c>
      <c r="C20" s="0" t="n">
        <v>32</v>
      </c>
      <c r="D20" s="0" t="n">
        <v>42</v>
      </c>
      <c r="E20" s="0" t="n">
        <v>26</v>
      </c>
      <c r="F20" s="0" t="n">
        <f aca="false">Tabla35108131536[[#This Row],[no_efec_cor]]+Tabla35108131536[[#This Row],[efec_cor]]</f>
        <v>78</v>
      </c>
      <c r="G20" s="0" t="n">
        <f aca="false">Tabla35108131536[[#This Row],[no_efec_inc]]+Tabla35108131536[[#This Row],[efect_inc]]</f>
        <v>58</v>
      </c>
      <c r="H20" s="9" t="n">
        <f aca="false">Tabla35108131536[[#This Row],[Correctos]]/Tabla35108131536[[#This Row],[total_sec]]</f>
        <v>0.573529411764706</v>
      </c>
      <c r="I20" s="9" t="n">
        <f aca="false">Tabla35108131536[[#This Row],[efec_cor]]/Tabla35108131536[[#This Row],[efec]]</f>
        <v>0.617647058823529</v>
      </c>
      <c r="J20" s="9" t="n">
        <f aca="false">Tabla35108131536[[#This Row],[efect_inc]]/Tabla35108131536[[#This Row],[efec]]</f>
        <v>0.382352941176471</v>
      </c>
      <c r="K20" s="9" t="n">
        <f aca="false">Tabla35108131536[[#This Row],[no_efec_cor]]/Tabla35108131536[[#This Row],[no_efe]]</f>
        <v>0.529411764705882</v>
      </c>
      <c r="L20" s="9" t="n">
        <f aca="false">Tabla35108131536[[#This Row],[no_efec_inc]]/Tabla35108131536[[#This Row],[no_efe]]</f>
        <v>0.470588235294118</v>
      </c>
      <c r="M20" s="9" t="n">
        <f aca="false">(Tabla35108131536[[#This Row],[% efe_cor]]+Tabla35108131536[[#This Row],[% no_efe_cor]])/2</f>
        <v>0.573529411764706</v>
      </c>
      <c r="N20" s="10" t="n">
        <f aca="false">(Tabla35108131536[[#This Row],[% efe_inc]]+Tabla35108131536[[#This Row],[% no_efect_inc]])/2</f>
        <v>0.426470588235294</v>
      </c>
      <c r="O20" s="11" t="n">
        <f aca="false">Tabla35108131536[[#This Row],[no_efec_cor]]/(Tabla35108131536[[#This Row],[efect_inc]]+Tabla35108131536[[#This Row],[no_efec_cor]])</f>
        <v>0.580645161290323</v>
      </c>
      <c r="P20" s="11" t="n">
        <f aca="false">Tabla35108131536[[#This Row],[efec_cor]]/(Tabla35108131536[[#This Row],[efec_cor]]+Tabla35108131536[[#This Row],[no_efec_inc]])</f>
        <v>0.567567567567568</v>
      </c>
      <c r="Q20" s="11" t="n">
        <f aca="false">(Tabla35108131536[[#This Row],[PNE]]+Tabla35108131536[[#This Row],[PE]])/2</f>
        <v>0.574106364428945</v>
      </c>
      <c r="R20" s="0" t="n">
        <v>68</v>
      </c>
      <c r="S20" s="0" t="n">
        <v>68</v>
      </c>
      <c r="T20" s="0" t="n">
        <f aca="false">Tabla35108131536[[#This Row],[efec]]+Tabla35108131536[[#This Row],[no_efe]]</f>
        <v>136</v>
      </c>
    </row>
    <row r="21" customFormat="false" ht="13.8" hidden="false" customHeight="false" outlineLevel="0" collapsed="false">
      <c r="A21" s="0" t="s">
        <v>41</v>
      </c>
      <c r="B21" s="0" t="n">
        <v>49</v>
      </c>
      <c r="C21" s="0" t="n">
        <v>29</v>
      </c>
      <c r="D21" s="0" t="n">
        <v>48</v>
      </c>
      <c r="E21" s="0" t="n">
        <v>29</v>
      </c>
      <c r="F21" s="0" t="n">
        <f aca="false">Tabla35108131536[[#This Row],[no_efec_cor]]+Tabla35108131536[[#This Row],[efec_cor]]</f>
        <v>97</v>
      </c>
      <c r="G21" s="0" t="n">
        <f aca="false">Tabla35108131536[[#This Row],[no_efec_inc]]+Tabla35108131536[[#This Row],[efect_inc]]</f>
        <v>58</v>
      </c>
      <c r="H21" s="9" t="n">
        <f aca="false">Tabla35108131536[[#This Row],[Correctos]]/Tabla35108131536[[#This Row],[total_sec]]</f>
        <v>0.625806451612903</v>
      </c>
      <c r="I21" s="9" t="n">
        <f aca="false">Tabla35108131536[[#This Row],[efec_cor]]/Tabla35108131536[[#This Row],[efec]]</f>
        <v>0.615384615384615</v>
      </c>
      <c r="J21" s="9" t="n">
        <f aca="false">Tabla35108131536[[#This Row],[efect_inc]]/Tabla35108131536[[#This Row],[efec]]</f>
        <v>0.371794871794872</v>
      </c>
      <c r="K21" s="9" t="n">
        <f aca="false">Tabla35108131536[[#This Row],[no_efec_cor]]/Tabla35108131536[[#This Row],[no_efe]]</f>
        <v>0.636363636363636</v>
      </c>
      <c r="L21" s="9" t="n">
        <f aca="false">Tabla35108131536[[#This Row],[no_efec_inc]]/Tabla35108131536[[#This Row],[no_efe]]</f>
        <v>0.376623376623377</v>
      </c>
      <c r="M21" s="9" t="n">
        <f aca="false">(Tabla35108131536[[#This Row],[% efe_cor]]+Tabla35108131536[[#This Row],[% no_efe_cor]])/2</f>
        <v>0.625874125874126</v>
      </c>
      <c r="N21" s="10" t="n">
        <f aca="false">(Tabla35108131536[[#This Row],[% efe_inc]]+Tabla35108131536[[#This Row],[% no_efect_inc]])/2</f>
        <v>0.374209124209124</v>
      </c>
      <c r="O21" s="11" t="n">
        <f aca="false">Tabla35108131536[[#This Row],[no_efec_cor]]/(Tabla35108131536[[#This Row],[efect_inc]]+Tabla35108131536[[#This Row],[no_efec_cor]])</f>
        <v>0.628205128205128</v>
      </c>
      <c r="P21" s="11" t="n">
        <f aca="false">Tabla35108131536[[#This Row],[efec_cor]]/(Tabla35108131536[[#This Row],[efec_cor]]+Tabla35108131536[[#This Row],[no_efec_inc]])</f>
        <v>0.623376623376623</v>
      </c>
      <c r="Q21" s="11" t="n">
        <f aca="false">(Tabla35108131536[[#This Row],[PNE]]+Tabla35108131536[[#This Row],[PE]])/2</f>
        <v>0.625790875790876</v>
      </c>
      <c r="R21" s="0" t="n">
        <v>78</v>
      </c>
      <c r="S21" s="0" t="n">
        <v>77</v>
      </c>
      <c r="T21" s="0" t="n">
        <f aca="false">Tabla35108131536[[#This Row],[efec]]+Tabla35108131536[[#This Row],[no_efe]]</f>
        <v>155</v>
      </c>
    </row>
    <row r="22" customFormat="false" ht="13.8" hidden="false" customHeight="false" outlineLevel="0" collapsed="false">
      <c r="A22" s="0" t="s">
        <v>42</v>
      </c>
      <c r="B22" s="0" t="n">
        <v>32</v>
      </c>
      <c r="C22" s="0" t="n">
        <v>43</v>
      </c>
      <c r="D22" s="0" t="n">
        <v>55</v>
      </c>
      <c r="E22" s="0" t="n">
        <v>24</v>
      </c>
      <c r="F22" s="0" t="n">
        <f aca="false">Tabla35108131536[[#This Row],[no_efec_cor]]+Tabla35108131536[[#This Row],[efec_cor]]</f>
        <v>87</v>
      </c>
      <c r="G22" s="0" t="n">
        <f aca="false">Tabla35108131536[[#This Row],[no_efec_inc]]+Tabla35108131536[[#This Row],[efect_inc]]</f>
        <v>67</v>
      </c>
      <c r="H22" s="9" t="n">
        <f aca="false">Tabla35108131536[[#This Row],[Correctos]]/Tabla35108131536[[#This Row],[total_sec]]</f>
        <v>0.564935064935065</v>
      </c>
      <c r="I22" s="9" t="n">
        <f aca="false">Tabla35108131536[[#This Row],[efec_cor]]/Tabla35108131536[[#This Row],[efec]]</f>
        <v>0.733333333333333</v>
      </c>
      <c r="J22" s="9" t="n">
        <f aca="false">Tabla35108131536[[#This Row],[efect_inc]]/Tabla35108131536[[#This Row],[efec]]</f>
        <v>0.32</v>
      </c>
      <c r="K22" s="9" t="n">
        <f aca="false">Tabla35108131536[[#This Row],[no_efec_cor]]/Tabla35108131536[[#This Row],[no_efe]]</f>
        <v>0.40506329113924</v>
      </c>
      <c r="L22" s="9" t="n">
        <f aca="false">Tabla35108131536[[#This Row],[no_efec_inc]]/Tabla35108131536[[#This Row],[no_efe]]</f>
        <v>0.544303797468354</v>
      </c>
      <c r="M22" s="9" t="n">
        <f aca="false">(Tabla35108131536[[#This Row],[% efe_cor]]+Tabla35108131536[[#This Row],[% no_efe_cor]])/2</f>
        <v>0.569198312236287</v>
      </c>
      <c r="N22" s="10" t="n">
        <f aca="false">(Tabla35108131536[[#This Row],[% efe_inc]]+Tabla35108131536[[#This Row],[% no_efect_inc]])/2</f>
        <v>0.432151898734177</v>
      </c>
      <c r="O22" s="11" t="n">
        <f aca="false">Tabla35108131536[[#This Row],[no_efec_cor]]/(Tabla35108131536[[#This Row],[efect_inc]]+Tabla35108131536[[#This Row],[no_efec_cor]])</f>
        <v>0.571428571428571</v>
      </c>
      <c r="P22" s="11" t="n">
        <f aca="false">Tabla35108131536[[#This Row],[efec_cor]]/(Tabla35108131536[[#This Row],[efec_cor]]+Tabla35108131536[[#This Row],[no_efec_inc]])</f>
        <v>0.561224489795918</v>
      </c>
      <c r="Q22" s="11" t="n">
        <f aca="false">(Tabla35108131536[[#This Row],[PNE]]+Tabla35108131536[[#This Row],[PE]])/2</f>
        <v>0.566326530612245</v>
      </c>
      <c r="R22" s="0" t="n">
        <v>75</v>
      </c>
      <c r="S22" s="0" t="n">
        <v>79</v>
      </c>
      <c r="T22" s="0" t="n">
        <f aca="false">Tabla35108131536[[#This Row],[efec]]+Tabla35108131536[[#This Row],[no_efe]]</f>
        <v>154</v>
      </c>
    </row>
    <row r="23" customFormat="false" ht="13.8" hidden="false" customHeight="false" outlineLevel="0" collapsed="false">
      <c r="A23" s="0" t="s">
        <v>43</v>
      </c>
      <c r="B23" s="0" t="n">
        <v>55</v>
      </c>
      <c r="C23" s="0" t="n">
        <v>10</v>
      </c>
      <c r="D23" s="0" t="n">
        <v>24</v>
      </c>
      <c r="E23" s="0" t="n">
        <v>37</v>
      </c>
      <c r="F23" s="0" t="n">
        <f aca="false">Tabla35108131536[[#This Row],[no_efec_cor]]+Tabla35108131536[[#This Row],[efec_cor]]</f>
        <v>79</v>
      </c>
      <c r="G23" s="0" t="n">
        <f aca="false">Tabla35108131536[[#This Row],[no_efec_inc]]+Tabla35108131536[[#This Row],[efect_inc]]</f>
        <v>47</v>
      </c>
      <c r="H23" s="9" t="n">
        <f aca="false">Tabla35108131536[[#This Row],[Correctos]]/Tabla35108131536[[#This Row],[total_sec]]</f>
        <v>0.626984126984127</v>
      </c>
      <c r="I23" s="9" t="n">
        <f aca="false">Tabla35108131536[[#This Row],[efec_cor]]/Tabla35108131536[[#This Row],[efec]]</f>
        <v>0.369230769230769</v>
      </c>
      <c r="J23" s="9" t="n">
        <f aca="false">Tabla35108131536[[#This Row],[efect_inc]]/Tabla35108131536[[#This Row],[efec]]</f>
        <v>0.569230769230769</v>
      </c>
      <c r="K23" s="9" t="n">
        <f aca="false">Tabla35108131536[[#This Row],[no_efec_cor]]/Tabla35108131536[[#This Row],[no_efe]]</f>
        <v>0.901639344262295</v>
      </c>
      <c r="L23" s="9" t="n">
        <f aca="false">Tabla35108131536[[#This Row],[no_efec_inc]]/Tabla35108131536[[#This Row],[no_efe]]</f>
        <v>0.163934426229508</v>
      </c>
      <c r="M23" s="9" t="n">
        <f aca="false">(Tabla35108131536[[#This Row],[% efe_cor]]+Tabla35108131536[[#This Row],[% no_efe_cor]])/2</f>
        <v>0.635435056746532</v>
      </c>
      <c r="N23" s="10" t="n">
        <f aca="false">(Tabla35108131536[[#This Row],[% efe_inc]]+Tabla35108131536[[#This Row],[% no_efect_inc]])/2</f>
        <v>0.366582597730139</v>
      </c>
      <c r="O23" s="11" t="n">
        <f aca="false">Tabla35108131536[[#This Row],[no_efec_cor]]/(Tabla35108131536[[#This Row],[efect_inc]]+Tabla35108131536[[#This Row],[no_efec_cor]])</f>
        <v>0.597826086956522</v>
      </c>
      <c r="P23" s="11" t="n">
        <f aca="false">Tabla35108131536[[#This Row],[efec_cor]]/(Tabla35108131536[[#This Row],[efec_cor]]+Tabla35108131536[[#This Row],[no_efec_inc]])</f>
        <v>0.705882352941176</v>
      </c>
      <c r="Q23" s="11" t="n">
        <f aca="false">(Tabla35108131536[[#This Row],[PNE]]+Tabla35108131536[[#This Row],[PE]])/2</f>
        <v>0.651854219948849</v>
      </c>
      <c r="R23" s="0" t="n">
        <v>65</v>
      </c>
      <c r="S23" s="0" t="n">
        <v>61</v>
      </c>
      <c r="T23" s="0" t="n">
        <f aca="false">Tabla35108131536[[#This Row],[efec]]+Tabla35108131536[[#This Row],[no_efe]]</f>
        <v>126</v>
      </c>
    </row>
    <row r="24" customFormat="false" ht="13.8" hidden="false" customHeight="false" outlineLevel="0" collapsed="false">
      <c r="A24" s="0" t="s">
        <v>44</v>
      </c>
      <c r="B24" s="0" t="n">
        <v>11</v>
      </c>
      <c r="C24" s="0" t="n">
        <v>51</v>
      </c>
      <c r="D24" s="0" t="n">
        <v>58</v>
      </c>
      <c r="E24" s="0" t="n">
        <v>7</v>
      </c>
      <c r="F24" s="0" t="n">
        <f aca="false">Tabla35108131536[[#This Row],[no_efec_cor]]+Tabla35108131536[[#This Row],[efec_cor]]</f>
        <v>69</v>
      </c>
      <c r="G24" s="0" t="n">
        <f aca="false">Tabla35108131536[[#This Row],[no_efec_inc]]+Tabla35108131536[[#This Row],[efect_inc]]</f>
        <v>58</v>
      </c>
      <c r="H24" s="9" t="n">
        <f aca="false">Tabla35108131536[[#This Row],[Correctos]]/Tabla35108131536[[#This Row],[total_sec]]</f>
        <v>0.543307086614173</v>
      </c>
      <c r="I24" s="9" t="n">
        <f aca="false">Tabla35108131536[[#This Row],[efec_cor]]/Tabla35108131536[[#This Row],[efec]]</f>
        <v>0.935483870967742</v>
      </c>
      <c r="J24" s="9" t="n">
        <f aca="false">Tabla35108131536[[#This Row],[efect_inc]]/Tabla35108131536[[#This Row],[efec]]</f>
        <v>0.112903225806452</v>
      </c>
      <c r="K24" s="9" t="n">
        <f aca="false">Tabla35108131536[[#This Row],[no_efec_cor]]/Tabla35108131536[[#This Row],[no_efe]]</f>
        <v>0.169230769230769</v>
      </c>
      <c r="L24" s="9" t="n">
        <f aca="false">Tabla35108131536[[#This Row],[no_efec_inc]]/Tabla35108131536[[#This Row],[no_efe]]</f>
        <v>0.784615384615385</v>
      </c>
      <c r="M24" s="9" t="n">
        <f aca="false">(Tabla35108131536[[#This Row],[% efe_cor]]+Tabla35108131536[[#This Row],[% no_efe_cor]])/2</f>
        <v>0.552357320099256</v>
      </c>
      <c r="N24" s="10" t="n">
        <f aca="false">(Tabla35108131536[[#This Row],[% efe_inc]]+Tabla35108131536[[#This Row],[% no_efect_inc]])/2</f>
        <v>0.448759305210918</v>
      </c>
      <c r="O24" s="11" t="n">
        <f aca="false">Tabla35108131536[[#This Row],[no_efec_cor]]/(Tabla35108131536[[#This Row],[efect_inc]]+Tabla35108131536[[#This Row],[no_efec_cor]])</f>
        <v>0.611111111111111</v>
      </c>
      <c r="P24" s="11" t="n">
        <f aca="false">Tabla35108131536[[#This Row],[efec_cor]]/(Tabla35108131536[[#This Row],[efec_cor]]+Tabla35108131536[[#This Row],[no_efec_inc]])</f>
        <v>0.532110091743119</v>
      </c>
      <c r="Q24" s="11" t="n">
        <f aca="false">(Tabla35108131536[[#This Row],[PNE]]+Tabla35108131536[[#This Row],[PE]])/2</f>
        <v>0.571610601427115</v>
      </c>
      <c r="R24" s="0" t="n">
        <v>62</v>
      </c>
      <c r="S24" s="0" t="n">
        <v>65</v>
      </c>
      <c r="T24" s="0" t="n">
        <f aca="false">Tabla35108131536[[#This Row],[efec]]+Tabla35108131536[[#This Row],[no_efe]]</f>
        <v>127</v>
      </c>
    </row>
    <row r="25" customFormat="false" ht="13.8" hidden="false" customHeight="false" outlineLevel="0" collapsed="false">
      <c r="A25" s="0" t="s">
        <v>45</v>
      </c>
      <c r="B25" s="0" t="n">
        <v>25</v>
      </c>
      <c r="C25" s="0" t="n">
        <v>38</v>
      </c>
      <c r="D25" s="0" t="n">
        <v>52</v>
      </c>
      <c r="E25" s="0" t="n">
        <v>12</v>
      </c>
      <c r="F25" s="0" t="n">
        <f aca="false">Tabla35108131536[[#This Row],[no_efec_cor]]+Tabla35108131536[[#This Row],[efec_cor]]</f>
        <v>77</v>
      </c>
      <c r="G25" s="0" t="n">
        <f aca="false">Tabla35108131536[[#This Row],[no_efec_inc]]+Tabla35108131536[[#This Row],[efect_inc]]</f>
        <v>50</v>
      </c>
      <c r="H25" s="9" t="n">
        <f aca="false">Tabla35108131536[[#This Row],[Correctos]]/Tabla35108131536[[#This Row],[total_sec]]</f>
        <v>0.606299212598425</v>
      </c>
      <c r="I25" s="9" t="n">
        <f aca="false">Tabla35108131536[[#This Row],[efec_cor]]/Tabla35108131536[[#This Row],[efec]]</f>
        <v>0.825396825396825</v>
      </c>
      <c r="J25" s="9" t="n">
        <f aca="false">Tabla35108131536[[#This Row],[efect_inc]]/Tabla35108131536[[#This Row],[efec]]</f>
        <v>0.19047619047619</v>
      </c>
      <c r="K25" s="9" t="n">
        <f aca="false">Tabla35108131536[[#This Row],[no_efec_cor]]/Tabla35108131536[[#This Row],[no_efe]]</f>
        <v>0.390625</v>
      </c>
      <c r="L25" s="9" t="n">
        <f aca="false">Tabla35108131536[[#This Row],[no_efec_inc]]/Tabla35108131536[[#This Row],[no_efe]]</f>
        <v>0.59375</v>
      </c>
      <c r="M25" s="9" t="n">
        <f aca="false">(Tabla35108131536[[#This Row],[% efe_cor]]+Tabla35108131536[[#This Row],[% no_efe_cor]])/2</f>
        <v>0.608010912698413</v>
      </c>
      <c r="N25" s="10" t="n">
        <f aca="false">(Tabla35108131536[[#This Row],[% efe_inc]]+Tabla35108131536[[#This Row],[% no_efect_inc]])/2</f>
        <v>0.392113095238095</v>
      </c>
      <c r="O25" s="11" t="n">
        <f aca="false">Tabla35108131536[[#This Row],[no_efec_cor]]/(Tabla35108131536[[#This Row],[efect_inc]]+Tabla35108131536[[#This Row],[no_efec_cor]])</f>
        <v>0.675675675675676</v>
      </c>
      <c r="P25" s="11" t="n">
        <f aca="false">Tabla35108131536[[#This Row],[efec_cor]]/(Tabla35108131536[[#This Row],[efec_cor]]+Tabla35108131536[[#This Row],[no_efec_inc]])</f>
        <v>0.577777777777778</v>
      </c>
      <c r="Q25" s="11" t="n">
        <f aca="false">(Tabla35108131536[[#This Row],[PNE]]+Tabla35108131536[[#This Row],[PE]])/2</f>
        <v>0.626726726726727</v>
      </c>
      <c r="R25" s="0" t="n">
        <v>63</v>
      </c>
      <c r="S25" s="0" t="n">
        <v>64</v>
      </c>
      <c r="T25" s="0" t="n">
        <f aca="false">Tabla35108131536[[#This Row],[efec]]+Tabla35108131536[[#This Row],[no_efe]]</f>
        <v>127</v>
      </c>
    </row>
    <row r="27" customFormat="false" ht="15" hidden="false" customHeight="false" outlineLevel="0" collapsed="false">
      <c r="A27" s="13" t="s">
        <v>5</v>
      </c>
      <c r="B27" s="13"/>
      <c r="C27" s="13"/>
      <c r="D27" s="13"/>
      <c r="E27" s="13"/>
      <c r="F27" s="13"/>
      <c r="G27" s="13"/>
    </row>
    <row r="28" customFormat="false" ht="16.5" hidden="false" customHeight="false" outlineLevel="0" collapsed="false">
      <c r="A28" s="14" t="s">
        <v>47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7" t="s">
        <v>39</v>
      </c>
      <c r="B29" s="8" t="s">
        <v>7</v>
      </c>
      <c r="C29" s="8" t="s">
        <v>8</v>
      </c>
      <c r="D29" s="8" t="s">
        <v>9</v>
      </c>
      <c r="E29" s="8" t="s">
        <v>10</v>
      </c>
      <c r="F29" s="8" t="s">
        <v>11</v>
      </c>
      <c r="G29" s="8" t="s">
        <v>12</v>
      </c>
      <c r="H29" s="7" t="s">
        <v>13</v>
      </c>
      <c r="I29" s="7" t="s">
        <v>14</v>
      </c>
      <c r="J29" s="7" t="s">
        <v>15</v>
      </c>
      <c r="K29" s="7" t="s">
        <v>16</v>
      </c>
      <c r="L29" s="7" t="s">
        <v>17</v>
      </c>
      <c r="M29" s="7" t="s">
        <v>18</v>
      </c>
      <c r="N29" s="7" t="s">
        <v>19</v>
      </c>
      <c r="O29" s="7" t="s">
        <v>20</v>
      </c>
      <c r="P29" s="7" t="s">
        <v>21</v>
      </c>
      <c r="Q29" s="7" t="s">
        <v>22</v>
      </c>
      <c r="R29" s="7" t="s">
        <v>23</v>
      </c>
      <c r="S29" s="7" t="s">
        <v>24</v>
      </c>
      <c r="T29" s="7" t="s">
        <v>25</v>
      </c>
    </row>
    <row r="30" customFormat="false" ht="13.8" hidden="false" customHeight="false" outlineLevel="0" collapsed="false">
      <c r="A30" s="0" t="s">
        <v>40</v>
      </c>
      <c r="B30" s="0" t="n">
        <v>44</v>
      </c>
      <c r="C30" s="0" t="n">
        <v>24</v>
      </c>
      <c r="D30" s="0" t="n">
        <v>48</v>
      </c>
      <c r="E30" s="0" t="n">
        <v>20</v>
      </c>
      <c r="F30" s="0" t="n">
        <f aca="false">Tabla351081315368[[#This Row],[no_efec_cor]]+Tabla351081315368[[#This Row],[efec_cor]]</f>
        <v>92</v>
      </c>
      <c r="G30" s="0" t="n">
        <f aca="false">Tabla351081315368[[#This Row],[no_efec_inc]]+Tabla351081315368[[#This Row],[efect_inc]]</f>
        <v>44</v>
      </c>
      <c r="H30" s="9" t="n">
        <f aca="false">Tabla351081315368[[#This Row],[Correctos]]/Tabla351081315368[[#This Row],[total_sec]]</f>
        <v>0.676470588235294</v>
      </c>
      <c r="I30" s="9" t="n">
        <f aca="false">Tabla351081315368[[#This Row],[efec_cor]]/Tabla351081315368[[#This Row],[efec]]</f>
        <v>0.705882352941176</v>
      </c>
      <c r="J30" s="9" t="n">
        <f aca="false">Tabla351081315368[[#This Row],[efect_inc]]/Tabla351081315368[[#This Row],[efec]]</f>
        <v>0.294117647058823</v>
      </c>
      <c r="K30" s="9" t="n">
        <f aca="false">Tabla351081315368[[#This Row],[no_efec_cor]]/Tabla351081315368[[#This Row],[no_efe]]</f>
        <v>0.647058823529412</v>
      </c>
      <c r="L30" s="9" t="n">
        <f aca="false">Tabla351081315368[[#This Row],[no_efec_inc]]/Tabla351081315368[[#This Row],[no_efe]]</f>
        <v>0.352941176470588</v>
      </c>
      <c r="M30" s="9" t="n">
        <f aca="false">(Tabla351081315368[[#This Row],[% efe_cor]]+Tabla351081315368[[#This Row],[% no_efe_cor]])/2</f>
        <v>0.676470588235294</v>
      </c>
      <c r="N30" s="10" t="n">
        <f aca="false">(Tabla351081315368[[#This Row],[% efe_inc]]+Tabla351081315368[[#This Row],[% no_efect_inc]])/2</f>
        <v>0.323529411764706</v>
      </c>
      <c r="O30" s="11" t="n">
        <f aca="false">Tabla351081315368[[#This Row],[no_efec_cor]]/(Tabla351081315368[[#This Row],[efect_inc]]+Tabla351081315368[[#This Row],[no_efec_cor]])</f>
        <v>0.6875</v>
      </c>
      <c r="P30" s="11" t="n">
        <f aca="false">Tabla351081315368[[#This Row],[efec_cor]]/(Tabla351081315368[[#This Row],[efec_cor]]+Tabla351081315368[[#This Row],[no_efec_inc]])</f>
        <v>0.666666666666667</v>
      </c>
      <c r="Q30" s="11" t="n">
        <f aca="false">(Tabla351081315368[[#This Row],[PNE]]+Tabla351081315368[[#This Row],[PE]])/2</f>
        <v>0.677083333333333</v>
      </c>
      <c r="R30" s="0" t="n">
        <v>68</v>
      </c>
      <c r="S30" s="0" t="n">
        <v>68</v>
      </c>
      <c r="T30" s="0" t="n">
        <f aca="false">Tabla351081315368[[#This Row],[efec]]+Tabla351081315368[[#This Row],[no_efe]]</f>
        <v>136</v>
      </c>
    </row>
    <row r="31" customFormat="false" ht="13.8" hidden="false" customHeight="false" outlineLevel="0" collapsed="false">
      <c r="A31" s="0" t="s">
        <v>41</v>
      </c>
      <c r="B31" s="0" t="n">
        <v>52</v>
      </c>
      <c r="C31" s="0" t="n">
        <v>26</v>
      </c>
      <c r="D31" s="0" t="n">
        <v>42</v>
      </c>
      <c r="E31" s="0" t="n">
        <v>35</v>
      </c>
      <c r="F31" s="0" t="n">
        <f aca="false">Tabla351081315368[[#This Row],[no_efec_cor]]+Tabla351081315368[[#This Row],[efec_cor]]</f>
        <v>94</v>
      </c>
      <c r="G31" s="0" t="n">
        <f aca="false">Tabla351081315368[[#This Row],[no_efec_inc]]+Tabla351081315368[[#This Row],[efect_inc]]</f>
        <v>61</v>
      </c>
      <c r="H31" s="9" t="n">
        <f aca="false">Tabla351081315368[[#This Row],[Correctos]]/Tabla351081315368[[#This Row],[total_sec]]</f>
        <v>0.606451612903226</v>
      </c>
      <c r="I31" s="9" t="n">
        <f aca="false">Tabla351081315368[[#This Row],[efec_cor]]/Tabla351081315368[[#This Row],[efec]]</f>
        <v>0.538461538461538</v>
      </c>
      <c r="J31" s="9" t="n">
        <f aca="false">Tabla351081315368[[#This Row],[efect_inc]]/Tabla351081315368[[#This Row],[efec]]</f>
        <v>0.448717948717949</v>
      </c>
      <c r="K31" s="9" t="n">
        <f aca="false">Tabla351081315368[[#This Row],[no_efec_cor]]/Tabla351081315368[[#This Row],[no_efe]]</f>
        <v>0.675324675324675</v>
      </c>
      <c r="L31" s="9" t="n">
        <f aca="false">Tabla351081315368[[#This Row],[no_efec_inc]]/Tabla351081315368[[#This Row],[no_efe]]</f>
        <v>0.337662337662338</v>
      </c>
      <c r="M31" s="9" t="n">
        <f aca="false">(Tabla351081315368[[#This Row],[% efe_cor]]+Tabla351081315368[[#This Row],[% no_efe_cor]])/2</f>
        <v>0.606893106893107</v>
      </c>
      <c r="N31" s="10" t="n">
        <f aca="false">(Tabla351081315368[[#This Row],[% efe_inc]]+Tabla351081315368[[#This Row],[% no_efect_inc]])/2</f>
        <v>0.393190143190143</v>
      </c>
      <c r="O31" s="11" t="n">
        <f aca="false">Tabla351081315368[[#This Row],[no_efec_cor]]/(Tabla351081315368[[#This Row],[efect_inc]]+Tabla351081315368[[#This Row],[no_efec_cor]])</f>
        <v>0.597701149425287</v>
      </c>
      <c r="P31" s="11" t="n">
        <f aca="false">Tabla351081315368[[#This Row],[efec_cor]]/(Tabla351081315368[[#This Row],[efec_cor]]+Tabla351081315368[[#This Row],[no_efec_inc]])</f>
        <v>0.617647058823529</v>
      </c>
      <c r="Q31" s="11" t="n">
        <f aca="false">(Tabla351081315368[[#This Row],[PNE]]+Tabla351081315368[[#This Row],[PE]])/2</f>
        <v>0.607674104124409</v>
      </c>
      <c r="R31" s="0" t="n">
        <v>78</v>
      </c>
      <c r="S31" s="0" t="n">
        <v>77</v>
      </c>
      <c r="T31" s="0" t="n">
        <f aca="false">Tabla351081315368[[#This Row],[efec]]+Tabla351081315368[[#This Row],[no_efe]]</f>
        <v>155</v>
      </c>
    </row>
    <row r="32" customFormat="false" ht="13.8" hidden="false" customHeight="false" outlineLevel="0" collapsed="false">
      <c r="A32" s="0" t="s">
        <v>42</v>
      </c>
      <c r="B32" s="0" t="n">
        <v>46</v>
      </c>
      <c r="C32" s="0" t="n">
        <v>29</v>
      </c>
      <c r="D32" s="0" t="n">
        <v>53</v>
      </c>
      <c r="E32" s="0" t="n">
        <v>26</v>
      </c>
      <c r="F32" s="0" t="n">
        <f aca="false">Tabla351081315368[[#This Row],[no_efec_cor]]+Tabla351081315368[[#This Row],[efec_cor]]</f>
        <v>99</v>
      </c>
      <c r="G32" s="0" t="n">
        <f aca="false">Tabla351081315368[[#This Row],[no_efec_inc]]+Tabla351081315368[[#This Row],[efect_inc]]</f>
        <v>55</v>
      </c>
      <c r="H32" s="9" t="n">
        <f aca="false">Tabla351081315368[[#This Row],[Correctos]]/Tabla351081315368[[#This Row],[total_sec]]</f>
        <v>0.642857142857143</v>
      </c>
      <c r="I32" s="9" t="n">
        <f aca="false">Tabla351081315368[[#This Row],[efec_cor]]/Tabla351081315368[[#This Row],[efec]]</f>
        <v>0.706666666666667</v>
      </c>
      <c r="J32" s="9" t="n">
        <f aca="false">Tabla351081315368[[#This Row],[efect_inc]]/Tabla351081315368[[#This Row],[efec]]</f>
        <v>0.346666666666667</v>
      </c>
      <c r="K32" s="9" t="n">
        <f aca="false">Tabla351081315368[[#This Row],[no_efec_cor]]/Tabla351081315368[[#This Row],[no_efe]]</f>
        <v>0.582278481012658</v>
      </c>
      <c r="L32" s="9" t="n">
        <f aca="false">Tabla351081315368[[#This Row],[no_efec_inc]]/Tabla351081315368[[#This Row],[no_efe]]</f>
        <v>0.367088607594937</v>
      </c>
      <c r="M32" s="9" t="n">
        <f aca="false">(Tabla351081315368[[#This Row],[% efe_cor]]+Tabla351081315368[[#This Row],[% no_efe_cor]])/2</f>
        <v>0.644472573839662</v>
      </c>
      <c r="N32" s="10" t="n">
        <f aca="false">(Tabla351081315368[[#This Row],[% efe_inc]]+Tabla351081315368[[#This Row],[% no_efect_inc]])/2</f>
        <v>0.356877637130802</v>
      </c>
      <c r="O32" s="11" t="n">
        <f aca="false">Tabla351081315368[[#This Row],[no_efec_cor]]/(Tabla351081315368[[#This Row],[efect_inc]]+Tabla351081315368[[#This Row],[no_efec_cor]])</f>
        <v>0.638888888888889</v>
      </c>
      <c r="P32" s="11" t="n">
        <f aca="false">Tabla351081315368[[#This Row],[efec_cor]]/(Tabla351081315368[[#This Row],[efec_cor]]+Tabla351081315368[[#This Row],[no_efec_inc]])</f>
        <v>0.646341463414634</v>
      </c>
      <c r="Q32" s="11" t="n">
        <f aca="false">(Tabla351081315368[[#This Row],[PNE]]+Tabla351081315368[[#This Row],[PE]])/2</f>
        <v>0.642615176151762</v>
      </c>
      <c r="R32" s="0" t="n">
        <v>75</v>
      </c>
      <c r="S32" s="0" t="n">
        <v>79</v>
      </c>
      <c r="T32" s="0" t="n">
        <f aca="false">Tabla351081315368[[#This Row],[efec]]+Tabla351081315368[[#This Row],[no_efe]]</f>
        <v>154</v>
      </c>
    </row>
    <row r="33" customFormat="false" ht="13.8" hidden="false" customHeight="false" outlineLevel="0" collapsed="false">
      <c r="A33" s="0" t="s">
        <v>43</v>
      </c>
      <c r="B33" s="0" t="n">
        <v>45</v>
      </c>
      <c r="C33" s="0" t="n">
        <v>20</v>
      </c>
      <c r="D33" s="0" t="n">
        <v>29</v>
      </c>
      <c r="E33" s="0" t="n">
        <v>32</v>
      </c>
      <c r="F33" s="0" t="n">
        <f aca="false">Tabla351081315368[[#This Row],[no_efec_cor]]+Tabla351081315368[[#This Row],[efec_cor]]</f>
        <v>74</v>
      </c>
      <c r="G33" s="0" t="n">
        <f aca="false">Tabla351081315368[[#This Row],[no_efec_inc]]+Tabla351081315368[[#This Row],[efect_inc]]</f>
        <v>52</v>
      </c>
      <c r="H33" s="9" t="n">
        <f aca="false">Tabla351081315368[[#This Row],[Correctos]]/Tabla351081315368[[#This Row],[total_sec]]</f>
        <v>0.587301587301587</v>
      </c>
      <c r="I33" s="9" t="n">
        <f aca="false">Tabla351081315368[[#This Row],[efec_cor]]/Tabla351081315368[[#This Row],[efec]]</f>
        <v>0.446153846153846</v>
      </c>
      <c r="J33" s="9" t="n">
        <f aca="false">Tabla351081315368[[#This Row],[efect_inc]]/Tabla351081315368[[#This Row],[efec]]</f>
        <v>0.492307692307692</v>
      </c>
      <c r="K33" s="9" t="n">
        <f aca="false">Tabla351081315368[[#This Row],[no_efec_cor]]/Tabla351081315368[[#This Row],[no_efe]]</f>
        <v>0.737704918032787</v>
      </c>
      <c r="L33" s="9" t="n">
        <f aca="false">Tabla351081315368[[#This Row],[no_efec_inc]]/Tabla351081315368[[#This Row],[no_efe]]</f>
        <v>0.327868852459016</v>
      </c>
      <c r="M33" s="9" t="n">
        <f aca="false">(Tabla351081315368[[#This Row],[% efe_cor]]+Tabla351081315368[[#This Row],[% no_efe_cor]])/2</f>
        <v>0.591929382093317</v>
      </c>
      <c r="N33" s="10" t="n">
        <f aca="false">(Tabla351081315368[[#This Row],[% efe_inc]]+Tabla351081315368[[#This Row],[% no_efect_inc]])/2</f>
        <v>0.410088272383354</v>
      </c>
      <c r="O33" s="11" t="n">
        <f aca="false">Tabla351081315368[[#This Row],[no_efec_cor]]/(Tabla351081315368[[#This Row],[efect_inc]]+Tabla351081315368[[#This Row],[no_efec_cor]])</f>
        <v>0.584415584415584</v>
      </c>
      <c r="P33" s="11" t="n">
        <f aca="false">Tabla351081315368[[#This Row],[efec_cor]]/(Tabla351081315368[[#This Row],[efec_cor]]+Tabla351081315368[[#This Row],[no_efec_inc]])</f>
        <v>0.591836734693878</v>
      </c>
      <c r="Q33" s="11" t="n">
        <f aca="false">(Tabla351081315368[[#This Row],[PNE]]+Tabla351081315368[[#This Row],[PE]])/2</f>
        <v>0.588126159554731</v>
      </c>
      <c r="R33" s="0" t="n">
        <v>65</v>
      </c>
      <c r="S33" s="0" t="n">
        <v>61</v>
      </c>
      <c r="T33" s="0" t="n">
        <f aca="false">Tabla351081315368[[#This Row],[efec]]+Tabla351081315368[[#This Row],[no_efe]]</f>
        <v>126</v>
      </c>
    </row>
    <row r="34" customFormat="false" ht="13.8" hidden="false" customHeight="false" outlineLevel="0" collapsed="false">
      <c r="A34" s="0" t="s">
        <v>44</v>
      </c>
      <c r="B34" s="0" t="n">
        <v>20</v>
      </c>
      <c r="C34" s="0" t="n">
        <v>42</v>
      </c>
      <c r="D34" s="0" t="n">
        <v>50</v>
      </c>
      <c r="E34" s="0" t="n">
        <v>15</v>
      </c>
      <c r="F34" s="0" t="n">
        <f aca="false">Tabla351081315368[[#This Row],[no_efec_cor]]+Tabla351081315368[[#This Row],[efec_cor]]</f>
        <v>70</v>
      </c>
      <c r="G34" s="0" t="n">
        <f aca="false">Tabla351081315368[[#This Row],[no_efec_inc]]+Tabla351081315368[[#This Row],[efect_inc]]</f>
        <v>57</v>
      </c>
      <c r="H34" s="9" t="n">
        <f aca="false">Tabla351081315368[[#This Row],[Correctos]]/Tabla351081315368[[#This Row],[total_sec]]</f>
        <v>0.551181102362205</v>
      </c>
      <c r="I34" s="9" t="n">
        <f aca="false">Tabla351081315368[[#This Row],[efec_cor]]/Tabla351081315368[[#This Row],[efec]]</f>
        <v>0.806451612903226</v>
      </c>
      <c r="J34" s="9" t="n">
        <f aca="false">Tabla351081315368[[#This Row],[efect_inc]]/Tabla351081315368[[#This Row],[efec]]</f>
        <v>0.241935483870968</v>
      </c>
      <c r="K34" s="9" t="n">
        <f aca="false">Tabla351081315368[[#This Row],[no_efec_cor]]/Tabla351081315368[[#This Row],[no_efe]]</f>
        <v>0.307692307692308</v>
      </c>
      <c r="L34" s="9" t="n">
        <f aca="false">Tabla351081315368[[#This Row],[no_efec_inc]]/Tabla351081315368[[#This Row],[no_efe]]</f>
        <v>0.646153846153846</v>
      </c>
      <c r="M34" s="9" t="n">
        <f aca="false">(Tabla351081315368[[#This Row],[% efe_cor]]+Tabla351081315368[[#This Row],[% no_efe_cor]])/2</f>
        <v>0.557071960297767</v>
      </c>
      <c r="N34" s="10" t="n">
        <f aca="false">(Tabla351081315368[[#This Row],[% efe_inc]]+Tabla351081315368[[#This Row],[% no_efect_inc]])/2</f>
        <v>0.444044665012407</v>
      </c>
      <c r="O34" s="11" t="n">
        <f aca="false">Tabla351081315368[[#This Row],[no_efec_cor]]/(Tabla351081315368[[#This Row],[efect_inc]]+Tabla351081315368[[#This Row],[no_efec_cor]])</f>
        <v>0.571428571428571</v>
      </c>
      <c r="P34" s="11" t="n">
        <f aca="false">Tabla351081315368[[#This Row],[efec_cor]]/(Tabla351081315368[[#This Row],[efec_cor]]+Tabla351081315368[[#This Row],[no_efec_inc]])</f>
        <v>0.543478260869565</v>
      </c>
      <c r="Q34" s="11" t="n">
        <f aca="false">(Tabla351081315368[[#This Row],[PNE]]+Tabla351081315368[[#This Row],[PE]])/2</f>
        <v>0.557453416149068</v>
      </c>
      <c r="R34" s="0" t="n">
        <v>62</v>
      </c>
      <c r="S34" s="0" t="n">
        <v>65</v>
      </c>
      <c r="T34" s="0" t="n">
        <f aca="false">Tabla351081315368[[#This Row],[efec]]+Tabla351081315368[[#This Row],[no_efe]]</f>
        <v>127</v>
      </c>
    </row>
    <row r="35" customFormat="false" ht="13.8" hidden="false" customHeight="false" outlineLevel="0" collapsed="false">
      <c r="A35" s="0" t="s">
        <v>45</v>
      </c>
      <c r="B35" s="0" t="n">
        <v>37</v>
      </c>
      <c r="C35" s="0" t="n">
        <v>26</v>
      </c>
      <c r="D35" s="0" t="n">
        <v>36</v>
      </c>
      <c r="E35" s="0" t="n">
        <v>28</v>
      </c>
      <c r="F35" s="0" t="n">
        <f aca="false">Tabla351081315368[[#This Row],[no_efec_cor]]+Tabla351081315368[[#This Row],[efec_cor]]</f>
        <v>73</v>
      </c>
      <c r="G35" s="0" t="n">
        <f aca="false">Tabla351081315368[[#This Row],[no_efec_inc]]+Tabla351081315368[[#This Row],[efect_inc]]</f>
        <v>54</v>
      </c>
      <c r="H35" s="9" t="n">
        <f aca="false">Tabla351081315368[[#This Row],[Correctos]]/Tabla351081315368[[#This Row],[total_sec]]</f>
        <v>0.574803149606299</v>
      </c>
      <c r="I35" s="9" t="n">
        <f aca="false">Tabla351081315368[[#This Row],[efec_cor]]/Tabla351081315368[[#This Row],[efec]]</f>
        <v>0.571428571428571</v>
      </c>
      <c r="J35" s="9" t="n">
        <f aca="false">Tabla351081315368[[#This Row],[efect_inc]]/Tabla351081315368[[#This Row],[efec]]</f>
        <v>0.444444444444444</v>
      </c>
      <c r="K35" s="9" t="n">
        <f aca="false">Tabla351081315368[[#This Row],[no_efec_cor]]/Tabla351081315368[[#This Row],[no_efe]]</f>
        <v>0.578125</v>
      </c>
      <c r="L35" s="9" t="n">
        <f aca="false">Tabla351081315368[[#This Row],[no_efec_inc]]/Tabla351081315368[[#This Row],[no_efe]]</f>
        <v>0.40625</v>
      </c>
      <c r="M35" s="9" t="n">
        <f aca="false">(Tabla351081315368[[#This Row],[% efe_cor]]+Tabla351081315368[[#This Row],[% no_efe_cor]])/2</f>
        <v>0.574776785714286</v>
      </c>
      <c r="N35" s="10" t="n">
        <f aca="false">(Tabla351081315368[[#This Row],[% efe_inc]]+Tabla351081315368[[#This Row],[% no_efect_inc]])/2</f>
        <v>0.425347222222222</v>
      </c>
      <c r="O35" s="11" t="n">
        <f aca="false">Tabla351081315368[[#This Row],[no_efec_cor]]/(Tabla351081315368[[#This Row],[efect_inc]]+Tabla351081315368[[#This Row],[no_efec_cor]])</f>
        <v>0.569230769230769</v>
      </c>
      <c r="P35" s="11" t="n">
        <f aca="false">Tabla351081315368[[#This Row],[efec_cor]]/(Tabla351081315368[[#This Row],[efec_cor]]+Tabla351081315368[[#This Row],[no_efec_inc]])</f>
        <v>0.580645161290323</v>
      </c>
      <c r="Q35" s="11" t="n">
        <f aca="false">(Tabla351081315368[[#This Row],[PNE]]+Tabla351081315368[[#This Row],[PE]])/2</f>
        <v>0.574937965260546</v>
      </c>
      <c r="R35" s="0" t="n">
        <v>63</v>
      </c>
      <c r="S35" s="0" t="n">
        <v>64</v>
      </c>
      <c r="T35" s="0" t="n">
        <f aca="false">Tabla351081315368[[#This Row],[efec]]+Tabla351081315368[[#This Row],[no_efe]]</f>
        <v>127</v>
      </c>
    </row>
    <row r="37" customFormat="false" ht="15" hidden="false" customHeight="false" outlineLevel="0" collapsed="false">
      <c r="A37" s="13" t="s">
        <v>5</v>
      </c>
      <c r="B37" s="13"/>
      <c r="C37" s="13"/>
      <c r="D37" s="13"/>
      <c r="E37" s="13"/>
      <c r="F37" s="13"/>
      <c r="G37" s="13"/>
    </row>
    <row r="38" customFormat="false" ht="16.5" hidden="false" customHeight="false" outlineLevel="0" collapsed="false">
      <c r="A38" s="14" t="s">
        <v>48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customFormat="false" ht="15.75" hidden="false" customHeight="false" outlineLevel="0" collapsed="false">
      <c r="A39" s="7" t="s">
        <v>39</v>
      </c>
      <c r="B39" s="8" t="s">
        <v>7</v>
      </c>
      <c r="C39" s="8" t="s">
        <v>8</v>
      </c>
      <c r="D39" s="8" t="s">
        <v>9</v>
      </c>
      <c r="E39" s="8" t="s">
        <v>10</v>
      </c>
      <c r="F39" s="8" t="s">
        <v>11</v>
      </c>
      <c r="G39" s="8" t="s">
        <v>12</v>
      </c>
      <c r="H39" s="7" t="s">
        <v>13</v>
      </c>
      <c r="I39" s="7" t="s">
        <v>14</v>
      </c>
      <c r="J39" s="7" t="s">
        <v>15</v>
      </c>
      <c r="K39" s="7" t="s">
        <v>16</v>
      </c>
      <c r="L39" s="7" t="s">
        <v>17</v>
      </c>
      <c r="M39" s="7" t="s">
        <v>18</v>
      </c>
      <c r="N39" s="7" t="s">
        <v>19</v>
      </c>
      <c r="O39" s="7" t="s">
        <v>20</v>
      </c>
      <c r="P39" s="7" t="s">
        <v>21</v>
      </c>
      <c r="Q39" s="7" t="s">
        <v>22</v>
      </c>
      <c r="R39" s="7" t="s">
        <v>23</v>
      </c>
      <c r="S39" s="7" t="s">
        <v>24</v>
      </c>
      <c r="T39" s="7" t="s">
        <v>25</v>
      </c>
    </row>
    <row r="40" customFormat="false" ht="13.8" hidden="false" customHeight="false" outlineLevel="0" collapsed="false">
      <c r="A40" s="0" t="s">
        <v>40</v>
      </c>
      <c r="B40" s="0" t="n">
        <v>33</v>
      </c>
      <c r="C40" s="0" t="n">
        <v>35</v>
      </c>
      <c r="D40" s="0" t="n">
        <v>49</v>
      </c>
      <c r="E40" s="0" t="n">
        <v>19</v>
      </c>
      <c r="F40" s="0" t="n">
        <f aca="false">Tabla351081315369[[#This Row],[no_efec_cor]]+Tabla351081315369[[#This Row],[efec_cor]]</f>
        <v>82</v>
      </c>
      <c r="G40" s="0" t="n">
        <f aca="false">Tabla351081315369[[#This Row],[no_efec_inc]]+Tabla351081315369[[#This Row],[efect_inc]]</f>
        <v>54</v>
      </c>
      <c r="H40" s="9" t="n">
        <f aca="false">Tabla351081315369[[#This Row],[Correctos]]/Tabla351081315369[[#This Row],[total_sec]]</f>
        <v>0.602941176470588</v>
      </c>
      <c r="I40" s="9" t="n">
        <f aca="false">Tabla351081315369[[#This Row],[efec_cor]]/Tabla351081315369[[#This Row],[efec]]</f>
        <v>0.720588235294118</v>
      </c>
      <c r="J40" s="9" t="n">
        <f aca="false">Tabla351081315369[[#This Row],[efect_inc]]/Tabla351081315369[[#This Row],[efec]]</f>
        <v>0.279411764705882</v>
      </c>
      <c r="K40" s="9" t="n">
        <f aca="false">Tabla351081315369[[#This Row],[no_efec_cor]]/Tabla351081315369[[#This Row],[no_efe]]</f>
        <v>0.485294117647059</v>
      </c>
      <c r="L40" s="9" t="n">
        <f aca="false">Tabla351081315369[[#This Row],[no_efec_inc]]/Tabla351081315369[[#This Row],[no_efe]]</f>
        <v>0.514705882352941</v>
      </c>
      <c r="M40" s="9" t="n">
        <f aca="false">(Tabla351081315369[[#This Row],[% efe_cor]]+Tabla351081315369[[#This Row],[% no_efe_cor]])/2</f>
        <v>0.602941176470588</v>
      </c>
      <c r="N40" s="10" t="n">
        <f aca="false">(Tabla351081315369[[#This Row],[% efe_inc]]+Tabla351081315369[[#This Row],[% no_efect_inc]])/2</f>
        <v>0.397058823529412</v>
      </c>
      <c r="O40" s="11" t="n">
        <f aca="false">Tabla351081315369[[#This Row],[no_efec_cor]]/(Tabla351081315369[[#This Row],[efect_inc]]+Tabla351081315369[[#This Row],[no_efec_cor]])</f>
        <v>0.634615384615385</v>
      </c>
      <c r="P40" s="11" t="n">
        <f aca="false">Tabla351081315369[[#This Row],[efec_cor]]/(Tabla351081315369[[#This Row],[efec_cor]]+Tabla351081315369[[#This Row],[no_efec_inc]])</f>
        <v>0.583333333333333</v>
      </c>
      <c r="Q40" s="11" t="n">
        <f aca="false">(Tabla351081315369[[#This Row],[PNE]]+Tabla351081315369[[#This Row],[PE]])/2</f>
        <v>0.608974358974359</v>
      </c>
      <c r="R40" s="0" t="n">
        <v>68</v>
      </c>
      <c r="S40" s="0" t="n">
        <v>68</v>
      </c>
      <c r="T40" s="0" t="n">
        <f aca="false">Tabla351081315369[[#This Row],[efec]]+Tabla351081315369[[#This Row],[no_efe]]</f>
        <v>136</v>
      </c>
    </row>
    <row r="41" customFormat="false" ht="13.8" hidden="false" customHeight="false" outlineLevel="0" collapsed="false">
      <c r="A41" s="0" t="s">
        <v>41</v>
      </c>
      <c r="B41" s="0" t="n">
        <v>49</v>
      </c>
      <c r="C41" s="0" t="n">
        <v>29</v>
      </c>
      <c r="D41" s="0" t="n">
        <v>53</v>
      </c>
      <c r="E41" s="0" t="n">
        <v>24</v>
      </c>
      <c r="F41" s="0" t="n">
        <f aca="false">Tabla351081315369[[#This Row],[no_efec_cor]]+Tabla351081315369[[#This Row],[efec_cor]]</f>
        <v>102</v>
      </c>
      <c r="G41" s="0" t="n">
        <f aca="false">Tabla351081315369[[#This Row],[no_efec_inc]]+Tabla351081315369[[#This Row],[efect_inc]]</f>
        <v>53</v>
      </c>
      <c r="H41" s="9" t="n">
        <f aca="false">Tabla351081315369[[#This Row],[Correctos]]/Tabla351081315369[[#This Row],[total_sec]]</f>
        <v>0.658064516129032</v>
      </c>
      <c r="I41" s="9" t="n">
        <f aca="false">Tabla351081315369[[#This Row],[efec_cor]]/Tabla351081315369[[#This Row],[efec]]</f>
        <v>0.67948717948718</v>
      </c>
      <c r="J41" s="9" t="n">
        <f aca="false">Tabla351081315369[[#This Row],[efect_inc]]/Tabla351081315369[[#This Row],[efec]]</f>
        <v>0.307692307692308</v>
      </c>
      <c r="K41" s="9" t="n">
        <f aca="false">Tabla351081315369[[#This Row],[no_efec_cor]]/Tabla351081315369[[#This Row],[no_efe]]</f>
        <v>0.636363636363636</v>
      </c>
      <c r="L41" s="9" t="n">
        <f aca="false">Tabla351081315369[[#This Row],[no_efec_inc]]/Tabla351081315369[[#This Row],[no_efe]]</f>
        <v>0.376623376623377</v>
      </c>
      <c r="M41" s="9" t="n">
        <f aca="false">(Tabla351081315369[[#This Row],[% efe_cor]]+Tabla351081315369[[#This Row],[% no_efe_cor]])/2</f>
        <v>0.657925407925408</v>
      </c>
      <c r="N41" s="10" t="n">
        <f aca="false">(Tabla351081315369[[#This Row],[% efe_inc]]+Tabla351081315369[[#This Row],[% no_efect_inc]])/2</f>
        <v>0.342157842157842</v>
      </c>
      <c r="O41" s="11" t="n">
        <f aca="false">Tabla351081315369[[#This Row],[no_efec_cor]]/(Tabla351081315369[[#This Row],[efect_inc]]+Tabla351081315369[[#This Row],[no_efec_cor]])</f>
        <v>0.671232876712329</v>
      </c>
      <c r="P41" s="11" t="n">
        <f aca="false">Tabla351081315369[[#This Row],[efec_cor]]/(Tabla351081315369[[#This Row],[efec_cor]]+Tabla351081315369[[#This Row],[no_efec_inc]])</f>
        <v>0.646341463414634</v>
      </c>
      <c r="Q41" s="11" t="n">
        <f aca="false">(Tabla351081315369[[#This Row],[PNE]]+Tabla351081315369[[#This Row],[PE]])/2</f>
        <v>0.658787170063482</v>
      </c>
      <c r="R41" s="0" t="n">
        <v>78</v>
      </c>
      <c r="S41" s="0" t="n">
        <v>77</v>
      </c>
      <c r="T41" s="0" t="n">
        <f aca="false">Tabla351081315369[[#This Row],[efec]]+Tabla351081315369[[#This Row],[no_efe]]</f>
        <v>155</v>
      </c>
    </row>
    <row r="42" customFormat="false" ht="13.8" hidden="false" customHeight="false" outlineLevel="0" collapsed="false">
      <c r="A42" s="0" t="s">
        <v>42</v>
      </c>
      <c r="B42" s="0" t="n">
        <v>39</v>
      </c>
      <c r="C42" s="0" t="n">
        <v>36</v>
      </c>
      <c r="D42" s="0" t="n">
        <v>51</v>
      </c>
      <c r="E42" s="0" t="n">
        <v>28</v>
      </c>
      <c r="F42" s="0" t="n">
        <f aca="false">Tabla351081315369[[#This Row],[no_efec_cor]]+Tabla351081315369[[#This Row],[efec_cor]]</f>
        <v>90</v>
      </c>
      <c r="G42" s="0" t="n">
        <f aca="false">Tabla351081315369[[#This Row],[no_efec_inc]]+Tabla351081315369[[#This Row],[efect_inc]]</f>
        <v>64</v>
      </c>
      <c r="H42" s="9" t="n">
        <f aca="false">Tabla351081315369[[#This Row],[Correctos]]/Tabla351081315369[[#This Row],[total_sec]]</f>
        <v>0.584415584415584</v>
      </c>
      <c r="I42" s="9" t="n">
        <f aca="false">Tabla351081315369[[#This Row],[efec_cor]]/Tabla351081315369[[#This Row],[efec]]</f>
        <v>0.68</v>
      </c>
      <c r="J42" s="9" t="n">
        <f aca="false">Tabla351081315369[[#This Row],[efect_inc]]/Tabla351081315369[[#This Row],[efec]]</f>
        <v>0.373333333333333</v>
      </c>
      <c r="K42" s="9" t="n">
        <f aca="false">Tabla351081315369[[#This Row],[no_efec_cor]]/Tabla351081315369[[#This Row],[no_efe]]</f>
        <v>0.493670886075949</v>
      </c>
      <c r="L42" s="9" t="n">
        <f aca="false">Tabla351081315369[[#This Row],[no_efec_inc]]/Tabla351081315369[[#This Row],[no_efe]]</f>
        <v>0.455696202531646</v>
      </c>
      <c r="M42" s="9" t="n">
        <f aca="false">(Tabla351081315369[[#This Row],[% efe_cor]]+Tabla351081315369[[#This Row],[% no_efe_cor]])/2</f>
        <v>0.586835443037975</v>
      </c>
      <c r="N42" s="10" t="n">
        <f aca="false">(Tabla351081315369[[#This Row],[% efe_inc]]+Tabla351081315369[[#This Row],[% no_efect_inc]])/2</f>
        <v>0.414514767932489</v>
      </c>
      <c r="O42" s="11" t="n">
        <f aca="false">Tabla351081315369[[#This Row],[no_efec_cor]]/(Tabla351081315369[[#This Row],[efect_inc]]+Tabla351081315369[[#This Row],[no_efec_cor]])</f>
        <v>0.582089552238806</v>
      </c>
      <c r="P42" s="11" t="n">
        <f aca="false">Tabla351081315369[[#This Row],[efec_cor]]/(Tabla351081315369[[#This Row],[efec_cor]]+Tabla351081315369[[#This Row],[no_efec_inc]])</f>
        <v>0.586206896551724</v>
      </c>
      <c r="Q42" s="11" t="n">
        <f aca="false">(Tabla351081315369[[#This Row],[PNE]]+Tabla351081315369[[#This Row],[PE]])/2</f>
        <v>0.584148224395265</v>
      </c>
      <c r="R42" s="0" t="n">
        <v>75</v>
      </c>
      <c r="S42" s="0" t="n">
        <v>79</v>
      </c>
      <c r="T42" s="0" t="n">
        <f aca="false">Tabla351081315369[[#This Row],[efec]]+Tabla351081315369[[#This Row],[no_efe]]</f>
        <v>154</v>
      </c>
    </row>
    <row r="43" customFormat="false" ht="13.8" hidden="false" customHeight="false" outlineLevel="0" collapsed="false">
      <c r="A43" s="0" t="s">
        <v>43</v>
      </c>
      <c r="B43" s="0" t="n">
        <v>43</v>
      </c>
      <c r="C43" s="0" t="n">
        <v>22</v>
      </c>
      <c r="D43" s="0" t="n">
        <v>42</v>
      </c>
      <c r="E43" s="0" t="n">
        <v>19</v>
      </c>
      <c r="F43" s="0" t="n">
        <f aca="false">Tabla351081315369[[#This Row],[no_efec_cor]]+Tabla351081315369[[#This Row],[efec_cor]]</f>
        <v>85</v>
      </c>
      <c r="G43" s="0" t="n">
        <f aca="false">Tabla351081315369[[#This Row],[no_efec_inc]]+Tabla351081315369[[#This Row],[efect_inc]]</f>
        <v>41</v>
      </c>
      <c r="H43" s="9" t="n">
        <f aca="false">Tabla351081315369[[#This Row],[Correctos]]/Tabla351081315369[[#This Row],[total_sec]]</f>
        <v>0.674603174603175</v>
      </c>
      <c r="I43" s="9" t="n">
        <f aca="false">Tabla351081315369[[#This Row],[efec_cor]]/Tabla351081315369[[#This Row],[efec]]</f>
        <v>0.646153846153846</v>
      </c>
      <c r="J43" s="9" t="n">
        <f aca="false">Tabla351081315369[[#This Row],[efect_inc]]/Tabla351081315369[[#This Row],[efec]]</f>
        <v>0.292307692307692</v>
      </c>
      <c r="K43" s="9" t="n">
        <f aca="false">Tabla351081315369[[#This Row],[no_efec_cor]]/Tabla351081315369[[#This Row],[no_efe]]</f>
        <v>0.704918032786885</v>
      </c>
      <c r="L43" s="9" t="n">
        <f aca="false">Tabla351081315369[[#This Row],[no_efec_inc]]/Tabla351081315369[[#This Row],[no_efe]]</f>
        <v>0.360655737704918</v>
      </c>
      <c r="M43" s="9" t="n">
        <f aca="false">(Tabla351081315369[[#This Row],[% efe_cor]]+Tabla351081315369[[#This Row],[% no_efe_cor]])/2</f>
        <v>0.675535939470366</v>
      </c>
      <c r="N43" s="10" t="n">
        <f aca="false">(Tabla351081315369[[#This Row],[% efe_inc]]+Tabla351081315369[[#This Row],[% no_efect_inc]])/2</f>
        <v>0.326481715006305</v>
      </c>
      <c r="O43" s="11" t="n">
        <f aca="false">Tabla351081315369[[#This Row],[no_efec_cor]]/(Tabla351081315369[[#This Row],[efect_inc]]+Tabla351081315369[[#This Row],[no_efec_cor]])</f>
        <v>0.693548387096774</v>
      </c>
      <c r="P43" s="11" t="n">
        <f aca="false">Tabla351081315369[[#This Row],[efec_cor]]/(Tabla351081315369[[#This Row],[efec_cor]]+Tabla351081315369[[#This Row],[no_efec_inc]])</f>
        <v>0.65625</v>
      </c>
      <c r="Q43" s="11" t="n">
        <f aca="false">(Tabla351081315369[[#This Row],[PNE]]+Tabla351081315369[[#This Row],[PE]])/2</f>
        <v>0.674899193548387</v>
      </c>
      <c r="R43" s="0" t="n">
        <v>65</v>
      </c>
      <c r="S43" s="0" t="n">
        <v>61</v>
      </c>
      <c r="T43" s="0" t="n">
        <f aca="false">Tabla351081315369[[#This Row],[efec]]+Tabla351081315369[[#This Row],[no_efe]]</f>
        <v>126</v>
      </c>
    </row>
    <row r="44" customFormat="false" ht="13.8" hidden="false" customHeight="false" outlineLevel="0" collapsed="false">
      <c r="A44" s="0" t="s">
        <v>44</v>
      </c>
      <c r="B44" s="0" t="n">
        <v>40</v>
      </c>
      <c r="C44" s="0" t="n">
        <v>22</v>
      </c>
      <c r="D44" s="0" t="n">
        <v>47</v>
      </c>
      <c r="E44" s="0" t="n">
        <v>18</v>
      </c>
      <c r="F44" s="0" t="n">
        <f aca="false">Tabla351081315369[[#This Row],[no_efec_cor]]+Tabla351081315369[[#This Row],[efec_cor]]</f>
        <v>87</v>
      </c>
      <c r="G44" s="0" t="n">
        <f aca="false">Tabla351081315369[[#This Row],[no_efec_inc]]+Tabla351081315369[[#This Row],[efect_inc]]</f>
        <v>40</v>
      </c>
      <c r="H44" s="9" t="n">
        <f aca="false">Tabla351081315369[[#This Row],[Correctos]]/Tabla351081315369[[#This Row],[total_sec]]</f>
        <v>0.68503937007874</v>
      </c>
      <c r="I44" s="9" t="n">
        <f aca="false">Tabla351081315369[[#This Row],[efec_cor]]/Tabla351081315369[[#This Row],[efec]]</f>
        <v>0.758064516129032</v>
      </c>
      <c r="J44" s="9" t="n">
        <f aca="false">Tabla351081315369[[#This Row],[efect_inc]]/Tabla351081315369[[#This Row],[efec]]</f>
        <v>0.290322580645161</v>
      </c>
      <c r="K44" s="9" t="n">
        <f aca="false">Tabla351081315369[[#This Row],[no_efec_cor]]/Tabla351081315369[[#This Row],[no_efe]]</f>
        <v>0.615384615384615</v>
      </c>
      <c r="L44" s="9" t="n">
        <f aca="false">Tabla351081315369[[#This Row],[no_efec_inc]]/Tabla351081315369[[#This Row],[no_efe]]</f>
        <v>0.338461538461538</v>
      </c>
      <c r="M44" s="9" t="n">
        <f aca="false">(Tabla351081315369[[#This Row],[% efe_cor]]+Tabla351081315369[[#This Row],[% no_efe_cor]])/2</f>
        <v>0.686724565756824</v>
      </c>
      <c r="N44" s="10" t="n">
        <f aca="false">(Tabla351081315369[[#This Row],[% efe_inc]]+Tabla351081315369[[#This Row],[% no_efect_inc]])/2</f>
        <v>0.31439205955335</v>
      </c>
      <c r="O44" s="11" t="n">
        <f aca="false">Tabla351081315369[[#This Row],[no_efec_cor]]/(Tabla351081315369[[#This Row],[efect_inc]]+Tabla351081315369[[#This Row],[no_efec_cor]])</f>
        <v>0.689655172413793</v>
      </c>
      <c r="P44" s="11" t="n">
        <f aca="false">Tabla351081315369[[#This Row],[efec_cor]]/(Tabla351081315369[[#This Row],[efec_cor]]+Tabla351081315369[[#This Row],[no_efec_inc]])</f>
        <v>0.681159420289855</v>
      </c>
      <c r="Q44" s="11" t="n">
        <f aca="false">(Tabla351081315369[[#This Row],[PNE]]+Tabla351081315369[[#This Row],[PE]])/2</f>
        <v>0.685407296351824</v>
      </c>
      <c r="R44" s="0" t="n">
        <v>62</v>
      </c>
      <c r="S44" s="0" t="n">
        <v>65</v>
      </c>
      <c r="T44" s="0" t="n">
        <f aca="false">Tabla351081315369[[#This Row],[efec]]+Tabla351081315369[[#This Row],[no_efe]]</f>
        <v>127</v>
      </c>
    </row>
    <row r="45" customFormat="false" ht="13.8" hidden="false" customHeight="false" outlineLevel="0" collapsed="false">
      <c r="A45" s="0" t="s">
        <v>45</v>
      </c>
      <c r="B45" s="0" t="n">
        <v>37</v>
      </c>
      <c r="C45" s="0" t="n">
        <v>26</v>
      </c>
      <c r="D45" s="0" t="n">
        <v>39</v>
      </c>
      <c r="E45" s="0" t="n">
        <v>25</v>
      </c>
      <c r="F45" s="0" t="n">
        <f aca="false">Tabla351081315369[[#This Row],[no_efec_cor]]+Tabla351081315369[[#This Row],[efec_cor]]</f>
        <v>76</v>
      </c>
      <c r="G45" s="0" t="n">
        <f aca="false">Tabla351081315369[[#This Row],[no_efec_inc]]+Tabla351081315369[[#This Row],[efect_inc]]</f>
        <v>51</v>
      </c>
      <c r="H45" s="9" t="n">
        <f aca="false">Tabla351081315369[[#This Row],[Correctos]]/Tabla351081315369[[#This Row],[total_sec]]</f>
        <v>0.598425196850394</v>
      </c>
      <c r="I45" s="9" t="n">
        <f aca="false">Tabla351081315369[[#This Row],[efec_cor]]/Tabla351081315369[[#This Row],[efec]]</f>
        <v>0.619047619047619</v>
      </c>
      <c r="J45" s="9" t="n">
        <f aca="false">Tabla351081315369[[#This Row],[efect_inc]]/Tabla351081315369[[#This Row],[efec]]</f>
        <v>0.396825396825397</v>
      </c>
      <c r="K45" s="9" t="n">
        <f aca="false">Tabla351081315369[[#This Row],[no_efec_cor]]/Tabla351081315369[[#This Row],[no_efe]]</f>
        <v>0.578125</v>
      </c>
      <c r="L45" s="9" t="n">
        <f aca="false">Tabla351081315369[[#This Row],[no_efec_inc]]/Tabla351081315369[[#This Row],[no_efe]]</f>
        <v>0.40625</v>
      </c>
      <c r="M45" s="9" t="n">
        <f aca="false">(Tabla351081315369[[#This Row],[% efe_cor]]+Tabla351081315369[[#This Row],[% no_efe_cor]])/2</f>
        <v>0.59858630952381</v>
      </c>
      <c r="N45" s="10" t="n">
        <f aca="false">(Tabla351081315369[[#This Row],[% efe_inc]]+Tabla351081315369[[#This Row],[% no_efect_inc]])/2</f>
        <v>0.401537698412698</v>
      </c>
      <c r="O45" s="11" t="n">
        <f aca="false">Tabla351081315369[[#This Row],[no_efec_cor]]/(Tabla351081315369[[#This Row],[efect_inc]]+Tabla351081315369[[#This Row],[no_efec_cor]])</f>
        <v>0.596774193548387</v>
      </c>
      <c r="P45" s="11" t="n">
        <f aca="false">Tabla351081315369[[#This Row],[efec_cor]]/(Tabla351081315369[[#This Row],[efec_cor]]+Tabla351081315369[[#This Row],[no_efec_inc]])</f>
        <v>0.6</v>
      </c>
      <c r="Q45" s="11" t="n">
        <f aca="false">(Tabla351081315369[[#This Row],[PNE]]+Tabla351081315369[[#This Row],[PE]])/2</f>
        <v>0.598387096774194</v>
      </c>
      <c r="R45" s="0" t="n">
        <v>63</v>
      </c>
      <c r="S45" s="0" t="n">
        <v>64</v>
      </c>
      <c r="T45" s="0" t="n">
        <f aca="false">Tabla351081315369[[#This Row],[efec]]+Tabla351081315369[[#This Row],[no_efe]]</f>
        <v>127</v>
      </c>
    </row>
    <row r="47" customFormat="false" ht="15" hidden="false" customHeight="false" outlineLevel="0" collapsed="false">
      <c r="A47" s="13" t="s">
        <v>5</v>
      </c>
      <c r="B47" s="13"/>
      <c r="C47" s="13"/>
      <c r="D47" s="13"/>
      <c r="E47" s="13"/>
      <c r="F47" s="13"/>
      <c r="G47" s="13"/>
    </row>
    <row r="48" customFormat="false" ht="16.5" hidden="false" customHeight="false" outlineLevel="0" collapsed="false">
      <c r="A48" s="14" t="s">
        <v>49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customFormat="false" ht="15.75" hidden="false" customHeight="false" outlineLevel="0" collapsed="false">
      <c r="A49" s="7" t="s">
        <v>39</v>
      </c>
      <c r="B49" s="8" t="s">
        <v>7</v>
      </c>
      <c r="C49" s="8" t="s">
        <v>8</v>
      </c>
      <c r="D49" s="8" t="s">
        <v>9</v>
      </c>
      <c r="E49" s="8" t="s">
        <v>10</v>
      </c>
      <c r="F49" s="8" t="s">
        <v>11</v>
      </c>
      <c r="G49" s="8" t="s">
        <v>12</v>
      </c>
      <c r="H49" s="7" t="s">
        <v>13</v>
      </c>
      <c r="I49" s="7" t="s">
        <v>14</v>
      </c>
      <c r="J49" s="7" t="s">
        <v>15</v>
      </c>
      <c r="K49" s="7" t="s">
        <v>16</v>
      </c>
      <c r="L49" s="7" t="s">
        <v>17</v>
      </c>
      <c r="M49" s="7" t="s">
        <v>18</v>
      </c>
      <c r="N49" s="7" t="s">
        <v>19</v>
      </c>
      <c r="O49" s="7" t="s">
        <v>20</v>
      </c>
      <c r="P49" s="7" t="s">
        <v>21</v>
      </c>
      <c r="Q49" s="7" t="s">
        <v>22</v>
      </c>
      <c r="R49" s="7" t="s">
        <v>23</v>
      </c>
      <c r="S49" s="7" t="s">
        <v>24</v>
      </c>
      <c r="T49" s="7" t="s">
        <v>25</v>
      </c>
    </row>
    <row r="50" customFormat="false" ht="13.8" hidden="false" customHeight="false" outlineLevel="0" collapsed="false">
      <c r="A50" s="0" t="s">
        <v>40</v>
      </c>
      <c r="B50" s="0" t="n">
        <v>45</v>
      </c>
      <c r="C50" s="0" t="n">
        <v>23</v>
      </c>
      <c r="D50" s="0" t="n">
        <v>45</v>
      </c>
      <c r="E50" s="0" t="n">
        <v>23</v>
      </c>
      <c r="F50" s="0" t="n">
        <f aca="false">Tabla3510813153610[[#This Row],[no_efec_cor]]+Tabla3510813153610[[#This Row],[efec_cor]]</f>
        <v>90</v>
      </c>
      <c r="G50" s="0" t="n">
        <f aca="false">Tabla3510813153610[[#This Row],[no_efec_inc]]+Tabla3510813153610[[#This Row],[efect_inc]]</f>
        <v>46</v>
      </c>
      <c r="H50" s="9" t="n">
        <f aca="false">Tabla3510813153610[[#This Row],[Correctos]]/Tabla3510813153610[[#This Row],[total_sec]]</f>
        <v>0.661764705882353</v>
      </c>
      <c r="I50" s="9" t="n">
        <f aca="false">Tabla3510813153610[[#This Row],[efec_cor]]/Tabla3510813153610[[#This Row],[efec]]</f>
        <v>0.661764705882353</v>
      </c>
      <c r="J50" s="9" t="n">
        <f aca="false">Tabla3510813153610[[#This Row],[efect_inc]]/Tabla3510813153610[[#This Row],[efec]]</f>
        <v>0.338235294117647</v>
      </c>
      <c r="K50" s="9" t="n">
        <f aca="false">Tabla3510813153610[[#This Row],[no_efec_cor]]/Tabla3510813153610[[#This Row],[no_efe]]</f>
        <v>0.661764705882353</v>
      </c>
      <c r="L50" s="9" t="n">
        <f aca="false">Tabla3510813153610[[#This Row],[no_efec_inc]]/Tabla3510813153610[[#This Row],[no_efe]]</f>
        <v>0.338235294117647</v>
      </c>
      <c r="M50" s="9" t="n">
        <f aca="false">(Tabla3510813153610[[#This Row],[% efe_cor]]+Tabla3510813153610[[#This Row],[% no_efe_cor]])/2</f>
        <v>0.661764705882353</v>
      </c>
      <c r="N50" s="10" t="n">
        <f aca="false">(Tabla3510813153610[[#This Row],[% efe_inc]]+Tabla3510813153610[[#This Row],[% no_efect_inc]])/2</f>
        <v>0.338235294117647</v>
      </c>
      <c r="O50" s="11" t="n">
        <f aca="false">Tabla3510813153610[[#This Row],[no_efec_cor]]/(Tabla3510813153610[[#This Row],[efect_inc]]+Tabla3510813153610[[#This Row],[no_efec_cor]])</f>
        <v>0.661764705882353</v>
      </c>
      <c r="P50" s="11" t="n">
        <f aca="false">Tabla3510813153610[[#This Row],[efec_cor]]/(Tabla3510813153610[[#This Row],[efec_cor]]+Tabla3510813153610[[#This Row],[no_efec_inc]])</f>
        <v>0.661764705882353</v>
      </c>
      <c r="Q50" s="11" t="n">
        <f aca="false">(Tabla3510813153610[[#This Row],[PNE]]+Tabla3510813153610[[#This Row],[PE]])/2</f>
        <v>0.661764705882353</v>
      </c>
      <c r="R50" s="0" t="n">
        <v>68</v>
      </c>
      <c r="S50" s="0" t="n">
        <v>68</v>
      </c>
      <c r="T50" s="0" t="n">
        <f aca="false">Tabla3510813153610[[#This Row],[efec]]+Tabla3510813153610[[#This Row],[no_efe]]</f>
        <v>136</v>
      </c>
    </row>
    <row r="51" customFormat="false" ht="13.8" hidden="false" customHeight="false" outlineLevel="0" collapsed="false">
      <c r="A51" s="0" t="s">
        <v>41</v>
      </c>
      <c r="B51" s="0" t="n">
        <v>43</v>
      </c>
      <c r="C51" s="0" t="n">
        <v>32</v>
      </c>
      <c r="D51" s="0" t="n">
        <v>52</v>
      </c>
      <c r="E51" s="0" t="n">
        <v>27</v>
      </c>
      <c r="F51" s="0" t="n">
        <f aca="false">Tabla3510813153610[[#This Row],[no_efec_cor]]+Tabla3510813153610[[#This Row],[efec_cor]]</f>
        <v>95</v>
      </c>
      <c r="G51" s="0" t="n">
        <f aca="false">Tabla3510813153610[[#This Row],[no_efec_inc]]+Tabla3510813153610[[#This Row],[efect_inc]]</f>
        <v>59</v>
      </c>
      <c r="H51" s="9" t="n">
        <f aca="false">Tabla3510813153610[[#This Row],[Correctos]]/Tabla3510813153610[[#This Row],[total_sec]]</f>
        <v>0.612903225806452</v>
      </c>
      <c r="I51" s="9" t="n">
        <f aca="false">Tabla3510813153610[[#This Row],[efec_cor]]/Tabla3510813153610[[#This Row],[efec]]</f>
        <v>0.666666666666667</v>
      </c>
      <c r="J51" s="9" t="n">
        <f aca="false">Tabla3510813153610[[#This Row],[efect_inc]]/Tabla3510813153610[[#This Row],[efec]]</f>
        <v>0.346153846153846</v>
      </c>
      <c r="K51" s="9" t="n">
        <f aca="false">Tabla3510813153610[[#This Row],[no_efec_cor]]/Tabla3510813153610[[#This Row],[no_efe]]</f>
        <v>0.558441558441558</v>
      </c>
      <c r="L51" s="9" t="n">
        <f aca="false">Tabla3510813153610[[#This Row],[no_efec_inc]]/Tabla3510813153610[[#This Row],[no_efe]]</f>
        <v>0.415584415584416</v>
      </c>
      <c r="M51" s="9" t="n">
        <f aca="false">(Tabla3510813153610[[#This Row],[% efe_cor]]+Tabla3510813153610[[#This Row],[% no_efe_cor]])/2</f>
        <v>0.612554112554113</v>
      </c>
      <c r="N51" s="10" t="n">
        <f aca="false">(Tabla3510813153610[[#This Row],[% efe_inc]]+Tabla3510813153610[[#This Row],[% no_efect_inc]])/2</f>
        <v>0.380869130869131</v>
      </c>
      <c r="O51" s="11" t="n">
        <f aca="false">Tabla3510813153610[[#This Row],[no_efec_cor]]/(Tabla3510813153610[[#This Row],[efect_inc]]+Tabla3510813153610[[#This Row],[no_efec_cor]])</f>
        <v>0.614285714285714</v>
      </c>
      <c r="P51" s="11" t="n">
        <f aca="false">Tabla3510813153610[[#This Row],[efec_cor]]/(Tabla3510813153610[[#This Row],[efec_cor]]+Tabla3510813153610[[#This Row],[no_efec_inc]])</f>
        <v>0.619047619047619</v>
      </c>
      <c r="Q51" s="11" t="n">
        <f aca="false">(Tabla3510813153610[[#This Row],[PNE]]+Tabla3510813153610[[#This Row],[PE]])/2</f>
        <v>0.616666666666667</v>
      </c>
      <c r="R51" s="0" t="n">
        <v>78</v>
      </c>
      <c r="S51" s="0" t="n">
        <v>77</v>
      </c>
      <c r="T51" s="0" t="n">
        <f aca="false">Tabla3510813153610[[#This Row],[efec]]+Tabla3510813153610[[#This Row],[no_efe]]</f>
        <v>155</v>
      </c>
    </row>
    <row r="52" customFormat="false" ht="13.8" hidden="false" customHeight="false" outlineLevel="0" collapsed="false">
      <c r="A52" s="0" t="s">
        <v>42</v>
      </c>
      <c r="B52" s="0" t="n">
        <v>53</v>
      </c>
      <c r="C52" s="0" t="n">
        <v>25</v>
      </c>
      <c r="D52" s="0" t="n">
        <v>46</v>
      </c>
      <c r="E52" s="0" t="n">
        <v>31</v>
      </c>
      <c r="F52" s="0" t="n">
        <f aca="false">Tabla3510813153610[[#This Row],[no_efec_cor]]+Tabla3510813153610[[#This Row],[efec_cor]]</f>
        <v>99</v>
      </c>
      <c r="G52" s="0" t="n">
        <f aca="false">Tabla3510813153610[[#This Row],[no_efec_inc]]+Tabla3510813153610[[#This Row],[efect_inc]]</f>
        <v>56</v>
      </c>
      <c r="H52" s="9" t="n">
        <f aca="false">Tabla3510813153610[[#This Row],[Correctos]]/Tabla3510813153610[[#This Row],[total_sec]]</f>
        <v>0.642857142857143</v>
      </c>
      <c r="I52" s="9" t="n">
        <f aca="false">Tabla3510813153610[[#This Row],[efec_cor]]/Tabla3510813153610[[#This Row],[efec]]</f>
        <v>0.613333333333333</v>
      </c>
      <c r="J52" s="9" t="n">
        <f aca="false">Tabla3510813153610[[#This Row],[efect_inc]]/Tabla3510813153610[[#This Row],[efec]]</f>
        <v>0.413333333333333</v>
      </c>
      <c r="K52" s="9" t="n">
        <f aca="false">Tabla3510813153610[[#This Row],[no_efec_cor]]/Tabla3510813153610[[#This Row],[no_efe]]</f>
        <v>0.670886075949367</v>
      </c>
      <c r="L52" s="9" t="n">
        <f aca="false">Tabla3510813153610[[#This Row],[no_efec_inc]]/Tabla3510813153610[[#This Row],[no_efe]]</f>
        <v>0.316455696202532</v>
      </c>
      <c r="M52" s="9" t="n">
        <f aca="false">(Tabla3510813153610[[#This Row],[% efe_cor]]+Tabla3510813153610[[#This Row],[% no_efe_cor]])/2</f>
        <v>0.64210970464135</v>
      </c>
      <c r="N52" s="10" t="n">
        <f aca="false">(Tabla3510813153610[[#This Row],[% efe_inc]]+Tabla3510813153610[[#This Row],[% no_efect_inc]])/2</f>
        <v>0.364894514767932</v>
      </c>
      <c r="O52" s="11" t="n">
        <f aca="false">Tabla3510813153610[[#This Row],[no_efec_cor]]/(Tabla3510813153610[[#This Row],[efect_inc]]+Tabla3510813153610[[#This Row],[no_efec_cor]])</f>
        <v>0.630952380952381</v>
      </c>
      <c r="P52" s="11" t="n">
        <f aca="false">Tabla3510813153610[[#This Row],[efec_cor]]/(Tabla3510813153610[[#This Row],[efec_cor]]+Tabla3510813153610[[#This Row],[no_efec_inc]])</f>
        <v>0.647887323943662</v>
      </c>
      <c r="Q52" s="11" t="n">
        <f aca="false">(Tabla3510813153610[[#This Row],[PNE]]+Tabla3510813153610[[#This Row],[PE]])/2</f>
        <v>0.639419852448021</v>
      </c>
      <c r="R52" s="0" t="n">
        <v>75</v>
      </c>
      <c r="S52" s="0" t="n">
        <v>79</v>
      </c>
      <c r="T52" s="0" t="n">
        <f aca="false">Tabla3510813153610[[#This Row],[efec]]+Tabla3510813153610[[#This Row],[no_efe]]</f>
        <v>154</v>
      </c>
    </row>
    <row r="53" customFormat="false" ht="13.8" hidden="false" customHeight="false" outlineLevel="0" collapsed="false">
      <c r="A53" s="0" t="s">
        <v>43</v>
      </c>
      <c r="B53" s="0" t="n">
        <v>41</v>
      </c>
      <c r="C53" s="0" t="n">
        <v>21</v>
      </c>
      <c r="D53" s="0" t="n">
        <v>40</v>
      </c>
      <c r="E53" s="0" t="n">
        <v>25</v>
      </c>
      <c r="F53" s="0" t="n">
        <f aca="false">Tabla3510813153610[[#This Row],[no_efec_cor]]+Tabla3510813153610[[#This Row],[efec_cor]]</f>
        <v>81</v>
      </c>
      <c r="G53" s="0" t="n">
        <f aca="false">Tabla3510813153610[[#This Row],[no_efec_inc]]+Tabla3510813153610[[#This Row],[efect_inc]]</f>
        <v>46</v>
      </c>
      <c r="H53" s="9" t="n">
        <f aca="false">Tabla3510813153610[[#This Row],[Correctos]]/Tabla3510813153610[[#This Row],[total_sec]]</f>
        <v>0.642857142857143</v>
      </c>
      <c r="I53" s="9" t="n">
        <f aca="false">Tabla3510813153610[[#This Row],[efec_cor]]/Tabla3510813153610[[#This Row],[efec]]</f>
        <v>0.615384615384615</v>
      </c>
      <c r="J53" s="9" t="n">
        <f aca="false">Tabla3510813153610[[#This Row],[efect_inc]]/Tabla3510813153610[[#This Row],[efec]]</f>
        <v>0.384615384615385</v>
      </c>
      <c r="K53" s="9" t="n">
        <f aca="false">Tabla3510813153610[[#This Row],[no_efec_cor]]/Tabla3510813153610[[#This Row],[no_efe]]</f>
        <v>0.672131147540984</v>
      </c>
      <c r="L53" s="9" t="n">
        <f aca="false">Tabla3510813153610[[#This Row],[no_efec_inc]]/Tabla3510813153610[[#This Row],[no_efe]]</f>
        <v>0.344262295081967</v>
      </c>
      <c r="M53" s="9" t="n">
        <f aca="false">(Tabla3510813153610[[#This Row],[% efe_cor]]+Tabla3510813153610[[#This Row],[% no_efe_cor]])/2</f>
        <v>0.6437578814628</v>
      </c>
      <c r="N53" s="10" t="n">
        <f aca="false">(Tabla3510813153610[[#This Row],[% efe_inc]]+Tabla3510813153610[[#This Row],[% no_efect_inc]])/2</f>
        <v>0.364438839848676</v>
      </c>
      <c r="O53" s="11" t="n">
        <f aca="false">Tabla3510813153610[[#This Row],[no_efec_cor]]/(Tabla3510813153610[[#This Row],[efect_inc]]+Tabla3510813153610[[#This Row],[no_efec_cor]])</f>
        <v>0.621212121212121</v>
      </c>
      <c r="P53" s="11" t="n">
        <f aca="false">Tabla3510813153610[[#This Row],[efec_cor]]/(Tabla3510813153610[[#This Row],[efec_cor]]+Tabla3510813153610[[#This Row],[no_efec_inc]])</f>
        <v>0.655737704918033</v>
      </c>
      <c r="Q53" s="11" t="n">
        <f aca="false">(Tabla3510813153610[[#This Row],[PNE]]+Tabla3510813153610[[#This Row],[PE]])/2</f>
        <v>0.638474913065077</v>
      </c>
      <c r="R53" s="0" t="n">
        <v>65</v>
      </c>
      <c r="S53" s="0" t="n">
        <v>61</v>
      </c>
      <c r="T53" s="0" t="n">
        <f aca="false">Tabla3510813153610[[#This Row],[efec]]+Tabla3510813153610[[#This Row],[no_efe]]</f>
        <v>126</v>
      </c>
    </row>
    <row r="54" customFormat="false" ht="13.8" hidden="false" customHeight="false" outlineLevel="0" collapsed="false">
      <c r="A54" s="0" t="s">
        <v>44</v>
      </c>
      <c r="B54" s="0" t="n">
        <v>40</v>
      </c>
      <c r="C54" s="0" t="n">
        <v>23</v>
      </c>
      <c r="D54" s="0" t="n">
        <v>43</v>
      </c>
      <c r="E54" s="0" t="n">
        <v>21</v>
      </c>
      <c r="F54" s="0" t="n">
        <f aca="false">Tabla3510813153610[[#This Row],[no_efec_cor]]+Tabla3510813153610[[#This Row],[efec_cor]]</f>
        <v>83</v>
      </c>
      <c r="G54" s="0" t="n">
        <f aca="false">Tabla3510813153610[[#This Row],[no_efec_inc]]+Tabla3510813153610[[#This Row],[efect_inc]]</f>
        <v>44</v>
      </c>
      <c r="H54" s="9" t="n">
        <f aca="false">Tabla3510813153610[[#This Row],[Correctos]]/Tabla3510813153610[[#This Row],[total_sec]]</f>
        <v>0.653543307086614</v>
      </c>
      <c r="I54" s="9" t="n">
        <f aca="false">Tabla3510813153610[[#This Row],[efec_cor]]/Tabla3510813153610[[#This Row],[efec]]</f>
        <v>0.693548387096774</v>
      </c>
      <c r="J54" s="9" t="n">
        <f aca="false">Tabla3510813153610[[#This Row],[efect_inc]]/Tabla3510813153610[[#This Row],[efec]]</f>
        <v>0.338709677419355</v>
      </c>
      <c r="K54" s="9" t="n">
        <f aca="false">Tabla3510813153610[[#This Row],[no_efec_cor]]/Tabla3510813153610[[#This Row],[no_efe]]</f>
        <v>0.615384615384615</v>
      </c>
      <c r="L54" s="9" t="n">
        <f aca="false">Tabla3510813153610[[#This Row],[no_efec_inc]]/Tabla3510813153610[[#This Row],[no_efe]]</f>
        <v>0.353846153846154</v>
      </c>
      <c r="M54" s="9" t="n">
        <f aca="false">(Tabla3510813153610[[#This Row],[% efe_cor]]+Tabla3510813153610[[#This Row],[% no_efe_cor]])/2</f>
        <v>0.654466501240695</v>
      </c>
      <c r="N54" s="10" t="n">
        <f aca="false">(Tabla3510813153610[[#This Row],[% efe_inc]]+Tabla3510813153610[[#This Row],[% no_efect_inc]])/2</f>
        <v>0.346277915632754</v>
      </c>
      <c r="O54" s="11" t="n">
        <f aca="false">Tabla3510813153610[[#This Row],[no_efec_cor]]/(Tabla3510813153610[[#This Row],[efect_inc]]+Tabla3510813153610[[#This Row],[no_efec_cor]])</f>
        <v>0.655737704918033</v>
      </c>
      <c r="P54" s="11" t="n">
        <f aca="false">Tabla3510813153610[[#This Row],[efec_cor]]/(Tabla3510813153610[[#This Row],[efec_cor]]+Tabla3510813153610[[#This Row],[no_efec_inc]])</f>
        <v>0.651515151515152</v>
      </c>
      <c r="Q54" s="11" t="n">
        <f aca="false">(Tabla3510813153610[[#This Row],[PNE]]+Tabla3510813153610[[#This Row],[PE]])/2</f>
        <v>0.653626428216592</v>
      </c>
      <c r="R54" s="0" t="n">
        <v>62</v>
      </c>
      <c r="S54" s="0" t="n">
        <v>65</v>
      </c>
      <c r="T54" s="0" t="n">
        <f aca="false">Tabla3510813153610[[#This Row],[efec]]+Tabla3510813153610[[#This Row],[no_efe]]</f>
        <v>127</v>
      </c>
    </row>
    <row r="55" customFormat="false" ht="13.8" hidden="false" customHeight="false" outlineLevel="0" collapsed="false">
      <c r="A55" s="0" t="s">
        <v>45</v>
      </c>
      <c r="B55" s="0" t="n">
        <v>42</v>
      </c>
      <c r="C55" s="0" t="n">
        <v>23</v>
      </c>
      <c r="D55" s="0" t="n">
        <v>37</v>
      </c>
      <c r="E55" s="0" t="n">
        <v>24</v>
      </c>
      <c r="F55" s="0" t="n">
        <f aca="false">Tabla3510813153610[[#This Row],[no_efec_cor]]+Tabla3510813153610[[#This Row],[efec_cor]]</f>
        <v>79</v>
      </c>
      <c r="G55" s="0" t="n">
        <f aca="false">Tabla3510813153610[[#This Row],[no_efec_inc]]+Tabla3510813153610[[#This Row],[efect_inc]]</f>
        <v>47</v>
      </c>
      <c r="H55" s="9" t="n">
        <f aca="false">Tabla3510813153610[[#This Row],[Correctos]]/Tabla3510813153610[[#This Row],[total_sec]]</f>
        <v>0.622047244094488</v>
      </c>
      <c r="I55" s="9" t="n">
        <f aca="false">Tabla3510813153610[[#This Row],[efec_cor]]/Tabla3510813153610[[#This Row],[efec]]</f>
        <v>0.587301587301587</v>
      </c>
      <c r="J55" s="9" t="n">
        <f aca="false">Tabla3510813153610[[#This Row],[efect_inc]]/Tabla3510813153610[[#This Row],[efec]]</f>
        <v>0.380952380952381</v>
      </c>
      <c r="K55" s="9" t="n">
        <f aca="false">Tabla3510813153610[[#This Row],[no_efec_cor]]/Tabla3510813153610[[#This Row],[no_efe]]</f>
        <v>0.65625</v>
      </c>
      <c r="L55" s="9" t="n">
        <f aca="false">Tabla3510813153610[[#This Row],[no_efec_inc]]/Tabla3510813153610[[#This Row],[no_efe]]</f>
        <v>0.359375</v>
      </c>
      <c r="M55" s="9" t="n">
        <f aca="false">(Tabla3510813153610[[#This Row],[% efe_cor]]+Tabla3510813153610[[#This Row],[% no_efe_cor]])/2</f>
        <v>0.621775793650794</v>
      </c>
      <c r="N55" s="10" t="n">
        <f aca="false">(Tabla3510813153610[[#This Row],[% efe_inc]]+Tabla3510813153610[[#This Row],[% no_efect_inc]])/2</f>
        <v>0.37016369047619</v>
      </c>
      <c r="O55" s="11" t="n">
        <f aca="false">Tabla3510813153610[[#This Row],[no_efec_cor]]/(Tabla3510813153610[[#This Row],[efect_inc]]+Tabla3510813153610[[#This Row],[no_efec_cor]])</f>
        <v>0.636363636363636</v>
      </c>
      <c r="P55" s="11" t="n">
        <f aca="false">Tabla3510813153610[[#This Row],[efec_cor]]/(Tabla3510813153610[[#This Row],[efec_cor]]+Tabla3510813153610[[#This Row],[no_efec_inc]])</f>
        <v>0.616666666666667</v>
      </c>
      <c r="Q55" s="11" t="n">
        <f aca="false">(Tabla3510813153610[[#This Row],[PNE]]+Tabla3510813153610[[#This Row],[PE]])/2</f>
        <v>0.626515151515152</v>
      </c>
      <c r="R55" s="0" t="n">
        <v>63</v>
      </c>
      <c r="S55" s="0" t="n">
        <v>64</v>
      </c>
      <c r="T55" s="0" t="n">
        <f aca="false">Tabla3510813153610[[#This Row],[efec]]+Tabla3510813153610[[#This Row],[no_efe]]</f>
        <v>127</v>
      </c>
    </row>
    <row r="58" customFormat="false" ht="15" hidden="false" customHeight="false" outlineLevel="0" collapsed="false">
      <c r="A58" s="0" t="s">
        <v>50</v>
      </c>
      <c r="B58" s="0" t="s">
        <v>51</v>
      </c>
    </row>
    <row r="59" customFormat="false" ht="15" hidden="false" customHeight="false" outlineLevel="0" collapsed="false">
      <c r="A59" s="0" t="s">
        <v>52</v>
      </c>
      <c r="B59" s="0" t="s">
        <v>53</v>
      </c>
    </row>
    <row r="60" customFormat="false" ht="15" hidden="false" customHeight="false" outlineLevel="0" collapsed="false">
      <c r="A60" s="0" t="s">
        <v>54</v>
      </c>
      <c r="B60" s="0" t="s">
        <v>55</v>
      </c>
    </row>
    <row r="61" customFormat="false" ht="15" hidden="false" customHeight="false" outlineLevel="0" collapsed="false">
      <c r="A61" s="0" t="s">
        <v>56</v>
      </c>
      <c r="B61" s="0" t="s">
        <v>57</v>
      </c>
    </row>
    <row r="62" customFormat="false" ht="15" hidden="false" customHeight="false" outlineLevel="0" collapsed="false">
      <c r="A62" s="0" t="s">
        <v>58</v>
      </c>
      <c r="B62" s="0" t="s">
        <v>59</v>
      </c>
    </row>
    <row r="64" customFormat="false" ht="15" hidden="false" customHeight="false" outlineLevel="0" collapsed="false">
      <c r="A64" s="15" t="s">
        <v>13</v>
      </c>
      <c r="B64" s="15"/>
      <c r="C64" s="15"/>
      <c r="D64" s="15"/>
      <c r="E64" s="15"/>
      <c r="F64" s="15"/>
      <c r="G64" s="15"/>
      <c r="I64" s="15" t="s">
        <v>22</v>
      </c>
      <c r="J64" s="15"/>
      <c r="K64" s="15"/>
      <c r="L64" s="15"/>
      <c r="M64" s="15"/>
      <c r="N64" s="15"/>
      <c r="O64" s="15"/>
    </row>
    <row r="65" customFormat="false" ht="15" hidden="false" customHeight="false" outlineLevel="0" collapsed="false">
      <c r="A65" s="7" t="s">
        <v>39</v>
      </c>
      <c r="B65" s="7" t="s">
        <v>50</v>
      </c>
      <c r="C65" s="7" t="s">
        <v>52</v>
      </c>
      <c r="D65" s="7" t="s">
        <v>54</v>
      </c>
      <c r="E65" s="7" t="s">
        <v>60</v>
      </c>
      <c r="F65" s="7" t="s">
        <v>58</v>
      </c>
      <c r="G65" s="7" t="s">
        <v>61</v>
      </c>
      <c r="I65" s="7" t="s">
        <v>39</v>
      </c>
      <c r="J65" s="7" t="s">
        <v>50</v>
      </c>
      <c r="K65" s="7" t="s">
        <v>52</v>
      </c>
      <c r="L65" s="7" t="s">
        <v>54</v>
      </c>
      <c r="M65" s="7" t="s">
        <v>60</v>
      </c>
      <c r="N65" s="7" t="s">
        <v>58</v>
      </c>
      <c r="O65" s="7" t="s">
        <v>61</v>
      </c>
    </row>
    <row r="66" customFormat="false" ht="13.8" hidden="false" customHeight="false" outlineLevel="0" collapsed="false">
      <c r="A66" s="0" t="s">
        <v>40</v>
      </c>
      <c r="B66" s="0" t="n">
        <v>58.8235</v>
      </c>
      <c r="C66" s="0" t="n">
        <v>57.3529</v>
      </c>
      <c r="D66" s="0" t="n">
        <v>67.6471</v>
      </c>
      <c r="E66" s="0" t="n">
        <v>60.2941</v>
      </c>
      <c r="F66" s="0" t="n">
        <v>66.1765</v>
      </c>
      <c r="G66" s="0" t="n">
        <f aca="false">AVERAGE(B66:F66)</f>
        <v>62.05882</v>
      </c>
      <c r="I66" s="0" t="s">
        <v>40</v>
      </c>
      <c r="J66" s="0" t="n">
        <v>58.8235</v>
      </c>
      <c r="K66" s="0" t="n">
        <v>57.3529</v>
      </c>
      <c r="L66" s="0" t="n">
        <v>67.6471</v>
      </c>
      <c r="M66" s="0" t="n">
        <v>60.2941</v>
      </c>
      <c r="N66" s="0" t="n">
        <v>66.1765</v>
      </c>
      <c r="O66" s="16" t="n">
        <f aca="false">AVERAGE(J66:N66)</f>
        <v>62.05882</v>
      </c>
    </row>
    <row r="67" customFormat="false" ht="13.8" hidden="false" customHeight="false" outlineLevel="0" collapsed="false">
      <c r="A67" s="0" t="s">
        <v>41</v>
      </c>
      <c r="B67" s="0" t="n">
        <v>57.4194</v>
      </c>
      <c r="C67" s="0" t="n">
        <v>62.5806</v>
      </c>
      <c r="D67" s="0" t="n">
        <v>60.6452</v>
      </c>
      <c r="E67" s="0" t="n">
        <v>65.8065</v>
      </c>
      <c r="F67" s="0" t="n">
        <v>63.871</v>
      </c>
      <c r="G67" s="0" t="n">
        <f aca="false">AVERAGE(B67:F67)</f>
        <v>62.06454</v>
      </c>
      <c r="I67" s="0" t="s">
        <v>41</v>
      </c>
      <c r="J67" s="0" t="n">
        <v>57.4194</v>
      </c>
      <c r="K67" s="0" t="n">
        <v>62.5806</v>
      </c>
      <c r="L67" s="0" t="n">
        <v>60.6452</v>
      </c>
      <c r="M67" s="0" t="n">
        <v>65.8065</v>
      </c>
      <c r="N67" s="0" t="n">
        <v>63.871</v>
      </c>
      <c r="O67" s="17" t="n">
        <f aca="false">AVERAGE(J67:N67)</f>
        <v>62.06454</v>
      </c>
    </row>
    <row r="68" customFormat="false" ht="13.8" hidden="false" customHeight="false" outlineLevel="0" collapsed="false">
      <c r="A68" s="0" t="s">
        <v>42</v>
      </c>
      <c r="B68" s="0" t="n">
        <v>57.7922</v>
      </c>
      <c r="C68" s="0" t="n">
        <v>56.4935</v>
      </c>
      <c r="D68" s="0" t="n">
        <v>64.2857</v>
      </c>
      <c r="E68" s="0" t="n">
        <v>58.4416</v>
      </c>
      <c r="F68" s="0" t="n">
        <v>61.6883</v>
      </c>
      <c r="G68" s="0" t="n">
        <f aca="false">AVERAGE(B68:F68)</f>
        <v>59.74026</v>
      </c>
      <c r="I68" s="0" t="s">
        <v>42</v>
      </c>
      <c r="J68" s="0" t="n">
        <v>57.7922</v>
      </c>
      <c r="K68" s="0" t="n">
        <v>56.4935</v>
      </c>
      <c r="L68" s="0" t="n">
        <v>64.2857</v>
      </c>
      <c r="M68" s="0" t="n">
        <v>58.4416</v>
      </c>
      <c r="N68" s="0" t="n">
        <v>61.6883</v>
      </c>
      <c r="O68" s="16" t="n">
        <f aca="false">AVERAGE(J68:N68)</f>
        <v>59.74026</v>
      </c>
    </row>
    <row r="69" customFormat="false" ht="13.8" hidden="false" customHeight="false" outlineLevel="0" collapsed="false">
      <c r="A69" s="0" t="s">
        <v>43</v>
      </c>
      <c r="B69" s="0" t="n">
        <v>62.6984</v>
      </c>
      <c r="C69" s="0" t="n">
        <v>62.6984</v>
      </c>
      <c r="D69" s="0" t="n">
        <v>58.7302</v>
      </c>
      <c r="E69" s="0" t="n">
        <v>67.4603</v>
      </c>
      <c r="F69" s="0" t="n">
        <v>62.6984</v>
      </c>
      <c r="G69" s="18" t="n">
        <f aca="false">AVERAGE(B69:F69)</f>
        <v>62.85714</v>
      </c>
      <c r="I69" s="0" t="s">
        <v>43</v>
      </c>
      <c r="J69" s="0" t="n">
        <v>62.6984</v>
      </c>
      <c r="K69" s="0" t="n">
        <v>62.6984</v>
      </c>
      <c r="L69" s="0" t="n">
        <v>58.7302</v>
      </c>
      <c r="M69" s="0" t="n">
        <v>67.4603</v>
      </c>
      <c r="N69" s="0" t="n">
        <v>62.6984</v>
      </c>
      <c r="O69" s="19" t="n">
        <f aca="false">AVERAGE(J69:N69)</f>
        <v>62.85714</v>
      </c>
    </row>
    <row r="70" customFormat="false" ht="13.8" hidden="false" customHeight="false" outlineLevel="0" collapsed="false">
      <c r="A70" s="0" t="s">
        <v>44</v>
      </c>
      <c r="B70" s="0" t="n">
        <v>59.8425</v>
      </c>
      <c r="C70" s="0" t="n">
        <v>54.3307</v>
      </c>
      <c r="D70" s="0" t="n">
        <v>55.1181</v>
      </c>
      <c r="E70" s="0" t="n">
        <v>68.5039</v>
      </c>
      <c r="F70" s="0" t="n">
        <v>63.7795</v>
      </c>
      <c r="G70" s="0" t="n">
        <f aca="false">AVERAGE(B70:F70)</f>
        <v>60.31494</v>
      </c>
      <c r="I70" s="0" t="s">
        <v>44</v>
      </c>
      <c r="J70" s="0" t="n">
        <v>59.8425</v>
      </c>
      <c r="K70" s="0" t="n">
        <v>54.3307</v>
      </c>
      <c r="L70" s="0" t="n">
        <v>55.1181</v>
      </c>
      <c r="M70" s="0" t="n">
        <v>68.5039</v>
      </c>
      <c r="N70" s="0" t="n">
        <v>63.7795</v>
      </c>
      <c r="O70" s="16" t="n">
        <f aca="false">AVERAGE(J70:N70)</f>
        <v>60.31494</v>
      </c>
    </row>
    <row r="71" customFormat="false" ht="13.8" hidden="false" customHeight="false" outlineLevel="0" collapsed="false">
      <c r="A71" s="0" t="s">
        <v>45</v>
      </c>
      <c r="B71" s="0" t="n">
        <v>57.4803</v>
      </c>
      <c r="C71" s="0" t="n">
        <v>60.6299</v>
      </c>
      <c r="D71" s="0" t="n">
        <v>57.4803</v>
      </c>
      <c r="E71" s="0" t="n">
        <v>59.8425</v>
      </c>
      <c r="F71" s="0" t="n">
        <v>65.3543</v>
      </c>
      <c r="G71" s="0" t="n">
        <f aca="false">AVERAGE(B71:F71)</f>
        <v>60.15746</v>
      </c>
      <c r="I71" s="0" t="s">
        <v>45</v>
      </c>
      <c r="J71" s="0" t="n">
        <v>57.4803</v>
      </c>
      <c r="K71" s="0" t="n">
        <v>60.6299</v>
      </c>
      <c r="L71" s="0" t="n">
        <v>57.4803</v>
      </c>
      <c r="M71" s="0" t="n">
        <v>59.8425</v>
      </c>
      <c r="N71" s="0" t="n">
        <v>65.3543</v>
      </c>
      <c r="O71" s="17" t="n">
        <f aca="false">AVERAGE(J71:N71)</f>
        <v>60.15746</v>
      </c>
    </row>
    <row r="72" customFormat="false" ht="15" hidden="false" customHeight="false" outlineLevel="0" collapsed="false">
      <c r="A72" s="0" t="s">
        <v>61</v>
      </c>
      <c r="B72" s="0" t="n">
        <f aca="false">AVERAGE(B66:B71)</f>
        <v>59.0093833333333</v>
      </c>
      <c r="C72" s="0" t="n">
        <f aca="false">AVERAGE(C66:C71)</f>
        <v>59.0143333333333</v>
      </c>
      <c r="D72" s="0" t="n">
        <f aca="false">AVERAGE(D66:D71)</f>
        <v>60.6511</v>
      </c>
      <c r="E72" s="0" t="n">
        <f aca="false">AVERAGE(E66:E71)</f>
        <v>63.3914833333333</v>
      </c>
      <c r="F72" s="18" t="n">
        <f aca="false">AVERAGE(F66:F71)</f>
        <v>63.928</v>
      </c>
      <c r="G72" s="0" t="n">
        <f aca="false">AVERAGE(G66:G71)</f>
        <v>61.19886</v>
      </c>
      <c r="I72" s="0" t="s">
        <v>61</v>
      </c>
      <c r="J72" s="20" t="n">
        <f aca="false">AVERAGE(J66:J71)</f>
        <v>59.0093833333333</v>
      </c>
      <c r="K72" s="20" t="n">
        <f aca="false">AVERAGE(K66:K71)</f>
        <v>59.0143333333333</v>
      </c>
      <c r="L72" s="20" t="n">
        <f aca="false">AVERAGE(L66:L71)</f>
        <v>60.6511</v>
      </c>
      <c r="M72" s="20" t="n">
        <f aca="false">AVERAGE(M66:M71)</f>
        <v>63.3914833333333</v>
      </c>
      <c r="N72" s="21" t="n">
        <f aca="false">AVERAGE(N66:N71)</f>
        <v>63.928</v>
      </c>
      <c r="O72" s="22" t="n">
        <f aca="false">AVERAGE(O66:O71)</f>
        <v>61.19886</v>
      </c>
    </row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mergeCells count="16">
    <mergeCell ref="A1:T1"/>
    <mergeCell ref="A3:B3"/>
    <mergeCell ref="A4:B4"/>
    <mergeCell ref="A5:B5"/>
    <mergeCell ref="A7:G7"/>
    <mergeCell ref="A8:T8"/>
    <mergeCell ref="A17:G17"/>
    <mergeCell ref="A18:T18"/>
    <mergeCell ref="A27:G27"/>
    <mergeCell ref="A28:T28"/>
    <mergeCell ref="A37:G37"/>
    <mergeCell ref="A38:T38"/>
    <mergeCell ref="A47:G47"/>
    <mergeCell ref="A48:T48"/>
    <mergeCell ref="A64:G64"/>
    <mergeCell ref="I64:O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43C0B"/>
    <pageSetUpPr fitToPage="fals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A81:E91 E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11.57"/>
    <col collapsed="false" customWidth="true" hidden="false" outlineLevel="0" max="3" min="3" style="0" width="9.7"/>
    <col collapsed="false" customWidth="true" hidden="false" outlineLevel="0" max="4" min="4" style="0" width="9.26"/>
    <col collapsed="false" customWidth="true" hidden="false" outlineLevel="0" max="5" min="5" style="0" width="10.25"/>
    <col collapsed="false" customWidth="true" hidden="false" outlineLevel="0" max="6" min="6" style="0" width="14"/>
    <col collapsed="false" customWidth="true" hidden="false" outlineLevel="0" max="7" min="7" style="0" width="13.71"/>
  </cols>
  <sheetData>
    <row r="1" customFormat="false" ht="19.5" hidden="false" customHeight="false" outlineLevel="0" collapsed="false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customFormat="false" ht="15" hidden="false" customHeight="false" outlineLevel="0" collapsed="false">
      <c r="A3" s="13" t="s">
        <v>5</v>
      </c>
      <c r="B3" s="13"/>
      <c r="C3" s="13"/>
      <c r="D3" s="13"/>
      <c r="E3" s="13"/>
      <c r="F3" s="13"/>
      <c r="G3" s="13"/>
    </row>
    <row r="4" customFormat="false" ht="15.75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5.75" hidden="false" customHeight="false" outlineLevel="0" collapsed="false">
      <c r="A5" s="7" t="s">
        <v>39</v>
      </c>
      <c r="B5" s="7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7" t="s">
        <v>20</v>
      </c>
      <c r="Q5" s="7" t="s">
        <v>21</v>
      </c>
      <c r="R5" s="7" t="s">
        <v>22</v>
      </c>
      <c r="S5" s="7" t="s">
        <v>23</v>
      </c>
      <c r="T5" s="7" t="s">
        <v>24</v>
      </c>
      <c r="U5" s="7" t="s">
        <v>25</v>
      </c>
    </row>
    <row r="6" customFormat="false" ht="13.8" hidden="false" customHeight="false" outlineLevel="0" collapsed="false">
      <c r="A6" s="0" t="s">
        <v>40</v>
      </c>
      <c r="B6" s="0" t="n">
        <v>35</v>
      </c>
      <c r="C6" s="0" t="n">
        <v>42</v>
      </c>
      <c r="D6" s="0" t="n">
        <v>26</v>
      </c>
      <c r="E6" s="0" t="n">
        <v>51</v>
      </c>
      <c r="F6" s="0" t="n">
        <v>17</v>
      </c>
      <c r="G6" s="0" t="n">
        <f aca="false">Tabla351081315361014[[#This Row],[no_efec_cor]]+Tabla351081315361014[[#This Row],[efec_cor]]</f>
        <v>93</v>
      </c>
      <c r="H6" s="0" t="n">
        <f aca="false">Tabla351081315361014[[#This Row],[no_efec_inc]]+Tabla351081315361014[[#This Row],[efect_inc]]</f>
        <v>43</v>
      </c>
      <c r="I6" s="9" t="n">
        <f aca="false">Tabla351081315361014[[#This Row],[Correctos]]/Tabla351081315361014[[#This Row],[total_sec]]</f>
        <v>0.683823529411765</v>
      </c>
      <c r="J6" s="9" t="n">
        <f aca="false">Tabla351081315361014[[#This Row],[efec_cor]]/Tabla351081315361014[[#This Row],[efec]]</f>
        <v>0.75</v>
      </c>
      <c r="K6" s="9" t="n">
        <f aca="false">Tabla351081315361014[[#This Row],[efect_inc]]/Tabla351081315361014[[#This Row],[efec]]</f>
        <v>0.25</v>
      </c>
      <c r="L6" s="9" t="n">
        <f aca="false">Tabla351081315361014[[#This Row],[no_efec_cor]]/Tabla351081315361014[[#This Row],[no_efe]]</f>
        <v>0.617647058823529</v>
      </c>
      <c r="M6" s="9" t="n">
        <f aca="false">Tabla351081315361014[[#This Row],[no_efec_inc]]/Tabla351081315361014[[#This Row],[no_efe]]</f>
        <v>0.382352941176471</v>
      </c>
      <c r="N6" s="9" t="n">
        <f aca="false">(Tabla351081315361014[[#This Row],[% efe_cor]]+Tabla351081315361014[[#This Row],[% no_efe_cor]])/2</f>
        <v>0.683823529411765</v>
      </c>
      <c r="O6" s="10" t="n">
        <f aca="false">(Tabla351081315361014[[#This Row],[% efe_inc]]+Tabla351081315361014[[#This Row],[% no_efect_inc]])/2</f>
        <v>0.316176470588235</v>
      </c>
      <c r="P6" s="11" t="n">
        <f aca="false">Tabla351081315361014[[#This Row],[no_efec_cor]]/(Tabla351081315361014[[#This Row],[efect_inc]]+Tabla351081315361014[[#This Row],[no_efec_cor]])</f>
        <v>0.711864406779661</v>
      </c>
      <c r="Q6" s="11" t="n">
        <f aca="false">Tabla351081315361014[[#This Row],[efec_cor]]/(Tabla351081315361014[[#This Row],[efec_cor]]+Tabla351081315361014[[#This Row],[no_efec_inc]])</f>
        <v>0.662337662337662</v>
      </c>
      <c r="R6" s="11" t="n">
        <f aca="false">(Tabla351081315361014[[#This Row],[PNE]]+Tabla351081315361014[[#This Row],[PE]])/2</f>
        <v>0.687101034558662</v>
      </c>
      <c r="S6" s="0" t="n">
        <v>68</v>
      </c>
      <c r="T6" s="0" t="n">
        <v>68</v>
      </c>
      <c r="U6" s="0" t="n">
        <f aca="false">Tabla351081315361014[[#This Row],[efec]]+Tabla351081315361014[[#This Row],[no_efe]]</f>
        <v>136</v>
      </c>
    </row>
    <row r="7" customFormat="false" ht="13.8" hidden="false" customHeight="false" outlineLevel="0" collapsed="false">
      <c r="A7" s="0" t="s">
        <v>41</v>
      </c>
      <c r="B7" s="0" t="n">
        <v>1</v>
      </c>
      <c r="C7" s="0" t="n">
        <v>56</v>
      </c>
      <c r="D7" s="0" t="n">
        <v>21</v>
      </c>
      <c r="E7" s="0" t="n">
        <v>46</v>
      </c>
      <c r="F7" s="0" t="n">
        <v>32</v>
      </c>
      <c r="G7" s="0" t="n">
        <f aca="false">Tabla351081315361014[[#This Row],[no_efec_cor]]+Tabla351081315361014[[#This Row],[efec_cor]]</f>
        <v>102</v>
      </c>
      <c r="H7" s="0" t="n">
        <f aca="false">Tabla351081315361014[[#This Row],[no_efec_inc]]+Tabla351081315361014[[#This Row],[efect_inc]]</f>
        <v>53</v>
      </c>
      <c r="I7" s="9" t="n">
        <f aca="false">Tabla351081315361014[[#This Row],[Correctos]]/Tabla351081315361014[[#This Row],[total_sec]]</f>
        <v>0.658064516129032</v>
      </c>
      <c r="J7" s="9" t="n">
        <f aca="false">Tabla351081315361014[[#This Row],[efec_cor]]/Tabla351081315361014[[#This Row],[efec]]</f>
        <v>0.58974358974359</v>
      </c>
      <c r="K7" s="9" t="n">
        <f aca="false">Tabla351081315361014[[#This Row],[efect_inc]]/Tabla351081315361014[[#This Row],[efec]]</f>
        <v>0.41025641025641</v>
      </c>
      <c r="L7" s="9" t="n">
        <f aca="false">Tabla351081315361014[[#This Row],[no_efec_cor]]/Tabla351081315361014[[#This Row],[no_efe]]</f>
        <v>0.727272727272727</v>
      </c>
      <c r="M7" s="9" t="n">
        <f aca="false">Tabla351081315361014[[#This Row],[no_efec_inc]]/Tabla351081315361014[[#This Row],[no_efe]]</f>
        <v>0.272727272727273</v>
      </c>
      <c r="N7" s="9" t="n">
        <f aca="false">(Tabla351081315361014[[#This Row],[% efe_cor]]+Tabla351081315361014[[#This Row],[% no_efe_cor]])/2</f>
        <v>0.658508158508159</v>
      </c>
      <c r="O7" s="10" t="n">
        <f aca="false">(Tabla351081315361014[[#This Row],[% efe_inc]]+Tabla351081315361014[[#This Row],[% no_efect_inc]])/2</f>
        <v>0.341491841491841</v>
      </c>
      <c r="P7" s="11" t="n">
        <f aca="false">Tabla351081315361014[[#This Row],[no_efec_cor]]/(Tabla351081315361014[[#This Row],[efect_inc]]+Tabla351081315361014[[#This Row],[no_efec_cor]])</f>
        <v>0.636363636363636</v>
      </c>
      <c r="Q7" s="11" t="n">
        <f aca="false">Tabla351081315361014[[#This Row],[efec_cor]]/(Tabla351081315361014[[#This Row],[efec_cor]]+Tabla351081315361014[[#This Row],[no_efec_inc]])</f>
        <v>0.686567164179104</v>
      </c>
      <c r="R7" s="11" t="n">
        <f aca="false">(Tabla351081315361014[[#This Row],[PNE]]+Tabla351081315361014[[#This Row],[PE]])/2</f>
        <v>0.66146540027137</v>
      </c>
      <c r="S7" s="0" t="n">
        <v>78</v>
      </c>
      <c r="T7" s="0" t="n">
        <v>77</v>
      </c>
      <c r="U7" s="0" t="n">
        <f aca="false">Tabla351081315361014[[#This Row],[efec]]+Tabla351081315361014[[#This Row],[no_efe]]</f>
        <v>155</v>
      </c>
    </row>
    <row r="8" customFormat="false" ht="13.8" hidden="false" customHeight="false" outlineLevel="0" collapsed="false">
      <c r="A8" s="0" t="s">
        <v>42</v>
      </c>
      <c r="B8" s="0" t="n">
        <v>5</v>
      </c>
      <c r="C8" s="0" t="n">
        <v>51</v>
      </c>
      <c r="D8" s="0" t="n">
        <v>28</v>
      </c>
      <c r="E8" s="0" t="n">
        <v>47</v>
      </c>
      <c r="F8" s="0" t="n">
        <v>28</v>
      </c>
      <c r="G8" s="0" t="n">
        <f aca="false">Tabla351081315361014[[#This Row],[no_efec_cor]]+Tabla351081315361014[[#This Row],[efec_cor]]</f>
        <v>98</v>
      </c>
      <c r="H8" s="0" t="n">
        <f aca="false">Tabla351081315361014[[#This Row],[no_efec_inc]]+Tabla351081315361014[[#This Row],[efect_inc]]</f>
        <v>56</v>
      </c>
      <c r="I8" s="9" t="n">
        <f aca="false">Tabla351081315361014[[#This Row],[Correctos]]/Tabla351081315361014[[#This Row],[total_sec]]</f>
        <v>0.636363636363636</v>
      </c>
      <c r="J8" s="9" t="n">
        <f aca="false">Tabla351081315361014[[#This Row],[efec_cor]]/Tabla351081315361014[[#This Row],[efec]]</f>
        <v>0.626666666666667</v>
      </c>
      <c r="K8" s="9" t="n">
        <f aca="false">Tabla351081315361014[[#This Row],[efect_inc]]/Tabla351081315361014[[#This Row],[efec]]</f>
        <v>0.373333333333333</v>
      </c>
      <c r="L8" s="9" t="n">
        <f aca="false">Tabla351081315361014[[#This Row],[no_efec_cor]]/Tabla351081315361014[[#This Row],[no_efe]]</f>
        <v>0.645569620253165</v>
      </c>
      <c r="M8" s="9" t="n">
        <f aca="false">Tabla351081315361014[[#This Row],[no_efec_inc]]/Tabla351081315361014[[#This Row],[no_efe]]</f>
        <v>0.354430379746835</v>
      </c>
      <c r="N8" s="9" t="n">
        <f aca="false">(Tabla351081315361014[[#This Row],[% efe_cor]]+Tabla351081315361014[[#This Row],[% no_efe_cor]])/2</f>
        <v>0.636118143459916</v>
      </c>
      <c r="O8" s="10" t="n">
        <f aca="false">(Tabla351081315361014[[#This Row],[% efe_inc]]+Tabla351081315361014[[#This Row],[% no_efect_inc]])/2</f>
        <v>0.363881856540084</v>
      </c>
      <c r="P8" s="11" t="n">
        <f aca="false">Tabla351081315361014[[#This Row],[no_efec_cor]]/(Tabla351081315361014[[#This Row],[efect_inc]]+Tabla351081315361014[[#This Row],[no_efec_cor]])</f>
        <v>0.645569620253165</v>
      </c>
      <c r="Q8" s="11" t="n">
        <f aca="false">Tabla351081315361014[[#This Row],[efec_cor]]/(Tabla351081315361014[[#This Row],[efec_cor]]+Tabla351081315361014[[#This Row],[no_efec_inc]])</f>
        <v>0.626666666666667</v>
      </c>
      <c r="R8" s="11" t="n">
        <f aca="false">(Tabla351081315361014[[#This Row],[PNE]]+Tabla351081315361014[[#This Row],[PE]])/2</f>
        <v>0.636118143459916</v>
      </c>
      <c r="S8" s="0" t="n">
        <v>75</v>
      </c>
      <c r="T8" s="0" t="n">
        <v>79</v>
      </c>
      <c r="U8" s="0" t="n">
        <f aca="false">Tabla351081315361014[[#This Row],[efec]]+Tabla351081315361014[[#This Row],[no_efe]]</f>
        <v>154</v>
      </c>
    </row>
    <row r="9" customFormat="false" ht="13.8" hidden="false" customHeight="false" outlineLevel="0" collapsed="false">
      <c r="A9" s="0" t="s">
        <v>43</v>
      </c>
      <c r="B9" s="0" t="n">
        <v>1</v>
      </c>
      <c r="C9" s="0" t="n">
        <v>46</v>
      </c>
      <c r="D9" s="0" t="n">
        <v>15</v>
      </c>
      <c r="E9" s="0" t="n">
        <v>49</v>
      </c>
      <c r="F9" s="0" t="n">
        <v>16</v>
      </c>
      <c r="G9" s="0" t="n">
        <f aca="false">Tabla351081315361014[[#This Row],[no_efec_cor]]+Tabla351081315361014[[#This Row],[efec_cor]]</f>
        <v>95</v>
      </c>
      <c r="H9" s="0" t="n">
        <f aca="false">Tabla351081315361014[[#This Row],[no_efec_inc]]+Tabla351081315361014[[#This Row],[efect_inc]]</f>
        <v>31</v>
      </c>
      <c r="I9" s="9" t="n">
        <f aca="false">Tabla351081315361014[[#This Row],[Correctos]]/Tabla351081315361014[[#This Row],[total_sec]]</f>
        <v>0.753968253968254</v>
      </c>
      <c r="J9" s="9" t="n">
        <f aca="false">Tabla351081315361014[[#This Row],[efec_cor]]/Tabla351081315361014[[#This Row],[efec]]</f>
        <v>0.753846153846154</v>
      </c>
      <c r="K9" s="9" t="n">
        <f aca="false">Tabla351081315361014[[#This Row],[efect_inc]]/Tabla351081315361014[[#This Row],[efec]]</f>
        <v>0.246153846153846</v>
      </c>
      <c r="L9" s="9" t="n">
        <f aca="false">Tabla351081315361014[[#This Row],[no_efec_cor]]/Tabla351081315361014[[#This Row],[no_efe]]</f>
        <v>0.754098360655738</v>
      </c>
      <c r="M9" s="9" t="n">
        <f aca="false">Tabla351081315361014[[#This Row],[no_efec_inc]]/Tabla351081315361014[[#This Row],[no_efe]]</f>
        <v>0.245901639344262</v>
      </c>
      <c r="N9" s="9" t="n">
        <f aca="false">(Tabla351081315361014[[#This Row],[% efe_cor]]+Tabla351081315361014[[#This Row],[% no_efe_cor]])/2</f>
        <v>0.753972257250946</v>
      </c>
      <c r="O9" s="10" t="n">
        <f aca="false">(Tabla351081315361014[[#This Row],[% efe_inc]]+Tabla351081315361014[[#This Row],[% no_efect_inc]])/2</f>
        <v>0.246027742749054</v>
      </c>
      <c r="P9" s="11" t="n">
        <f aca="false">Tabla351081315361014[[#This Row],[no_efec_cor]]/(Tabla351081315361014[[#This Row],[efect_inc]]+Tabla351081315361014[[#This Row],[no_efec_cor]])</f>
        <v>0.741935483870968</v>
      </c>
      <c r="Q9" s="11" t="n">
        <f aca="false">Tabla351081315361014[[#This Row],[efec_cor]]/(Tabla351081315361014[[#This Row],[efec_cor]]+Tabla351081315361014[[#This Row],[no_efec_inc]])</f>
        <v>0.765625</v>
      </c>
      <c r="R9" s="11" t="n">
        <f aca="false">(Tabla351081315361014[[#This Row],[PNE]]+Tabla351081315361014[[#This Row],[PE]])/2</f>
        <v>0.753780241935484</v>
      </c>
      <c r="S9" s="0" t="n">
        <v>65</v>
      </c>
      <c r="T9" s="0" t="n">
        <v>61</v>
      </c>
      <c r="U9" s="0" t="n">
        <f aca="false">Tabla351081315361014[[#This Row],[efec]]+Tabla351081315361014[[#This Row],[no_efe]]</f>
        <v>126</v>
      </c>
    </row>
    <row r="10" customFormat="false" ht="13.8" hidden="false" customHeight="false" outlineLevel="0" collapsed="false">
      <c r="A10" s="0" t="s">
        <v>44</v>
      </c>
      <c r="B10" s="0" t="n">
        <v>1</v>
      </c>
      <c r="C10" s="0" t="n">
        <v>48</v>
      </c>
      <c r="D10" s="0" t="n">
        <v>17</v>
      </c>
      <c r="E10" s="0" t="n">
        <v>41</v>
      </c>
      <c r="F10" s="0" t="n">
        <v>21</v>
      </c>
      <c r="G10" s="0" t="n">
        <f aca="false">Tabla351081315361014[[#This Row],[no_efec_cor]]+Tabla351081315361014[[#This Row],[efec_cor]]</f>
        <v>89</v>
      </c>
      <c r="H10" s="0" t="n">
        <f aca="false">Tabla351081315361014[[#This Row],[no_efec_inc]]+Tabla351081315361014[[#This Row],[efect_inc]]</f>
        <v>38</v>
      </c>
      <c r="I10" s="9" t="n">
        <f aca="false">Tabla351081315361014[[#This Row],[Correctos]]/Tabla351081315361014[[#This Row],[total_sec]]</f>
        <v>0.700787401574803</v>
      </c>
      <c r="J10" s="9" t="n">
        <f aca="false">Tabla351081315361014[[#This Row],[efec_cor]]/Tabla351081315361014[[#This Row],[efec]]</f>
        <v>0.661290322580645</v>
      </c>
      <c r="K10" s="9" t="n">
        <f aca="false">Tabla351081315361014[[#This Row],[efect_inc]]/Tabla351081315361014[[#This Row],[efec]]</f>
        <v>0.338709677419355</v>
      </c>
      <c r="L10" s="9" t="n">
        <f aca="false">Tabla351081315361014[[#This Row],[no_efec_cor]]/Tabla351081315361014[[#This Row],[no_efe]]</f>
        <v>0.738461538461539</v>
      </c>
      <c r="M10" s="9" t="n">
        <f aca="false">Tabla351081315361014[[#This Row],[no_efec_inc]]/Tabla351081315361014[[#This Row],[no_efe]]</f>
        <v>0.261538461538462</v>
      </c>
      <c r="N10" s="9" t="n">
        <f aca="false">(Tabla351081315361014[[#This Row],[% efe_cor]]+Tabla351081315361014[[#This Row],[% no_efe_cor]])/2</f>
        <v>0.699875930521092</v>
      </c>
      <c r="O10" s="10" t="n">
        <f aca="false">(Tabla351081315361014[[#This Row],[% efe_inc]]+Tabla351081315361014[[#This Row],[% no_efect_inc]])/2</f>
        <v>0.300124069478908</v>
      </c>
      <c r="P10" s="11" t="n">
        <f aca="false">Tabla351081315361014[[#This Row],[no_efec_cor]]/(Tabla351081315361014[[#This Row],[efect_inc]]+Tabla351081315361014[[#This Row],[no_efec_cor]])</f>
        <v>0.695652173913043</v>
      </c>
      <c r="Q10" s="11" t="n">
        <f aca="false">Tabla351081315361014[[#This Row],[efec_cor]]/(Tabla351081315361014[[#This Row],[efec_cor]]+Tabla351081315361014[[#This Row],[no_efec_inc]])</f>
        <v>0.706896551724138</v>
      </c>
      <c r="R10" s="11" t="n">
        <f aca="false">(Tabla351081315361014[[#This Row],[PNE]]+Tabla351081315361014[[#This Row],[PE]])/2</f>
        <v>0.701274362818591</v>
      </c>
      <c r="S10" s="0" t="n">
        <v>62</v>
      </c>
      <c r="T10" s="0" t="n">
        <v>65</v>
      </c>
      <c r="U10" s="0" t="n">
        <f aca="false">Tabla351081315361014[[#This Row],[efec]]+Tabla351081315361014[[#This Row],[no_efe]]</f>
        <v>127</v>
      </c>
    </row>
    <row r="11" customFormat="false" ht="13.8" hidden="false" customHeight="false" outlineLevel="0" collapsed="false">
      <c r="A11" s="0" t="s">
        <v>45</v>
      </c>
      <c r="B11" s="0" t="n">
        <v>1</v>
      </c>
      <c r="C11" s="0" t="n">
        <v>49</v>
      </c>
      <c r="D11" s="0" t="n">
        <v>15</v>
      </c>
      <c r="E11" s="0" t="n">
        <v>38</v>
      </c>
      <c r="F11" s="0" t="n">
        <v>28</v>
      </c>
      <c r="G11" s="0" t="n">
        <f aca="false">Tabla351081315361014[[#This Row],[no_efec_cor]]+Tabla351081315361014[[#This Row],[efec_cor]]</f>
        <v>87</v>
      </c>
      <c r="H11" s="0" t="n">
        <f aca="false">Tabla351081315361014[[#This Row],[no_efec_inc]]+Tabla351081315361014[[#This Row],[efect_inc]]</f>
        <v>43</v>
      </c>
      <c r="I11" s="9" t="n">
        <f aca="false">Tabla351081315361014[[#This Row],[Correctos]]/Tabla351081315361014[[#This Row],[total_sec]]</f>
        <v>0.68503937007874</v>
      </c>
      <c r="J11" s="9" t="n">
        <f aca="false">Tabla351081315361014[[#This Row],[efec_cor]]/Tabla351081315361014[[#This Row],[efec]]</f>
        <v>0.603174603174603</v>
      </c>
      <c r="K11" s="9" t="n">
        <f aca="false">Tabla351081315361014[[#This Row],[efect_inc]]/Tabla351081315361014[[#This Row],[efec]]</f>
        <v>0.444444444444444</v>
      </c>
      <c r="L11" s="9" t="n">
        <f aca="false">Tabla351081315361014[[#This Row],[no_efec_cor]]/Tabla351081315361014[[#This Row],[no_efe]]</f>
        <v>0.765625</v>
      </c>
      <c r="M11" s="9" t="n">
        <f aca="false">Tabla351081315361014[[#This Row],[no_efec_inc]]/Tabla351081315361014[[#This Row],[no_efe]]</f>
        <v>0.234375</v>
      </c>
      <c r="N11" s="9" t="n">
        <f aca="false">(Tabla351081315361014[[#This Row],[% efe_cor]]+Tabla351081315361014[[#This Row],[% no_efe_cor]])/2</f>
        <v>0.684399801587302</v>
      </c>
      <c r="O11" s="10" t="n">
        <f aca="false">(Tabla351081315361014[[#This Row],[% efe_inc]]+Tabla351081315361014[[#This Row],[% no_efect_inc]])/2</f>
        <v>0.339409722222222</v>
      </c>
      <c r="P11" s="11" t="n">
        <f aca="false">Tabla351081315361014[[#This Row],[no_efec_cor]]/(Tabla351081315361014[[#This Row],[efect_inc]]+Tabla351081315361014[[#This Row],[no_efec_cor]])</f>
        <v>0.636363636363636</v>
      </c>
      <c r="Q11" s="11" t="n">
        <f aca="false">Tabla351081315361014[[#This Row],[efec_cor]]/(Tabla351081315361014[[#This Row],[efec_cor]]+Tabla351081315361014[[#This Row],[no_efec_inc]])</f>
        <v>0.716981132075472</v>
      </c>
      <c r="R11" s="11" t="n">
        <f aca="false">(Tabla351081315361014[[#This Row],[PNE]]+Tabla351081315361014[[#This Row],[PE]])/2</f>
        <v>0.676672384219554</v>
      </c>
      <c r="S11" s="0" t="n">
        <v>63</v>
      </c>
      <c r="T11" s="0" t="n">
        <v>64</v>
      </c>
      <c r="U11" s="0" t="n">
        <f aca="false">Tabla351081315361014[[#This Row],[efec]]+Tabla351081315361014[[#This Row],[no_efe]]</f>
        <v>127</v>
      </c>
    </row>
    <row r="13" customFormat="false" ht="15" hidden="false" customHeight="false" outlineLevel="0" collapsed="false">
      <c r="A13" s="13" t="s">
        <v>5</v>
      </c>
      <c r="B13" s="13"/>
      <c r="C13" s="13"/>
      <c r="D13" s="13"/>
      <c r="E13" s="13"/>
      <c r="F13" s="13"/>
      <c r="G13" s="13"/>
    </row>
    <row r="14" customFormat="false" ht="15.75" hidden="false" customHeight="false" outlineLevel="0" collapsed="false">
      <c r="A14" s="2" t="s">
        <v>63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5.75" hidden="false" customHeight="false" outlineLevel="0" collapsed="false">
      <c r="A15" s="7" t="s">
        <v>39</v>
      </c>
      <c r="B15" s="7" t="s">
        <v>27</v>
      </c>
      <c r="C15" s="7" t="s">
        <v>28</v>
      </c>
      <c r="D15" s="8" t="s">
        <v>7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  <c r="J15" s="7" t="s">
        <v>13</v>
      </c>
      <c r="K15" s="7" t="s">
        <v>14</v>
      </c>
      <c r="L15" s="7" t="s">
        <v>15</v>
      </c>
      <c r="M15" s="7" t="s">
        <v>16</v>
      </c>
      <c r="N15" s="7" t="s">
        <v>17</v>
      </c>
      <c r="O15" s="7" t="s">
        <v>18</v>
      </c>
      <c r="P15" s="7" t="s">
        <v>19</v>
      </c>
      <c r="Q15" s="7" t="s">
        <v>20</v>
      </c>
      <c r="R15" s="7" t="s">
        <v>21</v>
      </c>
      <c r="S15" s="7" t="s">
        <v>22</v>
      </c>
      <c r="T15" s="7" t="s">
        <v>23</v>
      </c>
      <c r="U15" s="7" t="s">
        <v>24</v>
      </c>
      <c r="V15" s="7" t="s">
        <v>25</v>
      </c>
    </row>
    <row r="16" customFormat="false" ht="13.8" hidden="false" customHeight="false" outlineLevel="0" collapsed="false">
      <c r="A16" s="0" t="s">
        <v>40</v>
      </c>
      <c r="B16" s="0" t="n">
        <v>1</v>
      </c>
      <c r="C16" s="0" t="n">
        <v>5</v>
      </c>
      <c r="D16" s="0" t="n">
        <v>40</v>
      </c>
      <c r="E16" s="0" t="n">
        <v>28</v>
      </c>
      <c r="F16" s="0" t="n">
        <v>58</v>
      </c>
      <c r="G16" s="0" t="n">
        <v>10</v>
      </c>
      <c r="H16" s="0" t="n">
        <f aca="false">Tabla35108131536101415[[#This Row],[no_efec_cor]]+Tabla35108131536101415[[#This Row],[efec_cor]]</f>
        <v>98</v>
      </c>
      <c r="I16" s="0" t="n">
        <f aca="false">Tabla35108131536101415[[#This Row],[no_efec_inc]]+Tabla35108131536101415[[#This Row],[efect_inc]]</f>
        <v>38</v>
      </c>
      <c r="J16" s="9" t="n">
        <f aca="false">Tabla35108131536101415[[#This Row],[Correctos]]/Tabla35108131536101415[[#This Row],[total_sec]]</f>
        <v>0.720588235294118</v>
      </c>
      <c r="K16" s="9" t="n">
        <f aca="false">Tabla35108131536101415[[#This Row],[efec_cor]]/Tabla35108131536101415[[#This Row],[efec]]</f>
        <v>0.852941176470588</v>
      </c>
      <c r="L16" s="9" t="n">
        <f aca="false">Tabla35108131536101415[[#This Row],[efect_inc]]/Tabla35108131536101415[[#This Row],[efec]]</f>
        <v>0.147058823529412</v>
      </c>
      <c r="M16" s="9" t="n">
        <f aca="false">Tabla35108131536101415[[#This Row],[no_efec_cor]]/Tabla35108131536101415[[#This Row],[no_efe]]</f>
        <v>0.588235294117647</v>
      </c>
      <c r="N16" s="9" t="n">
        <f aca="false">Tabla35108131536101415[[#This Row],[no_efec_inc]]/Tabla35108131536101415[[#This Row],[no_efe]]</f>
        <v>0.411764705882353</v>
      </c>
      <c r="O16" s="9" t="n">
        <f aca="false">(Tabla35108131536101415[[#This Row],[% efe_cor]]+Tabla35108131536101415[[#This Row],[% no_efe_cor]])/2</f>
        <v>0.720588235294118</v>
      </c>
      <c r="P16" s="10" t="n">
        <f aca="false">(Tabla35108131536101415[[#This Row],[% efe_inc]]+Tabla35108131536101415[[#This Row],[% no_efect_inc]])/2</f>
        <v>0.279411764705882</v>
      </c>
      <c r="Q16" s="11" t="n">
        <f aca="false">Tabla35108131536101415[[#This Row],[no_efec_cor]]/(Tabla35108131536101415[[#This Row],[efect_inc]]+Tabla35108131536101415[[#This Row],[no_efec_cor]])</f>
        <v>0.8</v>
      </c>
      <c r="R16" s="11" t="n">
        <f aca="false">Tabla35108131536101415[[#This Row],[efec_cor]]/(Tabla35108131536101415[[#This Row],[efec_cor]]+Tabla35108131536101415[[#This Row],[no_efec_inc]])</f>
        <v>0.674418604651163</v>
      </c>
      <c r="S16" s="11" t="n">
        <f aca="false">(Tabla35108131536101415[[#This Row],[PNE]]+Tabla35108131536101415[[#This Row],[PE]])/2</f>
        <v>0.737209302325581</v>
      </c>
      <c r="T16" s="0" t="n">
        <v>68</v>
      </c>
      <c r="U16" s="0" t="n">
        <v>68</v>
      </c>
      <c r="V16" s="0" t="n">
        <f aca="false">Tabla35108131536101415[[#This Row],[efec]]+Tabla35108131536101415[[#This Row],[no_efe]]</f>
        <v>136</v>
      </c>
    </row>
    <row r="17" customFormat="false" ht="13.8" hidden="false" customHeight="false" outlineLevel="0" collapsed="false">
      <c r="A17" s="0" t="s">
        <v>41</v>
      </c>
      <c r="B17" s="0" t="n">
        <v>1</v>
      </c>
      <c r="C17" s="0" t="n">
        <v>5</v>
      </c>
      <c r="D17" s="0" t="n">
        <v>50</v>
      </c>
      <c r="E17" s="0" t="n">
        <v>27</v>
      </c>
      <c r="F17" s="0" t="n">
        <v>61</v>
      </c>
      <c r="G17" s="0" t="n">
        <v>17</v>
      </c>
      <c r="H17" s="0" t="n">
        <f aca="false">Tabla35108131536101415[[#This Row],[no_efec_cor]]+Tabla35108131536101415[[#This Row],[efec_cor]]</f>
        <v>111</v>
      </c>
      <c r="I17" s="0" t="n">
        <f aca="false">Tabla35108131536101415[[#This Row],[no_efec_inc]]+Tabla35108131536101415[[#This Row],[efect_inc]]</f>
        <v>44</v>
      </c>
      <c r="J17" s="9" t="n">
        <f aca="false">Tabla35108131536101415[[#This Row],[Correctos]]/Tabla35108131536101415[[#This Row],[total_sec]]</f>
        <v>0.716129032258065</v>
      </c>
      <c r="K17" s="9" t="n">
        <f aca="false">Tabla35108131536101415[[#This Row],[efec_cor]]/Tabla35108131536101415[[#This Row],[efec]]</f>
        <v>0.782051282051282</v>
      </c>
      <c r="L17" s="9" t="n">
        <f aca="false">Tabla35108131536101415[[#This Row],[efect_inc]]/Tabla35108131536101415[[#This Row],[efec]]</f>
        <v>0.217948717948718</v>
      </c>
      <c r="M17" s="9" t="n">
        <f aca="false">Tabla35108131536101415[[#This Row],[no_efec_cor]]/Tabla35108131536101415[[#This Row],[no_efe]]</f>
        <v>0.649350649350649</v>
      </c>
      <c r="N17" s="9" t="n">
        <f aca="false">Tabla35108131536101415[[#This Row],[no_efec_inc]]/Tabla35108131536101415[[#This Row],[no_efe]]</f>
        <v>0.350649350649351</v>
      </c>
      <c r="O17" s="9" t="n">
        <f aca="false">(Tabla35108131536101415[[#This Row],[% efe_cor]]+Tabla35108131536101415[[#This Row],[% no_efe_cor]])/2</f>
        <v>0.715700965700966</v>
      </c>
      <c r="P17" s="10" t="n">
        <f aca="false">(Tabla35108131536101415[[#This Row],[% efe_inc]]+Tabla35108131536101415[[#This Row],[% no_efect_inc]])/2</f>
        <v>0.284299034299034</v>
      </c>
      <c r="Q17" s="11" t="n">
        <f aca="false">Tabla35108131536101415[[#This Row],[no_efec_cor]]/(Tabla35108131536101415[[#This Row],[efect_inc]]+Tabla35108131536101415[[#This Row],[no_efec_cor]])</f>
        <v>0.746268656716418</v>
      </c>
      <c r="R17" s="11" t="n">
        <f aca="false">Tabla35108131536101415[[#This Row],[efec_cor]]/(Tabla35108131536101415[[#This Row],[efec_cor]]+Tabla35108131536101415[[#This Row],[no_efec_inc]])</f>
        <v>0.693181818181818</v>
      </c>
      <c r="S17" s="11" t="n">
        <f aca="false">(Tabla35108131536101415[[#This Row],[PNE]]+Tabla35108131536101415[[#This Row],[PE]])/2</f>
        <v>0.719725237449118</v>
      </c>
      <c r="T17" s="0" t="n">
        <v>78</v>
      </c>
      <c r="U17" s="0" t="n">
        <v>77</v>
      </c>
      <c r="V17" s="0" t="n">
        <f aca="false">Tabla35108131536101415[[#This Row],[efec]]+Tabla35108131536101415[[#This Row],[no_efe]]</f>
        <v>155</v>
      </c>
    </row>
    <row r="18" customFormat="false" ht="13.8" hidden="false" customHeight="false" outlineLevel="0" collapsed="false">
      <c r="A18" s="0" t="s">
        <v>42</v>
      </c>
      <c r="B18" s="0" t="n">
        <v>1</v>
      </c>
      <c r="C18" s="0" t="n">
        <v>5</v>
      </c>
      <c r="D18" s="0" t="n">
        <v>49</v>
      </c>
      <c r="E18" s="0" t="n">
        <v>30</v>
      </c>
      <c r="F18" s="0" t="n">
        <v>48</v>
      </c>
      <c r="G18" s="0" t="n">
        <v>27</v>
      </c>
      <c r="H18" s="0" t="n">
        <f aca="false">Tabla35108131536101415[[#This Row],[no_efec_cor]]+Tabla35108131536101415[[#This Row],[efec_cor]]</f>
        <v>97</v>
      </c>
      <c r="I18" s="0" t="n">
        <f aca="false">Tabla35108131536101415[[#This Row],[no_efec_inc]]+Tabla35108131536101415[[#This Row],[efect_inc]]</f>
        <v>57</v>
      </c>
      <c r="J18" s="9" t="n">
        <f aca="false">Tabla35108131536101415[[#This Row],[Correctos]]/Tabla35108131536101415[[#This Row],[total_sec]]</f>
        <v>0.62987012987013</v>
      </c>
      <c r="K18" s="9" t="n">
        <f aca="false">Tabla35108131536101415[[#This Row],[efec_cor]]/Tabla35108131536101415[[#This Row],[efec]]</f>
        <v>0.64</v>
      </c>
      <c r="L18" s="9" t="n">
        <f aca="false">Tabla35108131536101415[[#This Row],[efect_inc]]/Tabla35108131536101415[[#This Row],[efec]]</f>
        <v>0.36</v>
      </c>
      <c r="M18" s="9" t="n">
        <f aca="false">Tabla35108131536101415[[#This Row],[no_efec_cor]]/Tabla35108131536101415[[#This Row],[no_efe]]</f>
        <v>0.620253164556962</v>
      </c>
      <c r="N18" s="9" t="n">
        <f aca="false">Tabla35108131536101415[[#This Row],[no_efec_inc]]/Tabla35108131536101415[[#This Row],[no_efe]]</f>
        <v>0.379746835443038</v>
      </c>
      <c r="O18" s="9" t="n">
        <f aca="false">(Tabla35108131536101415[[#This Row],[% efe_cor]]+Tabla35108131536101415[[#This Row],[% no_efe_cor]])/2</f>
        <v>0.630126582278481</v>
      </c>
      <c r="P18" s="10" t="n">
        <f aca="false">(Tabla35108131536101415[[#This Row],[% efe_inc]]+Tabla35108131536101415[[#This Row],[% no_efect_inc]])/2</f>
        <v>0.369873417721519</v>
      </c>
      <c r="Q18" s="11" t="n">
        <f aca="false">Tabla35108131536101415[[#This Row],[no_efec_cor]]/(Tabla35108131536101415[[#This Row],[efect_inc]]+Tabla35108131536101415[[#This Row],[no_efec_cor]])</f>
        <v>0.644736842105263</v>
      </c>
      <c r="R18" s="11" t="n">
        <f aca="false">Tabla35108131536101415[[#This Row],[efec_cor]]/(Tabla35108131536101415[[#This Row],[efec_cor]]+Tabla35108131536101415[[#This Row],[no_efec_inc]])</f>
        <v>0.615384615384615</v>
      </c>
      <c r="S18" s="11" t="n">
        <f aca="false">(Tabla35108131536101415[[#This Row],[PNE]]+Tabla35108131536101415[[#This Row],[PE]])/2</f>
        <v>0.630060728744939</v>
      </c>
      <c r="T18" s="0" t="n">
        <v>75</v>
      </c>
      <c r="U18" s="0" t="n">
        <v>79</v>
      </c>
      <c r="V18" s="0" t="n">
        <f aca="false">Tabla35108131536101415[[#This Row],[efec]]+Tabla35108131536101415[[#This Row],[no_efe]]</f>
        <v>154</v>
      </c>
    </row>
    <row r="19" customFormat="false" ht="13.8" hidden="false" customHeight="false" outlineLevel="0" collapsed="false">
      <c r="A19" s="0" t="s">
        <v>43</v>
      </c>
      <c r="B19" s="0" t="n">
        <v>3</v>
      </c>
      <c r="C19" s="0" t="n">
        <v>0.5</v>
      </c>
      <c r="D19" s="0" t="n">
        <v>45</v>
      </c>
      <c r="E19" s="0" t="n">
        <v>16</v>
      </c>
      <c r="F19" s="0" t="n">
        <v>47</v>
      </c>
      <c r="G19" s="0" t="n">
        <v>18</v>
      </c>
      <c r="H19" s="0" t="n">
        <f aca="false">Tabla35108131536101415[[#This Row],[no_efec_cor]]+Tabla35108131536101415[[#This Row],[efec_cor]]</f>
        <v>92</v>
      </c>
      <c r="I19" s="0" t="n">
        <f aca="false">Tabla35108131536101415[[#This Row],[no_efec_inc]]+Tabla35108131536101415[[#This Row],[efect_inc]]</f>
        <v>34</v>
      </c>
      <c r="J19" s="9" t="n">
        <f aca="false">Tabla35108131536101415[[#This Row],[Correctos]]/Tabla35108131536101415[[#This Row],[total_sec]]</f>
        <v>0.73015873015873</v>
      </c>
      <c r="K19" s="9" t="n">
        <f aca="false">Tabla35108131536101415[[#This Row],[efec_cor]]/Tabla35108131536101415[[#This Row],[efec]]</f>
        <v>0.723076923076923</v>
      </c>
      <c r="L19" s="9" t="n">
        <f aca="false">Tabla35108131536101415[[#This Row],[efect_inc]]/Tabla35108131536101415[[#This Row],[efec]]</f>
        <v>0.276923076923077</v>
      </c>
      <c r="M19" s="9" t="n">
        <f aca="false">Tabla35108131536101415[[#This Row],[no_efec_cor]]/Tabla35108131536101415[[#This Row],[no_efe]]</f>
        <v>0.737704918032787</v>
      </c>
      <c r="N19" s="9" t="n">
        <f aca="false">Tabla35108131536101415[[#This Row],[no_efec_inc]]/Tabla35108131536101415[[#This Row],[no_efe]]</f>
        <v>0.262295081967213</v>
      </c>
      <c r="O19" s="9" t="n">
        <f aca="false">(Tabla35108131536101415[[#This Row],[% efe_cor]]+Tabla35108131536101415[[#This Row],[% no_efe_cor]])/2</f>
        <v>0.730390920554855</v>
      </c>
      <c r="P19" s="10" t="n">
        <f aca="false">(Tabla35108131536101415[[#This Row],[% efe_inc]]+Tabla35108131536101415[[#This Row],[% no_efect_inc]])/2</f>
        <v>0.269609079445145</v>
      </c>
      <c r="Q19" s="11" t="n">
        <f aca="false">Tabla35108131536101415[[#This Row],[no_efec_cor]]/(Tabla35108131536101415[[#This Row],[efect_inc]]+Tabla35108131536101415[[#This Row],[no_efec_cor]])</f>
        <v>0.714285714285714</v>
      </c>
      <c r="R19" s="11" t="n">
        <f aca="false">Tabla35108131536101415[[#This Row],[efec_cor]]/(Tabla35108131536101415[[#This Row],[efec_cor]]+Tabla35108131536101415[[#This Row],[no_efec_inc]])</f>
        <v>0.746031746031746</v>
      </c>
      <c r="S19" s="11" t="n">
        <f aca="false">(Tabla35108131536101415[[#This Row],[PNE]]+Tabla35108131536101415[[#This Row],[PE]])/2</f>
        <v>0.73015873015873</v>
      </c>
      <c r="T19" s="0" t="n">
        <v>65</v>
      </c>
      <c r="U19" s="0" t="n">
        <v>61</v>
      </c>
      <c r="V19" s="0" t="n">
        <f aca="false">Tabla35108131536101415[[#This Row],[efec]]+Tabla35108131536101415[[#This Row],[no_efe]]</f>
        <v>126</v>
      </c>
    </row>
    <row r="20" customFormat="false" ht="13.8" hidden="false" customHeight="false" outlineLevel="0" collapsed="false">
      <c r="A20" s="0" t="s">
        <v>44</v>
      </c>
      <c r="B20" s="0" t="n">
        <v>1</v>
      </c>
      <c r="C20" s="0" t="n">
        <v>2</v>
      </c>
      <c r="D20" s="0" t="n">
        <v>38</v>
      </c>
      <c r="E20" s="0" t="n">
        <v>27</v>
      </c>
      <c r="F20" s="0" t="n">
        <v>54</v>
      </c>
      <c r="G20" s="0" t="n">
        <v>8</v>
      </c>
      <c r="H20" s="0" t="n">
        <f aca="false">Tabla35108131536101415[[#This Row],[no_efec_cor]]+Tabla35108131536101415[[#This Row],[efec_cor]]</f>
        <v>92</v>
      </c>
      <c r="I20" s="0" t="n">
        <f aca="false">Tabla35108131536101415[[#This Row],[no_efec_inc]]+Tabla35108131536101415[[#This Row],[efect_inc]]</f>
        <v>35</v>
      </c>
      <c r="J20" s="9" t="n">
        <f aca="false">Tabla35108131536101415[[#This Row],[Correctos]]/Tabla35108131536101415[[#This Row],[total_sec]]</f>
        <v>0.724409448818898</v>
      </c>
      <c r="K20" s="9" t="n">
        <f aca="false">Tabla35108131536101415[[#This Row],[efec_cor]]/Tabla35108131536101415[[#This Row],[efec]]</f>
        <v>0.870967741935484</v>
      </c>
      <c r="L20" s="9" t="n">
        <f aca="false">Tabla35108131536101415[[#This Row],[efect_inc]]/Tabla35108131536101415[[#This Row],[efec]]</f>
        <v>0.129032258064516</v>
      </c>
      <c r="M20" s="9" t="n">
        <f aca="false">Tabla35108131536101415[[#This Row],[no_efec_cor]]/Tabla35108131536101415[[#This Row],[no_efe]]</f>
        <v>0.584615384615385</v>
      </c>
      <c r="N20" s="9" t="n">
        <f aca="false">Tabla35108131536101415[[#This Row],[no_efec_inc]]/Tabla35108131536101415[[#This Row],[no_efe]]</f>
        <v>0.415384615384615</v>
      </c>
      <c r="O20" s="9" t="n">
        <f aca="false">(Tabla35108131536101415[[#This Row],[% efe_cor]]+Tabla35108131536101415[[#This Row],[% no_efe_cor]])/2</f>
        <v>0.727791563275434</v>
      </c>
      <c r="P20" s="10" t="n">
        <f aca="false">(Tabla35108131536101415[[#This Row],[% efe_inc]]+Tabla35108131536101415[[#This Row],[% no_efect_inc]])/2</f>
        <v>0.272208436724566</v>
      </c>
      <c r="Q20" s="11" t="n">
        <f aca="false">Tabla35108131536101415[[#This Row],[no_efec_cor]]/(Tabla35108131536101415[[#This Row],[efect_inc]]+Tabla35108131536101415[[#This Row],[no_efec_cor]])</f>
        <v>0.826086956521739</v>
      </c>
      <c r="R20" s="11" t="n">
        <f aca="false">Tabla35108131536101415[[#This Row],[efec_cor]]/(Tabla35108131536101415[[#This Row],[efec_cor]]+Tabla35108131536101415[[#This Row],[no_efec_inc]])</f>
        <v>0.666666666666667</v>
      </c>
      <c r="S20" s="11" t="n">
        <f aca="false">(Tabla35108131536101415[[#This Row],[PNE]]+Tabla35108131536101415[[#This Row],[PE]])/2</f>
        <v>0.746376811594203</v>
      </c>
      <c r="T20" s="0" t="n">
        <v>62</v>
      </c>
      <c r="U20" s="0" t="n">
        <v>65</v>
      </c>
      <c r="V20" s="0" t="n">
        <f aca="false">Tabla35108131536101415[[#This Row],[efec]]+Tabla35108131536101415[[#This Row],[no_efe]]</f>
        <v>127</v>
      </c>
    </row>
    <row r="21" customFormat="false" ht="13.8" hidden="false" customHeight="false" outlineLevel="0" collapsed="false">
      <c r="A21" s="0" t="s">
        <v>45</v>
      </c>
      <c r="B21" s="0" t="n">
        <v>1</v>
      </c>
      <c r="C21" s="0" t="n">
        <v>1</v>
      </c>
      <c r="D21" s="0" t="n">
        <v>40</v>
      </c>
      <c r="E21" s="0" t="n">
        <v>24</v>
      </c>
      <c r="F21" s="0" t="n">
        <v>47</v>
      </c>
      <c r="G21" s="0" t="n">
        <v>16</v>
      </c>
      <c r="H21" s="0" t="n">
        <f aca="false">Tabla35108131536101415[[#This Row],[no_efec_cor]]+Tabla35108131536101415[[#This Row],[efec_cor]]</f>
        <v>87</v>
      </c>
      <c r="I21" s="0" t="n">
        <f aca="false">Tabla35108131536101415[[#This Row],[no_efec_inc]]+Tabla35108131536101415[[#This Row],[efect_inc]]</f>
        <v>40</v>
      </c>
      <c r="J21" s="9" t="n">
        <f aca="false">Tabla35108131536101415[[#This Row],[Correctos]]/Tabla35108131536101415[[#This Row],[total_sec]]</f>
        <v>0.68503937007874</v>
      </c>
      <c r="K21" s="9" t="n">
        <f aca="false">Tabla35108131536101415[[#This Row],[efec_cor]]/Tabla35108131536101415[[#This Row],[efec]]</f>
        <v>0.746031746031746</v>
      </c>
      <c r="L21" s="9" t="n">
        <f aca="false">Tabla35108131536101415[[#This Row],[efect_inc]]/Tabla35108131536101415[[#This Row],[efec]]</f>
        <v>0.253968253968254</v>
      </c>
      <c r="M21" s="9" t="n">
        <f aca="false">Tabla35108131536101415[[#This Row],[no_efec_cor]]/Tabla35108131536101415[[#This Row],[no_efe]]</f>
        <v>0.625</v>
      </c>
      <c r="N21" s="9" t="n">
        <f aca="false">Tabla35108131536101415[[#This Row],[no_efec_inc]]/Tabla35108131536101415[[#This Row],[no_efe]]</f>
        <v>0.375</v>
      </c>
      <c r="O21" s="9" t="n">
        <f aca="false">(Tabla35108131536101415[[#This Row],[% efe_cor]]+Tabla35108131536101415[[#This Row],[% no_efe_cor]])/2</f>
        <v>0.685515873015873</v>
      </c>
      <c r="P21" s="10" t="n">
        <f aca="false">(Tabla35108131536101415[[#This Row],[% efe_inc]]+Tabla35108131536101415[[#This Row],[% no_efect_inc]])/2</f>
        <v>0.314484126984127</v>
      </c>
      <c r="Q21" s="11" t="n">
        <f aca="false">Tabla35108131536101415[[#This Row],[no_efec_cor]]/(Tabla35108131536101415[[#This Row],[efect_inc]]+Tabla35108131536101415[[#This Row],[no_efec_cor]])</f>
        <v>0.714285714285714</v>
      </c>
      <c r="R21" s="11" t="n">
        <f aca="false">Tabla35108131536101415[[#This Row],[efec_cor]]/(Tabla35108131536101415[[#This Row],[efec_cor]]+Tabla35108131536101415[[#This Row],[no_efec_inc]])</f>
        <v>0.661971830985916</v>
      </c>
      <c r="S21" s="11" t="n">
        <f aca="false">(Tabla35108131536101415[[#This Row],[PNE]]+Tabla35108131536101415[[#This Row],[PE]])/2</f>
        <v>0.688128772635815</v>
      </c>
      <c r="T21" s="0" t="n">
        <v>63</v>
      </c>
      <c r="U21" s="0" t="n">
        <v>64</v>
      </c>
      <c r="V21" s="0" t="n">
        <f aca="false">Tabla35108131536101415[[#This Row],[efec]]+Tabla35108131536101415[[#This Row],[no_efe]]</f>
        <v>127</v>
      </c>
    </row>
    <row r="24" customFormat="false" ht="15" hidden="false" customHeight="false" outlineLevel="0" collapsed="false">
      <c r="A24" s="23" t="s">
        <v>64</v>
      </c>
      <c r="B24" s="23"/>
      <c r="C24" s="23"/>
      <c r="D24" s="23"/>
      <c r="E24" s="23"/>
      <c r="F24" s="23"/>
      <c r="G24" s="23"/>
    </row>
    <row r="25" customFormat="false" ht="15" hidden="false" customHeight="false" outlineLevel="0" collapsed="false">
      <c r="A25" s="7" t="s">
        <v>39</v>
      </c>
      <c r="B25" s="7" t="s">
        <v>65</v>
      </c>
      <c r="C25" s="7" t="s">
        <v>66</v>
      </c>
      <c r="D25" s="7" t="s">
        <v>67</v>
      </c>
      <c r="E25" s="7" t="s">
        <v>68</v>
      </c>
      <c r="F25" s="7" t="s">
        <v>69</v>
      </c>
      <c r="G25" s="7" t="s">
        <v>70</v>
      </c>
    </row>
    <row r="26" customFormat="false" ht="13.8" hidden="false" customHeight="false" outlineLevel="0" collapsed="false">
      <c r="A26" s="0" t="s">
        <v>40</v>
      </c>
      <c r="B26" s="9" t="n">
        <v>0.683823529411765</v>
      </c>
      <c r="C26" s="9" t="n">
        <v>0.687101034558662</v>
      </c>
      <c r="D26" s="9" t="n">
        <v>0.720588235294118</v>
      </c>
      <c r="E26" s="9" t="n">
        <v>0.737209302325581</v>
      </c>
      <c r="F26" s="9"/>
      <c r="G26" s="9"/>
    </row>
    <row r="27" customFormat="false" ht="13.8" hidden="false" customHeight="false" outlineLevel="0" collapsed="false">
      <c r="A27" s="0" t="s">
        <v>41</v>
      </c>
      <c r="B27" s="9" t="n">
        <v>0.658064516129032</v>
      </c>
      <c r="C27" s="9" t="n">
        <v>0.66146540027137</v>
      </c>
      <c r="D27" s="9" t="n">
        <v>0.716129032258065</v>
      </c>
      <c r="E27" s="9" t="n">
        <v>0.719725237449118</v>
      </c>
      <c r="F27" s="9"/>
      <c r="G27" s="9"/>
    </row>
    <row r="28" customFormat="false" ht="13.8" hidden="false" customHeight="false" outlineLevel="0" collapsed="false">
      <c r="A28" s="0" t="s">
        <v>42</v>
      </c>
      <c r="B28" s="9" t="n">
        <v>0.636363636363636</v>
      </c>
      <c r="C28" s="9" t="n">
        <v>0.636118143459916</v>
      </c>
      <c r="D28" s="9" t="n">
        <v>0.62987012987013</v>
      </c>
      <c r="E28" s="9" t="n">
        <v>0.630060728744939</v>
      </c>
      <c r="F28" s="9"/>
      <c r="G28" s="9"/>
    </row>
    <row r="29" customFormat="false" ht="13.8" hidden="false" customHeight="false" outlineLevel="0" collapsed="false">
      <c r="A29" s="0" t="s">
        <v>43</v>
      </c>
      <c r="B29" s="9" t="n">
        <v>0.753968253968254</v>
      </c>
      <c r="C29" s="9" t="n">
        <v>0.753780241935484</v>
      </c>
      <c r="D29" s="9" t="n">
        <v>0.73015873015873</v>
      </c>
      <c r="E29" s="9" t="n">
        <v>0.73015873015873</v>
      </c>
      <c r="F29" s="9"/>
      <c r="G29" s="9"/>
    </row>
    <row r="30" customFormat="false" ht="13.8" hidden="false" customHeight="false" outlineLevel="0" collapsed="false">
      <c r="A30" s="0" t="s">
        <v>44</v>
      </c>
      <c r="B30" s="9" t="n">
        <v>0.700787401574803</v>
      </c>
      <c r="C30" s="9" t="n">
        <v>0.701274362818591</v>
      </c>
      <c r="D30" s="9" t="n">
        <v>0.724409448818898</v>
      </c>
      <c r="E30" s="9" t="n">
        <v>0.746376811594203</v>
      </c>
      <c r="F30" s="9"/>
      <c r="G30" s="9"/>
    </row>
    <row r="31" customFormat="false" ht="13.8" hidden="false" customHeight="false" outlineLevel="0" collapsed="false">
      <c r="A31" s="0" t="s">
        <v>45</v>
      </c>
      <c r="B31" s="9" t="n">
        <v>0.68503937007874</v>
      </c>
      <c r="C31" s="9" t="n">
        <v>0.676672384219554</v>
      </c>
      <c r="D31" s="9" t="n">
        <v>0.68503937007874</v>
      </c>
      <c r="E31" s="9" t="n">
        <v>0.688128772635815</v>
      </c>
      <c r="F31" s="9"/>
      <c r="G31" s="9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</sheetData>
  <mergeCells count="6">
    <mergeCell ref="A1:V1"/>
    <mergeCell ref="A3:G3"/>
    <mergeCell ref="A4:U4"/>
    <mergeCell ref="A13:G13"/>
    <mergeCell ref="A14:V14"/>
    <mergeCell ref="A24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Ragnarök PC</dc:creator>
  <dc:description/>
  <dc:language>es-MX</dc:language>
  <cp:lastModifiedBy/>
  <dcterms:modified xsi:type="dcterms:W3CDTF">2021-02-13T04:44:10Z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