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6.xml" ContentType="application/vnd.openxmlformats-officedocument.spreadsheetml.table+xml"/>
  <Override PartName="/xl/tables/table15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xl/tables/table14.xml" ContentType="application/vnd.openxmlformats-officedocument.spreadsheetml.table+xml"/>
  <Override PartName="/xl/tables/table9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1.xml" ContentType="application/vnd.openxmlformats-officedocument.spreadsheetml.table+xml"/>
  <Override PartName="/xl/tables/table22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0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AC" sheetId="1" state="visible" r:id="rId2"/>
    <sheet name="PseAAC_hidro" sheetId="2" state="visible" r:id="rId3"/>
    <sheet name="PseAAC_mass" sheetId="3" state="visible" r:id="rId4"/>
    <sheet name="PseAAC_hidro_mass" sheetId="4" state="visible" r:id="rId5"/>
    <sheet name="ACC_mass" sheetId="5" state="visible" r:id="rId6"/>
    <sheet name="ACC_hidro" sheetId="6" state="visible" r:id="rId7"/>
    <sheet name="Deep_learning" sheetId="7" state="visible" r:id="rId8"/>
    <sheet name="Comparativ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<sst xmlns="http://schemas.openxmlformats.org/spreadsheetml/2006/main" count="564" uniqueCount="70">
  <si>
    <t xml:space="preserve">Composición de aminoácidos (AAC) Meloidogyne_ds1</t>
  </si>
  <si>
    <t xml:space="preserve">k -vecinos más cercanos (KNN)</t>
  </si>
  <si>
    <t xml:space="preserve">N° Efectores</t>
  </si>
  <si>
    <t xml:space="preserve">N° No efectores</t>
  </si>
  <si>
    <t xml:space="preserve">Total</t>
  </si>
  <si>
    <t xml:space="preserve">(no_efec_cor = no efectores correctos, efec_cor = efectores correctos, PNE = Precisión no efectores, PE = Precisión efectores).</t>
  </si>
  <si>
    <t xml:space="preserve">KNN</t>
  </si>
  <si>
    <t xml:space="preserve">no_efec_cor</t>
  </si>
  <si>
    <t xml:space="preserve">no_efec_inc</t>
  </si>
  <si>
    <t xml:space="preserve">efec_cor</t>
  </si>
  <si>
    <t xml:space="preserve">efect_inc</t>
  </si>
  <si>
    <t xml:space="preserve">Correctos</t>
  </si>
  <si>
    <t xml:space="preserve">Incorrectos</t>
  </si>
  <si>
    <t xml:space="preserve">Exactitud</t>
  </si>
  <si>
    <t xml:space="preserve">% efe_cor</t>
  </si>
  <si>
    <t xml:space="preserve">% efe_inc</t>
  </si>
  <si>
    <t xml:space="preserve">% no_efe_cor</t>
  </si>
  <si>
    <t xml:space="preserve">% no_efect_inc</t>
  </si>
  <si>
    <t xml:space="preserve">% corectos</t>
  </si>
  <si>
    <t xml:space="preserve">% incorrectos</t>
  </si>
  <si>
    <t xml:space="preserve">PNE</t>
  </si>
  <si>
    <t xml:space="preserve">PE</t>
  </si>
  <si>
    <t xml:space="preserve">Presición</t>
  </si>
  <si>
    <t xml:space="preserve">efec</t>
  </si>
  <si>
    <t xml:space="preserve">no_efe</t>
  </si>
  <si>
    <t xml:space="preserve">total_sec</t>
  </si>
  <si>
    <t xml:space="preserve">Máquinas de vectores de soporte (SVM)</t>
  </si>
  <si>
    <t xml:space="preserve">costo</t>
  </si>
  <si>
    <t xml:space="preserve">gama</t>
  </si>
  <si>
    <t xml:space="preserve">N° efec</t>
  </si>
  <si>
    <t xml:space="preserve">N° no_efe</t>
  </si>
  <si>
    <t xml:space="preserve">Composición de pseudo aminoácidos (PseAAC) hidro Meloidogyne_ds1</t>
  </si>
  <si>
    <t xml:space="preserve">Composición de pseudo aminoácidos (PseAAC) mass Meloidogyne_ds1</t>
  </si>
  <si>
    <t xml:space="preserve">Composición de pseudo aminoácidos (PseAAC) hidro_mass Meloidogyne_ds1</t>
  </si>
  <si>
    <t xml:space="preserve">Covarianza de auto cruzamiento (ACC) mass Meloidogyne_ds1</t>
  </si>
  <si>
    <t xml:space="preserve">Covarianza de auto cruzamiento (ACC) hidro Meloidogyne_ds1</t>
  </si>
  <si>
    <t xml:space="preserve">Deep learning Meloidogyne_ds1</t>
  </si>
  <si>
    <t xml:space="preserve">Modelo [8, 7, 6, 5, 4, 3, 2]</t>
  </si>
  <si>
    <t xml:space="preserve">índice</t>
  </si>
  <si>
    <t xml:space="preserve">AAC</t>
  </si>
  <si>
    <t xml:space="preserve">ACC_hidro</t>
  </si>
  <si>
    <t xml:space="preserve">ACC_mass</t>
  </si>
  <si>
    <t xml:space="preserve">PseAAC_hidro</t>
  </si>
  <si>
    <t xml:space="preserve">PseAAC_hidro_mass</t>
  </si>
  <si>
    <t xml:space="preserve">PseAAC_mass</t>
  </si>
  <si>
    <t xml:space="preserve">Modelo [8, 6, 4, 3, 2]</t>
  </si>
  <si>
    <t xml:space="preserve">Modelo [8, 6, 4, 3]</t>
  </si>
  <si>
    <t xml:space="preserve">Modelo  [8, 6, 4]</t>
  </si>
  <si>
    <t xml:space="preserve">Modelo  [8, 4]</t>
  </si>
  <si>
    <t xml:space="preserve">Modelo 1</t>
  </si>
  <si>
    <t xml:space="preserve">[8, 7, 6, 5, 4, 3, 2]</t>
  </si>
  <si>
    <t xml:space="preserve">Modelo 2</t>
  </si>
  <si>
    <t xml:space="preserve">[8, 6, 4, 3, 2]</t>
  </si>
  <si>
    <t xml:space="preserve">Modelo 3</t>
  </si>
  <si>
    <t xml:space="preserve">[8, 6, 4, 3]</t>
  </si>
  <si>
    <t xml:space="preserve">Modelo 4 </t>
  </si>
  <si>
    <t xml:space="preserve">[8, 6, 4]</t>
  </si>
  <si>
    <t xml:space="preserve">Modelo 5</t>
  </si>
  <si>
    <t xml:space="preserve">[8, 4]</t>
  </si>
  <si>
    <t xml:space="preserve">Modelo 4</t>
  </si>
  <si>
    <t xml:space="preserve">Promedio</t>
  </si>
  <si>
    <t xml:space="preserve">Meloidogyne_ds1</t>
  </si>
  <si>
    <t xml:space="preserve">Composición de pseudo aminoácidos (PseAAC)</t>
  </si>
  <si>
    <t xml:space="preserve">Comparativa</t>
  </si>
  <si>
    <t xml:space="preserve">Exact_KNN</t>
  </si>
  <si>
    <t xml:space="preserve">Pres_KNN</t>
  </si>
  <si>
    <t xml:space="preserve">Exact_SVM</t>
  </si>
  <si>
    <t xml:space="preserve">Pres_SVM</t>
  </si>
  <si>
    <t xml:space="preserve">Exact_Deep</t>
  </si>
  <si>
    <t xml:space="preserve">Pres_Deep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</si>
</sst>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00%"/>
    <numFmt numFmtId="167" formatCode="0.000"/>
    <numFmt numFmtId="168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i val="true"/>
      <sz val="10"/>
      <color rgb="FF44546A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  <fill>
      <patternFill patternType="solid">
        <fgColor rgb="FFC6EFCE"/>
        <bgColor rgb="FFDAE3F3"/>
      </patternFill>
    </fill>
    <fill>
      <patternFill patternType="solid">
        <fgColor rgb="FF70AD47"/>
        <bgColor rgb="FF548235"/>
      </patternFill>
    </fill>
    <fill>
      <patternFill patternType="solid">
        <fgColor rgb="FF4472C4"/>
        <bgColor rgb="FF44546A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C6EF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 style="medium">
        <color rgb="FF8EA9DB"/>
      </top>
      <bottom style="medium">
        <color rgb="FF8EA9DB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Input" xfId="21"/>
    <cellStyle name="Excel Built-in Good" xfId="22"/>
    <cellStyle name="Excel Built-in Accent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7F7F7F"/>
      <rgbColor rgb="FF8EA9DB"/>
      <rgbColor rgb="FF7030A0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843C0B"/>
      <rgbColor rgb="FF9C5700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013" displayName="Tabla1013" ref="A25:G31" headerRowCount="1" totalsRowCount="0" totalsRowShown="0">
  <autoFilter ref="A25:G31"/>
  <tableColumns count="7">
    <tableColumn id="1" name="índice"/>
    <tableColumn id="2" name="Exact_KNN"/>
    <tableColumn id="3" name="Pres_KNN"/>
    <tableColumn id="4" name="Exact_SVM"/>
    <tableColumn id="5" name="Pres_SVM"/>
    <tableColumn id="6" name="Exact_Deep"/>
    <tableColumn id="7" name="Pres_Deep"/>
  </tableColumns>
</table>
</file>

<file path=xl/tables/table10.xml><?xml version="1.0" encoding="utf-8"?>
<table xmlns="http://schemas.openxmlformats.org/spreadsheetml/2006/main" id="10" name="Tabla35108131534" displayName="Tabla35108131534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1.xml><?xml version="1.0" encoding="utf-8"?>
<table xmlns="http://schemas.openxmlformats.org/spreadsheetml/2006/main" id="11" name="Tabla3510813153413" displayName="Tabla3510813153413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N° efec"/>
    <tableColumn id="20" name="N° no_efe"/>
    <tableColumn id="21" name="total_sec"/>
  </tableColumns>
</table>
</file>

<file path=xl/tables/table12.xml><?xml version="1.0" encoding="utf-8"?>
<table xmlns="http://schemas.openxmlformats.org/spreadsheetml/2006/main" id="12" name="Tabla3510813153420" displayName="Tabla3510813153420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3.xml><?xml version="1.0" encoding="utf-8"?>
<table xmlns="http://schemas.openxmlformats.org/spreadsheetml/2006/main" id="13" name="Tabla3510813153423" displayName="Tabla3510813153423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4.xml><?xml version="1.0" encoding="utf-8"?>
<table xmlns="http://schemas.openxmlformats.org/spreadsheetml/2006/main" id="14" name="Tabla3510813153424" displayName="Tabla3510813153424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5.xml><?xml version="1.0" encoding="utf-8"?>
<table xmlns="http://schemas.openxmlformats.org/spreadsheetml/2006/main" id="15" name="Tabla3510813153425" displayName="Tabla3510813153425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6.xml><?xml version="1.0" encoding="utf-8"?>
<table xmlns="http://schemas.openxmlformats.org/spreadsheetml/2006/main" id="16" name="Tabla3510813153426" displayName="Tabla3510813153426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7.xml><?xml version="1.0" encoding="utf-8"?>
<table xmlns="http://schemas.openxmlformats.org/spreadsheetml/2006/main" id="17" name="Tabla35108131536" displayName="Tabla35108131536" ref="A19:T25" headerRowCount="1" totalsRowCount="0" totalsRowShown="0">
  <autoFilter ref="A19:T2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8.xml><?xml version="1.0" encoding="utf-8"?>
<table xmlns="http://schemas.openxmlformats.org/spreadsheetml/2006/main" id="18" name="Tabla3510813153610" displayName="Tabla3510813153610" ref="A49:T55" headerRowCount="1" totalsRowCount="0" totalsRowShown="0">
  <autoFilter ref="A49:T5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9.xml><?xml version="1.0" encoding="utf-8"?>
<table xmlns="http://schemas.openxmlformats.org/spreadsheetml/2006/main" id="19" name="Tabla351081315361014" displayName="Tabla351081315361014" ref="A5:U11" headerRowCount="1" totalsRowCount="0" totalsRowShown="0">
  <autoFilter ref="A5:U11"/>
  <tableColumns count="21">
    <tableColumn id="1" name="índice"/>
    <tableColumn id="2" name="KNN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2.xml><?xml version="1.0" encoding="utf-8"?>
<table xmlns="http://schemas.openxmlformats.org/spreadsheetml/2006/main" id="2" name="Tabla1018" displayName="Tabla1018" ref="A65:G72" headerRowCount="1" totalsRowCount="0" totalsRowShown="0">
  <autoFilter ref="A65:G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20.xml><?xml version="1.0" encoding="utf-8"?>
<table xmlns="http://schemas.openxmlformats.org/spreadsheetml/2006/main" id="20" name="Tabla35108131536101415" displayName="Tabla35108131536101415" ref="A15:V21" headerRowCount="1" totalsRowCount="0" totalsRowShown="0">
  <autoFilter ref="A15:V21"/>
  <tableColumns count="22">
    <tableColumn id="1" name="índice"/>
    <tableColumn id="2" name="costo"/>
    <tableColumn id="3" name="gama"/>
    <tableColumn id="4" name="no_efec_cor"/>
    <tableColumn id="5" name="no_efec_inc"/>
    <tableColumn id="6" name="efec_cor"/>
    <tableColumn id="7" name="efect_inc"/>
    <tableColumn id="8" name="Correctos"/>
    <tableColumn id="9" name="Incorrectos"/>
    <tableColumn id="10" name="Exactitud"/>
    <tableColumn id="11" name="% efe_cor"/>
    <tableColumn id="12" name="% efe_inc"/>
    <tableColumn id="13" name="% no_efe_cor"/>
    <tableColumn id="14" name="% no_efect_inc"/>
    <tableColumn id="15" name="% corectos"/>
    <tableColumn id="16" name="% incorrectos"/>
    <tableColumn id="17" name="PNE"/>
    <tableColumn id="18" name="PE"/>
    <tableColumn id="19" name="Presición"/>
    <tableColumn id="20" name="efec"/>
    <tableColumn id="21" name="no_efe"/>
    <tableColumn id="22" name="total_sec"/>
  </tableColumns>
</table>
</file>

<file path=xl/tables/table21.xml><?xml version="1.0" encoding="utf-8"?>
<table xmlns="http://schemas.openxmlformats.org/spreadsheetml/2006/main" id="21" name="Tabla351081315368" displayName="Tabla351081315368" ref="A29:T35" headerRowCount="1" totalsRowCount="0" totalsRowShown="0">
  <autoFilter ref="A29:T3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22.xml><?xml version="1.0" encoding="utf-8"?>
<table xmlns="http://schemas.openxmlformats.org/spreadsheetml/2006/main" id="22" name="Tabla351081315369" displayName="Tabla351081315369" ref="A39:T45" headerRowCount="1" totalsRowCount="0" totalsRowShown="0">
  <autoFilter ref="A39:T4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3.xml><?xml version="1.0" encoding="utf-8"?>
<table xmlns="http://schemas.openxmlformats.org/spreadsheetml/2006/main" id="3" name="Tabla11" displayName="Tabla11" ref="I65:O72" headerRowCount="1" totalsRowCount="0" totalsRowShown="0">
  <autoFilter ref="I65:O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4.xml><?xml version="1.0" encoding="utf-8"?>
<table xmlns="http://schemas.openxmlformats.org/spreadsheetml/2006/main" id="4" name="Tabla3510813153" displayName="Tabla3510813153" ref="A9:T15" headerRowCount="1" totalsRowCount="0" totalsRowShown="0">
  <autoFilter ref="A9:T1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5.xml><?xml version="1.0" encoding="utf-8"?>
<table xmlns="http://schemas.openxmlformats.org/spreadsheetml/2006/main" id="5" name="Tabla35108131532" displayName="Tabla3510813153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6.xml><?xml version="1.0" encoding="utf-8"?>
<table xmlns="http://schemas.openxmlformats.org/spreadsheetml/2006/main" id="6" name="Tabla3510813153212" displayName="Tabla351081315321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7.xml><?xml version="1.0" encoding="utf-8"?>
<table xmlns="http://schemas.openxmlformats.org/spreadsheetml/2006/main" id="7" name="Tabla3510813153221" displayName="Tabla3510813153221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8.xml><?xml version="1.0" encoding="utf-8"?>
<table xmlns="http://schemas.openxmlformats.org/spreadsheetml/2006/main" id="8" name="Tabla351081315325" displayName="Tabla351081315325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9.xml><?xml version="1.0" encoding="utf-8"?>
<table xmlns="http://schemas.openxmlformats.org/spreadsheetml/2006/main" id="9" name="Tabla351081315327" displayName="Tabla351081315327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1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1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48235"/>
    <pageSetUpPr fitToPage="false"/>
  </sheetPr>
  <dimension ref="A1:U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78</v>
      </c>
    </row>
    <row r="5" customFormat="false" ht="15" hidden="false" customHeight="false" outlineLevel="0" collapsed="false">
      <c r="A5" s="3" t="s">
        <v>3</v>
      </c>
      <c r="B5" s="3"/>
      <c r="C5" s="4" t="n">
        <v>82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160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  <c r="J8" s="6"/>
      <c r="K8" s="6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74</v>
      </c>
      <c r="C10" s="0" t="n">
        <v>8</v>
      </c>
      <c r="D10" s="0" t="n">
        <v>55</v>
      </c>
      <c r="E10" s="0" t="n">
        <v>23</v>
      </c>
      <c r="F10" s="0" t="n">
        <f aca="false">Tabla3510813153212[[#This Row],[no_efec_cor]]+Tabla3510813153212[[#This Row],[efec_cor]]</f>
        <v>129</v>
      </c>
      <c r="G10" s="0" t="n">
        <f aca="false">Tabla3510813153212[[#This Row],[no_efec_inc]]+Tabla3510813153212[[#This Row],[efect_inc]]</f>
        <v>31</v>
      </c>
      <c r="H10" s="9" t="n">
        <f aca="false">Tabla3510813153212[[#This Row],[Correctos]]/Tabla3510813153212[[#This Row],[total_sec]]</f>
        <v>0.80625</v>
      </c>
      <c r="I10" s="9" t="n">
        <f aca="false">Tabla3510813153212[[#This Row],[efec_cor]]/Tabla3510813153212[[#This Row],[efec]]</f>
        <v>0.705128205128205</v>
      </c>
      <c r="J10" s="9" t="n">
        <f aca="false">Tabla3510813153212[[#This Row],[efect_inc]]/Tabla3510813153212[[#This Row],[efec]]</f>
        <v>0.294871794871795</v>
      </c>
      <c r="K10" s="9" t="n">
        <f aca="false">Tabla3510813153212[[#This Row],[no_efec_cor]]/Tabla3510813153212[[#This Row],[no_efe]]</f>
        <v>0.902439024390244</v>
      </c>
      <c r="L10" s="9" t="n">
        <f aca="false">Tabla3510813153212[[#This Row],[no_efec_inc]]/Tabla3510813153212[[#This Row],[no_efe]]</f>
        <v>0.0975609756097561</v>
      </c>
      <c r="M10" s="9" t="n">
        <f aca="false">(Tabla3510813153212[[#This Row],[% efe_cor]]+Tabla3510813153212[[#This Row],[% no_efe_cor]])/2</f>
        <v>0.803783614759224</v>
      </c>
      <c r="N10" s="10" t="n">
        <f aca="false">(Tabla3510813153212[[#This Row],[% efe_inc]]+Tabla3510813153212[[#This Row],[% no_efect_inc]])/2</f>
        <v>0.196216385240775</v>
      </c>
      <c r="O10" s="11" t="n">
        <f aca="false">Tabla3510813153212[[#This Row],[no_efec_cor]]/(Tabla3510813153212[[#This Row],[efect_inc]]+Tabla3510813153212[[#This Row],[no_efec_cor]])</f>
        <v>0.762886597938144</v>
      </c>
      <c r="P10" s="11" t="n">
        <f aca="false">Tabla3510813153212[[#This Row],[efec_cor]]/(Tabla3510813153212[[#This Row],[efec_cor]]+Tabla3510813153212[[#This Row],[no_efec_inc]])</f>
        <v>0.873015873015873</v>
      </c>
      <c r="Q10" s="11" t="n">
        <f aca="false">(Tabla3510813153212[[#This Row],[PNE]]+Tabla3510813153212[[#This Row],[PE]])/2</f>
        <v>0.817951235477009</v>
      </c>
      <c r="R10" s="0" t="n">
        <v>78</v>
      </c>
      <c r="S10" s="0" t="n">
        <v>82</v>
      </c>
      <c r="T10" s="0" t="n">
        <f aca="false">Tabla3510813153212[[#This Row],[efec]]+Tabla3510813153212[[#This Row],[no_efe]]</f>
        <v>160</v>
      </c>
    </row>
    <row r="11" customFormat="false" ht="13.8" hidden="false" customHeight="false" outlineLevel="0" collapsed="false">
      <c r="A11" s="0" t="n">
        <v>5</v>
      </c>
      <c r="B11" s="0" t="n">
        <v>78</v>
      </c>
      <c r="C11" s="0" t="n">
        <v>4</v>
      </c>
      <c r="D11" s="0" t="n">
        <v>45</v>
      </c>
      <c r="E11" s="0" t="n">
        <v>33</v>
      </c>
      <c r="F11" s="0" t="n">
        <f aca="false">Tabla3510813153212[[#This Row],[no_efec_cor]]+Tabla3510813153212[[#This Row],[efec_cor]]</f>
        <v>123</v>
      </c>
      <c r="G11" s="0" t="n">
        <f aca="false">Tabla3510813153212[[#This Row],[no_efec_inc]]+Tabla3510813153212[[#This Row],[efect_inc]]</f>
        <v>37</v>
      </c>
      <c r="H11" s="9" t="n">
        <f aca="false">Tabla3510813153212[[#This Row],[Correctos]]/Tabla3510813153212[[#This Row],[total_sec]]</f>
        <v>0.76875</v>
      </c>
      <c r="I11" s="9" t="n">
        <f aca="false">Tabla3510813153212[[#This Row],[efec_cor]]/Tabla3510813153212[[#This Row],[efec]]</f>
        <v>0.576923076923077</v>
      </c>
      <c r="J11" s="9" t="n">
        <f aca="false">Tabla3510813153212[[#This Row],[efect_inc]]/Tabla3510813153212[[#This Row],[efec]]</f>
        <v>0.423076923076923</v>
      </c>
      <c r="K11" s="9" t="n">
        <f aca="false">Tabla3510813153212[[#This Row],[no_efec_cor]]/Tabla3510813153212[[#This Row],[no_efe]]</f>
        <v>0.951219512195122</v>
      </c>
      <c r="L11" s="9" t="n">
        <f aca="false">Tabla3510813153212[[#This Row],[no_efec_inc]]/Tabla3510813153212[[#This Row],[no_efe]]</f>
        <v>0.0487804878048781</v>
      </c>
      <c r="M11" s="9" t="n">
        <f aca="false">(Tabla3510813153212[[#This Row],[% efe_cor]]+Tabla3510813153212[[#This Row],[% no_efe_cor]])/2</f>
        <v>0.764071294559099</v>
      </c>
      <c r="N11" s="10" t="n">
        <f aca="false">(Tabla3510813153212[[#This Row],[% efe_inc]]+Tabla3510813153212[[#This Row],[% no_efect_inc]])/2</f>
        <v>0.235928705440901</v>
      </c>
      <c r="O11" s="11" t="n">
        <f aca="false">Tabla3510813153212[[#This Row],[no_efec_cor]]/(Tabla3510813153212[[#This Row],[efect_inc]]+Tabla3510813153212[[#This Row],[no_efec_cor]])</f>
        <v>0.702702702702703</v>
      </c>
      <c r="P11" s="11" t="n">
        <f aca="false">Tabla3510813153212[[#This Row],[efec_cor]]/(Tabla3510813153212[[#This Row],[efec_cor]]+Tabla3510813153212[[#This Row],[no_efec_inc]])</f>
        <v>0.918367346938775</v>
      </c>
      <c r="Q11" s="11" t="n">
        <f aca="false">(Tabla3510813153212[[#This Row],[PNE]]+Tabla3510813153212[[#This Row],[PE]])/2</f>
        <v>0.810535024820739</v>
      </c>
      <c r="R11" s="0" t="n">
        <v>78</v>
      </c>
      <c r="S11" s="0" t="n">
        <v>82</v>
      </c>
      <c r="T11" s="0" t="n">
        <f aca="false">Tabla3510813153212[[#This Row],[efec]]+Tabla3510813153212[[#This Row],[no_efe]]</f>
        <v>160</v>
      </c>
    </row>
    <row r="12" customFormat="false" ht="13.8" hidden="false" customHeight="false" outlineLevel="0" collapsed="false">
      <c r="A12" s="0" t="n">
        <v>10</v>
      </c>
      <c r="B12" s="0" t="n">
        <v>79</v>
      </c>
      <c r="C12" s="0" t="n">
        <v>3</v>
      </c>
      <c r="D12" s="0" t="n">
        <v>39</v>
      </c>
      <c r="E12" s="0" t="n">
        <v>39</v>
      </c>
      <c r="F12" s="0" t="n">
        <f aca="false">Tabla3510813153212[[#This Row],[no_efec_cor]]+Tabla3510813153212[[#This Row],[efec_cor]]</f>
        <v>118</v>
      </c>
      <c r="G12" s="0" t="n">
        <f aca="false">Tabla3510813153212[[#This Row],[no_efec_inc]]+Tabla3510813153212[[#This Row],[efect_inc]]</f>
        <v>42</v>
      </c>
      <c r="H12" s="9" t="n">
        <f aca="false">Tabla3510813153212[[#This Row],[Correctos]]/Tabla3510813153212[[#This Row],[total_sec]]</f>
        <v>0.7375</v>
      </c>
      <c r="I12" s="9" t="n">
        <f aca="false">Tabla3510813153212[[#This Row],[efec_cor]]/Tabla3510813153212[[#This Row],[efec]]</f>
        <v>0.5</v>
      </c>
      <c r="J12" s="9" t="n">
        <f aca="false">Tabla3510813153212[[#This Row],[efect_inc]]/Tabla3510813153212[[#This Row],[efec]]</f>
        <v>0.5</v>
      </c>
      <c r="K12" s="9" t="n">
        <f aca="false">Tabla3510813153212[[#This Row],[no_efec_cor]]/Tabla3510813153212[[#This Row],[no_efe]]</f>
        <v>0.963414634146341</v>
      </c>
      <c r="L12" s="9" t="n">
        <f aca="false">Tabla3510813153212[[#This Row],[no_efec_inc]]/Tabla3510813153212[[#This Row],[no_efe]]</f>
        <v>0.0365853658536585</v>
      </c>
      <c r="M12" s="9" t="n">
        <f aca="false">(Tabla3510813153212[[#This Row],[% efe_cor]]+Tabla3510813153212[[#This Row],[% no_efe_cor]])/2</f>
        <v>0.731707317073171</v>
      </c>
      <c r="N12" s="10" t="n">
        <f aca="false">(Tabla3510813153212[[#This Row],[% efe_inc]]+Tabla3510813153212[[#This Row],[% no_efect_inc]])/2</f>
        <v>0.268292682926829</v>
      </c>
      <c r="O12" s="11" t="n">
        <f aca="false">Tabla3510813153212[[#This Row],[no_efec_cor]]/(Tabla3510813153212[[#This Row],[efect_inc]]+Tabla3510813153212[[#This Row],[no_efec_cor]])</f>
        <v>0.669491525423729</v>
      </c>
      <c r="P12" s="11" t="n">
        <f aca="false">Tabla3510813153212[[#This Row],[efec_cor]]/(Tabla3510813153212[[#This Row],[efec_cor]]+Tabla3510813153212[[#This Row],[no_efec_inc]])</f>
        <v>0.928571428571429</v>
      </c>
      <c r="Q12" s="11" t="n">
        <f aca="false">(Tabla3510813153212[[#This Row],[PNE]]+Tabla3510813153212[[#This Row],[PE]])/2</f>
        <v>0.799031476997579</v>
      </c>
      <c r="R12" s="0" t="n">
        <v>78</v>
      </c>
      <c r="S12" s="0" t="n">
        <v>82</v>
      </c>
      <c r="T12" s="0" t="n">
        <f aca="false">Tabla3510813153212[[#This Row],[efec]]+Tabla3510813153212[[#This Row],[no_efe]]</f>
        <v>160</v>
      </c>
    </row>
    <row r="13" customFormat="false" ht="13.8" hidden="false" customHeight="false" outlineLevel="0" collapsed="false">
      <c r="A13" s="0" t="n">
        <v>15</v>
      </c>
      <c r="B13" s="0" t="n">
        <v>82</v>
      </c>
      <c r="C13" s="0" t="n">
        <v>0</v>
      </c>
      <c r="D13" s="0" t="n">
        <v>35</v>
      </c>
      <c r="E13" s="0" t="n">
        <v>43</v>
      </c>
      <c r="F13" s="0" t="n">
        <f aca="false">Tabla3510813153212[[#This Row],[no_efec_cor]]+Tabla3510813153212[[#This Row],[efec_cor]]</f>
        <v>117</v>
      </c>
      <c r="G13" s="0" t="n">
        <f aca="false">Tabla3510813153212[[#This Row],[no_efec_inc]]+Tabla3510813153212[[#This Row],[efect_inc]]</f>
        <v>43</v>
      </c>
      <c r="H13" s="9" t="n">
        <f aca="false">Tabla3510813153212[[#This Row],[Correctos]]/Tabla3510813153212[[#This Row],[total_sec]]</f>
        <v>0.73125</v>
      </c>
      <c r="I13" s="9" t="n">
        <f aca="false">Tabla3510813153212[[#This Row],[efec_cor]]/Tabla3510813153212[[#This Row],[efec]]</f>
        <v>0.448717948717949</v>
      </c>
      <c r="J13" s="9" t="n">
        <f aca="false">Tabla3510813153212[[#This Row],[efect_inc]]/Tabla3510813153212[[#This Row],[efec]]</f>
        <v>0.551282051282051</v>
      </c>
      <c r="K13" s="9" t="n">
        <f aca="false">Tabla3510813153212[[#This Row],[no_efec_cor]]/Tabla3510813153212[[#This Row],[no_efe]]</f>
        <v>1</v>
      </c>
      <c r="L13" s="9" t="n">
        <f aca="false">Tabla3510813153212[[#This Row],[no_efec_inc]]/Tabla3510813153212[[#This Row],[no_efe]]</f>
        <v>0</v>
      </c>
      <c r="M13" s="9" t="n">
        <f aca="false">(Tabla3510813153212[[#This Row],[% efe_cor]]+Tabla3510813153212[[#This Row],[% no_efe_cor]])/2</f>
        <v>0.724358974358974</v>
      </c>
      <c r="N13" s="10" t="n">
        <f aca="false">(Tabla3510813153212[[#This Row],[% efe_inc]]+Tabla3510813153212[[#This Row],[% no_efect_inc]])/2</f>
        <v>0.275641025641026</v>
      </c>
      <c r="O13" s="11" t="n">
        <f aca="false">Tabla3510813153212[[#This Row],[no_efec_cor]]/(Tabla3510813153212[[#This Row],[efect_inc]]+Tabla3510813153212[[#This Row],[no_efec_cor]])</f>
        <v>0.656</v>
      </c>
      <c r="P13" s="11" t="n">
        <f aca="false">Tabla3510813153212[[#This Row],[efec_cor]]/(Tabla3510813153212[[#This Row],[efec_cor]]+Tabla3510813153212[[#This Row],[no_efec_inc]])</f>
        <v>1</v>
      </c>
      <c r="Q13" s="11" t="n">
        <f aca="false">(Tabla3510813153212[[#This Row],[PNE]]+Tabla3510813153212[[#This Row],[PE]])/2</f>
        <v>0.828</v>
      </c>
      <c r="R13" s="0" t="n">
        <v>78</v>
      </c>
      <c r="S13" s="0" t="n">
        <v>82</v>
      </c>
      <c r="T13" s="0" t="n">
        <f aca="false">Tabla3510813153212[[#This Row],[efec]]+Tabla3510813153212[[#This Row],[no_efe]]</f>
        <v>160</v>
      </c>
    </row>
    <row r="14" customFormat="false" ht="13.8" hidden="false" customHeight="false" outlineLevel="0" collapsed="false">
      <c r="A14" s="0" t="n">
        <v>20</v>
      </c>
      <c r="B14" s="0" t="n">
        <v>80</v>
      </c>
      <c r="C14" s="0" t="n">
        <v>2</v>
      </c>
      <c r="D14" s="0" t="n">
        <v>35</v>
      </c>
      <c r="E14" s="0" t="n">
        <v>43</v>
      </c>
      <c r="F14" s="0" t="n">
        <f aca="false">Tabla3510813153212[[#This Row],[no_efec_cor]]+Tabla3510813153212[[#This Row],[efec_cor]]</f>
        <v>115</v>
      </c>
      <c r="G14" s="0" t="n">
        <f aca="false">Tabla3510813153212[[#This Row],[no_efec_inc]]+Tabla3510813153212[[#This Row],[efect_inc]]</f>
        <v>45</v>
      </c>
      <c r="H14" s="9" t="n">
        <f aca="false">Tabla3510813153212[[#This Row],[Correctos]]/Tabla3510813153212[[#This Row],[total_sec]]</f>
        <v>0.71875</v>
      </c>
      <c r="I14" s="9" t="n">
        <f aca="false">Tabla3510813153212[[#This Row],[efec_cor]]/Tabla3510813153212[[#This Row],[efec]]</f>
        <v>0.448717948717949</v>
      </c>
      <c r="J14" s="9" t="n">
        <f aca="false">Tabla3510813153212[[#This Row],[efect_inc]]/Tabla3510813153212[[#This Row],[efec]]</f>
        <v>0.551282051282051</v>
      </c>
      <c r="K14" s="9" t="n">
        <f aca="false">Tabla3510813153212[[#This Row],[no_efec_cor]]/Tabla3510813153212[[#This Row],[no_efe]]</f>
        <v>0.975609756097561</v>
      </c>
      <c r="L14" s="9" t="n">
        <f aca="false">Tabla3510813153212[[#This Row],[no_efec_inc]]/Tabla3510813153212[[#This Row],[no_efe]]</f>
        <v>0.024390243902439</v>
      </c>
      <c r="M14" s="9" t="n">
        <f aca="false">(Tabla3510813153212[[#This Row],[% efe_cor]]+Tabla3510813153212[[#This Row],[% no_efe_cor]])/2</f>
        <v>0.712163852407755</v>
      </c>
      <c r="N14" s="10" t="n">
        <f aca="false">(Tabla3510813153212[[#This Row],[% efe_inc]]+Tabla3510813153212[[#This Row],[% no_efect_inc]])/2</f>
        <v>0.287836147592245</v>
      </c>
      <c r="O14" s="11" t="n">
        <f aca="false">Tabla3510813153212[[#This Row],[no_efec_cor]]/(Tabla3510813153212[[#This Row],[efect_inc]]+Tabla3510813153212[[#This Row],[no_efec_cor]])</f>
        <v>0.650406504065041</v>
      </c>
      <c r="P14" s="11" t="n">
        <f aca="false">Tabla3510813153212[[#This Row],[efec_cor]]/(Tabla3510813153212[[#This Row],[efec_cor]]+Tabla3510813153212[[#This Row],[no_efec_inc]])</f>
        <v>0.945945945945946</v>
      </c>
      <c r="Q14" s="11" t="n">
        <f aca="false">(Tabla3510813153212[[#This Row],[PNE]]+Tabla3510813153212[[#This Row],[PE]])/2</f>
        <v>0.798176225005493</v>
      </c>
      <c r="R14" s="0" t="n">
        <v>78</v>
      </c>
      <c r="S14" s="0" t="n">
        <v>82</v>
      </c>
      <c r="T14" s="0" t="n">
        <f aca="false">Tabla3510813153212[[#This Row],[efec]]+Tabla3510813153212[[#This Row],[no_efe]]</f>
        <v>160</v>
      </c>
    </row>
    <row r="15" customFormat="false" ht="13.8" hidden="false" customHeight="false" outlineLevel="0" collapsed="false">
      <c r="A15" s="0" t="n">
        <v>25</v>
      </c>
      <c r="B15" s="0" t="n">
        <v>80</v>
      </c>
      <c r="C15" s="0" t="n">
        <v>2</v>
      </c>
      <c r="D15" s="0" t="n">
        <v>31</v>
      </c>
      <c r="E15" s="0" t="n">
        <v>47</v>
      </c>
      <c r="F15" s="0" t="n">
        <f aca="false">Tabla3510813153212[[#This Row],[no_efec_cor]]+Tabla3510813153212[[#This Row],[efec_cor]]</f>
        <v>111</v>
      </c>
      <c r="G15" s="0" t="n">
        <f aca="false">Tabla3510813153212[[#This Row],[no_efec_inc]]+Tabla3510813153212[[#This Row],[efect_inc]]</f>
        <v>49</v>
      </c>
      <c r="H15" s="9" t="n">
        <f aca="false">Tabla3510813153212[[#This Row],[Correctos]]/Tabla3510813153212[[#This Row],[total_sec]]</f>
        <v>0.69375</v>
      </c>
      <c r="I15" s="9" t="n">
        <f aca="false">Tabla3510813153212[[#This Row],[efec_cor]]/Tabla3510813153212[[#This Row],[efec]]</f>
        <v>0.397435897435897</v>
      </c>
      <c r="J15" s="9" t="n">
        <f aca="false">Tabla3510813153212[[#This Row],[efect_inc]]/Tabla3510813153212[[#This Row],[efec]]</f>
        <v>0.602564102564102</v>
      </c>
      <c r="K15" s="9" t="n">
        <f aca="false">Tabla3510813153212[[#This Row],[no_efec_cor]]/Tabla3510813153212[[#This Row],[no_efe]]</f>
        <v>0.975609756097561</v>
      </c>
      <c r="L15" s="9" t="n">
        <f aca="false">Tabla3510813153212[[#This Row],[no_efec_inc]]/Tabla3510813153212[[#This Row],[no_efe]]</f>
        <v>0.024390243902439</v>
      </c>
      <c r="M15" s="9" t="n">
        <f aca="false">(Tabla3510813153212[[#This Row],[% efe_cor]]+Tabla3510813153212[[#This Row],[% no_efe_cor]])/2</f>
        <v>0.686522826766729</v>
      </c>
      <c r="N15" s="10" t="n">
        <f aca="false">(Tabla3510813153212[[#This Row],[% efe_inc]]+Tabla3510813153212[[#This Row],[% no_efect_inc]])/2</f>
        <v>0.313477173233271</v>
      </c>
      <c r="O15" s="11" t="n">
        <f aca="false">Tabla3510813153212[[#This Row],[no_efec_cor]]/(Tabla3510813153212[[#This Row],[efect_inc]]+Tabla3510813153212[[#This Row],[no_efec_cor]])</f>
        <v>0.62992125984252</v>
      </c>
      <c r="P15" s="11" t="n">
        <f aca="false">Tabla3510813153212[[#This Row],[efec_cor]]/(Tabla3510813153212[[#This Row],[efec_cor]]+Tabla3510813153212[[#This Row],[no_efec_inc]])</f>
        <v>0.939393939393939</v>
      </c>
      <c r="Q15" s="11" t="n">
        <f aca="false">(Tabla3510813153212[[#This Row],[PNE]]+Tabla3510813153212[[#This Row],[PE]])/2</f>
        <v>0.78465759961823</v>
      </c>
      <c r="R15" s="0" t="n">
        <v>78</v>
      </c>
      <c r="S15" s="0" t="n">
        <v>82</v>
      </c>
      <c r="T15" s="0" t="n">
        <f aca="false">Tabla3510813153212[[#This Row],[efec]]+Tabla3510813153212[[#This Row],[no_efe]]</f>
        <v>160</v>
      </c>
    </row>
    <row r="16" customFormat="false" ht="13.8" hidden="false" customHeight="false" outlineLevel="0" collapsed="false">
      <c r="A16" s="0" t="n">
        <v>30</v>
      </c>
      <c r="B16" s="0" t="n">
        <v>81</v>
      </c>
      <c r="C16" s="0" t="n">
        <v>1</v>
      </c>
      <c r="D16" s="0" t="n">
        <v>34</v>
      </c>
      <c r="E16" s="0" t="n">
        <v>44</v>
      </c>
      <c r="F16" s="0" t="n">
        <f aca="false">Tabla3510813153212[[#This Row],[no_efec_cor]]+Tabla3510813153212[[#This Row],[efec_cor]]</f>
        <v>115</v>
      </c>
      <c r="G16" s="0" t="n">
        <f aca="false">Tabla3510813153212[[#This Row],[no_efec_inc]]+Tabla3510813153212[[#This Row],[efect_inc]]</f>
        <v>45</v>
      </c>
      <c r="H16" s="9" t="n">
        <f aca="false">Tabla3510813153212[[#This Row],[Correctos]]/Tabla3510813153212[[#This Row],[total_sec]]</f>
        <v>0.71875</v>
      </c>
      <c r="I16" s="9" t="n">
        <f aca="false">Tabla3510813153212[[#This Row],[efec_cor]]/Tabla3510813153212[[#This Row],[efec]]</f>
        <v>0.435897435897436</v>
      </c>
      <c r="J16" s="9" t="n">
        <f aca="false">Tabla3510813153212[[#This Row],[efect_inc]]/Tabla3510813153212[[#This Row],[efec]]</f>
        <v>0.564102564102564</v>
      </c>
      <c r="K16" s="9" t="n">
        <f aca="false">Tabla3510813153212[[#This Row],[no_efec_cor]]/Tabla3510813153212[[#This Row],[no_efe]]</f>
        <v>0.98780487804878</v>
      </c>
      <c r="L16" s="9" t="n">
        <f aca="false">Tabla3510813153212[[#This Row],[no_efec_inc]]/Tabla3510813153212[[#This Row],[no_efe]]</f>
        <v>0.0121951219512195</v>
      </c>
      <c r="M16" s="9" t="n">
        <f aca="false">(Tabla3510813153212[[#This Row],[% efe_cor]]+Tabla3510813153212[[#This Row],[% no_efe_cor]])/2</f>
        <v>0.711851156973108</v>
      </c>
      <c r="N16" s="10" t="n">
        <f aca="false">(Tabla3510813153212[[#This Row],[% efe_inc]]+Tabla3510813153212[[#This Row],[% no_efect_inc]])/2</f>
        <v>0.288148843026892</v>
      </c>
      <c r="O16" s="11" t="n">
        <f aca="false">Tabla3510813153212[[#This Row],[no_efec_cor]]/(Tabla3510813153212[[#This Row],[efect_inc]]+Tabla3510813153212[[#This Row],[no_efec_cor]])</f>
        <v>0.648</v>
      </c>
      <c r="P16" s="11" t="n">
        <f aca="false">Tabla3510813153212[[#This Row],[efec_cor]]/(Tabla3510813153212[[#This Row],[efec_cor]]+Tabla3510813153212[[#This Row],[no_efec_inc]])</f>
        <v>0.971428571428571</v>
      </c>
      <c r="Q16" s="11" t="n">
        <f aca="false">(Tabla3510813153212[[#This Row],[PNE]]+Tabla3510813153212[[#This Row],[PE]])/2</f>
        <v>0.809714285714286</v>
      </c>
      <c r="R16" s="0" t="n">
        <v>78</v>
      </c>
      <c r="S16" s="0" t="n">
        <v>82</v>
      </c>
      <c r="T16" s="0" t="n">
        <f aca="false">Tabla3510813153212[[#This Row],[efec]]+Tabla3510813153212[[#This Row],[no_efe]]</f>
        <v>160</v>
      </c>
    </row>
    <row r="17" customFormat="false" ht="13.8" hidden="false" customHeight="false" outlineLevel="0" collapsed="false">
      <c r="A17" s="0" t="n">
        <v>35</v>
      </c>
      <c r="B17" s="0" t="n">
        <v>81</v>
      </c>
      <c r="C17" s="0" t="n">
        <v>1</v>
      </c>
      <c r="D17" s="0" t="n">
        <v>28</v>
      </c>
      <c r="E17" s="0" t="n">
        <v>50</v>
      </c>
      <c r="F17" s="0" t="n">
        <f aca="false">Tabla3510813153212[[#This Row],[no_efec_cor]]+Tabla3510813153212[[#This Row],[efec_cor]]</f>
        <v>109</v>
      </c>
      <c r="G17" s="0" t="n">
        <f aca="false">Tabla3510813153212[[#This Row],[no_efec_inc]]+Tabla3510813153212[[#This Row],[efect_inc]]</f>
        <v>51</v>
      </c>
      <c r="H17" s="9" t="n">
        <f aca="false">Tabla3510813153212[[#This Row],[Correctos]]/Tabla3510813153212[[#This Row],[total_sec]]</f>
        <v>0.68125</v>
      </c>
      <c r="I17" s="9" t="n">
        <f aca="false">Tabla3510813153212[[#This Row],[efec_cor]]/Tabla3510813153212[[#This Row],[efec]]</f>
        <v>0.358974358974359</v>
      </c>
      <c r="J17" s="9" t="n">
        <f aca="false">Tabla3510813153212[[#This Row],[efect_inc]]/Tabla3510813153212[[#This Row],[efec]]</f>
        <v>0.641025641025641</v>
      </c>
      <c r="K17" s="9" t="n">
        <f aca="false">Tabla3510813153212[[#This Row],[no_efec_cor]]/Tabla3510813153212[[#This Row],[no_efe]]</f>
        <v>0.98780487804878</v>
      </c>
      <c r="L17" s="9" t="n">
        <f aca="false">Tabla3510813153212[[#This Row],[no_efec_inc]]/Tabla3510813153212[[#This Row],[no_efe]]</f>
        <v>0.0121951219512195</v>
      </c>
      <c r="M17" s="9" t="n">
        <f aca="false">(Tabla3510813153212[[#This Row],[% efe_cor]]+Tabla3510813153212[[#This Row],[% no_efe_cor]])/2</f>
        <v>0.67338961851157</v>
      </c>
      <c r="N17" s="10" t="n">
        <f aca="false">(Tabla3510813153212[[#This Row],[% efe_inc]]+Tabla3510813153212[[#This Row],[% no_efect_inc]])/2</f>
        <v>0.32661038148843</v>
      </c>
      <c r="O17" s="11" t="n">
        <f aca="false">Tabla3510813153212[[#This Row],[no_efec_cor]]/(Tabla3510813153212[[#This Row],[efect_inc]]+Tabla3510813153212[[#This Row],[no_efec_cor]])</f>
        <v>0.618320610687023</v>
      </c>
      <c r="P17" s="11" t="n">
        <f aca="false">Tabla3510813153212[[#This Row],[efec_cor]]/(Tabla3510813153212[[#This Row],[efec_cor]]+Tabla3510813153212[[#This Row],[no_efec_inc]])</f>
        <v>0.96551724137931</v>
      </c>
      <c r="Q17" s="11" t="n">
        <f aca="false">(Tabla3510813153212[[#This Row],[PNE]]+Tabla3510813153212[[#This Row],[PE]])/2</f>
        <v>0.791918926033167</v>
      </c>
      <c r="R17" s="0" t="n">
        <v>78</v>
      </c>
      <c r="S17" s="0" t="n">
        <v>82</v>
      </c>
      <c r="T17" s="0" t="n">
        <f aca="false">Tabla3510813153212[[#This Row],[efec]]+Tabla3510813153212[[#This Row],[no_efe]]</f>
        <v>160</v>
      </c>
    </row>
    <row r="18" customFormat="false" ht="13.8" hidden="false" customHeight="false" outlineLevel="0" collapsed="false">
      <c r="A18" s="0" t="n">
        <v>39</v>
      </c>
      <c r="B18" s="0" t="n">
        <v>81</v>
      </c>
      <c r="C18" s="0" t="n">
        <v>1</v>
      </c>
      <c r="D18" s="0" t="n">
        <v>26</v>
      </c>
      <c r="E18" s="0" t="n">
        <v>52</v>
      </c>
      <c r="F18" s="0" t="n">
        <f aca="false">Tabla3510813153212[[#This Row],[no_efec_cor]]+Tabla3510813153212[[#This Row],[efec_cor]]</f>
        <v>107</v>
      </c>
      <c r="G18" s="0" t="n">
        <f aca="false">Tabla3510813153212[[#This Row],[no_efec_inc]]+Tabla3510813153212[[#This Row],[efect_inc]]</f>
        <v>53</v>
      </c>
      <c r="H18" s="9" t="n">
        <f aca="false">Tabla3510813153212[[#This Row],[Correctos]]/Tabla3510813153212[[#This Row],[total_sec]]</f>
        <v>0.66875</v>
      </c>
      <c r="I18" s="9" t="n">
        <f aca="false">Tabla3510813153212[[#This Row],[efec_cor]]/Tabla3510813153212[[#This Row],[efec]]</f>
        <v>0.333333333333333</v>
      </c>
      <c r="J18" s="9" t="n">
        <f aca="false">Tabla3510813153212[[#This Row],[efect_inc]]/Tabla3510813153212[[#This Row],[efec]]</f>
        <v>0.666666666666667</v>
      </c>
      <c r="K18" s="9" t="n">
        <f aca="false">Tabla3510813153212[[#This Row],[no_efec_cor]]/Tabla3510813153212[[#This Row],[no_efe]]</f>
        <v>0.98780487804878</v>
      </c>
      <c r="L18" s="9" t="n">
        <f aca="false">Tabla3510813153212[[#This Row],[no_efec_inc]]/Tabla3510813153212[[#This Row],[no_efe]]</f>
        <v>0.0121951219512195</v>
      </c>
      <c r="M18" s="9" t="n">
        <f aca="false">(Tabla3510813153212[[#This Row],[% efe_cor]]+Tabla3510813153212[[#This Row],[% no_efe_cor]])/2</f>
        <v>0.660569105691057</v>
      </c>
      <c r="N18" s="10" t="n">
        <f aca="false">(Tabla3510813153212[[#This Row],[% efe_inc]]+Tabla3510813153212[[#This Row],[% no_efect_inc]])/2</f>
        <v>0.339430894308943</v>
      </c>
      <c r="O18" s="11" t="n">
        <f aca="false">Tabla3510813153212[[#This Row],[no_efec_cor]]/(Tabla3510813153212[[#This Row],[efect_inc]]+Tabla3510813153212[[#This Row],[no_efec_cor]])</f>
        <v>0.609022556390977</v>
      </c>
      <c r="P18" s="11" t="n">
        <f aca="false">Tabla3510813153212[[#This Row],[efec_cor]]/(Tabla3510813153212[[#This Row],[efec_cor]]+Tabla3510813153212[[#This Row],[no_efec_inc]])</f>
        <v>0.962962962962963</v>
      </c>
      <c r="Q18" s="11" t="n">
        <f aca="false">(Tabla3510813153212[[#This Row],[PNE]]+Tabla3510813153212[[#This Row],[PE]])/2</f>
        <v>0.78599275967697</v>
      </c>
      <c r="R18" s="0" t="n">
        <v>78</v>
      </c>
      <c r="S18" s="0" t="n">
        <v>82</v>
      </c>
      <c r="T18" s="0" t="n">
        <f aca="false">Tabla3510813153212[[#This Row],[efec]]+Tabla3510813153212[[#This Row],[no_efe]]</f>
        <v>160</v>
      </c>
    </row>
    <row r="21" customFormat="false" ht="19.5" hidden="false" customHeight="false" outlineLevel="0" collapsed="false">
      <c r="A21" s="1" t="s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  <c r="J25" s="6"/>
      <c r="K25" s="6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29</v>
      </c>
      <c r="T26" s="7" t="s">
        <v>30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77</v>
      </c>
      <c r="D27" s="0" t="n">
        <v>5</v>
      </c>
      <c r="E27" s="0" t="n">
        <v>46</v>
      </c>
      <c r="F27" s="0" t="n">
        <v>32</v>
      </c>
      <c r="G27" s="0" t="n">
        <f aca="false">Tabla3510813153413[[#This Row],[no_efec_cor]]+Tabla3510813153413[[#This Row],[efec_cor]]</f>
        <v>123</v>
      </c>
      <c r="H27" s="0" t="n">
        <f aca="false">Tabla3510813153413[[#This Row],[no_efec_inc]]+Tabla3510813153413[[#This Row],[efect_inc]]</f>
        <v>37</v>
      </c>
      <c r="I27" s="9" t="n">
        <f aca="false">Tabla3510813153413[[#This Row],[Correctos]]/Tabla3510813153413[[#This Row],[total_sec]]</f>
        <v>0.76875</v>
      </c>
      <c r="J27" s="9" t="n">
        <f aca="false">Tabla3510813153413[[#This Row],[efec_cor]]/Tabla3510813153413[[#This Row],[N° efec]]</f>
        <v>0.58974358974359</v>
      </c>
      <c r="K27" s="9" t="n">
        <f aca="false">Tabla3510813153413[[#This Row],[efect_inc]]/Tabla3510813153413[[#This Row],[N° efec]]</f>
        <v>0.41025641025641</v>
      </c>
      <c r="L27" s="9" t="n">
        <f aca="false">Tabla3510813153413[[#This Row],[no_efec_cor]]/Tabla3510813153413[[#This Row],[N° no_efe]]</f>
        <v>0.939024390243902</v>
      </c>
      <c r="M27" s="9" t="n">
        <f aca="false">Tabla3510813153413[[#This Row],[no_efec_inc]]/Tabla3510813153413[[#This Row],[N° no_efe]]</f>
        <v>0.0609756097560976</v>
      </c>
      <c r="N27" s="9" t="n">
        <f aca="false">(Tabla3510813153413[[#This Row],[% efe_cor]]+Tabla3510813153413[[#This Row],[% no_efe_cor]])/2</f>
        <v>0.764383989993746</v>
      </c>
      <c r="O27" s="10" t="n">
        <f aca="false">(Tabla3510813153413[[#This Row],[% efe_inc]]+Tabla3510813153413[[#This Row],[% no_efect_inc]])/2</f>
        <v>0.235616010006254</v>
      </c>
      <c r="P27" s="11" t="n">
        <f aca="false">Tabla3510813153413[[#This Row],[no_efec_cor]]/(Tabla3510813153413[[#This Row],[efect_inc]]+Tabla3510813153413[[#This Row],[no_efec_cor]])</f>
        <v>0.706422018348624</v>
      </c>
      <c r="Q27" s="11" t="n">
        <f aca="false">Tabla3510813153413[[#This Row],[efec_cor]]/(Tabla3510813153413[[#This Row],[efec_cor]]+Tabla3510813153413[[#This Row],[no_efec_inc]])</f>
        <v>0.901960784313726</v>
      </c>
      <c r="R27" s="11" t="n">
        <f aca="false">(Tabla3510813153413[[#This Row],[PNE]]+Tabla3510813153413[[#This Row],[PE]])/2</f>
        <v>0.804191401331175</v>
      </c>
      <c r="S27" s="0" t="n">
        <v>78</v>
      </c>
      <c r="T27" s="0" t="n">
        <v>82</v>
      </c>
      <c r="U27" s="0" t="n">
        <f aca="false">Tabla3510813153413[[#This Row],[N° efec]]+Tabla3510813153413[[#This Row],[N° no_efe]]</f>
        <v>160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75</v>
      </c>
      <c r="D28" s="0" t="n">
        <v>7</v>
      </c>
      <c r="E28" s="0" t="n">
        <v>50</v>
      </c>
      <c r="F28" s="0" t="n">
        <v>28</v>
      </c>
      <c r="G28" s="0" t="n">
        <f aca="false">Tabla3510813153413[[#This Row],[no_efec_cor]]+Tabla3510813153413[[#This Row],[efec_cor]]</f>
        <v>125</v>
      </c>
      <c r="H28" s="0" t="n">
        <f aca="false">Tabla3510813153413[[#This Row],[no_efec_inc]]+Tabla3510813153413[[#This Row],[efect_inc]]</f>
        <v>35</v>
      </c>
      <c r="I28" s="9" t="n">
        <f aca="false">Tabla3510813153413[[#This Row],[Correctos]]/Tabla3510813153413[[#This Row],[total_sec]]</f>
        <v>0.78125</v>
      </c>
      <c r="J28" s="9" t="n">
        <f aca="false">Tabla3510813153413[[#This Row],[efec_cor]]/Tabla3510813153413[[#This Row],[N° efec]]</f>
        <v>0.641025641025641</v>
      </c>
      <c r="K28" s="9" t="n">
        <f aca="false">Tabla3510813153413[[#This Row],[efect_inc]]/Tabla3510813153413[[#This Row],[N° efec]]</f>
        <v>0.358974358974359</v>
      </c>
      <c r="L28" s="9" t="n">
        <f aca="false">Tabla3510813153413[[#This Row],[no_efec_cor]]/Tabla3510813153413[[#This Row],[N° no_efe]]</f>
        <v>0.914634146341463</v>
      </c>
      <c r="M28" s="9" t="n">
        <f aca="false">Tabla3510813153413[[#This Row],[no_efec_inc]]/Tabla3510813153413[[#This Row],[N° no_efe]]</f>
        <v>0.0853658536585366</v>
      </c>
      <c r="N28" s="9" t="n">
        <f aca="false">(Tabla3510813153413[[#This Row],[% efe_cor]]+Tabla3510813153413[[#This Row],[% no_efe_cor]])/2</f>
        <v>0.777829893683552</v>
      </c>
      <c r="O28" s="10" t="n">
        <f aca="false">(Tabla3510813153413[[#This Row],[% efe_inc]]+Tabla3510813153413[[#This Row],[% no_efect_inc]])/2</f>
        <v>0.222170106316448</v>
      </c>
      <c r="P28" s="11" t="n">
        <f aca="false">Tabla3510813153413[[#This Row],[no_efec_cor]]/(Tabla3510813153413[[#This Row],[efect_inc]]+Tabla3510813153413[[#This Row],[no_efec_cor]])</f>
        <v>0.728155339805825</v>
      </c>
      <c r="Q28" s="11" t="n">
        <f aca="false">Tabla3510813153413[[#This Row],[efec_cor]]/(Tabla3510813153413[[#This Row],[efec_cor]]+Tabla3510813153413[[#This Row],[no_efec_inc]])</f>
        <v>0.87719298245614</v>
      </c>
      <c r="R28" s="11" t="n">
        <f aca="false">(Tabla3510813153413[[#This Row],[PNE]]+Tabla3510813153413[[#This Row],[PE]])/2</f>
        <v>0.802674161130983</v>
      </c>
      <c r="S28" s="0" t="n">
        <v>78</v>
      </c>
      <c r="T28" s="0" t="n">
        <v>82</v>
      </c>
      <c r="U28" s="0" t="n">
        <f aca="false">Tabla3510813153413[[#This Row],[N° efec]]+Tabla3510813153413[[#This Row],[N° no_efe]]</f>
        <v>160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70</v>
      </c>
      <c r="D29" s="0" t="n">
        <v>12</v>
      </c>
      <c r="E29" s="0" t="n">
        <v>59</v>
      </c>
      <c r="F29" s="0" t="n">
        <v>19</v>
      </c>
      <c r="G29" s="0" t="n">
        <f aca="false">Tabla3510813153413[[#This Row],[no_efec_cor]]+Tabla3510813153413[[#This Row],[efec_cor]]</f>
        <v>129</v>
      </c>
      <c r="H29" s="0" t="n">
        <f aca="false">Tabla3510813153413[[#This Row],[no_efec_inc]]+Tabla3510813153413[[#This Row],[efect_inc]]</f>
        <v>31</v>
      </c>
      <c r="I29" s="9" t="n">
        <f aca="false">Tabla3510813153413[[#This Row],[Correctos]]/Tabla3510813153413[[#This Row],[total_sec]]</f>
        <v>0.80625</v>
      </c>
      <c r="J29" s="9" t="n">
        <f aca="false">Tabla3510813153413[[#This Row],[efec_cor]]/Tabla3510813153413[[#This Row],[N° efec]]</f>
        <v>0.756410256410256</v>
      </c>
      <c r="K29" s="9" t="n">
        <f aca="false">Tabla3510813153413[[#This Row],[efect_inc]]/Tabla3510813153413[[#This Row],[N° efec]]</f>
        <v>0.243589743589744</v>
      </c>
      <c r="L29" s="9" t="n">
        <f aca="false">Tabla3510813153413[[#This Row],[no_efec_cor]]/Tabla3510813153413[[#This Row],[N° no_efe]]</f>
        <v>0.853658536585366</v>
      </c>
      <c r="M29" s="9" t="n">
        <f aca="false">Tabla3510813153413[[#This Row],[no_efec_inc]]/Tabla3510813153413[[#This Row],[N° no_efe]]</f>
        <v>0.146341463414634</v>
      </c>
      <c r="N29" s="9" t="n">
        <f aca="false">(Tabla3510813153413[[#This Row],[% efe_cor]]+Tabla3510813153413[[#This Row],[% no_efe_cor]])/2</f>
        <v>0.805034396497811</v>
      </c>
      <c r="O29" s="10" t="n">
        <f aca="false">(Tabla3510813153413[[#This Row],[% efe_inc]]+Tabla3510813153413[[#This Row],[% no_efect_inc]])/2</f>
        <v>0.194965603502189</v>
      </c>
      <c r="P29" s="11" t="n">
        <f aca="false">Tabla3510813153413[[#This Row],[no_efec_cor]]/(Tabla3510813153413[[#This Row],[efect_inc]]+Tabla3510813153413[[#This Row],[no_efec_cor]])</f>
        <v>0.786516853932584</v>
      </c>
      <c r="Q29" s="11" t="n">
        <f aca="false">Tabla3510813153413[[#This Row],[efec_cor]]/(Tabla3510813153413[[#This Row],[efec_cor]]+Tabla3510813153413[[#This Row],[no_efec_inc]])</f>
        <v>0.830985915492958</v>
      </c>
      <c r="R29" s="11" t="n">
        <f aca="false">(Tabla3510813153413[[#This Row],[PNE]]+Tabla3510813153413[[#This Row],[PE]])/2</f>
        <v>0.808751384712771</v>
      </c>
      <c r="S29" s="0" t="n">
        <v>78</v>
      </c>
      <c r="T29" s="0" t="n">
        <v>82</v>
      </c>
      <c r="U29" s="0" t="n">
        <f aca="false">Tabla3510813153413[[#This Row],[N° efec]]+Tabla3510813153413[[#This Row],[N° no_efe]]</f>
        <v>160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70</v>
      </c>
      <c r="D30" s="0" t="n">
        <v>12</v>
      </c>
      <c r="E30" s="0" t="n">
        <v>66</v>
      </c>
      <c r="F30" s="0" t="n">
        <v>12</v>
      </c>
      <c r="G30" s="0" t="n">
        <f aca="false">Tabla3510813153413[[#This Row],[no_efec_cor]]+Tabla3510813153413[[#This Row],[efec_cor]]</f>
        <v>136</v>
      </c>
      <c r="H30" s="0" t="n">
        <f aca="false">Tabla3510813153413[[#This Row],[no_efec_inc]]+Tabla3510813153413[[#This Row],[efect_inc]]</f>
        <v>24</v>
      </c>
      <c r="I30" s="9" t="n">
        <f aca="false">Tabla3510813153413[[#This Row],[Correctos]]/Tabla3510813153413[[#This Row],[total_sec]]</f>
        <v>0.85</v>
      </c>
      <c r="J30" s="9" t="n">
        <f aca="false">Tabla3510813153413[[#This Row],[efec_cor]]/Tabla3510813153413[[#This Row],[N° efec]]</f>
        <v>0.846153846153846</v>
      </c>
      <c r="K30" s="9" t="n">
        <f aca="false">Tabla3510813153413[[#This Row],[efect_inc]]/Tabla3510813153413[[#This Row],[N° efec]]</f>
        <v>0.153846153846154</v>
      </c>
      <c r="L30" s="9" t="n">
        <f aca="false">Tabla3510813153413[[#This Row],[no_efec_cor]]/Tabla3510813153413[[#This Row],[N° no_efe]]</f>
        <v>0.853658536585366</v>
      </c>
      <c r="M30" s="9" t="n">
        <f aca="false">Tabla3510813153413[[#This Row],[no_efec_inc]]/Tabla3510813153413[[#This Row],[N° no_efe]]</f>
        <v>0.146341463414634</v>
      </c>
      <c r="N30" s="9" t="n">
        <f aca="false">(Tabla3510813153413[[#This Row],[% efe_cor]]+Tabla3510813153413[[#This Row],[% no_efe_cor]])/2</f>
        <v>0.849906191369606</v>
      </c>
      <c r="O30" s="10" t="n">
        <f aca="false">(Tabla3510813153413[[#This Row],[% efe_inc]]+Tabla3510813153413[[#This Row],[% no_efect_inc]])/2</f>
        <v>0.150093808630394</v>
      </c>
      <c r="P30" s="11" t="n">
        <f aca="false">Tabla3510813153413[[#This Row],[no_efec_cor]]/(Tabla3510813153413[[#This Row],[efect_inc]]+Tabla3510813153413[[#This Row],[no_efec_cor]])</f>
        <v>0.853658536585366</v>
      </c>
      <c r="Q30" s="11" t="n">
        <f aca="false">Tabla3510813153413[[#This Row],[efec_cor]]/(Tabla3510813153413[[#This Row],[efec_cor]]+Tabla3510813153413[[#This Row],[no_efec_inc]])</f>
        <v>0.846153846153846</v>
      </c>
      <c r="R30" s="11" t="n">
        <f aca="false">(Tabla3510813153413[[#This Row],[PNE]]+Tabla3510813153413[[#This Row],[PE]])/2</f>
        <v>0.849906191369606</v>
      </c>
      <c r="S30" s="0" t="n">
        <v>78</v>
      </c>
      <c r="T30" s="0" t="n">
        <v>82</v>
      </c>
      <c r="U30" s="0" t="n">
        <f aca="false">Tabla3510813153413[[#This Row],[N° efec]]+Tabla3510813153413[[#This Row],[N° no_efe]]</f>
        <v>160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68</v>
      </c>
      <c r="D31" s="0" t="n">
        <v>14</v>
      </c>
      <c r="E31" s="0" t="n">
        <v>66</v>
      </c>
      <c r="F31" s="0" t="n">
        <v>12</v>
      </c>
      <c r="G31" s="0" t="n">
        <f aca="false">Tabla3510813153413[[#This Row],[no_efec_cor]]+Tabla3510813153413[[#This Row],[efec_cor]]</f>
        <v>134</v>
      </c>
      <c r="H31" s="0" t="n">
        <f aca="false">Tabla3510813153413[[#This Row],[no_efec_inc]]+Tabla3510813153413[[#This Row],[efect_inc]]</f>
        <v>26</v>
      </c>
      <c r="I31" s="9" t="n">
        <f aca="false">Tabla3510813153413[[#This Row],[Correctos]]/Tabla3510813153413[[#This Row],[total_sec]]</f>
        <v>0.8375</v>
      </c>
      <c r="J31" s="9" t="n">
        <f aca="false">Tabla3510813153413[[#This Row],[efec_cor]]/Tabla3510813153413[[#This Row],[N° efec]]</f>
        <v>0.846153846153846</v>
      </c>
      <c r="K31" s="9" t="n">
        <f aca="false">Tabla3510813153413[[#This Row],[efect_inc]]/Tabla3510813153413[[#This Row],[N° efec]]</f>
        <v>0.153846153846154</v>
      </c>
      <c r="L31" s="9" t="n">
        <f aca="false">Tabla3510813153413[[#This Row],[no_efec_cor]]/Tabla3510813153413[[#This Row],[N° no_efe]]</f>
        <v>0.829268292682927</v>
      </c>
      <c r="M31" s="9" t="n">
        <f aca="false">Tabla3510813153413[[#This Row],[no_efec_inc]]/Tabla3510813153413[[#This Row],[N° no_efe]]</f>
        <v>0.170731707317073</v>
      </c>
      <c r="N31" s="9" t="n">
        <f aca="false">(Tabla3510813153413[[#This Row],[% efe_cor]]+Tabla3510813153413[[#This Row],[% no_efe_cor]])/2</f>
        <v>0.837711069418386</v>
      </c>
      <c r="O31" s="10" t="n">
        <f aca="false">(Tabla3510813153413[[#This Row],[% efe_inc]]+Tabla3510813153413[[#This Row],[% no_efect_inc]])/2</f>
        <v>0.162288930581614</v>
      </c>
      <c r="P31" s="11" t="n">
        <f aca="false">Tabla3510813153413[[#This Row],[no_efec_cor]]/(Tabla3510813153413[[#This Row],[efect_inc]]+Tabla3510813153413[[#This Row],[no_efec_cor]])</f>
        <v>0.85</v>
      </c>
      <c r="Q31" s="11" t="n">
        <f aca="false">Tabla3510813153413[[#This Row],[efec_cor]]/(Tabla3510813153413[[#This Row],[efec_cor]]+Tabla3510813153413[[#This Row],[no_efec_inc]])</f>
        <v>0.825</v>
      </c>
      <c r="R31" s="11" t="n">
        <f aca="false">(Tabla3510813153413[[#This Row],[PNE]]+Tabla3510813153413[[#This Row],[PE]])/2</f>
        <v>0.8375</v>
      </c>
      <c r="S31" s="0" t="n">
        <v>78</v>
      </c>
      <c r="T31" s="0" t="n">
        <v>82</v>
      </c>
      <c r="U31" s="0" t="n">
        <f aca="false">Tabla3510813153413[[#This Row],[N° efec]]+Tabla3510813153413[[#This Row],[N° no_efe]]</f>
        <v>160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68</v>
      </c>
      <c r="D32" s="0" t="n">
        <v>14</v>
      </c>
      <c r="E32" s="0" t="n">
        <v>67</v>
      </c>
      <c r="F32" s="0" t="n">
        <v>11</v>
      </c>
      <c r="G32" s="0" t="n">
        <f aca="false">Tabla3510813153413[[#This Row],[no_efec_cor]]+Tabla3510813153413[[#This Row],[efec_cor]]</f>
        <v>135</v>
      </c>
      <c r="H32" s="0" t="n">
        <f aca="false">Tabla3510813153413[[#This Row],[no_efec_inc]]+Tabla3510813153413[[#This Row],[efect_inc]]</f>
        <v>25</v>
      </c>
      <c r="I32" s="9" t="n">
        <f aca="false">Tabla3510813153413[[#This Row],[Correctos]]/Tabla3510813153413[[#This Row],[total_sec]]</f>
        <v>0.84375</v>
      </c>
      <c r="J32" s="9" t="n">
        <f aca="false">Tabla3510813153413[[#This Row],[efec_cor]]/Tabla3510813153413[[#This Row],[N° efec]]</f>
        <v>0.858974358974359</v>
      </c>
      <c r="K32" s="9" t="n">
        <f aca="false">Tabla3510813153413[[#This Row],[efect_inc]]/Tabla3510813153413[[#This Row],[N° efec]]</f>
        <v>0.141025641025641</v>
      </c>
      <c r="L32" s="9" t="n">
        <f aca="false">Tabla3510813153413[[#This Row],[no_efec_cor]]/Tabla3510813153413[[#This Row],[N° no_efe]]</f>
        <v>0.829268292682927</v>
      </c>
      <c r="M32" s="9" t="n">
        <f aca="false">Tabla3510813153413[[#This Row],[no_efec_inc]]/Tabla3510813153413[[#This Row],[N° no_efe]]</f>
        <v>0.170731707317073</v>
      </c>
      <c r="N32" s="9" t="n">
        <f aca="false">(Tabla3510813153413[[#This Row],[% efe_cor]]+Tabla3510813153413[[#This Row],[% no_efe_cor]])/2</f>
        <v>0.844121325828643</v>
      </c>
      <c r="O32" s="10" t="n">
        <f aca="false">(Tabla3510813153413[[#This Row],[% efe_inc]]+Tabla3510813153413[[#This Row],[% no_efect_inc]])/2</f>
        <v>0.155878674171357</v>
      </c>
      <c r="P32" s="11" t="n">
        <f aca="false">Tabla3510813153413[[#This Row],[no_efec_cor]]/(Tabla3510813153413[[#This Row],[efect_inc]]+Tabla3510813153413[[#This Row],[no_efec_cor]])</f>
        <v>0.860759493670886</v>
      </c>
      <c r="Q32" s="11" t="n">
        <f aca="false">Tabla3510813153413[[#This Row],[efec_cor]]/(Tabla3510813153413[[#This Row],[efec_cor]]+Tabla3510813153413[[#This Row],[no_efec_inc]])</f>
        <v>0.82716049382716</v>
      </c>
      <c r="R32" s="11" t="n">
        <f aca="false">(Tabla3510813153413[[#This Row],[PNE]]+Tabla3510813153413[[#This Row],[PE]])/2</f>
        <v>0.843959993749023</v>
      </c>
      <c r="S32" s="0" t="n">
        <v>78</v>
      </c>
      <c r="T32" s="0" t="n">
        <v>82</v>
      </c>
      <c r="U32" s="0" t="n">
        <f aca="false">Tabla3510813153413[[#This Row],[N° efec]]+Tabla3510813153413[[#This Row],[N° no_efe]]</f>
        <v>160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68</v>
      </c>
      <c r="D33" s="0" t="n">
        <v>14</v>
      </c>
      <c r="E33" s="0" t="n">
        <v>68</v>
      </c>
      <c r="F33" s="0" t="n">
        <v>10</v>
      </c>
      <c r="G33" s="0" t="n">
        <f aca="false">Tabla3510813153413[[#This Row],[no_efec_cor]]+Tabla3510813153413[[#This Row],[efec_cor]]</f>
        <v>136</v>
      </c>
      <c r="H33" s="0" t="n">
        <f aca="false">Tabla3510813153413[[#This Row],[no_efec_inc]]+Tabla3510813153413[[#This Row],[efect_inc]]</f>
        <v>24</v>
      </c>
      <c r="I33" s="9" t="n">
        <f aca="false">Tabla3510813153413[[#This Row],[Correctos]]/Tabla3510813153413[[#This Row],[total_sec]]</f>
        <v>0.85</v>
      </c>
      <c r="J33" s="9" t="n">
        <f aca="false">Tabla3510813153413[[#This Row],[efec_cor]]/Tabla3510813153413[[#This Row],[N° efec]]</f>
        <v>0.871794871794872</v>
      </c>
      <c r="K33" s="9" t="n">
        <f aca="false">Tabla3510813153413[[#This Row],[efect_inc]]/Tabla3510813153413[[#This Row],[N° efec]]</f>
        <v>0.128205128205128</v>
      </c>
      <c r="L33" s="9" t="n">
        <f aca="false">Tabla3510813153413[[#This Row],[no_efec_cor]]/Tabla3510813153413[[#This Row],[N° no_efe]]</f>
        <v>0.829268292682927</v>
      </c>
      <c r="M33" s="9" t="n">
        <f aca="false">Tabla3510813153413[[#This Row],[no_efec_inc]]/Tabla3510813153413[[#This Row],[N° no_efe]]</f>
        <v>0.170731707317073</v>
      </c>
      <c r="N33" s="9" t="n">
        <f aca="false">(Tabla3510813153413[[#This Row],[% efe_cor]]+Tabla3510813153413[[#This Row],[% no_efe_cor]])/2</f>
        <v>0.850531582238899</v>
      </c>
      <c r="O33" s="10" t="n">
        <f aca="false">(Tabla3510813153413[[#This Row],[% efe_inc]]+Tabla3510813153413[[#This Row],[% no_efect_inc]])/2</f>
        <v>0.149468417761101</v>
      </c>
      <c r="P33" s="11" t="n">
        <f aca="false">Tabla3510813153413[[#This Row],[no_efec_cor]]/(Tabla3510813153413[[#This Row],[efect_inc]]+Tabla3510813153413[[#This Row],[no_efec_cor]])</f>
        <v>0.871794871794872</v>
      </c>
      <c r="Q33" s="11" t="n">
        <f aca="false">Tabla3510813153413[[#This Row],[efec_cor]]/(Tabla3510813153413[[#This Row],[efec_cor]]+Tabla3510813153413[[#This Row],[no_efec_inc]])</f>
        <v>0.829268292682927</v>
      </c>
      <c r="R33" s="11" t="n">
        <f aca="false">(Tabla3510813153413[[#This Row],[PNE]]+Tabla3510813153413[[#This Row],[PE]])/2</f>
        <v>0.850531582238899</v>
      </c>
      <c r="S33" s="0" t="n">
        <v>78</v>
      </c>
      <c r="T33" s="0" t="n">
        <v>82</v>
      </c>
      <c r="U33" s="0" t="n">
        <f aca="false">Tabla3510813153413[[#This Row],[N° efec]]+Tabla3510813153413[[#This Row],[N° no_efe]]</f>
        <v>160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70</v>
      </c>
      <c r="D34" s="0" t="n">
        <v>12</v>
      </c>
      <c r="E34" s="0" t="n">
        <v>59</v>
      </c>
      <c r="F34" s="0" t="n">
        <v>19</v>
      </c>
      <c r="G34" s="0" t="n">
        <f aca="false">Tabla3510813153413[[#This Row],[no_efec_cor]]+Tabla3510813153413[[#This Row],[efec_cor]]</f>
        <v>129</v>
      </c>
      <c r="H34" s="0" t="n">
        <f aca="false">Tabla3510813153413[[#This Row],[no_efec_inc]]+Tabla3510813153413[[#This Row],[efect_inc]]</f>
        <v>31</v>
      </c>
      <c r="I34" s="9" t="n">
        <f aca="false">Tabla3510813153413[[#This Row],[Correctos]]/Tabla3510813153413[[#This Row],[total_sec]]</f>
        <v>0.80625</v>
      </c>
      <c r="J34" s="9" t="n">
        <f aca="false">Tabla3510813153413[[#This Row],[efec_cor]]/Tabla3510813153413[[#This Row],[N° efec]]</f>
        <v>0.756410256410256</v>
      </c>
      <c r="K34" s="9" t="n">
        <f aca="false">Tabla3510813153413[[#This Row],[efect_inc]]/Tabla3510813153413[[#This Row],[N° efec]]</f>
        <v>0.243589743589744</v>
      </c>
      <c r="L34" s="9" t="n">
        <f aca="false">Tabla3510813153413[[#This Row],[no_efec_cor]]/Tabla3510813153413[[#This Row],[N° no_efe]]</f>
        <v>0.853658536585366</v>
      </c>
      <c r="M34" s="9" t="n">
        <f aca="false">Tabla3510813153413[[#This Row],[no_efec_inc]]/Tabla3510813153413[[#This Row],[N° no_efe]]</f>
        <v>0.146341463414634</v>
      </c>
      <c r="N34" s="9" t="n">
        <f aca="false">(Tabla3510813153413[[#This Row],[% efe_cor]]+Tabla3510813153413[[#This Row],[% no_efe_cor]])/2</f>
        <v>0.805034396497811</v>
      </c>
      <c r="O34" s="10" t="n">
        <f aca="false">(Tabla3510813153413[[#This Row],[% efe_inc]]+Tabla3510813153413[[#This Row],[% no_efect_inc]])/2</f>
        <v>0.194965603502189</v>
      </c>
      <c r="P34" s="11" t="n">
        <f aca="false">Tabla3510813153413[[#This Row],[no_efec_cor]]/(Tabla3510813153413[[#This Row],[efect_inc]]+Tabla3510813153413[[#This Row],[no_efec_cor]])</f>
        <v>0.786516853932584</v>
      </c>
      <c r="Q34" s="11" t="n">
        <f aca="false">Tabla3510813153413[[#This Row],[efec_cor]]/(Tabla3510813153413[[#This Row],[efec_cor]]+Tabla3510813153413[[#This Row],[no_efec_inc]])</f>
        <v>0.830985915492958</v>
      </c>
      <c r="R34" s="11" t="n">
        <f aca="false">(Tabla3510813153413[[#This Row],[PNE]]+Tabla3510813153413[[#This Row],[PE]])/2</f>
        <v>0.808751384712771</v>
      </c>
      <c r="S34" s="0" t="n">
        <v>78</v>
      </c>
      <c r="T34" s="0" t="n">
        <v>82</v>
      </c>
      <c r="U34" s="0" t="n">
        <f aca="false">Tabla3510813153413[[#This Row],[N° efec]]+Tabla3510813153413[[#This Row],[N° no_efe]]</f>
        <v>160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70</v>
      </c>
      <c r="D35" s="0" t="n">
        <v>12</v>
      </c>
      <c r="E35" s="0" t="n">
        <v>60</v>
      </c>
      <c r="F35" s="0" t="n">
        <v>18</v>
      </c>
      <c r="G35" s="0" t="n">
        <f aca="false">Tabla3510813153413[[#This Row],[no_efec_cor]]+Tabla3510813153413[[#This Row],[efec_cor]]</f>
        <v>130</v>
      </c>
      <c r="H35" s="0" t="n">
        <f aca="false">Tabla3510813153413[[#This Row],[no_efec_inc]]+Tabla3510813153413[[#This Row],[efect_inc]]</f>
        <v>30</v>
      </c>
      <c r="I35" s="9" t="n">
        <f aca="false">Tabla3510813153413[[#This Row],[Correctos]]/Tabla3510813153413[[#This Row],[total_sec]]</f>
        <v>0.8125</v>
      </c>
      <c r="J35" s="9" t="n">
        <f aca="false">Tabla3510813153413[[#This Row],[efec_cor]]/Tabla3510813153413[[#This Row],[N° efec]]</f>
        <v>0.769230769230769</v>
      </c>
      <c r="K35" s="9" t="n">
        <f aca="false">Tabla3510813153413[[#This Row],[efect_inc]]/Tabla3510813153413[[#This Row],[N° efec]]</f>
        <v>0.230769230769231</v>
      </c>
      <c r="L35" s="9" t="n">
        <f aca="false">Tabla3510813153413[[#This Row],[no_efec_cor]]/Tabla3510813153413[[#This Row],[N° no_efe]]</f>
        <v>0.853658536585366</v>
      </c>
      <c r="M35" s="9" t="n">
        <f aca="false">Tabla3510813153413[[#This Row],[no_efec_inc]]/Tabla3510813153413[[#This Row],[N° no_efe]]</f>
        <v>0.146341463414634</v>
      </c>
      <c r="N35" s="9" t="n">
        <f aca="false">(Tabla3510813153413[[#This Row],[% efe_cor]]+Tabla3510813153413[[#This Row],[% no_efe_cor]])/2</f>
        <v>0.811444652908068</v>
      </c>
      <c r="O35" s="10" t="n">
        <f aca="false">(Tabla3510813153413[[#This Row],[% efe_inc]]+Tabla3510813153413[[#This Row],[% no_efect_inc]])/2</f>
        <v>0.188555347091932</v>
      </c>
      <c r="P35" s="11" t="n">
        <f aca="false">Tabla3510813153413[[#This Row],[no_efec_cor]]/(Tabla3510813153413[[#This Row],[efect_inc]]+Tabla3510813153413[[#This Row],[no_efec_cor]])</f>
        <v>0.795454545454545</v>
      </c>
      <c r="Q35" s="11" t="n">
        <f aca="false">Tabla3510813153413[[#This Row],[efec_cor]]/(Tabla3510813153413[[#This Row],[efec_cor]]+Tabla3510813153413[[#This Row],[no_efec_inc]])</f>
        <v>0.833333333333333</v>
      </c>
      <c r="R35" s="11" t="n">
        <f aca="false">(Tabla3510813153413[[#This Row],[PNE]]+Tabla3510813153413[[#This Row],[PE]])/2</f>
        <v>0.814393939393939</v>
      </c>
      <c r="S35" s="0" t="n">
        <v>78</v>
      </c>
      <c r="T35" s="0" t="n">
        <v>82</v>
      </c>
      <c r="U35" s="0" t="n">
        <f aca="false">Tabla3510813153413[[#This Row],[N° efec]]+Tabla3510813153413[[#This Row],[N° no_efe]]</f>
        <v>160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70</v>
      </c>
      <c r="D36" s="0" t="n">
        <v>12</v>
      </c>
      <c r="E36" s="0" t="n">
        <v>60</v>
      </c>
      <c r="F36" s="0" t="n">
        <v>18</v>
      </c>
      <c r="G36" s="0" t="n">
        <f aca="false">Tabla3510813153413[[#This Row],[no_efec_cor]]+Tabla3510813153413[[#This Row],[efec_cor]]</f>
        <v>130</v>
      </c>
      <c r="H36" s="0" t="n">
        <f aca="false">Tabla3510813153413[[#This Row],[no_efec_inc]]+Tabla3510813153413[[#This Row],[efect_inc]]</f>
        <v>30</v>
      </c>
      <c r="I36" s="9" t="n">
        <f aca="false">Tabla3510813153413[[#This Row],[Correctos]]/Tabla3510813153413[[#This Row],[total_sec]]</f>
        <v>0.8125</v>
      </c>
      <c r="J36" s="9" t="n">
        <f aca="false">Tabla3510813153413[[#This Row],[efec_cor]]/Tabla3510813153413[[#This Row],[N° efec]]</f>
        <v>0.769230769230769</v>
      </c>
      <c r="K36" s="9" t="n">
        <f aca="false">Tabla3510813153413[[#This Row],[efect_inc]]/Tabla3510813153413[[#This Row],[N° efec]]</f>
        <v>0.230769230769231</v>
      </c>
      <c r="L36" s="9" t="n">
        <f aca="false">Tabla3510813153413[[#This Row],[no_efec_cor]]/Tabla3510813153413[[#This Row],[N° no_efe]]</f>
        <v>0.853658536585366</v>
      </c>
      <c r="M36" s="9" t="n">
        <f aca="false">Tabla3510813153413[[#This Row],[no_efec_inc]]/Tabla3510813153413[[#This Row],[N° no_efe]]</f>
        <v>0.146341463414634</v>
      </c>
      <c r="N36" s="9" t="n">
        <f aca="false">(Tabla3510813153413[[#This Row],[% efe_cor]]+Tabla3510813153413[[#This Row],[% no_efe_cor]])/2</f>
        <v>0.811444652908068</v>
      </c>
      <c r="O36" s="10" t="n">
        <f aca="false">(Tabla3510813153413[[#This Row],[% efe_inc]]+Tabla3510813153413[[#This Row],[% no_efect_inc]])/2</f>
        <v>0.188555347091932</v>
      </c>
      <c r="P36" s="11" t="n">
        <f aca="false">Tabla3510813153413[[#This Row],[no_efec_cor]]/(Tabla3510813153413[[#This Row],[efect_inc]]+Tabla3510813153413[[#This Row],[no_efec_cor]])</f>
        <v>0.795454545454545</v>
      </c>
      <c r="Q36" s="11" t="n">
        <f aca="false">Tabla3510813153413[[#This Row],[efec_cor]]/(Tabla3510813153413[[#This Row],[efec_cor]]+Tabla3510813153413[[#This Row],[no_efec_inc]])</f>
        <v>0.833333333333333</v>
      </c>
      <c r="R36" s="11" t="n">
        <f aca="false">(Tabla3510813153413[[#This Row],[PNE]]+Tabla3510813153413[[#This Row],[PE]])/2</f>
        <v>0.814393939393939</v>
      </c>
      <c r="S36" s="0" t="n">
        <v>78</v>
      </c>
      <c r="T36" s="0" t="n">
        <v>82</v>
      </c>
      <c r="U36" s="0" t="n">
        <f aca="false">Tabla3510813153413[[#This Row],[N° efec]]+Tabla3510813153413[[#This Row],[N° no_efe]]</f>
        <v>160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71</v>
      </c>
      <c r="D37" s="0" t="n">
        <v>11</v>
      </c>
      <c r="E37" s="0" t="n">
        <v>62</v>
      </c>
      <c r="F37" s="0" t="n">
        <v>16</v>
      </c>
      <c r="G37" s="0" t="n">
        <f aca="false">Tabla3510813153413[[#This Row],[no_efec_cor]]+Tabla3510813153413[[#This Row],[efec_cor]]</f>
        <v>133</v>
      </c>
      <c r="H37" s="0" t="n">
        <f aca="false">Tabla3510813153413[[#This Row],[no_efec_inc]]+Tabla3510813153413[[#This Row],[efect_inc]]</f>
        <v>27</v>
      </c>
      <c r="I37" s="9" t="n">
        <f aca="false">Tabla3510813153413[[#This Row],[Correctos]]/Tabla3510813153413[[#This Row],[total_sec]]</f>
        <v>0.83125</v>
      </c>
      <c r="J37" s="9" t="n">
        <f aca="false">Tabla3510813153413[[#This Row],[efec_cor]]/Tabla3510813153413[[#This Row],[N° efec]]</f>
        <v>0.794871794871795</v>
      </c>
      <c r="K37" s="9" t="n">
        <f aca="false">Tabla3510813153413[[#This Row],[efect_inc]]/Tabla3510813153413[[#This Row],[N° efec]]</f>
        <v>0.205128205128205</v>
      </c>
      <c r="L37" s="9" t="n">
        <f aca="false">Tabla3510813153413[[#This Row],[no_efec_cor]]/Tabla3510813153413[[#This Row],[N° no_efe]]</f>
        <v>0.865853658536585</v>
      </c>
      <c r="M37" s="9" t="n">
        <f aca="false">Tabla3510813153413[[#This Row],[no_efec_inc]]/Tabla3510813153413[[#This Row],[N° no_efe]]</f>
        <v>0.134146341463415</v>
      </c>
      <c r="N37" s="9" t="n">
        <f aca="false">(Tabla3510813153413[[#This Row],[% efe_cor]]+Tabla3510813153413[[#This Row],[% no_efe_cor]])/2</f>
        <v>0.83036272670419</v>
      </c>
      <c r="O37" s="10" t="n">
        <f aca="false">(Tabla3510813153413[[#This Row],[% efe_inc]]+Tabla3510813153413[[#This Row],[% no_efect_inc]])/2</f>
        <v>0.16963727329581</v>
      </c>
      <c r="P37" s="11" t="n">
        <f aca="false">Tabla3510813153413[[#This Row],[no_efec_cor]]/(Tabla3510813153413[[#This Row],[efect_inc]]+Tabla3510813153413[[#This Row],[no_efec_cor]])</f>
        <v>0.816091954022988</v>
      </c>
      <c r="Q37" s="11" t="n">
        <f aca="false">Tabla3510813153413[[#This Row],[efec_cor]]/(Tabla3510813153413[[#This Row],[efec_cor]]+Tabla3510813153413[[#This Row],[no_efec_inc]])</f>
        <v>0.849315068493151</v>
      </c>
      <c r="R37" s="11" t="n">
        <f aca="false">(Tabla3510813153413[[#This Row],[PNE]]+Tabla3510813153413[[#This Row],[PE]])/2</f>
        <v>0.83270351125807</v>
      </c>
      <c r="S37" s="0" t="n">
        <v>78</v>
      </c>
      <c r="T37" s="0" t="n">
        <v>82</v>
      </c>
      <c r="U37" s="0" t="n">
        <f aca="false">Tabla3510813153413[[#This Row],[N° efec]]+Tabla3510813153413[[#This Row],[N° no_efe]]</f>
        <v>160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72</v>
      </c>
      <c r="D38" s="0" t="n">
        <v>10</v>
      </c>
      <c r="E38" s="0" t="n">
        <v>65</v>
      </c>
      <c r="F38" s="0" t="n">
        <v>13</v>
      </c>
      <c r="G38" s="0" t="n">
        <f aca="false">Tabla3510813153413[[#This Row],[no_efec_cor]]+Tabla3510813153413[[#This Row],[efec_cor]]</f>
        <v>137</v>
      </c>
      <c r="H38" s="0" t="n">
        <f aca="false">Tabla3510813153413[[#This Row],[no_efec_inc]]+Tabla3510813153413[[#This Row],[efect_inc]]</f>
        <v>23</v>
      </c>
      <c r="I38" s="9" t="n">
        <f aca="false">Tabla3510813153413[[#This Row],[Correctos]]/Tabla3510813153413[[#This Row],[total_sec]]</f>
        <v>0.85625</v>
      </c>
      <c r="J38" s="9" t="n">
        <f aca="false">Tabla3510813153413[[#This Row],[efec_cor]]/Tabla3510813153413[[#This Row],[N° efec]]</f>
        <v>0.833333333333333</v>
      </c>
      <c r="K38" s="9" t="n">
        <f aca="false">Tabla3510813153413[[#This Row],[efect_inc]]/Tabla3510813153413[[#This Row],[N° efec]]</f>
        <v>0.166666666666667</v>
      </c>
      <c r="L38" s="9" t="n">
        <f aca="false">Tabla3510813153413[[#This Row],[no_efec_cor]]/Tabla3510813153413[[#This Row],[N° no_efe]]</f>
        <v>0.878048780487805</v>
      </c>
      <c r="M38" s="9" t="n">
        <f aca="false">Tabla3510813153413[[#This Row],[no_efec_inc]]/Tabla3510813153413[[#This Row],[N° no_efe]]</f>
        <v>0.121951219512195</v>
      </c>
      <c r="N38" s="9" t="n">
        <f aca="false">(Tabla3510813153413[[#This Row],[% efe_cor]]+Tabla3510813153413[[#This Row],[% no_efe_cor]])/2</f>
        <v>0.855691056910569</v>
      </c>
      <c r="O38" s="10" t="n">
        <f aca="false">(Tabla3510813153413[[#This Row],[% efe_inc]]+Tabla3510813153413[[#This Row],[% no_efect_inc]])/2</f>
        <v>0.144308943089431</v>
      </c>
      <c r="P38" s="11" t="n">
        <f aca="false">Tabla3510813153413[[#This Row],[no_efec_cor]]/(Tabla3510813153413[[#This Row],[efect_inc]]+Tabla3510813153413[[#This Row],[no_efec_cor]])</f>
        <v>0.847058823529412</v>
      </c>
      <c r="Q38" s="11" t="n">
        <f aca="false">Tabla3510813153413[[#This Row],[efec_cor]]/(Tabla3510813153413[[#This Row],[efec_cor]]+Tabla3510813153413[[#This Row],[no_efec_inc]])</f>
        <v>0.866666666666667</v>
      </c>
      <c r="R38" s="11" t="n">
        <f aca="false">(Tabla3510813153413[[#This Row],[PNE]]+Tabla3510813153413[[#This Row],[PE]])/2</f>
        <v>0.856862745098039</v>
      </c>
      <c r="S38" s="0" t="n">
        <v>78</v>
      </c>
      <c r="T38" s="0" t="n">
        <v>82</v>
      </c>
      <c r="U38" s="0" t="n">
        <f aca="false">Tabla3510813153413[[#This Row],[N° efec]]+Tabla3510813153413[[#This Row],[N° no_efe]]</f>
        <v>160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77</v>
      </c>
      <c r="D39" s="0" t="n">
        <v>5</v>
      </c>
      <c r="E39" s="0" t="n">
        <v>45</v>
      </c>
      <c r="F39" s="0" t="n">
        <v>33</v>
      </c>
      <c r="G39" s="0" t="n">
        <f aca="false">Tabla3510813153413[[#This Row],[no_efec_cor]]+Tabla3510813153413[[#This Row],[efec_cor]]</f>
        <v>122</v>
      </c>
      <c r="H39" s="0" t="n">
        <f aca="false">Tabla3510813153413[[#This Row],[no_efec_inc]]+Tabla3510813153413[[#This Row],[efect_inc]]</f>
        <v>38</v>
      </c>
      <c r="I39" s="9" t="n">
        <f aca="false">Tabla3510813153413[[#This Row],[Correctos]]/Tabla3510813153413[[#This Row],[total_sec]]</f>
        <v>0.7625</v>
      </c>
      <c r="J39" s="9" t="n">
        <f aca="false">Tabla3510813153413[[#This Row],[efec_cor]]/Tabla3510813153413[[#This Row],[N° efec]]</f>
        <v>0.576923076923077</v>
      </c>
      <c r="K39" s="9" t="n">
        <f aca="false">Tabla3510813153413[[#This Row],[efect_inc]]/Tabla3510813153413[[#This Row],[N° efec]]</f>
        <v>0.423076923076923</v>
      </c>
      <c r="L39" s="9" t="n">
        <f aca="false">Tabla3510813153413[[#This Row],[no_efec_cor]]/Tabla3510813153413[[#This Row],[N° no_efe]]</f>
        <v>0.939024390243902</v>
      </c>
      <c r="M39" s="9" t="n">
        <f aca="false">Tabla3510813153413[[#This Row],[no_efec_inc]]/Tabla3510813153413[[#This Row],[N° no_efe]]</f>
        <v>0.0609756097560976</v>
      </c>
      <c r="N39" s="9" t="n">
        <f aca="false">(Tabla3510813153413[[#This Row],[% efe_cor]]+Tabla3510813153413[[#This Row],[% no_efe_cor]])/2</f>
        <v>0.75797373358349</v>
      </c>
      <c r="O39" s="10" t="n">
        <f aca="false">(Tabla3510813153413[[#This Row],[% efe_inc]]+Tabla3510813153413[[#This Row],[% no_efect_inc]])/2</f>
        <v>0.24202626641651</v>
      </c>
      <c r="P39" s="11" t="n">
        <f aca="false">Tabla3510813153413[[#This Row],[no_efec_cor]]/(Tabla3510813153413[[#This Row],[efect_inc]]+Tabla3510813153413[[#This Row],[no_efec_cor]])</f>
        <v>0.7</v>
      </c>
      <c r="Q39" s="11" t="n">
        <f aca="false">Tabla3510813153413[[#This Row],[efec_cor]]/(Tabla3510813153413[[#This Row],[efec_cor]]+Tabla3510813153413[[#This Row],[no_efec_inc]])</f>
        <v>0.9</v>
      </c>
      <c r="R39" s="11" t="n">
        <f aca="false">(Tabla3510813153413[[#This Row],[PNE]]+Tabla3510813153413[[#This Row],[PE]])/2</f>
        <v>0.8</v>
      </c>
      <c r="S39" s="0" t="n">
        <v>78</v>
      </c>
      <c r="T39" s="0" t="n">
        <v>82</v>
      </c>
      <c r="U39" s="0" t="n">
        <f aca="false">Tabla3510813153413[[#This Row],[N° efec]]+Tabla3510813153413[[#This Row],[N° no_efe]]</f>
        <v>160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71</v>
      </c>
      <c r="D40" s="0" t="n">
        <v>11</v>
      </c>
      <c r="E40" s="0" t="n">
        <v>57</v>
      </c>
      <c r="F40" s="0" t="n">
        <v>21</v>
      </c>
      <c r="G40" s="0" t="n">
        <f aca="false">Tabla3510813153413[[#This Row],[no_efec_cor]]+Tabla3510813153413[[#This Row],[efec_cor]]</f>
        <v>128</v>
      </c>
      <c r="H40" s="0" t="n">
        <f aca="false">Tabla3510813153413[[#This Row],[no_efec_inc]]+Tabla3510813153413[[#This Row],[efect_inc]]</f>
        <v>32</v>
      </c>
      <c r="I40" s="9" t="n">
        <f aca="false">Tabla3510813153413[[#This Row],[Correctos]]/Tabla3510813153413[[#This Row],[total_sec]]</f>
        <v>0.8</v>
      </c>
      <c r="J40" s="9" t="n">
        <f aca="false">Tabla3510813153413[[#This Row],[efec_cor]]/Tabla3510813153413[[#This Row],[N° efec]]</f>
        <v>0.730769230769231</v>
      </c>
      <c r="K40" s="9" t="n">
        <f aca="false">Tabla3510813153413[[#This Row],[efect_inc]]/Tabla3510813153413[[#This Row],[N° efec]]</f>
        <v>0.269230769230769</v>
      </c>
      <c r="L40" s="9" t="n">
        <f aca="false">Tabla3510813153413[[#This Row],[no_efec_cor]]/Tabla3510813153413[[#This Row],[N° no_efe]]</f>
        <v>0.865853658536585</v>
      </c>
      <c r="M40" s="9" t="n">
        <f aca="false">Tabla3510813153413[[#This Row],[no_efec_inc]]/Tabla3510813153413[[#This Row],[N° no_efe]]</f>
        <v>0.134146341463415</v>
      </c>
      <c r="N40" s="9" t="n">
        <f aca="false">(Tabla3510813153413[[#This Row],[% efe_cor]]+Tabla3510813153413[[#This Row],[% no_efe_cor]])/2</f>
        <v>0.798311444652908</v>
      </c>
      <c r="O40" s="10" t="n">
        <f aca="false">(Tabla3510813153413[[#This Row],[% efe_inc]]+Tabla3510813153413[[#This Row],[% no_efect_inc]])/2</f>
        <v>0.201688555347092</v>
      </c>
      <c r="P40" s="11" t="n">
        <f aca="false">Tabla3510813153413[[#This Row],[no_efec_cor]]/(Tabla3510813153413[[#This Row],[efect_inc]]+Tabla3510813153413[[#This Row],[no_efec_cor]])</f>
        <v>0.771739130434783</v>
      </c>
      <c r="Q40" s="11" t="n">
        <f aca="false">Tabla3510813153413[[#This Row],[efec_cor]]/(Tabla3510813153413[[#This Row],[efec_cor]]+Tabla3510813153413[[#This Row],[no_efec_inc]])</f>
        <v>0.838235294117647</v>
      </c>
      <c r="R40" s="11" t="n">
        <f aca="false">(Tabla3510813153413[[#This Row],[PNE]]+Tabla3510813153413[[#This Row],[PE]])/2</f>
        <v>0.804987212276215</v>
      </c>
      <c r="S40" s="0" t="n">
        <v>78</v>
      </c>
      <c r="T40" s="0" t="n">
        <v>82</v>
      </c>
      <c r="U40" s="0" t="n">
        <f aca="false">Tabla3510813153413[[#This Row],[N° efec]]+Tabla3510813153413[[#This Row],[N° no_efe]]</f>
        <v>160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40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E40" activeCellId="0" sqref="E40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7.71"/>
  </cols>
  <sheetData>
    <row r="1" customFormat="false" ht="19.5" hidden="false" customHeight="false" outlineLevel="0" collapsed="false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82</v>
      </c>
    </row>
    <row r="5" customFormat="false" ht="15" hidden="false" customHeight="false" outlineLevel="0" collapsed="false">
      <c r="A5" s="3" t="s">
        <v>3</v>
      </c>
      <c r="B5" s="3"/>
      <c r="C5" s="4" t="n">
        <v>80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162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71</v>
      </c>
      <c r="C10" s="0" t="n">
        <v>9</v>
      </c>
      <c r="D10" s="0" t="n">
        <v>54</v>
      </c>
      <c r="E10" s="0" t="n">
        <v>28</v>
      </c>
      <c r="F10" s="0" t="n">
        <f aca="false">Tabla35108131532[[#This Row],[no_efec_cor]]+Tabla35108131532[[#This Row],[efec_cor]]</f>
        <v>125</v>
      </c>
      <c r="G10" s="0" t="n">
        <f aca="false">Tabla35108131532[[#This Row],[no_efec_inc]]+Tabla35108131532[[#This Row],[efect_inc]]</f>
        <v>37</v>
      </c>
      <c r="H10" s="9" t="n">
        <f aca="false">Tabla35108131532[[#This Row],[Correctos]]/Tabla35108131532[[#This Row],[total_sec]]</f>
        <v>0.771604938271605</v>
      </c>
      <c r="I10" s="9" t="n">
        <f aca="false">Tabla35108131532[[#This Row],[efec_cor]]/Tabla35108131532[[#This Row],[efec]]</f>
        <v>0.658536585365854</v>
      </c>
      <c r="J10" s="9" t="n">
        <f aca="false">Tabla35108131532[[#This Row],[efect_inc]]/Tabla35108131532[[#This Row],[efec]]</f>
        <v>0.341463414634146</v>
      </c>
      <c r="K10" s="9" t="n">
        <f aca="false">Tabla35108131532[[#This Row],[no_efec_cor]]/Tabla35108131532[[#This Row],[no_efe]]</f>
        <v>0.8875</v>
      </c>
      <c r="L10" s="9" t="n">
        <f aca="false">Tabla35108131532[[#This Row],[no_efec_inc]]/Tabla35108131532[[#This Row],[no_efe]]</f>
        <v>0.1125</v>
      </c>
      <c r="M10" s="9" t="n">
        <f aca="false">(Tabla35108131532[[#This Row],[% efe_cor]]+Tabla35108131532[[#This Row],[% no_efe_cor]])/2</f>
        <v>0.773018292682927</v>
      </c>
      <c r="N10" s="10" t="n">
        <f aca="false">(Tabla35108131532[[#This Row],[% efe_inc]]+Tabla35108131532[[#This Row],[% no_efect_inc]])/2</f>
        <v>0.226981707317073</v>
      </c>
      <c r="O10" s="11" t="n">
        <f aca="false">Tabla35108131532[[#This Row],[no_efec_cor]]/(Tabla35108131532[[#This Row],[efect_inc]]+Tabla35108131532[[#This Row],[no_efec_cor]])</f>
        <v>0.717171717171717</v>
      </c>
      <c r="P10" s="11" t="n">
        <f aca="false">Tabla35108131532[[#This Row],[efec_cor]]/(Tabla35108131532[[#This Row],[efec_cor]]+Tabla35108131532[[#This Row],[no_efec_inc]])</f>
        <v>0.857142857142857</v>
      </c>
      <c r="Q10" s="11" t="n">
        <f aca="false">(Tabla35108131532[[#This Row],[PNE]]+Tabla35108131532[[#This Row],[PE]])/2</f>
        <v>0.787157287157287</v>
      </c>
      <c r="R10" s="0" t="n">
        <v>82</v>
      </c>
      <c r="S10" s="0" t="n">
        <v>80</v>
      </c>
      <c r="T10" s="0" t="n">
        <f aca="false">Tabla35108131532[[#This Row],[efec]]+Tabla35108131532[[#This Row],[no_efe]]</f>
        <v>162</v>
      </c>
    </row>
    <row r="11" customFormat="false" ht="13.8" hidden="false" customHeight="false" outlineLevel="0" collapsed="false">
      <c r="A11" s="0" t="n">
        <v>5</v>
      </c>
      <c r="B11" s="0" t="n">
        <v>70</v>
      </c>
      <c r="C11" s="0" t="n">
        <v>10</v>
      </c>
      <c r="D11" s="0" t="n">
        <v>39</v>
      </c>
      <c r="E11" s="0" t="n">
        <v>43</v>
      </c>
      <c r="F11" s="0" t="n">
        <f aca="false">Tabla35108131532[[#This Row],[no_efec_cor]]+Tabla35108131532[[#This Row],[efec_cor]]</f>
        <v>109</v>
      </c>
      <c r="G11" s="0" t="n">
        <f aca="false">Tabla35108131532[[#This Row],[no_efec_inc]]+Tabla35108131532[[#This Row],[efect_inc]]</f>
        <v>53</v>
      </c>
      <c r="H11" s="9" t="n">
        <f aca="false">Tabla35108131532[[#This Row],[Correctos]]/Tabla35108131532[[#This Row],[total_sec]]</f>
        <v>0.67283950617284</v>
      </c>
      <c r="I11" s="9" t="n">
        <f aca="false">Tabla35108131532[[#This Row],[efec_cor]]/Tabla35108131532[[#This Row],[efec]]</f>
        <v>0.475609756097561</v>
      </c>
      <c r="J11" s="9" t="n">
        <f aca="false">Tabla35108131532[[#This Row],[efect_inc]]/Tabla35108131532[[#This Row],[efec]]</f>
        <v>0.524390243902439</v>
      </c>
      <c r="K11" s="9" t="n">
        <f aca="false">Tabla35108131532[[#This Row],[no_efec_cor]]/Tabla35108131532[[#This Row],[no_efe]]</f>
        <v>0.875</v>
      </c>
      <c r="L11" s="9" t="n">
        <f aca="false">Tabla35108131532[[#This Row],[no_efec_inc]]/Tabla35108131532[[#This Row],[no_efe]]</f>
        <v>0.125</v>
      </c>
      <c r="M11" s="9" t="n">
        <f aca="false">(Tabla35108131532[[#This Row],[% efe_cor]]+Tabla35108131532[[#This Row],[% no_efe_cor]])/2</f>
        <v>0.675304878048781</v>
      </c>
      <c r="N11" s="10" t="n">
        <f aca="false">(Tabla35108131532[[#This Row],[% efe_inc]]+Tabla35108131532[[#This Row],[% no_efect_inc]])/2</f>
        <v>0.32469512195122</v>
      </c>
      <c r="O11" s="11" t="n">
        <f aca="false">Tabla35108131532[[#This Row],[no_efec_cor]]/(Tabla35108131532[[#This Row],[efect_inc]]+Tabla35108131532[[#This Row],[no_efec_cor]])</f>
        <v>0.619469026548672</v>
      </c>
      <c r="P11" s="11" t="n">
        <f aca="false">Tabla35108131532[[#This Row],[efec_cor]]/(Tabla35108131532[[#This Row],[efec_cor]]+Tabla35108131532[[#This Row],[no_efec_inc]])</f>
        <v>0.795918367346939</v>
      </c>
      <c r="Q11" s="11" t="n">
        <f aca="false">(Tabla35108131532[[#This Row],[PNE]]+Tabla35108131532[[#This Row],[PE]])/2</f>
        <v>0.707693696947806</v>
      </c>
      <c r="R11" s="0" t="n">
        <v>82</v>
      </c>
      <c r="S11" s="0" t="n">
        <v>80</v>
      </c>
      <c r="T11" s="0" t="n">
        <f aca="false">Tabla35108131532[[#This Row],[efec]]+Tabla35108131532[[#This Row],[no_efe]]</f>
        <v>162</v>
      </c>
    </row>
    <row r="12" customFormat="false" ht="13.8" hidden="false" customHeight="false" outlineLevel="0" collapsed="false">
      <c r="A12" s="0" t="n">
        <v>10</v>
      </c>
      <c r="B12" s="0" t="n">
        <v>67</v>
      </c>
      <c r="C12" s="0" t="n">
        <v>13</v>
      </c>
      <c r="D12" s="0" t="n">
        <v>34</v>
      </c>
      <c r="E12" s="0" t="n">
        <v>48</v>
      </c>
      <c r="F12" s="0" t="n">
        <f aca="false">Tabla35108131532[[#This Row],[no_efec_cor]]+Tabla35108131532[[#This Row],[efec_cor]]</f>
        <v>101</v>
      </c>
      <c r="G12" s="0" t="n">
        <f aca="false">Tabla35108131532[[#This Row],[no_efec_inc]]+Tabla35108131532[[#This Row],[efect_inc]]</f>
        <v>61</v>
      </c>
      <c r="H12" s="9" t="n">
        <f aca="false">Tabla35108131532[[#This Row],[Correctos]]/Tabla35108131532[[#This Row],[total_sec]]</f>
        <v>0.623456790123457</v>
      </c>
      <c r="I12" s="9" t="n">
        <f aca="false">Tabla35108131532[[#This Row],[efec_cor]]/Tabla35108131532[[#This Row],[efec]]</f>
        <v>0.414634146341463</v>
      </c>
      <c r="J12" s="9" t="n">
        <f aca="false">Tabla35108131532[[#This Row],[efect_inc]]/Tabla35108131532[[#This Row],[efec]]</f>
        <v>0.585365853658537</v>
      </c>
      <c r="K12" s="9" t="n">
        <f aca="false">Tabla35108131532[[#This Row],[no_efec_cor]]/Tabla35108131532[[#This Row],[no_efe]]</f>
        <v>0.8375</v>
      </c>
      <c r="L12" s="9" t="n">
        <f aca="false">Tabla35108131532[[#This Row],[no_efec_inc]]/Tabla35108131532[[#This Row],[no_efe]]</f>
        <v>0.1625</v>
      </c>
      <c r="M12" s="9" t="n">
        <f aca="false">(Tabla35108131532[[#This Row],[% efe_cor]]+Tabla35108131532[[#This Row],[% no_efe_cor]])/2</f>
        <v>0.626067073170732</v>
      </c>
      <c r="N12" s="10" t="n">
        <f aca="false">(Tabla35108131532[[#This Row],[% efe_inc]]+Tabla35108131532[[#This Row],[% no_efect_inc]])/2</f>
        <v>0.373932926829268</v>
      </c>
      <c r="O12" s="11" t="n">
        <f aca="false">Tabla35108131532[[#This Row],[no_efec_cor]]/(Tabla35108131532[[#This Row],[efect_inc]]+Tabla35108131532[[#This Row],[no_efec_cor]])</f>
        <v>0.582608695652174</v>
      </c>
      <c r="P12" s="11" t="n">
        <f aca="false">Tabla35108131532[[#This Row],[efec_cor]]/(Tabla35108131532[[#This Row],[efec_cor]]+Tabla35108131532[[#This Row],[no_efec_inc]])</f>
        <v>0.723404255319149</v>
      </c>
      <c r="Q12" s="11" t="n">
        <f aca="false">(Tabla35108131532[[#This Row],[PNE]]+Tabla35108131532[[#This Row],[PE]])/2</f>
        <v>0.653006475485662</v>
      </c>
      <c r="R12" s="0" t="n">
        <v>82</v>
      </c>
      <c r="S12" s="0" t="n">
        <v>80</v>
      </c>
      <c r="T12" s="0" t="n">
        <f aca="false">Tabla35108131532[[#This Row],[efec]]+Tabla35108131532[[#This Row],[no_efe]]</f>
        <v>162</v>
      </c>
    </row>
    <row r="13" customFormat="false" ht="13.8" hidden="false" customHeight="false" outlineLevel="0" collapsed="false">
      <c r="A13" s="0" t="n">
        <v>15</v>
      </c>
      <c r="B13" s="0" t="n">
        <v>71</v>
      </c>
      <c r="C13" s="0" t="n">
        <v>9</v>
      </c>
      <c r="D13" s="0" t="n">
        <v>28</v>
      </c>
      <c r="E13" s="0" t="n">
        <v>54</v>
      </c>
      <c r="F13" s="0" t="n">
        <f aca="false">Tabla35108131532[[#This Row],[no_efec_cor]]+Tabla35108131532[[#This Row],[efec_cor]]</f>
        <v>99</v>
      </c>
      <c r="G13" s="0" t="n">
        <f aca="false">Tabla35108131532[[#This Row],[no_efec_inc]]+Tabla35108131532[[#This Row],[efect_inc]]</f>
        <v>63</v>
      </c>
      <c r="H13" s="9" t="n">
        <f aca="false">Tabla35108131532[[#This Row],[Correctos]]/Tabla35108131532[[#This Row],[total_sec]]</f>
        <v>0.611111111111111</v>
      </c>
      <c r="I13" s="9" t="n">
        <f aca="false">Tabla35108131532[[#This Row],[efec_cor]]/Tabla35108131532[[#This Row],[efec]]</f>
        <v>0.341463414634146</v>
      </c>
      <c r="J13" s="9" t="n">
        <f aca="false">Tabla35108131532[[#This Row],[efect_inc]]/Tabla35108131532[[#This Row],[efec]]</f>
        <v>0.658536585365854</v>
      </c>
      <c r="K13" s="9" t="n">
        <f aca="false">Tabla35108131532[[#This Row],[no_efec_cor]]/Tabla35108131532[[#This Row],[no_efe]]</f>
        <v>0.8875</v>
      </c>
      <c r="L13" s="9" t="n">
        <f aca="false">Tabla35108131532[[#This Row],[no_efec_inc]]/Tabla35108131532[[#This Row],[no_efe]]</f>
        <v>0.1125</v>
      </c>
      <c r="M13" s="9" t="n">
        <f aca="false">(Tabla35108131532[[#This Row],[% efe_cor]]+Tabla35108131532[[#This Row],[% no_efe_cor]])/2</f>
        <v>0.614481707317073</v>
      </c>
      <c r="N13" s="10" t="n">
        <f aca="false">(Tabla35108131532[[#This Row],[% efe_inc]]+Tabla35108131532[[#This Row],[% no_efect_inc]])/2</f>
        <v>0.385518292682927</v>
      </c>
      <c r="O13" s="11" t="n">
        <f aca="false">Tabla35108131532[[#This Row],[no_efec_cor]]/(Tabla35108131532[[#This Row],[efect_inc]]+Tabla35108131532[[#This Row],[no_efec_cor]])</f>
        <v>0.568</v>
      </c>
      <c r="P13" s="11" t="n">
        <f aca="false">Tabla35108131532[[#This Row],[efec_cor]]/(Tabla35108131532[[#This Row],[efec_cor]]+Tabla35108131532[[#This Row],[no_efec_inc]])</f>
        <v>0.756756756756757</v>
      </c>
      <c r="Q13" s="11" t="n">
        <f aca="false">(Tabla35108131532[[#This Row],[PNE]]+Tabla35108131532[[#This Row],[PE]])/2</f>
        <v>0.662378378378378</v>
      </c>
      <c r="R13" s="0" t="n">
        <v>82</v>
      </c>
      <c r="S13" s="0" t="n">
        <v>80</v>
      </c>
      <c r="T13" s="0" t="n">
        <f aca="false">Tabla35108131532[[#This Row],[efec]]+Tabla35108131532[[#This Row],[no_efe]]</f>
        <v>162</v>
      </c>
    </row>
    <row r="14" customFormat="false" ht="13.8" hidden="false" customHeight="false" outlineLevel="0" collapsed="false">
      <c r="A14" s="0" t="n">
        <v>20</v>
      </c>
      <c r="B14" s="0" t="n">
        <v>69</v>
      </c>
      <c r="C14" s="0" t="n">
        <v>11</v>
      </c>
      <c r="D14" s="0" t="n">
        <v>30</v>
      </c>
      <c r="E14" s="0" t="n">
        <v>52</v>
      </c>
      <c r="F14" s="0" t="n">
        <f aca="false">Tabla35108131532[[#This Row],[no_efec_cor]]+Tabla35108131532[[#This Row],[efec_cor]]</f>
        <v>99</v>
      </c>
      <c r="G14" s="0" t="n">
        <f aca="false">Tabla35108131532[[#This Row],[no_efec_inc]]+Tabla35108131532[[#This Row],[efect_inc]]</f>
        <v>63</v>
      </c>
      <c r="H14" s="9" t="n">
        <f aca="false">Tabla35108131532[[#This Row],[Correctos]]/Tabla35108131532[[#This Row],[total_sec]]</f>
        <v>0.611111111111111</v>
      </c>
      <c r="I14" s="9" t="n">
        <f aca="false">Tabla35108131532[[#This Row],[efec_cor]]/Tabla35108131532[[#This Row],[efec]]</f>
        <v>0.365853658536585</v>
      </c>
      <c r="J14" s="9" t="n">
        <f aca="false">Tabla35108131532[[#This Row],[efect_inc]]/Tabla35108131532[[#This Row],[efec]]</f>
        <v>0.634146341463415</v>
      </c>
      <c r="K14" s="9" t="n">
        <f aca="false">Tabla35108131532[[#This Row],[no_efec_cor]]/Tabla35108131532[[#This Row],[no_efe]]</f>
        <v>0.8625</v>
      </c>
      <c r="L14" s="9" t="n">
        <f aca="false">Tabla35108131532[[#This Row],[no_efec_inc]]/Tabla35108131532[[#This Row],[no_efe]]</f>
        <v>0.1375</v>
      </c>
      <c r="M14" s="9" t="n">
        <f aca="false">(Tabla35108131532[[#This Row],[% efe_cor]]+Tabla35108131532[[#This Row],[% no_efe_cor]])/2</f>
        <v>0.614176829268293</v>
      </c>
      <c r="N14" s="10" t="n">
        <f aca="false">(Tabla35108131532[[#This Row],[% efe_inc]]+Tabla35108131532[[#This Row],[% no_efect_inc]])/2</f>
        <v>0.385823170731707</v>
      </c>
      <c r="O14" s="11" t="n">
        <f aca="false">Tabla35108131532[[#This Row],[no_efec_cor]]/(Tabla35108131532[[#This Row],[efect_inc]]+Tabla35108131532[[#This Row],[no_efec_cor]])</f>
        <v>0.570247933884297</v>
      </c>
      <c r="P14" s="11" t="n">
        <f aca="false">Tabla35108131532[[#This Row],[efec_cor]]/(Tabla35108131532[[#This Row],[efec_cor]]+Tabla35108131532[[#This Row],[no_efec_inc]])</f>
        <v>0.731707317073171</v>
      </c>
      <c r="Q14" s="11" t="n">
        <f aca="false">(Tabla35108131532[[#This Row],[PNE]]+Tabla35108131532[[#This Row],[PE]])/2</f>
        <v>0.650977625478734</v>
      </c>
      <c r="R14" s="0" t="n">
        <v>82</v>
      </c>
      <c r="S14" s="0" t="n">
        <v>80</v>
      </c>
      <c r="T14" s="0" t="n">
        <f aca="false">Tabla35108131532[[#This Row],[efec]]+Tabla35108131532[[#This Row],[no_efe]]</f>
        <v>162</v>
      </c>
    </row>
    <row r="15" customFormat="false" ht="13.8" hidden="false" customHeight="false" outlineLevel="0" collapsed="false">
      <c r="A15" s="0" t="n">
        <v>25</v>
      </c>
      <c r="B15" s="0" t="n">
        <v>72</v>
      </c>
      <c r="C15" s="0" t="n">
        <v>8</v>
      </c>
      <c r="D15" s="0" t="n">
        <v>26</v>
      </c>
      <c r="E15" s="0" t="n">
        <v>56</v>
      </c>
      <c r="F15" s="0" t="n">
        <f aca="false">Tabla35108131532[[#This Row],[no_efec_cor]]+Tabla35108131532[[#This Row],[efec_cor]]</f>
        <v>98</v>
      </c>
      <c r="G15" s="0" t="n">
        <f aca="false">Tabla35108131532[[#This Row],[no_efec_inc]]+Tabla35108131532[[#This Row],[efect_inc]]</f>
        <v>64</v>
      </c>
      <c r="H15" s="9" t="n">
        <f aca="false">Tabla35108131532[[#This Row],[Correctos]]/Tabla35108131532[[#This Row],[total_sec]]</f>
        <v>0.604938271604938</v>
      </c>
      <c r="I15" s="9" t="n">
        <f aca="false">Tabla35108131532[[#This Row],[efec_cor]]/Tabla35108131532[[#This Row],[efec]]</f>
        <v>0.317073170731707</v>
      </c>
      <c r="J15" s="9" t="n">
        <f aca="false">Tabla35108131532[[#This Row],[efect_inc]]/Tabla35108131532[[#This Row],[efec]]</f>
        <v>0.682926829268293</v>
      </c>
      <c r="K15" s="9" t="n">
        <f aca="false">Tabla35108131532[[#This Row],[no_efec_cor]]/Tabla35108131532[[#This Row],[no_efe]]</f>
        <v>0.9</v>
      </c>
      <c r="L15" s="9" t="n">
        <f aca="false">Tabla35108131532[[#This Row],[no_efec_inc]]/Tabla35108131532[[#This Row],[no_efe]]</f>
        <v>0.1</v>
      </c>
      <c r="M15" s="9" t="n">
        <f aca="false">(Tabla35108131532[[#This Row],[% efe_cor]]+Tabla35108131532[[#This Row],[% no_efe_cor]])/2</f>
        <v>0.608536585365854</v>
      </c>
      <c r="N15" s="10" t="n">
        <f aca="false">(Tabla35108131532[[#This Row],[% efe_inc]]+Tabla35108131532[[#This Row],[% no_efect_inc]])/2</f>
        <v>0.391463414634146</v>
      </c>
      <c r="O15" s="11" t="n">
        <f aca="false">Tabla35108131532[[#This Row],[no_efec_cor]]/(Tabla35108131532[[#This Row],[efect_inc]]+Tabla35108131532[[#This Row],[no_efec_cor]])</f>
        <v>0.5625</v>
      </c>
      <c r="P15" s="11" t="n">
        <f aca="false">Tabla35108131532[[#This Row],[efec_cor]]/(Tabla35108131532[[#This Row],[efec_cor]]+Tabla35108131532[[#This Row],[no_efec_inc]])</f>
        <v>0.764705882352941</v>
      </c>
      <c r="Q15" s="11" t="n">
        <f aca="false">(Tabla35108131532[[#This Row],[PNE]]+Tabla35108131532[[#This Row],[PE]])/2</f>
        <v>0.663602941176471</v>
      </c>
      <c r="R15" s="0" t="n">
        <v>82</v>
      </c>
      <c r="S15" s="0" t="n">
        <v>80</v>
      </c>
      <c r="T15" s="0" t="n">
        <f aca="false">Tabla35108131532[[#This Row],[efec]]+Tabla35108131532[[#This Row],[no_efe]]</f>
        <v>162</v>
      </c>
    </row>
    <row r="16" customFormat="false" ht="13.8" hidden="false" customHeight="false" outlineLevel="0" collapsed="false">
      <c r="A16" s="0" t="n">
        <v>30</v>
      </c>
      <c r="B16" s="0" t="n">
        <v>72</v>
      </c>
      <c r="C16" s="0" t="n">
        <v>8</v>
      </c>
      <c r="D16" s="0" t="n">
        <v>29</v>
      </c>
      <c r="E16" s="0" t="n">
        <v>53</v>
      </c>
      <c r="F16" s="0" t="n">
        <f aca="false">Tabla35108131532[[#This Row],[no_efec_cor]]+Tabla35108131532[[#This Row],[efec_cor]]</f>
        <v>101</v>
      </c>
      <c r="G16" s="0" t="n">
        <f aca="false">Tabla35108131532[[#This Row],[no_efec_inc]]+Tabla35108131532[[#This Row],[efect_inc]]</f>
        <v>61</v>
      </c>
      <c r="H16" s="9" t="n">
        <f aca="false">Tabla35108131532[[#This Row],[Correctos]]/Tabla35108131532[[#This Row],[total_sec]]</f>
        <v>0.623456790123457</v>
      </c>
      <c r="I16" s="9" t="n">
        <f aca="false">Tabla35108131532[[#This Row],[efec_cor]]/Tabla35108131532[[#This Row],[efec]]</f>
        <v>0.353658536585366</v>
      </c>
      <c r="J16" s="9" t="n">
        <f aca="false">Tabla35108131532[[#This Row],[efect_inc]]/Tabla35108131532[[#This Row],[efec]]</f>
        <v>0.646341463414634</v>
      </c>
      <c r="K16" s="9" t="n">
        <f aca="false">Tabla35108131532[[#This Row],[no_efec_cor]]/Tabla35108131532[[#This Row],[no_efe]]</f>
        <v>0.9</v>
      </c>
      <c r="L16" s="9" t="n">
        <f aca="false">Tabla35108131532[[#This Row],[no_efec_inc]]/Tabla35108131532[[#This Row],[no_efe]]</f>
        <v>0.1</v>
      </c>
      <c r="M16" s="9" t="n">
        <f aca="false">(Tabla35108131532[[#This Row],[% efe_cor]]+Tabla35108131532[[#This Row],[% no_efe_cor]])/2</f>
        <v>0.626829268292683</v>
      </c>
      <c r="N16" s="10" t="n">
        <f aca="false">(Tabla35108131532[[#This Row],[% efe_inc]]+Tabla35108131532[[#This Row],[% no_efect_inc]])/2</f>
        <v>0.373170731707317</v>
      </c>
      <c r="O16" s="11" t="n">
        <f aca="false">Tabla35108131532[[#This Row],[no_efec_cor]]/(Tabla35108131532[[#This Row],[efect_inc]]+Tabla35108131532[[#This Row],[no_efec_cor]])</f>
        <v>0.576</v>
      </c>
      <c r="P16" s="11" t="n">
        <f aca="false">Tabla35108131532[[#This Row],[efec_cor]]/(Tabla35108131532[[#This Row],[efec_cor]]+Tabla35108131532[[#This Row],[no_efec_inc]])</f>
        <v>0.783783783783784</v>
      </c>
      <c r="Q16" s="11" t="n">
        <f aca="false">(Tabla35108131532[[#This Row],[PNE]]+Tabla35108131532[[#This Row],[PE]])/2</f>
        <v>0.679891891891892</v>
      </c>
      <c r="R16" s="0" t="n">
        <v>82</v>
      </c>
      <c r="S16" s="0" t="n">
        <v>80</v>
      </c>
      <c r="T16" s="0" t="n">
        <f aca="false">Tabla35108131532[[#This Row],[efec]]+Tabla35108131532[[#This Row],[no_efe]]</f>
        <v>162</v>
      </c>
    </row>
    <row r="17" customFormat="false" ht="13.8" hidden="false" customHeight="false" outlineLevel="0" collapsed="false">
      <c r="A17" s="0" t="n">
        <v>35</v>
      </c>
      <c r="B17" s="0" t="n">
        <v>73</v>
      </c>
      <c r="C17" s="0" t="n">
        <v>7</v>
      </c>
      <c r="D17" s="0" t="n">
        <v>21</v>
      </c>
      <c r="E17" s="0" t="n">
        <v>61</v>
      </c>
      <c r="F17" s="0" t="n">
        <f aca="false">Tabla35108131532[[#This Row],[no_efec_cor]]+Tabla35108131532[[#This Row],[efec_cor]]</f>
        <v>94</v>
      </c>
      <c r="G17" s="0" t="n">
        <f aca="false">Tabla35108131532[[#This Row],[no_efec_inc]]+Tabla35108131532[[#This Row],[efect_inc]]</f>
        <v>68</v>
      </c>
      <c r="H17" s="9" t="n">
        <f aca="false">Tabla35108131532[[#This Row],[Correctos]]/Tabla35108131532[[#This Row],[total_sec]]</f>
        <v>0.580246913580247</v>
      </c>
      <c r="I17" s="9" t="n">
        <f aca="false">Tabla35108131532[[#This Row],[efec_cor]]/Tabla35108131532[[#This Row],[efec]]</f>
        <v>0.25609756097561</v>
      </c>
      <c r="J17" s="9" t="n">
        <f aca="false">Tabla35108131532[[#This Row],[efect_inc]]/Tabla35108131532[[#This Row],[efec]]</f>
        <v>0.74390243902439</v>
      </c>
      <c r="K17" s="9" t="n">
        <f aca="false">Tabla35108131532[[#This Row],[no_efec_cor]]/Tabla35108131532[[#This Row],[no_efe]]</f>
        <v>0.9125</v>
      </c>
      <c r="L17" s="9" t="n">
        <f aca="false">Tabla35108131532[[#This Row],[no_efec_inc]]/Tabla35108131532[[#This Row],[no_efe]]</f>
        <v>0.0875</v>
      </c>
      <c r="M17" s="9" t="n">
        <f aca="false">(Tabla35108131532[[#This Row],[% efe_cor]]+Tabla35108131532[[#This Row],[% no_efe_cor]])/2</f>
        <v>0.584298780487805</v>
      </c>
      <c r="N17" s="10" t="n">
        <f aca="false">(Tabla35108131532[[#This Row],[% efe_inc]]+Tabla35108131532[[#This Row],[% no_efect_inc]])/2</f>
        <v>0.415701219512195</v>
      </c>
      <c r="O17" s="11" t="n">
        <f aca="false">Tabla35108131532[[#This Row],[no_efec_cor]]/(Tabla35108131532[[#This Row],[efect_inc]]+Tabla35108131532[[#This Row],[no_efec_cor]])</f>
        <v>0.544776119402985</v>
      </c>
      <c r="P17" s="11" t="n">
        <f aca="false">Tabla35108131532[[#This Row],[efec_cor]]/(Tabla35108131532[[#This Row],[efec_cor]]+Tabla35108131532[[#This Row],[no_efec_inc]])</f>
        <v>0.75</v>
      </c>
      <c r="Q17" s="11" t="n">
        <f aca="false">(Tabla35108131532[[#This Row],[PNE]]+Tabla35108131532[[#This Row],[PE]])/2</f>
        <v>0.647388059701493</v>
      </c>
      <c r="R17" s="0" t="n">
        <v>82</v>
      </c>
      <c r="S17" s="0" t="n">
        <v>80</v>
      </c>
      <c r="T17" s="0" t="n">
        <f aca="false">Tabla35108131532[[#This Row],[efec]]+Tabla35108131532[[#This Row],[no_efe]]</f>
        <v>162</v>
      </c>
    </row>
    <row r="18" customFormat="false" ht="13.8" hidden="false" customHeight="false" outlineLevel="0" collapsed="false">
      <c r="A18" s="0" t="n">
        <v>39</v>
      </c>
      <c r="B18" s="0" t="n">
        <v>78</v>
      </c>
      <c r="C18" s="0" t="n">
        <v>2</v>
      </c>
      <c r="D18" s="0" t="n">
        <v>22</v>
      </c>
      <c r="E18" s="0" t="n">
        <v>60</v>
      </c>
      <c r="F18" s="0" t="n">
        <f aca="false">Tabla35108131532[[#This Row],[no_efec_cor]]+Tabla35108131532[[#This Row],[efec_cor]]</f>
        <v>100</v>
      </c>
      <c r="G18" s="0" t="n">
        <f aca="false">Tabla35108131532[[#This Row],[no_efec_inc]]+Tabla35108131532[[#This Row],[efect_inc]]</f>
        <v>62</v>
      </c>
      <c r="H18" s="9" t="n">
        <f aca="false">Tabla35108131532[[#This Row],[Correctos]]/Tabla35108131532[[#This Row],[total_sec]]</f>
        <v>0.617283950617284</v>
      </c>
      <c r="I18" s="9" t="n">
        <f aca="false">Tabla35108131532[[#This Row],[efec_cor]]/Tabla35108131532[[#This Row],[efec]]</f>
        <v>0.268292682926829</v>
      </c>
      <c r="J18" s="9" t="n">
        <f aca="false">Tabla35108131532[[#This Row],[efect_inc]]/Tabla35108131532[[#This Row],[efec]]</f>
        <v>0.731707317073171</v>
      </c>
      <c r="K18" s="9" t="n">
        <f aca="false">Tabla35108131532[[#This Row],[no_efec_cor]]/Tabla35108131532[[#This Row],[no_efe]]</f>
        <v>0.975</v>
      </c>
      <c r="L18" s="9" t="n">
        <f aca="false">Tabla35108131532[[#This Row],[no_efec_inc]]/Tabla35108131532[[#This Row],[no_efe]]</f>
        <v>0.025</v>
      </c>
      <c r="M18" s="9" t="n">
        <f aca="false">(Tabla35108131532[[#This Row],[% efe_cor]]+Tabla35108131532[[#This Row],[% no_efe_cor]])/2</f>
        <v>0.621646341463415</v>
      </c>
      <c r="N18" s="10" t="n">
        <f aca="false">(Tabla35108131532[[#This Row],[% efe_inc]]+Tabla35108131532[[#This Row],[% no_efect_inc]])/2</f>
        <v>0.378353658536585</v>
      </c>
      <c r="O18" s="11" t="n">
        <f aca="false">Tabla35108131532[[#This Row],[no_efec_cor]]/(Tabla35108131532[[#This Row],[efect_inc]]+Tabla35108131532[[#This Row],[no_efec_cor]])</f>
        <v>0.565217391304348</v>
      </c>
      <c r="P18" s="11" t="n">
        <f aca="false">Tabla35108131532[[#This Row],[efec_cor]]/(Tabla35108131532[[#This Row],[efec_cor]]+Tabla35108131532[[#This Row],[no_efec_inc]])</f>
        <v>0.916666666666667</v>
      </c>
      <c r="Q18" s="11" t="n">
        <f aca="false">(Tabla35108131532[[#This Row],[PNE]]+Tabla35108131532[[#This Row],[PE]])/2</f>
        <v>0.740942028985507</v>
      </c>
      <c r="R18" s="0" t="n">
        <v>82</v>
      </c>
      <c r="S18" s="0" t="n">
        <v>80</v>
      </c>
      <c r="T18" s="0" t="n">
        <f aca="false">Tabla35108131532[[#This Row],[efec]]+Tabla35108131532[[#This Row],[no_efe]]</f>
        <v>162</v>
      </c>
    </row>
    <row r="21" customFormat="false" ht="19.5" hidden="false" customHeight="false" outlineLevel="0" collapsed="false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23</v>
      </c>
      <c r="T26" s="7" t="s">
        <v>24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36</v>
      </c>
      <c r="D27" s="0" t="n">
        <v>44</v>
      </c>
      <c r="E27" s="0" t="n">
        <v>75</v>
      </c>
      <c r="F27" s="0" t="n">
        <v>7</v>
      </c>
      <c r="G27" s="0" t="n">
        <f aca="false">Tabla35108131534[[#This Row],[no_efec_cor]]+Tabla35108131534[[#This Row],[efec_cor]]</f>
        <v>111</v>
      </c>
      <c r="H27" s="0" t="n">
        <f aca="false">Tabla35108131534[[#This Row],[no_efec_inc]]+Tabla35108131534[[#This Row],[efect_inc]]</f>
        <v>51</v>
      </c>
      <c r="I27" s="9" t="n">
        <f aca="false">Tabla35108131534[[#This Row],[Correctos]]/Tabla35108131534[[#This Row],[total_sec]]</f>
        <v>0.685185185185185</v>
      </c>
      <c r="J27" s="9" t="n">
        <f aca="false">Tabla35108131534[[#This Row],[efec_cor]]/Tabla35108131534[[#This Row],[efec]]</f>
        <v>0.914634146341463</v>
      </c>
      <c r="K27" s="9" t="n">
        <f aca="false">Tabla35108131534[[#This Row],[efect_inc]]/Tabla35108131534[[#This Row],[efec]]</f>
        <v>0.0853658536585366</v>
      </c>
      <c r="L27" s="9" t="n">
        <f aca="false">Tabla35108131534[[#This Row],[no_efec_cor]]/Tabla35108131534[[#This Row],[no_efe]]</f>
        <v>0.45</v>
      </c>
      <c r="M27" s="9" t="n">
        <f aca="false">Tabla35108131534[[#This Row],[no_efec_inc]]/Tabla35108131534[[#This Row],[no_efe]]</f>
        <v>0.55</v>
      </c>
      <c r="N27" s="9" t="n">
        <f aca="false">(Tabla35108131534[[#This Row],[% efe_cor]]+Tabla35108131534[[#This Row],[% no_efe_cor]])/2</f>
        <v>0.682317073170732</v>
      </c>
      <c r="O27" s="10" t="n">
        <f aca="false">(Tabla35108131534[[#This Row],[% efe_inc]]+Tabla35108131534[[#This Row],[% no_efect_inc]])/2</f>
        <v>0.317682926829268</v>
      </c>
      <c r="P27" s="11" t="n">
        <f aca="false">Tabla35108131534[[#This Row],[no_efec_cor]]/(Tabla35108131534[[#This Row],[efect_inc]]+Tabla35108131534[[#This Row],[no_efec_cor]])</f>
        <v>0.837209302325581</v>
      </c>
      <c r="Q27" s="11" t="n">
        <f aca="false">Tabla35108131534[[#This Row],[efec_cor]]/(Tabla35108131534[[#This Row],[efec_cor]]+Tabla35108131534[[#This Row],[no_efec_inc]])</f>
        <v>0.630252100840336</v>
      </c>
      <c r="R27" s="11" t="n">
        <f aca="false">(Tabla35108131534[[#This Row],[PNE]]+Tabla35108131534[[#This Row],[PE]])/2</f>
        <v>0.733730701582959</v>
      </c>
      <c r="S27" s="0" t="n">
        <v>82</v>
      </c>
      <c r="T27" s="0" t="n">
        <v>80</v>
      </c>
      <c r="U27" s="0" t="n">
        <f aca="false">Tabla35108131534[[#This Row],[efec]]+Tabla35108131534[[#This Row],[no_efe]]</f>
        <v>162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57</v>
      </c>
      <c r="D28" s="0" t="n">
        <v>23</v>
      </c>
      <c r="E28" s="0" t="n">
        <v>68</v>
      </c>
      <c r="F28" s="0" t="n">
        <v>14</v>
      </c>
      <c r="G28" s="0" t="n">
        <f aca="false">Tabla35108131534[[#This Row],[no_efec_cor]]+Tabla35108131534[[#This Row],[efec_cor]]</f>
        <v>125</v>
      </c>
      <c r="H28" s="0" t="n">
        <f aca="false">Tabla35108131534[[#This Row],[no_efec_inc]]+Tabla35108131534[[#This Row],[efect_inc]]</f>
        <v>37</v>
      </c>
      <c r="I28" s="9" t="n">
        <f aca="false">Tabla35108131534[[#This Row],[Correctos]]/Tabla35108131534[[#This Row],[total_sec]]</f>
        <v>0.771604938271605</v>
      </c>
      <c r="J28" s="9" t="n">
        <f aca="false">Tabla35108131534[[#This Row],[efec_cor]]/Tabla35108131534[[#This Row],[efec]]</f>
        <v>0.829268292682927</v>
      </c>
      <c r="K28" s="9" t="n">
        <f aca="false">Tabla35108131534[[#This Row],[efect_inc]]/Tabla35108131534[[#This Row],[efec]]</f>
        <v>0.170731707317073</v>
      </c>
      <c r="L28" s="9" t="n">
        <f aca="false">Tabla35108131534[[#This Row],[no_efec_cor]]/Tabla35108131534[[#This Row],[no_efe]]</f>
        <v>0.7125</v>
      </c>
      <c r="M28" s="9" t="n">
        <f aca="false">Tabla35108131534[[#This Row],[no_efec_inc]]/Tabla35108131534[[#This Row],[no_efe]]</f>
        <v>0.2875</v>
      </c>
      <c r="N28" s="9" t="n">
        <f aca="false">(Tabla35108131534[[#This Row],[% efe_cor]]+Tabla35108131534[[#This Row],[% no_efe_cor]])/2</f>
        <v>0.770884146341463</v>
      </c>
      <c r="O28" s="10" t="n">
        <f aca="false">(Tabla35108131534[[#This Row],[% efe_inc]]+Tabla35108131534[[#This Row],[% no_efect_inc]])/2</f>
        <v>0.229115853658537</v>
      </c>
      <c r="P28" s="11" t="n">
        <f aca="false">Tabla35108131534[[#This Row],[no_efec_cor]]/(Tabla35108131534[[#This Row],[efect_inc]]+Tabla35108131534[[#This Row],[no_efec_cor]])</f>
        <v>0.802816901408451</v>
      </c>
      <c r="Q28" s="11" t="n">
        <f aca="false">Tabla35108131534[[#This Row],[efec_cor]]/(Tabla35108131534[[#This Row],[efec_cor]]+Tabla35108131534[[#This Row],[no_efec_inc]])</f>
        <v>0.747252747252747</v>
      </c>
      <c r="R28" s="11" t="n">
        <f aca="false">(Tabla35108131534[[#This Row],[PNE]]+Tabla35108131534[[#This Row],[PE]])/2</f>
        <v>0.775034824330599</v>
      </c>
      <c r="S28" s="0" t="n">
        <v>82</v>
      </c>
      <c r="T28" s="0" t="n">
        <v>80</v>
      </c>
      <c r="U28" s="0" t="n">
        <f aca="false">Tabla35108131534[[#This Row],[efec]]+Tabla35108131534[[#This Row],[no_efe]]</f>
        <v>162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63</v>
      </c>
      <c r="D29" s="0" t="n">
        <v>17</v>
      </c>
      <c r="E29" s="0" t="n">
        <v>63</v>
      </c>
      <c r="F29" s="0" t="n">
        <v>19</v>
      </c>
      <c r="G29" s="0" t="n">
        <f aca="false">Tabla35108131534[[#This Row],[no_efec_cor]]+Tabla35108131534[[#This Row],[efec_cor]]</f>
        <v>126</v>
      </c>
      <c r="H29" s="0" t="n">
        <f aca="false">Tabla35108131534[[#This Row],[no_efec_inc]]+Tabla35108131534[[#This Row],[efect_inc]]</f>
        <v>36</v>
      </c>
      <c r="I29" s="9" t="n">
        <f aca="false">Tabla35108131534[[#This Row],[Correctos]]/Tabla35108131534[[#This Row],[total_sec]]</f>
        <v>0.777777777777778</v>
      </c>
      <c r="J29" s="9" t="n">
        <f aca="false">Tabla35108131534[[#This Row],[efec_cor]]/Tabla35108131534[[#This Row],[efec]]</f>
        <v>0.768292682926829</v>
      </c>
      <c r="K29" s="9" t="n">
        <f aca="false">Tabla35108131534[[#This Row],[efect_inc]]/Tabla35108131534[[#This Row],[efec]]</f>
        <v>0.231707317073171</v>
      </c>
      <c r="L29" s="9" t="n">
        <f aca="false">Tabla35108131534[[#This Row],[no_efec_cor]]/Tabla35108131534[[#This Row],[no_efe]]</f>
        <v>0.7875</v>
      </c>
      <c r="M29" s="9" t="n">
        <f aca="false">Tabla35108131534[[#This Row],[no_efec_inc]]/Tabla35108131534[[#This Row],[no_efe]]</f>
        <v>0.2125</v>
      </c>
      <c r="N29" s="9" t="n">
        <f aca="false">(Tabla35108131534[[#This Row],[% efe_cor]]+Tabla35108131534[[#This Row],[% no_efe_cor]])/2</f>
        <v>0.777896341463415</v>
      </c>
      <c r="O29" s="10" t="n">
        <f aca="false">(Tabla35108131534[[#This Row],[% efe_inc]]+Tabla35108131534[[#This Row],[% no_efect_inc]])/2</f>
        <v>0.222103658536585</v>
      </c>
      <c r="P29" s="11" t="n">
        <f aca="false">Tabla35108131534[[#This Row],[no_efec_cor]]/(Tabla35108131534[[#This Row],[efect_inc]]+Tabla35108131534[[#This Row],[no_efec_cor]])</f>
        <v>0.768292682926829</v>
      </c>
      <c r="Q29" s="11" t="n">
        <f aca="false">Tabla35108131534[[#This Row],[efec_cor]]/(Tabla35108131534[[#This Row],[efec_cor]]+Tabla35108131534[[#This Row],[no_efec_inc]])</f>
        <v>0.7875</v>
      </c>
      <c r="R29" s="11" t="n">
        <f aca="false">(Tabla35108131534[[#This Row],[PNE]]+Tabla35108131534[[#This Row],[PE]])/2</f>
        <v>0.777896341463415</v>
      </c>
      <c r="S29" s="0" t="n">
        <v>82</v>
      </c>
      <c r="T29" s="0" t="n">
        <v>80</v>
      </c>
      <c r="U29" s="0" t="n">
        <f aca="false">Tabla35108131534[[#This Row],[efec]]+Tabla35108131534[[#This Row],[no_efe]]</f>
        <v>162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62</v>
      </c>
      <c r="D30" s="0" t="n">
        <v>18</v>
      </c>
      <c r="E30" s="0" t="n">
        <v>61</v>
      </c>
      <c r="F30" s="0" t="n">
        <v>21</v>
      </c>
      <c r="G30" s="0" t="n">
        <f aca="false">Tabla35108131534[[#This Row],[no_efec_cor]]+Tabla35108131534[[#This Row],[efec_cor]]</f>
        <v>123</v>
      </c>
      <c r="H30" s="0" t="n">
        <f aca="false">Tabla35108131534[[#This Row],[no_efec_inc]]+Tabla35108131534[[#This Row],[efect_inc]]</f>
        <v>39</v>
      </c>
      <c r="I30" s="9" t="n">
        <f aca="false">Tabla35108131534[[#This Row],[Correctos]]/Tabla35108131534[[#This Row],[total_sec]]</f>
        <v>0.759259259259259</v>
      </c>
      <c r="J30" s="9" t="n">
        <f aca="false">Tabla35108131534[[#This Row],[efec_cor]]/Tabla35108131534[[#This Row],[efec]]</f>
        <v>0.74390243902439</v>
      </c>
      <c r="K30" s="9" t="n">
        <f aca="false">Tabla35108131534[[#This Row],[efect_inc]]/Tabla35108131534[[#This Row],[efec]]</f>
        <v>0.25609756097561</v>
      </c>
      <c r="L30" s="9" t="n">
        <f aca="false">Tabla35108131534[[#This Row],[no_efec_cor]]/Tabla35108131534[[#This Row],[no_efe]]</f>
        <v>0.775</v>
      </c>
      <c r="M30" s="9" t="n">
        <f aca="false">Tabla35108131534[[#This Row],[no_efec_inc]]/Tabla35108131534[[#This Row],[no_efe]]</f>
        <v>0.225</v>
      </c>
      <c r="N30" s="9" t="n">
        <f aca="false">(Tabla35108131534[[#This Row],[% efe_cor]]+Tabla35108131534[[#This Row],[% no_efe_cor]])/2</f>
        <v>0.759451219512195</v>
      </c>
      <c r="O30" s="10" t="n">
        <f aca="false">(Tabla35108131534[[#This Row],[% efe_inc]]+Tabla35108131534[[#This Row],[% no_efect_inc]])/2</f>
        <v>0.240548780487805</v>
      </c>
      <c r="P30" s="11" t="n">
        <f aca="false">Tabla35108131534[[#This Row],[no_efec_cor]]/(Tabla35108131534[[#This Row],[efect_inc]]+Tabla35108131534[[#This Row],[no_efec_cor]])</f>
        <v>0.746987951807229</v>
      </c>
      <c r="Q30" s="11" t="n">
        <f aca="false">Tabla35108131534[[#This Row],[efec_cor]]/(Tabla35108131534[[#This Row],[efec_cor]]+Tabla35108131534[[#This Row],[no_efec_inc]])</f>
        <v>0.772151898734177</v>
      </c>
      <c r="R30" s="11" t="n">
        <f aca="false">(Tabla35108131534[[#This Row],[PNE]]+Tabla35108131534[[#This Row],[PE]])/2</f>
        <v>0.759569925270703</v>
      </c>
      <c r="S30" s="0" t="n">
        <v>82</v>
      </c>
      <c r="T30" s="0" t="n">
        <v>80</v>
      </c>
      <c r="U30" s="0" t="n">
        <f aca="false">Tabla35108131534[[#This Row],[efec]]+Tabla35108131534[[#This Row],[no_efe]]</f>
        <v>162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65</v>
      </c>
      <c r="D31" s="0" t="n">
        <v>15</v>
      </c>
      <c r="E31" s="0" t="n">
        <v>53</v>
      </c>
      <c r="F31" s="0" t="n">
        <v>29</v>
      </c>
      <c r="G31" s="0" t="n">
        <f aca="false">Tabla35108131534[[#This Row],[no_efec_cor]]+Tabla35108131534[[#This Row],[efec_cor]]</f>
        <v>118</v>
      </c>
      <c r="H31" s="0" t="n">
        <f aca="false">Tabla35108131534[[#This Row],[no_efec_inc]]+Tabla35108131534[[#This Row],[efect_inc]]</f>
        <v>44</v>
      </c>
      <c r="I31" s="9" t="n">
        <f aca="false">Tabla35108131534[[#This Row],[Correctos]]/Tabla35108131534[[#This Row],[total_sec]]</f>
        <v>0.728395061728395</v>
      </c>
      <c r="J31" s="9" t="n">
        <f aca="false">Tabla35108131534[[#This Row],[efec_cor]]/Tabla35108131534[[#This Row],[efec]]</f>
        <v>0.646341463414634</v>
      </c>
      <c r="K31" s="9" t="n">
        <f aca="false">Tabla35108131534[[#This Row],[efect_inc]]/Tabla35108131534[[#This Row],[efec]]</f>
        <v>0.353658536585366</v>
      </c>
      <c r="L31" s="9" t="n">
        <f aca="false">Tabla35108131534[[#This Row],[no_efec_cor]]/Tabla35108131534[[#This Row],[no_efe]]</f>
        <v>0.8125</v>
      </c>
      <c r="M31" s="9" t="n">
        <f aca="false">Tabla35108131534[[#This Row],[no_efec_inc]]/Tabla35108131534[[#This Row],[no_efe]]</f>
        <v>0.1875</v>
      </c>
      <c r="N31" s="9" t="n">
        <f aca="false">(Tabla35108131534[[#This Row],[% efe_cor]]+Tabla35108131534[[#This Row],[% no_efe_cor]])/2</f>
        <v>0.729420731707317</v>
      </c>
      <c r="O31" s="10" t="n">
        <f aca="false">(Tabla35108131534[[#This Row],[% efe_inc]]+Tabla35108131534[[#This Row],[% no_efect_inc]])/2</f>
        <v>0.270579268292683</v>
      </c>
      <c r="P31" s="11" t="n">
        <f aca="false">Tabla35108131534[[#This Row],[no_efec_cor]]/(Tabla35108131534[[#This Row],[efect_inc]]+Tabla35108131534[[#This Row],[no_efec_cor]])</f>
        <v>0.691489361702128</v>
      </c>
      <c r="Q31" s="11" t="n">
        <f aca="false">Tabla35108131534[[#This Row],[efec_cor]]/(Tabla35108131534[[#This Row],[efec_cor]]+Tabla35108131534[[#This Row],[no_efec_inc]])</f>
        <v>0.779411764705882</v>
      </c>
      <c r="R31" s="11" t="n">
        <f aca="false">(Tabla35108131534[[#This Row],[PNE]]+Tabla35108131534[[#This Row],[PE]])/2</f>
        <v>0.735450563204005</v>
      </c>
      <c r="S31" s="0" t="n">
        <v>82</v>
      </c>
      <c r="T31" s="0" t="n">
        <v>80</v>
      </c>
      <c r="U31" s="0" t="n">
        <f aca="false">Tabla35108131534[[#This Row],[efec]]+Tabla35108131534[[#This Row],[no_efe]]</f>
        <v>162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76</v>
      </c>
      <c r="D32" s="0" t="n">
        <v>4</v>
      </c>
      <c r="E32" s="0" t="n">
        <v>38</v>
      </c>
      <c r="F32" s="0" t="n">
        <v>44</v>
      </c>
      <c r="G32" s="0" t="n">
        <f aca="false">Tabla35108131534[[#This Row],[no_efec_cor]]+Tabla35108131534[[#This Row],[efec_cor]]</f>
        <v>114</v>
      </c>
      <c r="H32" s="0" t="n">
        <f aca="false">Tabla35108131534[[#This Row],[no_efec_inc]]+Tabla35108131534[[#This Row],[efect_inc]]</f>
        <v>48</v>
      </c>
      <c r="I32" s="9" t="n">
        <f aca="false">Tabla35108131534[[#This Row],[Correctos]]/Tabla35108131534[[#This Row],[total_sec]]</f>
        <v>0.703703703703704</v>
      </c>
      <c r="J32" s="9" t="n">
        <f aca="false">Tabla35108131534[[#This Row],[efec_cor]]/Tabla35108131534[[#This Row],[efec]]</f>
        <v>0.463414634146341</v>
      </c>
      <c r="K32" s="9" t="n">
        <f aca="false">Tabla35108131534[[#This Row],[efect_inc]]/Tabla35108131534[[#This Row],[efec]]</f>
        <v>0.536585365853659</v>
      </c>
      <c r="L32" s="9" t="n">
        <f aca="false">Tabla35108131534[[#This Row],[no_efec_cor]]/Tabla35108131534[[#This Row],[no_efe]]</f>
        <v>0.95</v>
      </c>
      <c r="M32" s="9" t="n">
        <f aca="false">Tabla35108131534[[#This Row],[no_efec_inc]]/Tabla35108131534[[#This Row],[no_efe]]</f>
        <v>0.05</v>
      </c>
      <c r="N32" s="9" t="n">
        <f aca="false">(Tabla35108131534[[#This Row],[% efe_cor]]+Tabla35108131534[[#This Row],[% no_efe_cor]])/2</f>
        <v>0.706707317073171</v>
      </c>
      <c r="O32" s="10" t="n">
        <f aca="false">(Tabla35108131534[[#This Row],[% efe_inc]]+Tabla35108131534[[#This Row],[% no_efect_inc]])/2</f>
        <v>0.293292682926829</v>
      </c>
      <c r="P32" s="11" t="n">
        <f aca="false">Tabla35108131534[[#This Row],[no_efec_cor]]/(Tabla35108131534[[#This Row],[efect_inc]]+Tabla35108131534[[#This Row],[no_efec_cor]])</f>
        <v>0.633333333333333</v>
      </c>
      <c r="Q32" s="11" t="n">
        <f aca="false">Tabla35108131534[[#This Row],[efec_cor]]/(Tabla35108131534[[#This Row],[efec_cor]]+Tabla35108131534[[#This Row],[no_efec_inc]])</f>
        <v>0.904761904761905</v>
      </c>
      <c r="R32" s="11" t="n">
        <f aca="false">(Tabla35108131534[[#This Row],[PNE]]+Tabla35108131534[[#This Row],[PE]])/2</f>
        <v>0.769047619047619</v>
      </c>
      <c r="S32" s="0" t="n">
        <v>82</v>
      </c>
      <c r="T32" s="0" t="n">
        <v>80</v>
      </c>
      <c r="U32" s="0" t="n">
        <f aca="false">Tabla35108131534[[#This Row],[efec]]+Tabla35108131534[[#This Row],[no_efe]]</f>
        <v>162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78</v>
      </c>
      <c r="D33" s="0" t="n">
        <v>2</v>
      </c>
      <c r="E33" s="0" t="n">
        <v>28</v>
      </c>
      <c r="F33" s="0" t="n">
        <v>54</v>
      </c>
      <c r="G33" s="0" t="n">
        <f aca="false">Tabla35108131534[[#This Row],[no_efec_cor]]+Tabla35108131534[[#This Row],[efec_cor]]</f>
        <v>106</v>
      </c>
      <c r="H33" s="0" t="n">
        <f aca="false">Tabla35108131534[[#This Row],[no_efec_inc]]+Tabla35108131534[[#This Row],[efect_inc]]</f>
        <v>56</v>
      </c>
      <c r="I33" s="9" t="n">
        <f aca="false">Tabla35108131534[[#This Row],[Correctos]]/Tabla35108131534[[#This Row],[total_sec]]</f>
        <v>0.654320987654321</v>
      </c>
      <c r="J33" s="9" t="n">
        <f aca="false">Tabla35108131534[[#This Row],[efec_cor]]/Tabla35108131534[[#This Row],[efec]]</f>
        <v>0.341463414634146</v>
      </c>
      <c r="K33" s="9" t="n">
        <f aca="false">Tabla35108131534[[#This Row],[efect_inc]]/Tabla35108131534[[#This Row],[efec]]</f>
        <v>0.658536585365854</v>
      </c>
      <c r="L33" s="9" t="n">
        <f aca="false">Tabla35108131534[[#This Row],[no_efec_cor]]/Tabla35108131534[[#This Row],[no_efe]]</f>
        <v>0.975</v>
      </c>
      <c r="M33" s="9" t="n">
        <f aca="false">Tabla35108131534[[#This Row],[no_efec_inc]]/Tabla35108131534[[#This Row],[no_efe]]</f>
        <v>0.025</v>
      </c>
      <c r="N33" s="9" t="n">
        <f aca="false">(Tabla35108131534[[#This Row],[% efe_cor]]+Tabla35108131534[[#This Row],[% no_efe_cor]])/2</f>
        <v>0.658231707317073</v>
      </c>
      <c r="O33" s="10" t="n">
        <f aca="false">(Tabla35108131534[[#This Row],[% efe_inc]]+Tabla35108131534[[#This Row],[% no_efect_inc]])/2</f>
        <v>0.341768292682927</v>
      </c>
      <c r="P33" s="11" t="n">
        <f aca="false">Tabla35108131534[[#This Row],[no_efec_cor]]/(Tabla35108131534[[#This Row],[efect_inc]]+Tabla35108131534[[#This Row],[no_efec_cor]])</f>
        <v>0.590909090909091</v>
      </c>
      <c r="Q33" s="11" t="n">
        <f aca="false">Tabla35108131534[[#This Row],[efec_cor]]/(Tabla35108131534[[#This Row],[efec_cor]]+Tabla35108131534[[#This Row],[no_efec_inc]])</f>
        <v>0.933333333333333</v>
      </c>
      <c r="R33" s="11" t="n">
        <f aca="false">(Tabla35108131534[[#This Row],[PNE]]+Tabla35108131534[[#This Row],[PE]])/2</f>
        <v>0.762121212121212</v>
      </c>
      <c r="S33" s="0" t="n">
        <v>82</v>
      </c>
      <c r="T33" s="0" t="n">
        <v>80</v>
      </c>
      <c r="U33" s="0" t="n">
        <f aca="false">Tabla35108131534[[#This Row],[efec]]+Tabla35108131534[[#This Row],[no_efe]]</f>
        <v>162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63</v>
      </c>
      <c r="D34" s="0" t="n">
        <v>17</v>
      </c>
      <c r="E34" s="0" t="n">
        <v>64</v>
      </c>
      <c r="F34" s="0" t="n">
        <v>18</v>
      </c>
      <c r="G34" s="0" t="n">
        <f aca="false">Tabla35108131534[[#This Row],[no_efec_cor]]+Tabla35108131534[[#This Row],[efec_cor]]</f>
        <v>127</v>
      </c>
      <c r="H34" s="0" t="n">
        <f aca="false">Tabla35108131534[[#This Row],[no_efec_inc]]+Tabla35108131534[[#This Row],[efect_inc]]</f>
        <v>35</v>
      </c>
      <c r="I34" s="9" t="n">
        <f aca="false">Tabla35108131534[[#This Row],[Correctos]]/Tabla35108131534[[#This Row],[total_sec]]</f>
        <v>0.783950617283951</v>
      </c>
      <c r="J34" s="9" t="n">
        <f aca="false">Tabla35108131534[[#This Row],[efec_cor]]/Tabla35108131534[[#This Row],[efec]]</f>
        <v>0.780487804878049</v>
      </c>
      <c r="K34" s="9" t="n">
        <f aca="false">Tabla35108131534[[#This Row],[efect_inc]]/Tabla35108131534[[#This Row],[efec]]</f>
        <v>0.219512195121951</v>
      </c>
      <c r="L34" s="9" t="n">
        <f aca="false">Tabla35108131534[[#This Row],[no_efec_cor]]/Tabla35108131534[[#This Row],[no_efe]]</f>
        <v>0.7875</v>
      </c>
      <c r="M34" s="9" t="n">
        <f aca="false">Tabla35108131534[[#This Row],[no_efec_inc]]/Tabla35108131534[[#This Row],[no_efe]]</f>
        <v>0.2125</v>
      </c>
      <c r="N34" s="9" t="n">
        <f aca="false">(Tabla35108131534[[#This Row],[% efe_cor]]+Tabla35108131534[[#This Row],[% no_efe_cor]])/2</f>
        <v>0.783993902439024</v>
      </c>
      <c r="O34" s="10" t="n">
        <f aca="false">(Tabla35108131534[[#This Row],[% efe_inc]]+Tabla35108131534[[#This Row],[% no_efect_inc]])/2</f>
        <v>0.216006097560976</v>
      </c>
      <c r="P34" s="11" t="n">
        <f aca="false">Tabla35108131534[[#This Row],[no_efec_cor]]/(Tabla35108131534[[#This Row],[efect_inc]]+Tabla35108131534[[#This Row],[no_efec_cor]])</f>
        <v>0.777777777777778</v>
      </c>
      <c r="Q34" s="11" t="n">
        <f aca="false">Tabla35108131534[[#This Row],[efec_cor]]/(Tabla35108131534[[#This Row],[efec_cor]]+Tabla35108131534[[#This Row],[no_efec_inc]])</f>
        <v>0.790123456790123</v>
      </c>
      <c r="R34" s="11" t="n">
        <f aca="false">(Tabla35108131534[[#This Row],[PNE]]+Tabla35108131534[[#This Row],[PE]])/2</f>
        <v>0.783950617283951</v>
      </c>
      <c r="S34" s="0" t="n">
        <v>82</v>
      </c>
      <c r="T34" s="0" t="n">
        <v>80</v>
      </c>
      <c r="U34" s="0" t="n">
        <f aca="false">Tabla35108131534[[#This Row],[efec]]+Tabla35108131534[[#This Row],[no_efe]]</f>
        <v>162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62</v>
      </c>
      <c r="D35" s="0" t="n">
        <v>18</v>
      </c>
      <c r="E35" s="0" t="n">
        <v>64</v>
      </c>
      <c r="F35" s="0" t="n">
        <v>18</v>
      </c>
      <c r="G35" s="0" t="n">
        <f aca="false">Tabla35108131534[[#This Row],[no_efec_cor]]+Tabla35108131534[[#This Row],[efec_cor]]</f>
        <v>126</v>
      </c>
      <c r="H35" s="0" t="n">
        <f aca="false">Tabla35108131534[[#This Row],[no_efec_inc]]+Tabla35108131534[[#This Row],[efect_inc]]</f>
        <v>36</v>
      </c>
      <c r="I35" s="9" t="n">
        <f aca="false">Tabla35108131534[[#This Row],[Correctos]]/Tabla35108131534[[#This Row],[total_sec]]</f>
        <v>0.777777777777778</v>
      </c>
      <c r="J35" s="9" t="n">
        <f aca="false">Tabla35108131534[[#This Row],[efec_cor]]/Tabla35108131534[[#This Row],[efec]]</f>
        <v>0.780487804878049</v>
      </c>
      <c r="K35" s="9" t="n">
        <f aca="false">Tabla35108131534[[#This Row],[efect_inc]]/Tabla35108131534[[#This Row],[efec]]</f>
        <v>0.219512195121951</v>
      </c>
      <c r="L35" s="9" t="n">
        <f aca="false">Tabla35108131534[[#This Row],[no_efec_cor]]/Tabla35108131534[[#This Row],[no_efe]]</f>
        <v>0.775</v>
      </c>
      <c r="M35" s="9" t="n">
        <f aca="false">Tabla35108131534[[#This Row],[no_efec_inc]]/Tabla35108131534[[#This Row],[no_efe]]</f>
        <v>0.225</v>
      </c>
      <c r="N35" s="9" t="n">
        <f aca="false">(Tabla35108131534[[#This Row],[% efe_cor]]+Tabla35108131534[[#This Row],[% no_efe_cor]])/2</f>
        <v>0.777743902439025</v>
      </c>
      <c r="O35" s="10" t="n">
        <f aca="false">(Tabla35108131534[[#This Row],[% efe_inc]]+Tabla35108131534[[#This Row],[% no_efect_inc]])/2</f>
        <v>0.222256097560976</v>
      </c>
      <c r="P35" s="11" t="n">
        <f aca="false">Tabla35108131534[[#This Row],[no_efec_cor]]/(Tabla35108131534[[#This Row],[efect_inc]]+Tabla35108131534[[#This Row],[no_efec_cor]])</f>
        <v>0.775</v>
      </c>
      <c r="Q35" s="11" t="n">
        <f aca="false">Tabla35108131534[[#This Row],[efec_cor]]/(Tabla35108131534[[#This Row],[efec_cor]]+Tabla35108131534[[#This Row],[no_efec_inc]])</f>
        <v>0.780487804878049</v>
      </c>
      <c r="R35" s="11" t="n">
        <f aca="false">(Tabla35108131534[[#This Row],[PNE]]+Tabla35108131534[[#This Row],[PE]])/2</f>
        <v>0.777743902439025</v>
      </c>
      <c r="S35" s="0" t="n">
        <v>82</v>
      </c>
      <c r="T35" s="0" t="n">
        <v>80</v>
      </c>
      <c r="U35" s="0" t="n">
        <f aca="false">Tabla35108131534[[#This Row],[efec]]+Tabla35108131534[[#This Row],[no_efe]]</f>
        <v>162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63</v>
      </c>
      <c r="D36" s="0" t="n">
        <v>17</v>
      </c>
      <c r="E36" s="0" t="n">
        <v>66</v>
      </c>
      <c r="F36" s="0" t="n">
        <v>16</v>
      </c>
      <c r="G36" s="0" t="n">
        <f aca="false">Tabla35108131534[[#This Row],[no_efec_cor]]+Tabla35108131534[[#This Row],[efec_cor]]</f>
        <v>129</v>
      </c>
      <c r="H36" s="0" t="n">
        <f aca="false">Tabla35108131534[[#This Row],[no_efec_inc]]+Tabla35108131534[[#This Row],[efect_inc]]</f>
        <v>33</v>
      </c>
      <c r="I36" s="9" t="n">
        <f aca="false">Tabla35108131534[[#This Row],[Correctos]]/Tabla35108131534[[#This Row],[total_sec]]</f>
        <v>0.796296296296296</v>
      </c>
      <c r="J36" s="9" t="n">
        <f aca="false">Tabla35108131534[[#This Row],[efec_cor]]/Tabla35108131534[[#This Row],[efec]]</f>
        <v>0.804878048780488</v>
      </c>
      <c r="K36" s="9" t="n">
        <f aca="false">Tabla35108131534[[#This Row],[efect_inc]]/Tabla35108131534[[#This Row],[efec]]</f>
        <v>0.195121951219512</v>
      </c>
      <c r="L36" s="9" t="n">
        <f aca="false">Tabla35108131534[[#This Row],[no_efec_cor]]/Tabla35108131534[[#This Row],[no_efe]]</f>
        <v>0.7875</v>
      </c>
      <c r="M36" s="9" t="n">
        <f aca="false">Tabla35108131534[[#This Row],[no_efec_inc]]/Tabla35108131534[[#This Row],[no_efe]]</f>
        <v>0.2125</v>
      </c>
      <c r="N36" s="9" t="n">
        <f aca="false">(Tabla35108131534[[#This Row],[% efe_cor]]+Tabla35108131534[[#This Row],[% no_efe_cor]])/2</f>
        <v>0.796189024390244</v>
      </c>
      <c r="O36" s="10" t="n">
        <f aca="false">(Tabla35108131534[[#This Row],[% efe_inc]]+Tabla35108131534[[#This Row],[% no_efect_inc]])/2</f>
        <v>0.203810975609756</v>
      </c>
      <c r="P36" s="11" t="n">
        <f aca="false">Tabla35108131534[[#This Row],[no_efec_cor]]/(Tabla35108131534[[#This Row],[efect_inc]]+Tabla35108131534[[#This Row],[no_efec_cor]])</f>
        <v>0.79746835443038</v>
      </c>
      <c r="Q36" s="11" t="n">
        <f aca="false">Tabla35108131534[[#This Row],[efec_cor]]/(Tabla35108131534[[#This Row],[efec_cor]]+Tabla35108131534[[#This Row],[no_efec_inc]])</f>
        <v>0.795180722891566</v>
      </c>
      <c r="R36" s="11" t="n">
        <f aca="false">(Tabla35108131534[[#This Row],[PNE]]+Tabla35108131534[[#This Row],[PE]])/2</f>
        <v>0.796324538660973</v>
      </c>
      <c r="S36" s="0" t="n">
        <v>82</v>
      </c>
      <c r="T36" s="0" t="n">
        <v>80</v>
      </c>
      <c r="U36" s="0" t="n">
        <f aca="false">Tabla35108131534[[#This Row],[efec]]+Tabla35108131534[[#This Row],[no_efe]]</f>
        <v>162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59</v>
      </c>
      <c r="D37" s="0" t="n">
        <v>21</v>
      </c>
      <c r="E37" s="0" t="n">
        <v>65</v>
      </c>
      <c r="F37" s="0" t="n">
        <v>17</v>
      </c>
      <c r="G37" s="0" t="n">
        <f aca="false">Tabla35108131534[[#This Row],[no_efec_cor]]+Tabla35108131534[[#This Row],[efec_cor]]</f>
        <v>124</v>
      </c>
      <c r="H37" s="0" t="n">
        <f aca="false">Tabla35108131534[[#This Row],[no_efec_inc]]+Tabla35108131534[[#This Row],[efect_inc]]</f>
        <v>38</v>
      </c>
      <c r="I37" s="9" t="n">
        <f aca="false">Tabla35108131534[[#This Row],[Correctos]]/Tabla35108131534[[#This Row],[total_sec]]</f>
        <v>0.765432098765432</v>
      </c>
      <c r="J37" s="9" t="n">
        <f aca="false">Tabla35108131534[[#This Row],[efec_cor]]/Tabla35108131534[[#This Row],[efec]]</f>
        <v>0.792682926829268</v>
      </c>
      <c r="K37" s="9" t="n">
        <f aca="false">Tabla35108131534[[#This Row],[efect_inc]]/Tabla35108131534[[#This Row],[efec]]</f>
        <v>0.207317073170732</v>
      </c>
      <c r="L37" s="9" t="n">
        <f aca="false">Tabla35108131534[[#This Row],[no_efec_cor]]/Tabla35108131534[[#This Row],[no_efe]]</f>
        <v>0.7375</v>
      </c>
      <c r="M37" s="9" t="n">
        <f aca="false">Tabla35108131534[[#This Row],[no_efec_inc]]/Tabla35108131534[[#This Row],[no_efe]]</f>
        <v>0.2625</v>
      </c>
      <c r="N37" s="9" t="n">
        <f aca="false">(Tabla35108131534[[#This Row],[% efe_cor]]+Tabla35108131534[[#This Row],[% no_efe_cor]])/2</f>
        <v>0.765091463414634</v>
      </c>
      <c r="O37" s="10" t="n">
        <f aca="false">(Tabla35108131534[[#This Row],[% efe_inc]]+Tabla35108131534[[#This Row],[% no_efect_inc]])/2</f>
        <v>0.234908536585366</v>
      </c>
      <c r="P37" s="11" t="n">
        <f aca="false">Tabla35108131534[[#This Row],[no_efec_cor]]/(Tabla35108131534[[#This Row],[efect_inc]]+Tabla35108131534[[#This Row],[no_efec_cor]])</f>
        <v>0.776315789473684</v>
      </c>
      <c r="Q37" s="11" t="n">
        <f aca="false">Tabla35108131534[[#This Row],[efec_cor]]/(Tabla35108131534[[#This Row],[efec_cor]]+Tabla35108131534[[#This Row],[no_efec_inc]])</f>
        <v>0.755813953488372</v>
      </c>
      <c r="R37" s="11" t="n">
        <f aca="false">(Tabla35108131534[[#This Row],[PNE]]+Tabla35108131534[[#This Row],[PE]])/2</f>
        <v>0.766064871481028</v>
      </c>
      <c r="S37" s="0" t="n">
        <v>82</v>
      </c>
      <c r="T37" s="0" t="n">
        <v>80</v>
      </c>
      <c r="U37" s="0" t="n">
        <f aca="false">Tabla35108131534[[#This Row],[efec]]+Tabla35108131534[[#This Row],[no_efe]]</f>
        <v>162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53</v>
      </c>
      <c r="D38" s="0" t="n">
        <v>27</v>
      </c>
      <c r="E38" s="0" t="n">
        <v>62</v>
      </c>
      <c r="F38" s="0" t="n">
        <v>20</v>
      </c>
      <c r="G38" s="0" t="n">
        <f aca="false">Tabla35108131534[[#This Row],[no_efec_cor]]+Tabla35108131534[[#This Row],[efec_cor]]</f>
        <v>115</v>
      </c>
      <c r="H38" s="0" t="n">
        <f aca="false">Tabla35108131534[[#This Row],[no_efec_inc]]+Tabla35108131534[[#This Row],[efect_inc]]</f>
        <v>47</v>
      </c>
      <c r="I38" s="9" t="n">
        <f aca="false">Tabla35108131534[[#This Row],[Correctos]]/Tabla35108131534[[#This Row],[total_sec]]</f>
        <v>0.709876543209877</v>
      </c>
      <c r="J38" s="9" t="n">
        <f aca="false">Tabla35108131534[[#This Row],[efec_cor]]/Tabla35108131534[[#This Row],[efec]]</f>
        <v>0.75609756097561</v>
      </c>
      <c r="K38" s="9" t="n">
        <f aca="false">Tabla35108131534[[#This Row],[efect_inc]]/Tabla35108131534[[#This Row],[efec]]</f>
        <v>0.24390243902439</v>
      </c>
      <c r="L38" s="9" t="n">
        <f aca="false">Tabla35108131534[[#This Row],[no_efec_cor]]/Tabla35108131534[[#This Row],[no_efe]]</f>
        <v>0.6625</v>
      </c>
      <c r="M38" s="9" t="n">
        <f aca="false">Tabla35108131534[[#This Row],[no_efec_inc]]/Tabla35108131534[[#This Row],[no_efe]]</f>
        <v>0.3375</v>
      </c>
      <c r="N38" s="9" t="n">
        <f aca="false">(Tabla35108131534[[#This Row],[% efe_cor]]+Tabla35108131534[[#This Row],[% no_efe_cor]])/2</f>
        <v>0.709298780487805</v>
      </c>
      <c r="O38" s="10" t="n">
        <f aca="false">(Tabla35108131534[[#This Row],[% efe_inc]]+Tabla35108131534[[#This Row],[% no_efect_inc]])/2</f>
        <v>0.290701219512195</v>
      </c>
      <c r="P38" s="11" t="n">
        <f aca="false">Tabla35108131534[[#This Row],[no_efec_cor]]/(Tabla35108131534[[#This Row],[efect_inc]]+Tabla35108131534[[#This Row],[no_efec_cor]])</f>
        <v>0.726027397260274</v>
      </c>
      <c r="Q38" s="11" t="n">
        <f aca="false">Tabla35108131534[[#This Row],[efec_cor]]/(Tabla35108131534[[#This Row],[efec_cor]]+Tabla35108131534[[#This Row],[no_efec_inc]])</f>
        <v>0.696629213483146</v>
      </c>
      <c r="R38" s="11" t="n">
        <f aca="false">(Tabla35108131534[[#This Row],[PNE]]+Tabla35108131534[[#This Row],[PE]])/2</f>
        <v>0.71132830537171</v>
      </c>
      <c r="S38" s="0" t="n">
        <v>82</v>
      </c>
      <c r="T38" s="0" t="n">
        <v>80</v>
      </c>
      <c r="U38" s="0" t="n">
        <f aca="false">Tabla35108131534[[#This Row],[efec]]+Tabla35108131534[[#This Row],[no_efe]]</f>
        <v>162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3</v>
      </c>
      <c r="D39" s="0" t="n">
        <v>77</v>
      </c>
      <c r="E39" s="0" t="n">
        <v>82</v>
      </c>
      <c r="F39" s="0" t="n">
        <v>0</v>
      </c>
      <c r="G39" s="0" t="n">
        <f aca="false">Tabla35108131534[[#This Row],[no_efec_cor]]+Tabla35108131534[[#This Row],[efec_cor]]</f>
        <v>85</v>
      </c>
      <c r="H39" s="0" t="n">
        <f aca="false">Tabla35108131534[[#This Row],[no_efec_inc]]+Tabla35108131534[[#This Row],[efect_inc]]</f>
        <v>77</v>
      </c>
      <c r="I39" s="9" t="n">
        <f aca="false">Tabla35108131534[[#This Row],[Correctos]]/Tabla35108131534[[#This Row],[total_sec]]</f>
        <v>0.524691358024691</v>
      </c>
      <c r="J39" s="9" t="n">
        <f aca="false">Tabla35108131534[[#This Row],[efec_cor]]/Tabla35108131534[[#This Row],[efec]]</f>
        <v>1</v>
      </c>
      <c r="K39" s="9" t="n">
        <f aca="false">Tabla35108131534[[#This Row],[efect_inc]]/Tabla35108131534[[#This Row],[efec]]</f>
        <v>0</v>
      </c>
      <c r="L39" s="9" t="n">
        <f aca="false">Tabla35108131534[[#This Row],[no_efec_cor]]/Tabla35108131534[[#This Row],[no_efe]]</f>
        <v>0.0375</v>
      </c>
      <c r="M39" s="9" t="n">
        <f aca="false">Tabla35108131534[[#This Row],[no_efec_inc]]/Tabla35108131534[[#This Row],[no_efe]]</f>
        <v>0.9625</v>
      </c>
      <c r="N39" s="9" t="n">
        <f aca="false">(Tabla35108131534[[#This Row],[% efe_cor]]+Tabla35108131534[[#This Row],[% no_efe_cor]])/2</f>
        <v>0.51875</v>
      </c>
      <c r="O39" s="10" t="n">
        <f aca="false">(Tabla35108131534[[#This Row],[% efe_inc]]+Tabla35108131534[[#This Row],[% no_efect_inc]])/2</f>
        <v>0.48125</v>
      </c>
      <c r="P39" s="11" t="n">
        <f aca="false">Tabla35108131534[[#This Row],[no_efec_cor]]/(Tabla35108131534[[#This Row],[efect_inc]]+Tabla35108131534[[#This Row],[no_efec_cor]])</f>
        <v>1</v>
      </c>
      <c r="Q39" s="11" t="n">
        <f aca="false">Tabla35108131534[[#This Row],[efec_cor]]/(Tabla35108131534[[#This Row],[efec_cor]]+Tabla35108131534[[#This Row],[no_efec_inc]])</f>
        <v>0.515723270440252</v>
      </c>
      <c r="R39" s="11" t="n">
        <f aca="false">(Tabla35108131534[[#This Row],[PNE]]+Tabla35108131534[[#This Row],[PE]])/2</f>
        <v>0.757861635220126</v>
      </c>
      <c r="S39" s="0" t="n">
        <v>82</v>
      </c>
      <c r="T39" s="0" t="n">
        <v>80</v>
      </c>
      <c r="U39" s="0" t="n">
        <f aca="false">Tabla35108131534[[#This Row],[efec]]+Tabla35108131534[[#This Row],[no_efe]]</f>
        <v>162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58</v>
      </c>
      <c r="D40" s="0" t="n">
        <v>22</v>
      </c>
      <c r="E40" s="0" t="n">
        <v>63</v>
      </c>
      <c r="F40" s="0" t="n">
        <v>19</v>
      </c>
      <c r="G40" s="0" t="n">
        <f aca="false">Tabla35108131534[[#This Row],[no_efec_cor]]+Tabla35108131534[[#This Row],[efec_cor]]</f>
        <v>121</v>
      </c>
      <c r="H40" s="0" t="n">
        <f aca="false">Tabla35108131534[[#This Row],[no_efec_inc]]+Tabla35108131534[[#This Row],[efect_inc]]</f>
        <v>41</v>
      </c>
      <c r="I40" s="9" t="n">
        <f aca="false">Tabla35108131534[[#This Row],[Correctos]]/Tabla35108131534[[#This Row],[total_sec]]</f>
        <v>0.746913580246914</v>
      </c>
      <c r="J40" s="9" t="n">
        <f aca="false">Tabla35108131534[[#This Row],[efec_cor]]/Tabla35108131534[[#This Row],[efec]]</f>
        <v>0.768292682926829</v>
      </c>
      <c r="K40" s="9" t="n">
        <f aca="false">Tabla35108131534[[#This Row],[efect_inc]]/Tabla35108131534[[#This Row],[efec]]</f>
        <v>0.231707317073171</v>
      </c>
      <c r="L40" s="9" t="n">
        <f aca="false">Tabla35108131534[[#This Row],[no_efec_cor]]/Tabla35108131534[[#This Row],[no_efe]]</f>
        <v>0.725</v>
      </c>
      <c r="M40" s="9" t="n">
        <f aca="false">Tabla35108131534[[#This Row],[no_efec_inc]]/Tabla35108131534[[#This Row],[no_efe]]</f>
        <v>0.275</v>
      </c>
      <c r="N40" s="9" t="n">
        <f aca="false">(Tabla35108131534[[#This Row],[% efe_cor]]+Tabla35108131534[[#This Row],[% no_efe_cor]])/2</f>
        <v>0.746646341463415</v>
      </c>
      <c r="O40" s="10" t="n">
        <f aca="false">(Tabla35108131534[[#This Row],[% efe_inc]]+Tabla35108131534[[#This Row],[% no_efect_inc]])/2</f>
        <v>0.253353658536585</v>
      </c>
      <c r="P40" s="11" t="n">
        <f aca="false">Tabla35108131534[[#This Row],[no_efec_cor]]/(Tabla35108131534[[#This Row],[efect_inc]]+Tabla35108131534[[#This Row],[no_efec_cor]])</f>
        <v>0.753246753246753</v>
      </c>
      <c r="Q40" s="11" t="n">
        <f aca="false">Tabla35108131534[[#This Row],[efec_cor]]/(Tabla35108131534[[#This Row],[efec_cor]]+Tabla35108131534[[#This Row],[no_efec_inc]])</f>
        <v>0.741176470588235</v>
      </c>
      <c r="R40" s="11" t="n">
        <f aca="false">(Tabla35108131534[[#This Row],[PNE]]+Tabla35108131534[[#This Row],[PE]])/2</f>
        <v>0.747211611917494</v>
      </c>
      <c r="S40" s="0" t="n">
        <v>82</v>
      </c>
      <c r="T40" s="0" t="n">
        <v>80</v>
      </c>
      <c r="U40" s="0" t="n">
        <f aca="false">Tabla35108131534[[#This Row],[efec]]+Tabla35108131534[[#This Row],[no_efe]]</f>
        <v>162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87</v>
      </c>
    </row>
    <row r="5" customFormat="false" ht="15" hidden="false" customHeight="false" outlineLevel="0" collapsed="false">
      <c r="A5" s="3" t="s">
        <v>3</v>
      </c>
      <c r="B5" s="3"/>
      <c r="C5" s="4" t="n">
        <v>73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160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68</v>
      </c>
      <c r="C10" s="0" t="n">
        <v>5</v>
      </c>
      <c r="D10" s="0" t="n">
        <v>64</v>
      </c>
      <c r="E10" s="0" t="n">
        <v>23</v>
      </c>
      <c r="F10" s="0" t="n">
        <f aca="false">Tabla351081315325[[#This Row],[no_efec_cor]]+Tabla351081315325[[#This Row],[efec_cor]]</f>
        <v>132</v>
      </c>
      <c r="G10" s="0" t="n">
        <f aca="false">Tabla351081315325[[#This Row],[no_efec_inc]]+Tabla351081315325[[#This Row],[efect_inc]]</f>
        <v>28</v>
      </c>
      <c r="H10" s="9" t="n">
        <f aca="false">Tabla351081315325[[#This Row],[Correctos]]/Tabla351081315325[[#This Row],[total_sec]]</f>
        <v>0.825</v>
      </c>
      <c r="I10" s="9" t="n">
        <f aca="false">Tabla351081315325[[#This Row],[efec_cor]]/Tabla351081315325[[#This Row],[efec]]</f>
        <v>0.735632183908046</v>
      </c>
      <c r="J10" s="9" t="n">
        <f aca="false">Tabla351081315325[[#This Row],[efect_inc]]/Tabla351081315325[[#This Row],[efec]]</f>
        <v>0.264367816091954</v>
      </c>
      <c r="K10" s="9" t="n">
        <f aca="false">Tabla351081315325[[#This Row],[no_efec_cor]]/Tabla351081315325[[#This Row],[no_efe]]</f>
        <v>0.931506849315068</v>
      </c>
      <c r="L10" s="9" t="n">
        <f aca="false">Tabla351081315325[[#This Row],[no_efec_inc]]/Tabla351081315325[[#This Row],[no_efe]]</f>
        <v>0.0684931506849315</v>
      </c>
      <c r="M10" s="9" t="n">
        <f aca="false">(Tabla351081315325[[#This Row],[% efe_cor]]+Tabla351081315325[[#This Row],[% no_efe_cor]])/2</f>
        <v>0.833569516611557</v>
      </c>
      <c r="N10" s="10" t="n">
        <f aca="false">(Tabla351081315325[[#This Row],[% efe_inc]]+Tabla351081315325[[#This Row],[% no_efect_inc]])/2</f>
        <v>0.166430483388443</v>
      </c>
      <c r="O10" s="11" t="n">
        <f aca="false">Tabla351081315325[[#This Row],[no_efec_cor]]/(Tabla351081315325[[#This Row],[efect_inc]]+Tabla351081315325[[#This Row],[no_efec_cor]])</f>
        <v>0.747252747252747</v>
      </c>
      <c r="P10" s="11" t="n">
        <f aca="false">Tabla351081315325[[#This Row],[efec_cor]]/(Tabla351081315325[[#This Row],[efec_cor]]+Tabla351081315325[[#This Row],[no_efec_inc]])</f>
        <v>0.927536231884058</v>
      </c>
      <c r="Q10" s="11" t="n">
        <f aca="false">(Tabla351081315325[[#This Row],[PNE]]+Tabla351081315325[[#This Row],[PE]])/2</f>
        <v>0.837394489568403</v>
      </c>
      <c r="R10" s="0" t="n">
        <v>87</v>
      </c>
      <c r="S10" s="0" t="n">
        <v>73</v>
      </c>
      <c r="T10" s="0" t="n">
        <f aca="false">Tabla351081315325[[#This Row],[efec]]+Tabla351081315325[[#This Row],[no_efe]]</f>
        <v>160</v>
      </c>
    </row>
    <row r="11" customFormat="false" ht="13.8" hidden="false" customHeight="false" outlineLevel="0" collapsed="false">
      <c r="A11" s="0" t="n">
        <v>5</v>
      </c>
      <c r="B11" s="0" t="n">
        <v>65</v>
      </c>
      <c r="C11" s="0" t="n">
        <v>8</v>
      </c>
      <c r="D11" s="0" t="n">
        <v>59</v>
      </c>
      <c r="E11" s="0" t="n">
        <v>28</v>
      </c>
      <c r="F11" s="0" t="n">
        <f aca="false">Tabla351081315325[[#This Row],[no_efec_cor]]+Tabla351081315325[[#This Row],[efec_cor]]</f>
        <v>124</v>
      </c>
      <c r="G11" s="0" t="n">
        <f aca="false">Tabla351081315325[[#This Row],[no_efec_inc]]+Tabla351081315325[[#This Row],[efect_inc]]</f>
        <v>36</v>
      </c>
      <c r="H11" s="9" t="n">
        <f aca="false">Tabla351081315325[[#This Row],[Correctos]]/Tabla351081315325[[#This Row],[total_sec]]</f>
        <v>0.775</v>
      </c>
      <c r="I11" s="9" t="n">
        <f aca="false">Tabla351081315325[[#This Row],[efec_cor]]/Tabla351081315325[[#This Row],[efec]]</f>
        <v>0.67816091954023</v>
      </c>
      <c r="J11" s="9" t="n">
        <f aca="false">Tabla351081315325[[#This Row],[efect_inc]]/Tabla351081315325[[#This Row],[efec]]</f>
        <v>0.32183908045977</v>
      </c>
      <c r="K11" s="9" t="n">
        <f aca="false">Tabla351081315325[[#This Row],[no_efec_cor]]/Tabla351081315325[[#This Row],[no_efe]]</f>
        <v>0.89041095890411</v>
      </c>
      <c r="L11" s="9" t="n">
        <f aca="false">Tabla351081315325[[#This Row],[no_efec_inc]]/Tabla351081315325[[#This Row],[no_efe]]</f>
        <v>0.10958904109589</v>
      </c>
      <c r="M11" s="9" t="n">
        <f aca="false">(Tabla351081315325[[#This Row],[% efe_cor]]+Tabla351081315325[[#This Row],[% no_efe_cor]])/2</f>
        <v>0.78428593922217</v>
      </c>
      <c r="N11" s="10" t="n">
        <f aca="false">(Tabla351081315325[[#This Row],[% efe_inc]]+Tabla351081315325[[#This Row],[% no_efect_inc]])/2</f>
        <v>0.21571406077783</v>
      </c>
      <c r="O11" s="11" t="n">
        <f aca="false">Tabla351081315325[[#This Row],[no_efec_cor]]/(Tabla351081315325[[#This Row],[efect_inc]]+Tabla351081315325[[#This Row],[no_efec_cor]])</f>
        <v>0.698924731182796</v>
      </c>
      <c r="P11" s="11" t="n">
        <f aca="false">Tabla351081315325[[#This Row],[efec_cor]]/(Tabla351081315325[[#This Row],[efec_cor]]+Tabla351081315325[[#This Row],[no_efec_inc]])</f>
        <v>0.880597014925373</v>
      </c>
      <c r="Q11" s="11" t="n">
        <f aca="false">(Tabla351081315325[[#This Row],[PNE]]+Tabla351081315325[[#This Row],[PE]])/2</f>
        <v>0.789760873054084</v>
      </c>
      <c r="R11" s="0" t="n">
        <v>87</v>
      </c>
      <c r="S11" s="0" t="n">
        <v>73</v>
      </c>
      <c r="T11" s="0" t="n">
        <f aca="false">Tabla351081315325[[#This Row],[efec]]+Tabla351081315325[[#This Row],[no_efe]]</f>
        <v>160</v>
      </c>
    </row>
    <row r="12" customFormat="false" ht="13.8" hidden="false" customHeight="false" outlineLevel="0" collapsed="false">
      <c r="A12" s="0" t="n">
        <v>10</v>
      </c>
      <c r="B12" s="0" t="n">
        <v>64</v>
      </c>
      <c r="C12" s="0" t="n">
        <v>9</v>
      </c>
      <c r="D12" s="0" t="n">
        <v>59</v>
      </c>
      <c r="E12" s="0" t="n">
        <v>28</v>
      </c>
      <c r="F12" s="0" t="n">
        <f aca="false">Tabla351081315325[[#This Row],[no_efec_cor]]+Tabla351081315325[[#This Row],[efec_cor]]</f>
        <v>123</v>
      </c>
      <c r="G12" s="0" t="n">
        <f aca="false">Tabla351081315325[[#This Row],[no_efec_inc]]+Tabla351081315325[[#This Row],[efect_inc]]</f>
        <v>37</v>
      </c>
      <c r="H12" s="9" t="n">
        <f aca="false">Tabla351081315325[[#This Row],[Correctos]]/Tabla351081315325[[#This Row],[total_sec]]</f>
        <v>0.76875</v>
      </c>
      <c r="I12" s="9" t="n">
        <f aca="false">Tabla351081315325[[#This Row],[efec_cor]]/Tabla351081315325[[#This Row],[efec]]</f>
        <v>0.67816091954023</v>
      </c>
      <c r="J12" s="9" t="n">
        <f aca="false">Tabla351081315325[[#This Row],[efect_inc]]/Tabla351081315325[[#This Row],[efec]]</f>
        <v>0.32183908045977</v>
      </c>
      <c r="K12" s="9" t="n">
        <f aca="false">Tabla351081315325[[#This Row],[no_efec_cor]]/Tabla351081315325[[#This Row],[no_efe]]</f>
        <v>0.876712328767123</v>
      </c>
      <c r="L12" s="9" t="n">
        <f aca="false">Tabla351081315325[[#This Row],[no_efec_inc]]/Tabla351081315325[[#This Row],[no_efe]]</f>
        <v>0.123287671232877</v>
      </c>
      <c r="M12" s="9" t="n">
        <f aca="false">(Tabla351081315325[[#This Row],[% efe_cor]]+Tabla351081315325[[#This Row],[% no_efe_cor]])/2</f>
        <v>0.777436624153677</v>
      </c>
      <c r="N12" s="10" t="n">
        <f aca="false">(Tabla351081315325[[#This Row],[% efe_inc]]+Tabla351081315325[[#This Row],[% no_efect_inc]])/2</f>
        <v>0.222563375846323</v>
      </c>
      <c r="O12" s="11" t="n">
        <f aca="false">Tabla351081315325[[#This Row],[no_efec_cor]]/(Tabla351081315325[[#This Row],[efect_inc]]+Tabla351081315325[[#This Row],[no_efec_cor]])</f>
        <v>0.695652173913043</v>
      </c>
      <c r="P12" s="11" t="n">
        <f aca="false">Tabla351081315325[[#This Row],[efec_cor]]/(Tabla351081315325[[#This Row],[efec_cor]]+Tabla351081315325[[#This Row],[no_efec_inc]])</f>
        <v>0.867647058823529</v>
      </c>
      <c r="Q12" s="11" t="n">
        <f aca="false">(Tabla351081315325[[#This Row],[PNE]]+Tabla351081315325[[#This Row],[PE]])/2</f>
        <v>0.781649616368286</v>
      </c>
      <c r="R12" s="0" t="n">
        <v>87</v>
      </c>
      <c r="S12" s="0" t="n">
        <v>73</v>
      </c>
      <c r="T12" s="0" t="n">
        <f aca="false">Tabla351081315325[[#This Row],[efec]]+Tabla351081315325[[#This Row],[no_efe]]</f>
        <v>160</v>
      </c>
    </row>
    <row r="13" customFormat="false" ht="13.8" hidden="false" customHeight="false" outlineLevel="0" collapsed="false">
      <c r="A13" s="0" t="n">
        <v>15</v>
      </c>
      <c r="B13" s="0" t="n">
        <v>63</v>
      </c>
      <c r="C13" s="0" t="n">
        <v>10</v>
      </c>
      <c r="D13" s="0" t="n">
        <v>55</v>
      </c>
      <c r="E13" s="0" t="n">
        <v>32</v>
      </c>
      <c r="F13" s="0" t="n">
        <f aca="false">Tabla351081315325[[#This Row],[no_efec_cor]]+Tabla351081315325[[#This Row],[efec_cor]]</f>
        <v>118</v>
      </c>
      <c r="G13" s="0" t="n">
        <f aca="false">Tabla351081315325[[#This Row],[no_efec_inc]]+Tabla351081315325[[#This Row],[efect_inc]]</f>
        <v>42</v>
      </c>
      <c r="H13" s="9" t="n">
        <f aca="false">Tabla351081315325[[#This Row],[Correctos]]/Tabla351081315325[[#This Row],[total_sec]]</f>
        <v>0.7375</v>
      </c>
      <c r="I13" s="9" t="n">
        <f aca="false">Tabla351081315325[[#This Row],[efec_cor]]/Tabla351081315325[[#This Row],[efec]]</f>
        <v>0.632183908045977</v>
      </c>
      <c r="J13" s="9" t="n">
        <f aca="false">Tabla351081315325[[#This Row],[efect_inc]]/Tabla351081315325[[#This Row],[efec]]</f>
        <v>0.367816091954023</v>
      </c>
      <c r="K13" s="9" t="n">
        <f aca="false">Tabla351081315325[[#This Row],[no_efec_cor]]/Tabla351081315325[[#This Row],[no_efe]]</f>
        <v>0.863013698630137</v>
      </c>
      <c r="L13" s="9" t="n">
        <f aca="false">Tabla351081315325[[#This Row],[no_efec_inc]]/Tabla351081315325[[#This Row],[no_efe]]</f>
        <v>0.136986301369863</v>
      </c>
      <c r="M13" s="9" t="n">
        <f aca="false">(Tabla351081315325[[#This Row],[% efe_cor]]+Tabla351081315325[[#This Row],[% no_efe_cor]])/2</f>
        <v>0.747598803338057</v>
      </c>
      <c r="N13" s="10" t="n">
        <f aca="false">(Tabla351081315325[[#This Row],[% efe_inc]]+Tabla351081315325[[#This Row],[% no_efect_inc]])/2</f>
        <v>0.252401196661943</v>
      </c>
      <c r="O13" s="11" t="n">
        <f aca="false">Tabla351081315325[[#This Row],[no_efec_cor]]/(Tabla351081315325[[#This Row],[efect_inc]]+Tabla351081315325[[#This Row],[no_efec_cor]])</f>
        <v>0.663157894736842</v>
      </c>
      <c r="P13" s="11" t="n">
        <f aca="false">Tabla351081315325[[#This Row],[efec_cor]]/(Tabla351081315325[[#This Row],[efec_cor]]+Tabla351081315325[[#This Row],[no_efec_inc]])</f>
        <v>0.846153846153846</v>
      </c>
      <c r="Q13" s="11" t="n">
        <f aca="false">(Tabla351081315325[[#This Row],[PNE]]+Tabla351081315325[[#This Row],[PE]])/2</f>
        <v>0.754655870445344</v>
      </c>
      <c r="R13" s="0" t="n">
        <v>87</v>
      </c>
      <c r="S13" s="0" t="n">
        <v>73</v>
      </c>
      <c r="T13" s="0" t="n">
        <f aca="false">Tabla351081315325[[#This Row],[efec]]+Tabla351081315325[[#This Row],[no_efe]]</f>
        <v>160</v>
      </c>
    </row>
    <row r="14" customFormat="false" ht="13.8" hidden="false" customHeight="false" outlineLevel="0" collapsed="false">
      <c r="A14" s="0" t="n">
        <v>20</v>
      </c>
      <c r="B14" s="0" t="n">
        <v>62</v>
      </c>
      <c r="C14" s="0" t="n">
        <v>11</v>
      </c>
      <c r="D14" s="0" t="n">
        <v>54</v>
      </c>
      <c r="E14" s="0" t="n">
        <v>33</v>
      </c>
      <c r="F14" s="0" t="n">
        <f aca="false">Tabla351081315325[[#This Row],[no_efec_cor]]+Tabla351081315325[[#This Row],[efec_cor]]</f>
        <v>116</v>
      </c>
      <c r="G14" s="0" t="n">
        <f aca="false">Tabla351081315325[[#This Row],[no_efec_inc]]+Tabla351081315325[[#This Row],[efect_inc]]</f>
        <v>44</v>
      </c>
      <c r="H14" s="9" t="n">
        <f aca="false">Tabla351081315325[[#This Row],[Correctos]]/Tabla351081315325[[#This Row],[total_sec]]</f>
        <v>0.725</v>
      </c>
      <c r="I14" s="9" t="n">
        <f aca="false">Tabla351081315325[[#This Row],[efec_cor]]/Tabla351081315325[[#This Row],[efec]]</f>
        <v>0.620689655172414</v>
      </c>
      <c r="J14" s="9" t="n">
        <f aca="false">Tabla351081315325[[#This Row],[efect_inc]]/Tabla351081315325[[#This Row],[efec]]</f>
        <v>0.379310344827586</v>
      </c>
      <c r="K14" s="9" t="n">
        <f aca="false">Tabla351081315325[[#This Row],[no_efec_cor]]/Tabla351081315325[[#This Row],[no_efe]]</f>
        <v>0.849315068493151</v>
      </c>
      <c r="L14" s="9" t="n">
        <f aca="false">Tabla351081315325[[#This Row],[no_efec_inc]]/Tabla351081315325[[#This Row],[no_efe]]</f>
        <v>0.150684931506849</v>
      </c>
      <c r="M14" s="9" t="n">
        <f aca="false">(Tabla351081315325[[#This Row],[% efe_cor]]+Tabla351081315325[[#This Row],[% no_efe_cor]])/2</f>
        <v>0.735002361832782</v>
      </c>
      <c r="N14" s="10" t="n">
        <f aca="false">(Tabla351081315325[[#This Row],[% efe_inc]]+Tabla351081315325[[#This Row],[% no_efect_inc]])/2</f>
        <v>0.264997638167218</v>
      </c>
      <c r="O14" s="11" t="n">
        <f aca="false">Tabla351081315325[[#This Row],[no_efec_cor]]/(Tabla351081315325[[#This Row],[efect_inc]]+Tabla351081315325[[#This Row],[no_efec_cor]])</f>
        <v>0.652631578947368</v>
      </c>
      <c r="P14" s="11" t="n">
        <f aca="false">Tabla351081315325[[#This Row],[efec_cor]]/(Tabla351081315325[[#This Row],[efec_cor]]+Tabla351081315325[[#This Row],[no_efec_inc]])</f>
        <v>0.830769230769231</v>
      </c>
      <c r="Q14" s="11" t="n">
        <f aca="false">(Tabla351081315325[[#This Row],[PNE]]+Tabla351081315325[[#This Row],[PE]])/2</f>
        <v>0.7417004048583</v>
      </c>
      <c r="R14" s="0" t="n">
        <v>87</v>
      </c>
      <c r="S14" s="0" t="n">
        <v>73</v>
      </c>
      <c r="T14" s="0" t="n">
        <f aca="false">Tabla351081315325[[#This Row],[efec]]+Tabla351081315325[[#This Row],[no_efe]]</f>
        <v>160</v>
      </c>
    </row>
    <row r="15" customFormat="false" ht="13.8" hidden="false" customHeight="false" outlineLevel="0" collapsed="false">
      <c r="A15" s="0" t="n">
        <v>25</v>
      </c>
      <c r="B15" s="0" t="n">
        <v>62</v>
      </c>
      <c r="C15" s="0" t="n">
        <v>11</v>
      </c>
      <c r="D15" s="0" t="n">
        <v>55</v>
      </c>
      <c r="E15" s="0" t="n">
        <v>32</v>
      </c>
      <c r="F15" s="0" t="n">
        <f aca="false">Tabla351081315325[[#This Row],[no_efec_cor]]+Tabla351081315325[[#This Row],[efec_cor]]</f>
        <v>117</v>
      </c>
      <c r="G15" s="0" t="n">
        <f aca="false">Tabla351081315325[[#This Row],[no_efec_inc]]+Tabla351081315325[[#This Row],[efect_inc]]</f>
        <v>43</v>
      </c>
      <c r="H15" s="9" t="n">
        <f aca="false">Tabla351081315325[[#This Row],[Correctos]]/Tabla351081315325[[#This Row],[total_sec]]</f>
        <v>0.73125</v>
      </c>
      <c r="I15" s="9" t="n">
        <f aca="false">Tabla351081315325[[#This Row],[efec_cor]]/Tabla351081315325[[#This Row],[efec]]</f>
        <v>0.632183908045977</v>
      </c>
      <c r="J15" s="9" t="n">
        <f aca="false">Tabla351081315325[[#This Row],[efect_inc]]/Tabla351081315325[[#This Row],[efec]]</f>
        <v>0.367816091954023</v>
      </c>
      <c r="K15" s="9" t="n">
        <f aca="false">Tabla351081315325[[#This Row],[no_efec_cor]]/Tabla351081315325[[#This Row],[no_efe]]</f>
        <v>0.849315068493151</v>
      </c>
      <c r="L15" s="9" t="n">
        <f aca="false">Tabla351081315325[[#This Row],[no_efec_inc]]/Tabla351081315325[[#This Row],[no_efe]]</f>
        <v>0.150684931506849</v>
      </c>
      <c r="M15" s="9" t="n">
        <f aca="false">(Tabla351081315325[[#This Row],[% efe_cor]]+Tabla351081315325[[#This Row],[% no_efe_cor]])/2</f>
        <v>0.740749488269564</v>
      </c>
      <c r="N15" s="10" t="n">
        <f aca="false">(Tabla351081315325[[#This Row],[% efe_inc]]+Tabla351081315325[[#This Row],[% no_efect_inc]])/2</f>
        <v>0.259250511730436</v>
      </c>
      <c r="O15" s="11" t="n">
        <f aca="false">Tabla351081315325[[#This Row],[no_efec_cor]]/(Tabla351081315325[[#This Row],[efect_inc]]+Tabla351081315325[[#This Row],[no_efec_cor]])</f>
        <v>0.659574468085106</v>
      </c>
      <c r="P15" s="11" t="n">
        <f aca="false">Tabla351081315325[[#This Row],[efec_cor]]/(Tabla351081315325[[#This Row],[efec_cor]]+Tabla351081315325[[#This Row],[no_efec_inc]])</f>
        <v>0.833333333333333</v>
      </c>
      <c r="Q15" s="11" t="n">
        <f aca="false">(Tabla351081315325[[#This Row],[PNE]]+Tabla351081315325[[#This Row],[PE]])/2</f>
        <v>0.74645390070922</v>
      </c>
      <c r="R15" s="0" t="n">
        <v>87</v>
      </c>
      <c r="S15" s="0" t="n">
        <v>73</v>
      </c>
      <c r="T15" s="0" t="n">
        <f aca="false">Tabla351081315325[[#This Row],[efec]]+Tabla351081315325[[#This Row],[no_efe]]</f>
        <v>160</v>
      </c>
    </row>
    <row r="16" customFormat="false" ht="13.8" hidden="false" customHeight="false" outlineLevel="0" collapsed="false">
      <c r="A16" s="0" t="n">
        <v>30</v>
      </c>
      <c r="B16" s="0" t="n">
        <v>60</v>
      </c>
      <c r="C16" s="0" t="n">
        <v>13</v>
      </c>
      <c r="D16" s="0" t="n">
        <v>57</v>
      </c>
      <c r="E16" s="0" t="n">
        <v>30</v>
      </c>
      <c r="F16" s="0" t="n">
        <f aca="false">Tabla351081315325[[#This Row],[no_efec_cor]]+Tabla351081315325[[#This Row],[efec_cor]]</f>
        <v>117</v>
      </c>
      <c r="G16" s="0" t="n">
        <f aca="false">Tabla351081315325[[#This Row],[no_efec_inc]]+Tabla351081315325[[#This Row],[efect_inc]]</f>
        <v>43</v>
      </c>
      <c r="H16" s="9" t="n">
        <f aca="false">Tabla351081315325[[#This Row],[Correctos]]/Tabla351081315325[[#This Row],[total_sec]]</f>
        <v>0.73125</v>
      </c>
      <c r="I16" s="9" t="n">
        <f aca="false">Tabla351081315325[[#This Row],[efec_cor]]/Tabla351081315325[[#This Row],[efec]]</f>
        <v>0.655172413793103</v>
      </c>
      <c r="J16" s="9" t="n">
        <f aca="false">Tabla351081315325[[#This Row],[efect_inc]]/Tabla351081315325[[#This Row],[efec]]</f>
        <v>0.344827586206897</v>
      </c>
      <c r="K16" s="9" t="n">
        <f aca="false">Tabla351081315325[[#This Row],[no_efec_cor]]/Tabla351081315325[[#This Row],[no_efe]]</f>
        <v>0.821917808219178</v>
      </c>
      <c r="L16" s="9" t="n">
        <f aca="false">Tabla351081315325[[#This Row],[no_efec_inc]]/Tabla351081315325[[#This Row],[no_efe]]</f>
        <v>0.178082191780822</v>
      </c>
      <c r="M16" s="9" t="n">
        <f aca="false">(Tabla351081315325[[#This Row],[% efe_cor]]+Tabla351081315325[[#This Row],[% no_efe_cor]])/2</f>
        <v>0.738545111006141</v>
      </c>
      <c r="N16" s="10" t="n">
        <f aca="false">(Tabla351081315325[[#This Row],[% efe_inc]]+Tabla351081315325[[#This Row],[% no_efect_inc]])/2</f>
        <v>0.261454888993859</v>
      </c>
      <c r="O16" s="11" t="n">
        <f aca="false">Tabla351081315325[[#This Row],[no_efec_cor]]/(Tabla351081315325[[#This Row],[efect_inc]]+Tabla351081315325[[#This Row],[no_efec_cor]])</f>
        <v>0.666666666666667</v>
      </c>
      <c r="P16" s="11" t="n">
        <f aca="false">Tabla351081315325[[#This Row],[efec_cor]]/(Tabla351081315325[[#This Row],[efec_cor]]+Tabla351081315325[[#This Row],[no_efec_inc]])</f>
        <v>0.814285714285714</v>
      </c>
      <c r="Q16" s="11" t="n">
        <f aca="false">(Tabla351081315325[[#This Row],[PNE]]+Tabla351081315325[[#This Row],[PE]])/2</f>
        <v>0.740476190476191</v>
      </c>
      <c r="R16" s="0" t="n">
        <v>87</v>
      </c>
      <c r="S16" s="0" t="n">
        <v>73</v>
      </c>
      <c r="T16" s="0" t="n">
        <f aca="false">Tabla351081315325[[#This Row],[efec]]+Tabla351081315325[[#This Row],[no_efe]]</f>
        <v>160</v>
      </c>
    </row>
    <row r="17" customFormat="false" ht="13.8" hidden="false" customHeight="false" outlineLevel="0" collapsed="false">
      <c r="A17" s="0" t="n">
        <v>35</v>
      </c>
      <c r="B17" s="0" t="n">
        <v>60</v>
      </c>
      <c r="C17" s="0" t="n">
        <v>13</v>
      </c>
      <c r="D17" s="0" t="n">
        <v>56</v>
      </c>
      <c r="E17" s="0" t="n">
        <v>31</v>
      </c>
      <c r="F17" s="0" t="n">
        <f aca="false">Tabla351081315325[[#This Row],[no_efec_cor]]+Tabla351081315325[[#This Row],[efec_cor]]</f>
        <v>116</v>
      </c>
      <c r="G17" s="0" t="n">
        <f aca="false">Tabla351081315325[[#This Row],[no_efec_inc]]+Tabla351081315325[[#This Row],[efect_inc]]</f>
        <v>44</v>
      </c>
      <c r="H17" s="9" t="n">
        <f aca="false">Tabla351081315325[[#This Row],[Correctos]]/Tabla351081315325[[#This Row],[total_sec]]</f>
        <v>0.725</v>
      </c>
      <c r="I17" s="9" t="n">
        <f aca="false">Tabla351081315325[[#This Row],[efec_cor]]/Tabla351081315325[[#This Row],[efec]]</f>
        <v>0.64367816091954</v>
      </c>
      <c r="J17" s="9" t="n">
        <f aca="false">Tabla351081315325[[#This Row],[efect_inc]]/Tabla351081315325[[#This Row],[efec]]</f>
        <v>0.35632183908046</v>
      </c>
      <c r="K17" s="9" t="n">
        <f aca="false">Tabla351081315325[[#This Row],[no_efec_cor]]/Tabla351081315325[[#This Row],[no_efe]]</f>
        <v>0.821917808219178</v>
      </c>
      <c r="L17" s="9" t="n">
        <f aca="false">Tabla351081315325[[#This Row],[no_efec_inc]]/Tabla351081315325[[#This Row],[no_efe]]</f>
        <v>0.178082191780822</v>
      </c>
      <c r="M17" s="9" t="n">
        <f aca="false">(Tabla351081315325[[#This Row],[% efe_cor]]+Tabla351081315325[[#This Row],[% no_efe_cor]])/2</f>
        <v>0.732797984569359</v>
      </c>
      <c r="N17" s="10" t="n">
        <f aca="false">(Tabla351081315325[[#This Row],[% efe_inc]]+Tabla351081315325[[#This Row],[% no_efect_inc]])/2</f>
        <v>0.267202015430641</v>
      </c>
      <c r="O17" s="11" t="n">
        <f aca="false">Tabla351081315325[[#This Row],[no_efec_cor]]/(Tabla351081315325[[#This Row],[efect_inc]]+Tabla351081315325[[#This Row],[no_efec_cor]])</f>
        <v>0.659340659340659</v>
      </c>
      <c r="P17" s="11" t="n">
        <f aca="false">Tabla351081315325[[#This Row],[efec_cor]]/(Tabla351081315325[[#This Row],[efec_cor]]+Tabla351081315325[[#This Row],[no_efec_inc]])</f>
        <v>0.811594202898551</v>
      </c>
      <c r="Q17" s="11" t="n">
        <f aca="false">(Tabla351081315325[[#This Row],[PNE]]+Tabla351081315325[[#This Row],[PE]])/2</f>
        <v>0.735467431119605</v>
      </c>
      <c r="R17" s="0" t="n">
        <v>87</v>
      </c>
      <c r="S17" s="0" t="n">
        <v>73</v>
      </c>
      <c r="T17" s="0" t="n">
        <f aca="false">Tabla351081315325[[#This Row],[efec]]+Tabla351081315325[[#This Row],[no_efe]]</f>
        <v>160</v>
      </c>
    </row>
    <row r="18" customFormat="false" ht="13.8" hidden="false" customHeight="false" outlineLevel="0" collapsed="false">
      <c r="A18" s="0" t="n">
        <v>39</v>
      </c>
      <c r="B18" s="0" t="n">
        <v>59</v>
      </c>
      <c r="C18" s="0" t="n">
        <v>14</v>
      </c>
      <c r="D18" s="0" t="n">
        <v>58</v>
      </c>
      <c r="E18" s="0" t="n">
        <v>29</v>
      </c>
      <c r="F18" s="0" t="n">
        <f aca="false">Tabla351081315325[[#This Row],[no_efec_cor]]+Tabla351081315325[[#This Row],[efec_cor]]</f>
        <v>117</v>
      </c>
      <c r="G18" s="0" t="n">
        <f aca="false">Tabla351081315325[[#This Row],[no_efec_inc]]+Tabla351081315325[[#This Row],[efect_inc]]</f>
        <v>43</v>
      </c>
      <c r="H18" s="9" t="n">
        <f aca="false">Tabla351081315325[[#This Row],[Correctos]]/Tabla351081315325[[#This Row],[total_sec]]</f>
        <v>0.73125</v>
      </c>
      <c r="I18" s="9" t="n">
        <f aca="false">Tabla351081315325[[#This Row],[efec_cor]]/Tabla351081315325[[#This Row],[efec]]</f>
        <v>0.666666666666667</v>
      </c>
      <c r="J18" s="9" t="n">
        <f aca="false">Tabla351081315325[[#This Row],[efect_inc]]/Tabla351081315325[[#This Row],[efec]]</f>
        <v>0.333333333333333</v>
      </c>
      <c r="K18" s="9" t="n">
        <f aca="false">Tabla351081315325[[#This Row],[no_efec_cor]]/Tabla351081315325[[#This Row],[no_efe]]</f>
        <v>0.808219178082192</v>
      </c>
      <c r="L18" s="9" t="n">
        <f aca="false">Tabla351081315325[[#This Row],[no_efec_inc]]/Tabla351081315325[[#This Row],[no_efe]]</f>
        <v>0.191780821917808</v>
      </c>
      <c r="M18" s="9" t="n">
        <f aca="false">(Tabla351081315325[[#This Row],[% efe_cor]]+Tabla351081315325[[#This Row],[% no_efe_cor]])/2</f>
        <v>0.737442922374429</v>
      </c>
      <c r="N18" s="10" t="n">
        <f aca="false">(Tabla351081315325[[#This Row],[% efe_inc]]+Tabla351081315325[[#This Row],[% no_efect_inc]])/2</f>
        <v>0.262557077625571</v>
      </c>
      <c r="O18" s="11" t="n">
        <f aca="false">Tabla351081315325[[#This Row],[no_efec_cor]]/(Tabla351081315325[[#This Row],[efect_inc]]+Tabla351081315325[[#This Row],[no_efec_cor]])</f>
        <v>0.670454545454545</v>
      </c>
      <c r="P18" s="11" t="n">
        <f aca="false">Tabla351081315325[[#This Row],[efec_cor]]/(Tabla351081315325[[#This Row],[efec_cor]]+Tabla351081315325[[#This Row],[no_efec_inc]])</f>
        <v>0.805555555555556</v>
      </c>
      <c r="Q18" s="11" t="n">
        <f aca="false">(Tabla351081315325[[#This Row],[PNE]]+Tabla351081315325[[#This Row],[PE]])/2</f>
        <v>0.73800505050505</v>
      </c>
      <c r="R18" s="0" t="n">
        <v>87</v>
      </c>
      <c r="S18" s="0" t="n">
        <v>73</v>
      </c>
      <c r="T18" s="0" t="n">
        <f aca="false">Tabla351081315325[[#This Row],[efec]]+Tabla351081315325[[#This Row],[no_efe]]</f>
        <v>160</v>
      </c>
    </row>
    <row r="20" customFormat="false" ht="19.5" hidden="false" customHeight="false" outlineLevel="0" collapsed="false">
      <c r="A20" s="1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54</v>
      </c>
      <c r="D26" s="0" t="n">
        <v>19</v>
      </c>
      <c r="E26" s="0" t="n">
        <v>66</v>
      </c>
      <c r="F26" s="0" t="n">
        <v>21</v>
      </c>
      <c r="G26" s="0" t="n">
        <f aca="false">Tabla3510813153423[[#This Row],[no_efec_cor]]+Tabla3510813153423[[#This Row],[efec_cor]]</f>
        <v>120</v>
      </c>
      <c r="H26" s="0" t="n">
        <f aca="false">Tabla3510813153423[[#This Row],[no_efec_inc]]+Tabla3510813153423[[#This Row],[efect_inc]]</f>
        <v>40</v>
      </c>
      <c r="I26" s="9" t="n">
        <f aca="false">Tabla3510813153423[[#This Row],[Correctos]]/Tabla3510813153423[[#This Row],[total_sec]]</f>
        <v>0.75</v>
      </c>
      <c r="J26" s="9" t="n">
        <f aca="false">Tabla3510813153423[[#This Row],[efec_cor]]/Tabla3510813153423[[#This Row],[efec]]</f>
        <v>0.758620689655172</v>
      </c>
      <c r="K26" s="9" t="n">
        <f aca="false">Tabla3510813153423[[#This Row],[efect_inc]]/Tabla3510813153423[[#This Row],[efec]]</f>
        <v>0.241379310344828</v>
      </c>
      <c r="L26" s="9" t="n">
        <f aca="false">Tabla3510813153423[[#This Row],[no_efec_cor]]/Tabla3510813153423[[#This Row],[no_efe]]</f>
        <v>0.73972602739726</v>
      </c>
      <c r="M26" s="9" t="n">
        <f aca="false">Tabla3510813153423[[#This Row],[no_efec_inc]]/Tabla3510813153423[[#This Row],[no_efe]]</f>
        <v>0.26027397260274</v>
      </c>
      <c r="N26" s="9" t="n">
        <f aca="false">(Tabla3510813153423[[#This Row],[% efe_cor]]+Tabla3510813153423[[#This Row],[% no_efe_cor]])/2</f>
        <v>0.749173358526216</v>
      </c>
      <c r="O26" s="10" t="n">
        <f aca="false">(Tabla3510813153423[[#This Row],[% efe_inc]]+Tabla3510813153423[[#This Row],[% no_efect_inc]])/2</f>
        <v>0.250826641473784</v>
      </c>
      <c r="P26" s="11" t="n">
        <f aca="false">Tabla3510813153423[[#This Row],[no_efec_cor]]/(Tabla3510813153423[[#This Row],[efect_inc]]+Tabla3510813153423[[#This Row],[no_efec_cor]])</f>
        <v>0.72</v>
      </c>
      <c r="Q26" s="11" t="n">
        <f aca="false">Tabla3510813153423[[#This Row],[efec_cor]]/(Tabla3510813153423[[#This Row],[efec_cor]]+Tabla3510813153423[[#This Row],[no_efec_inc]])</f>
        <v>0.776470588235294</v>
      </c>
      <c r="R26" s="11" t="n">
        <f aca="false">(Tabla3510813153423[[#This Row],[PNE]]+Tabla3510813153423[[#This Row],[PE]])/2</f>
        <v>0.748235294117647</v>
      </c>
      <c r="S26" s="0" t="n">
        <v>87</v>
      </c>
      <c r="T26" s="0" t="n">
        <v>73</v>
      </c>
      <c r="U26" s="0" t="n">
        <f aca="false">Tabla3510813153423[[#This Row],[efec]]+Tabla3510813153423[[#This Row],[no_efe]]</f>
        <v>160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59</v>
      </c>
      <c r="D27" s="0" t="n">
        <v>14</v>
      </c>
      <c r="E27" s="0" t="n">
        <v>70</v>
      </c>
      <c r="F27" s="0" t="n">
        <v>17</v>
      </c>
      <c r="G27" s="0" t="n">
        <f aca="false">Tabla3510813153423[[#This Row],[no_efec_cor]]+Tabla3510813153423[[#This Row],[efec_cor]]</f>
        <v>129</v>
      </c>
      <c r="H27" s="0" t="n">
        <f aca="false">Tabla3510813153423[[#This Row],[no_efec_inc]]+Tabla3510813153423[[#This Row],[efect_inc]]</f>
        <v>31</v>
      </c>
      <c r="I27" s="9" t="n">
        <f aca="false">Tabla3510813153423[[#This Row],[Correctos]]/Tabla3510813153423[[#This Row],[total_sec]]</f>
        <v>0.80625</v>
      </c>
      <c r="J27" s="9" t="n">
        <f aca="false">Tabla3510813153423[[#This Row],[efec_cor]]/Tabla3510813153423[[#This Row],[efec]]</f>
        <v>0.804597701149425</v>
      </c>
      <c r="K27" s="9" t="n">
        <f aca="false">Tabla3510813153423[[#This Row],[efect_inc]]/Tabla3510813153423[[#This Row],[efec]]</f>
        <v>0.195402298850575</v>
      </c>
      <c r="L27" s="9" t="n">
        <f aca="false">Tabla3510813153423[[#This Row],[no_efec_cor]]/Tabla3510813153423[[#This Row],[no_efe]]</f>
        <v>0.808219178082192</v>
      </c>
      <c r="M27" s="9" t="n">
        <f aca="false">Tabla3510813153423[[#This Row],[no_efec_inc]]/Tabla3510813153423[[#This Row],[no_efe]]</f>
        <v>0.191780821917808</v>
      </c>
      <c r="N27" s="9" t="n">
        <f aca="false">(Tabla3510813153423[[#This Row],[% efe_cor]]+Tabla3510813153423[[#This Row],[% no_efe_cor]])/2</f>
        <v>0.806408439615809</v>
      </c>
      <c r="O27" s="10" t="n">
        <f aca="false">(Tabla3510813153423[[#This Row],[% efe_inc]]+Tabla3510813153423[[#This Row],[% no_efect_inc]])/2</f>
        <v>0.193591560384191</v>
      </c>
      <c r="P27" s="11" t="n">
        <f aca="false">Tabla3510813153423[[#This Row],[no_efec_cor]]/(Tabla3510813153423[[#This Row],[efect_inc]]+Tabla3510813153423[[#This Row],[no_efec_cor]])</f>
        <v>0.776315789473684</v>
      </c>
      <c r="Q27" s="11" t="n">
        <f aca="false">Tabla3510813153423[[#This Row],[efec_cor]]/(Tabla3510813153423[[#This Row],[efec_cor]]+Tabla3510813153423[[#This Row],[no_efec_inc]])</f>
        <v>0.833333333333333</v>
      </c>
      <c r="R27" s="11" t="n">
        <f aca="false">(Tabla3510813153423[[#This Row],[PNE]]+Tabla3510813153423[[#This Row],[PE]])/2</f>
        <v>0.804824561403509</v>
      </c>
      <c r="S27" s="0" t="n">
        <v>87</v>
      </c>
      <c r="T27" s="0" t="n">
        <v>73</v>
      </c>
      <c r="U27" s="0" t="n">
        <f aca="false">Tabla3510813153423[[#This Row],[efec]]+Tabla3510813153423[[#This Row],[no_efe]]</f>
        <v>160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58</v>
      </c>
      <c r="D28" s="0" t="n">
        <v>15</v>
      </c>
      <c r="E28" s="0" t="n">
        <v>74</v>
      </c>
      <c r="F28" s="0" t="n">
        <v>13</v>
      </c>
      <c r="G28" s="0" t="n">
        <f aca="false">Tabla3510813153423[[#This Row],[no_efec_cor]]+Tabla3510813153423[[#This Row],[efec_cor]]</f>
        <v>132</v>
      </c>
      <c r="H28" s="0" t="n">
        <f aca="false">Tabla3510813153423[[#This Row],[no_efec_inc]]+Tabla3510813153423[[#This Row],[efect_inc]]</f>
        <v>28</v>
      </c>
      <c r="I28" s="9" t="n">
        <f aca="false">Tabla3510813153423[[#This Row],[Correctos]]/Tabla3510813153423[[#This Row],[total_sec]]</f>
        <v>0.825</v>
      </c>
      <c r="J28" s="9" t="n">
        <f aca="false">Tabla3510813153423[[#This Row],[efec_cor]]/Tabla3510813153423[[#This Row],[efec]]</f>
        <v>0.850574712643678</v>
      </c>
      <c r="K28" s="9" t="n">
        <f aca="false">Tabla3510813153423[[#This Row],[efect_inc]]/Tabla3510813153423[[#This Row],[efec]]</f>
        <v>0.149425287356322</v>
      </c>
      <c r="L28" s="9" t="n">
        <f aca="false">Tabla3510813153423[[#This Row],[no_efec_cor]]/Tabla3510813153423[[#This Row],[no_efe]]</f>
        <v>0.794520547945205</v>
      </c>
      <c r="M28" s="9" t="n">
        <f aca="false">Tabla3510813153423[[#This Row],[no_efec_inc]]/Tabla3510813153423[[#This Row],[no_efe]]</f>
        <v>0.205479452054794</v>
      </c>
      <c r="N28" s="9" t="n">
        <f aca="false">(Tabla3510813153423[[#This Row],[% efe_cor]]+Tabla3510813153423[[#This Row],[% no_efe_cor]])/2</f>
        <v>0.822547630294442</v>
      </c>
      <c r="O28" s="10" t="n">
        <f aca="false">(Tabla3510813153423[[#This Row],[% efe_inc]]+Tabla3510813153423[[#This Row],[% no_efect_inc]])/2</f>
        <v>0.177452369705558</v>
      </c>
      <c r="P28" s="11" t="n">
        <f aca="false">Tabla3510813153423[[#This Row],[no_efec_cor]]/(Tabla3510813153423[[#This Row],[efect_inc]]+Tabla3510813153423[[#This Row],[no_efec_cor]])</f>
        <v>0.816901408450704</v>
      </c>
      <c r="Q28" s="11" t="n">
        <f aca="false">Tabla3510813153423[[#This Row],[efec_cor]]/(Tabla3510813153423[[#This Row],[efec_cor]]+Tabla3510813153423[[#This Row],[no_efec_inc]])</f>
        <v>0.831460674157303</v>
      </c>
      <c r="R28" s="11" t="n">
        <f aca="false">(Tabla3510813153423[[#This Row],[PNE]]+Tabla3510813153423[[#This Row],[PE]])/2</f>
        <v>0.824181041304004</v>
      </c>
      <c r="S28" s="0" t="n">
        <v>87</v>
      </c>
      <c r="T28" s="0" t="n">
        <v>73</v>
      </c>
      <c r="U28" s="0" t="n">
        <f aca="false">Tabla3510813153423[[#This Row],[efec]]+Tabla3510813153423[[#This Row],[no_efe]]</f>
        <v>160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54</v>
      </c>
      <c r="D29" s="0" t="n">
        <v>19</v>
      </c>
      <c r="E29" s="0" t="n">
        <v>74</v>
      </c>
      <c r="F29" s="0" t="n">
        <v>13</v>
      </c>
      <c r="G29" s="0" t="n">
        <f aca="false">Tabla3510813153423[[#This Row],[no_efec_cor]]+Tabla3510813153423[[#This Row],[efec_cor]]</f>
        <v>128</v>
      </c>
      <c r="H29" s="0" t="n">
        <f aca="false">Tabla3510813153423[[#This Row],[no_efec_inc]]+Tabla3510813153423[[#This Row],[efect_inc]]</f>
        <v>32</v>
      </c>
      <c r="I29" s="9" t="n">
        <f aca="false">Tabla3510813153423[[#This Row],[Correctos]]/Tabla3510813153423[[#This Row],[total_sec]]</f>
        <v>0.8</v>
      </c>
      <c r="J29" s="9" t="n">
        <f aca="false">Tabla3510813153423[[#This Row],[efec_cor]]/Tabla3510813153423[[#This Row],[efec]]</f>
        <v>0.850574712643678</v>
      </c>
      <c r="K29" s="9" t="n">
        <f aca="false">Tabla3510813153423[[#This Row],[efect_inc]]/Tabla3510813153423[[#This Row],[efec]]</f>
        <v>0.149425287356322</v>
      </c>
      <c r="L29" s="9" t="n">
        <f aca="false">Tabla3510813153423[[#This Row],[no_efec_cor]]/Tabla3510813153423[[#This Row],[no_efe]]</f>
        <v>0.73972602739726</v>
      </c>
      <c r="M29" s="9" t="n">
        <f aca="false">Tabla3510813153423[[#This Row],[no_efec_inc]]/Tabla3510813153423[[#This Row],[no_efe]]</f>
        <v>0.26027397260274</v>
      </c>
      <c r="N29" s="9" t="n">
        <f aca="false">(Tabla3510813153423[[#This Row],[% efe_cor]]+Tabla3510813153423[[#This Row],[% no_efe_cor]])/2</f>
        <v>0.795150370020469</v>
      </c>
      <c r="O29" s="10" t="n">
        <f aca="false">(Tabla3510813153423[[#This Row],[% efe_inc]]+Tabla3510813153423[[#This Row],[% no_efect_inc]])/2</f>
        <v>0.204849629979531</v>
      </c>
      <c r="P29" s="11" t="n">
        <f aca="false">Tabla3510813153423[[#This Row],[no_efec_cor]]/(Tabla3510813153423[[#This Row],[efect_inc]]+Tabla3510813153423[[#This Row],[no_efec_cor]])</f>
        <v>0.805970149253731</v>
      </c>
      <c r="Q29" s="11" t="n">
        <f aca="false">Tabla3510813153423[[#This Row],[efec_cor]]/(Tabla3510813153423[[#This Row],[efec_cor]]+Tabla3510813153423[[#This Row],[no_efec_inc]])</f>
        <v>0.795698924731183</v>
      </c>
      <c r="R29" s="11" t="n">
        <f aca="false">(Tabla3510813153423[[#This Row],[PNE]]+Tabla3510813153423[[#This Row],[PE]])/2</f>
        <v>0.800834536992457</v>
      </c>
      <c r="S29" s="0" t="n">
        <v>87</v>
      </c>
      <c r="T29" s="0" t="n">
        <v>73</v>
      </c>
      <c r="U29" s="0" t="n">
        <f aca="false">Tabla3510813153423[[#This Row],[efec]]+Tabla3510813153423[[#This Row],[no_efe]]</f>
        <v>160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55</v>
      </c>
      <c r="D30" s="0" t="n">
        <v>18</v>
      </c>
      <c r="E30" s="0" t="n">
        <v>79</v>
      </c>
      <c r="F30" s="0" t="n">
        <v>8</v>
      </c>
      <c r="G30" s="0" t="n">
        <f aca="false">Tabla3510813153423[[#This Row],[no_efec_cor]]+Tabla3510813153423[[#This Row],[efec_cor]]</f>
        <v>134</v>
      </c>
      <c r="H30" s="0" t="n">
        <f aca="false">Tabla3510813153423[[#This Row],[no_efec_inc]]+Tabla3510813153423[[#This Row],[efect_inc]]</f>
        <v>26</v>
      </c>
      <c r="I30" s="9" t="n">
        <f aca="false">Tabla3510813153423[[#This Row],[Correctos]]/Tabla3510813153423[[#This Row],[total_sec]]</f>
        <v>0.8375</v>
      </c>
      <c r="J30" s="9" t="n">
        <f aca="false">Tabla3510813153423[[#This Row],[efec_cor]]/Tabla3510813153423[[#This Row],[efec]]</f>
        <v>0.908045977011494</v>
      </c>
      <c r="K30" s="9" t="n">
        <f aca="false">Tabla3510813153423[[#This Row],[efect_inc]]/Tabla3510813153423[[#This Row],[efec]]</f>
        <v>0.0919540229885057</v>
      </c>
      <c r="L30" s="9" t="n">
        <f aca="false">Tabla3510813153423[[#This Row],[no_efec_cor]]/Tabla3510813153423[[#This Row],[no_efe]]</f>
        <v>0.753424657534247</v>
      </c>
      <c r="M30" s="9" t="n">
        <f aca="false">Tabla3510813153423[[#This Row],[no_efec_inc]]/Tabla3510813153423[[#This Row],[no_efe]]</f>
        <v>0.246575342465753</v>
      </c>
      <c r="N30" s="9" t="n">
        <f aca="false">(Tabla3510813153423[[#This Row],[% efe_cor]]+Tabla3510813153423[[#This Row],[% no_efe_cor]])/2</f>
        <v>0.83073531727287</v>
      </c>
      <c r="O30" s="10" t="n">
        <f aca="false">(Tabla3510813153423[[#This Row],[% efe_inc]]+Tabla3510813153423[[#This Row],[% no_efect_inc]])/2</f>
        <v>0.16926468272713</v>
      </c>
      <c r="P30" s="11" t="n">
        <f aca="false">Tabla3510813153423[[#This Row],[no_efec_cor]]/(Tabla3510813153423[[#This Row],[efect_inc]]+Tabla3510813153423[[#This Row],[no_efec_cor]])</f>
        <v>0.873015873015873</v>
      </c>
      <c r="Q30" s="11" t="n">
        <f aca="false">Tabla3510813153423[[#This Row],[efec_cor]]/(Tabla3510813153423[[#This Row],[efec_cor]]+Tabla3510813153423[[#This Row],[no_efec_inc]])</f>
        <v>0.814432989690722</v>
      </c>
      <c r="R30" s="11" t="n">
        <f aca="false">(Tabla3510813153423[[#This Row],[PNE]]+Tabla3510813153423[[#This Row],[PE]])/2</f>
        <v>0.843724431353297</v>
      </c>
      <c r="S30" s="0" t="n">
        <v>87</v>
      </c>
      <c r="T30" s="0" t="n">
        <v>73</v>
      </c>
      <c r="U30" s="0" t="n">
        <f aca="false">Tabla3510813153423[[#This Row],[efec]]+Tabla3510813153423[[#This Row],[no_efe]]</f>
        <v>160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54</v>
      </c>
      <c r="D31" s="0" t="n">
        <v>19</v>
      </c>
      <c r="E31" s="0" t="n">
        <v>74</v>
      </c>
      <c r="F31" s="0" t="n">
        <v>13</v>
      </c>
      <c r="G31" s="0" t="n">
        <f aca="false">Tabla3510813153423[[#This Row],[no_efec_cor]]+Tabla3510813153423[[#This Row],[efec_cor]]</f>
        <v>128</v>
      </c>
      <c r="H31" s="0" t="n">
        <f aca="false">Tabla3510813153423[[#This Row],[no_efec_inc]]+Tabla3510813153423[[#This Row],[efect_inc]]</f>
        <v>32</v>
      </c>
      <c r="I31" s="9" t="n">
        <f aca="false">Tabla3510813153423[[#This Row],[Correctos]]/Tabla3510813153423[[#This Row],[total_sec]]</f>
        <v>0.8</v>
      </c>
      <c r="J31" s="9" t="n">
        <f aca="false">Tabla3510813153423[[#This Row],[efec_cor]]/Tabla3510813153423[[#This Row],[efec]]</f>
        <v>0.850574712643678</v>
      </c>
      <c r="K31" s="9" t="n">
        <f aca="false">Tabla3510813153423[[#This Row],[efect_inc]]/Tabla3510813153423[[#This Row],[efec]]</f>
        <v>0.149425287356322</v>
      </c>
      <c r="L31" s="9" t="n">
        <f aca="false">Tabla3510813153423[[#This Row],[no_efec_cor]]/Tabla3510813153423[[#This Row],[no_efe]]</f>
        <v>0.73972602739726</v>
      </c>
      <c r="M31" s="9" t="n">
        <f aca="false">Tabla3510813153423[[#This Row],[no_efec_inc]]/Tabla3510813153423[[#This Row],[no_efe]]</f>
        <v>0.26027397260274</v>
      </c>
      <c r="N31" s="9" t="n">
        <f aca="false">(Tabla3510813153423[[#This Row],[% efe_cor]]+Tabla3510813153423[[#This Row],[% no_efe_cor]])/2</f>
        <v>0.795150370020469</v>
      </c>
      <c r="O31" s="10" t="n">
        <f aca="false">(Tabla3510813153423[[#This Row],[% efe_inc]]+Tabla3510813153423[[#This Row],[% no_efect_inc]])/2</f>
        <v>0.204849629979531</v>
      </c>
      <c r="P31" s="11" t="n">
        <f aca="false">Tabla3510813153423[[#This Row],[no_efec_cor]]/(Tabla3510813153423[[#This Row],[efect_inc]]+Tabla3510813153423[[#This Row],[no_efec_cor]])</f>
        <v>0.805970149253731</v>
      </c>
      <c r="Q31" s="11" t="n">
        <f aca="false">Tabla3510813153423[[#This Row],[efec_cor]]/(Tabla3510813153423[[#This Row],[efec_cor]]+Tabla3510813153423[[#This Row],[no_efec_inc]])</f>
        <v>0.795698924731183</v>
      </c>
      <c r="R31" s="11" t="n">
        <f aca="false">(Tabla3510813153423[[#This Row],[PNE]]+Tabla3510813153423[[#This Row],[PE]])/2</f>
        <v>0.800834536992457</v>
      </c>
      <c r="S31" s="0" t="n">
        <v>87</v>
      </c>
      <c r="T31" s="0" t="n">
        <v>73</v>
      </c>
      <c r="U31" s="0" t="n">
        <f aca="false">Tabla3510813153423[[#This Row],[efec]]+Tabla3510813153423[[#This Row],[no_efe]]</f>
        <v>160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71</v>
      </c>
      <c r="D32" s="0" t="n">
        <v>2</v>
      </c>
      <c r="E32" s="0" t="n">
        <v>48</v>
      </c>
      <c r="F32" s="0" t="n">
        <v>39</v>
      </c>
      <c r="G32" s="0" t="n">
        <f aca="false">Tabla3510813153423[[#This Row],[no_efec_cor]]+Tabla3510813153423[[#This Row],[efec_cor]]</f>
        <v>119</v>
      </c>
      <c r="H32" s="0" t="n">
        <f aca="false">Tabla3510813153423[[#This Row],[no_efec_inc]]+Tabla3510813153423[[#This Row],[efect_inc]]</f>
        <v>41</v>
      </c>
      <c r="I32" s="9" t="n">
        <f aca="false">Tabla3510813153423[[#This Row],[Correctos]]/Tabla3510813153423[[#This Row],[total_sec]]</f>
        <v>0.74375</v>
      </c>
      <c r="J32" s="9" t="n">
        <f aca="false">Tabla3510813153423[[#This Row],[efec_cor]]/Tabla3510813153423[[#This Row],[efec]]</f>
        <v>0.551724137931034</v>
      </c>
      <c r="K32" s="9" t="n">
        <f aca="false">Tabla3510813153423[[#This Row],[efect_inc]]/Tabla3510813153423[[#This Row],[efec]]</f>
        <v>0.448275862068966</v>
      </c>
      <c r="L32" s="9" t="n">
        <f aca="false">Tabla3510813153423[[#This Row],[no_efec_cor]]/Tabla3510813153423[[#This Row],[no_efe]]</f>
        <v>0.972602739726027</v>
      </c>
      <c r="M32" s="9" t="n">
        <f aca="false">Tabla3510813153423[[#This Row],[no_efec_inc]]/Tabla3510813153423[[#This Row],[no_efe]]</f>
        <v>0.0273972602739726</v>
      </c>
      <c r="N32" s="9" t="n">
        <f aca="false">(Tabla3510813153423[[#This Row],[% efe_cor]]+Tabla3510813153423[[#This Row],[% no_efe_cor]])/2</f>
        <v>0.762163438828531</v>
      </c>
      <c r="O32" s="10" t="n">
        <f aca="false">(Tabla3510813153423[[#This Row],[% efe_inc]]+Tabla3510813153423[[#This Row],[% no_efect_inc]])/2</f>
        <v>0.237836561171469</v>
      </c>
      <c r="P32" s="11" t="n">
        <f aca="false">Tabla3510813153423[[#This Row],[no_efec_cor]]/(Tabla3510813153423[[#This Row],[efect_inc]]+Tabla3510813153423[[#This Row],[no_efec_cor]])</f>
        <v>0.645454545454546</v>
      </c>
      <c r="Q32" s="11" t="n">
        <f aca="false">Tabla3510813153423[[#This Row],[efec_cor]]/(Tabla3510813153423[[#This Row],[efec_cor]]+Tabla3510813153423[[#This Row],[no_efec_inc]])</f>
        <v>0.96</v>
      </c>
      <c r="R32" s="11" t="n">
        <f aca="false">(Tabla3510813153423[[#This Row],[PNE]]+Tabla3510813153423[[#This Row],[PE]])/2</f>
        <v>0.802727272727273</v>
      </c>
      <c r="S32" s="0" t="n">
        <v>87</v>
      </c>
      <c r="T32" s="0" t="n">
        <v>73</v>
      </c>
      <c r="U32" s="0" t="n">
        <f aca="false">Tabla3510813153423[[#This Row],[efec]]+Tabla3510813153423[[#This Row],[no_efe]]</f>
        <v>160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57</v>
      </c>
      <c r="D33" s="0" t="n">
        <v>16</v>
      </c>
      <c r="E33" s="0" t="n">
        <v>72</v>
      </c>
      <c r="F33" s="0" t="n">
        <v>15</v>
      </c>
      <c r="G33" s="0" t="n">
        <f aca="false">Tabla3510813153423[[#This Row],[no_efec_cor]]+Tabla3510813153423[[#This Row],[efec_cor]]</f>
        <v>129</v>
      </c>
      <c r="H33" s="0" t="n">
        <f aca="false">Tabla3510813153423[[#This Row],[no_efec_inc]]+Tabla3510813153423[[#This Row],[efect_inc]]</f>
        <v>31</v>
      </c>
      <c r="I33" s="9" t="n">
        <f aca="false">Tabla3510813153423[[#This Row],[Correctos]]/Tabla3510813153423[[#This Row],[total_sec]]</f>
        <v>0.80625</v>
      </c>
      <c r="J33" s="9" t="n">
        <f aca="false">Tabla3510813153423[[#This Row],[efec_cor]]/Tabla3510813153423[[#This Row],[efec]]</f>
        <v>0.827586206896552</v>
      </c>
      <c r="K33" s="9" t="n">
        <f aca="false">Tabla3510813153423[[#This Row],[efect_inc]]/Tabla3510813153423[[#This Row],[efec]]</f>
        <v>0.172413793103448</v>
      </c>
      <c r="L33" s="9" t="n">
        <f aca="false">Tabla3510813153423[[#This Row],[no_efec_cor]]/Tabla3510813153423[[#This Row],[no_efe]]</f>
        <v>0.780821917808219</v>
      </c>
      <c r="M33" s="9" t="n">
        <f aca="false">Tabla3510813153423[[#This Row],[no_efec_inc]]/Tabla3510813153423[[#This Row],[no_efe]]</f>
        <v>0.219178082191781</v>
      </c>
      <c r="N33" s="9" t="n">
        <f aca="false">(Tabla3510813153423[[#This Row],[% efe_cor]]+Tabla3510813153423[[#This Row],[% no_efe_cor]])/2</f>
        <v>0.804204062352385</v>
      </c>
      <c r="O33" s="10" t="n">
        <f aca="false">(Tabla3510813153423[[#This Row],[% efe_inc]]+Tabla3510813153423[[#This Row],[% no_efect_inc]])/2</f>
        <v>0.195795937647615</v>
      </c>
      <c r="P33" s="11" t="n">
        <f aca="false">Tabla3510813153423[[#This Row],[no_efec_cor]]/(Tabla3510813153423[[#This Row],[efect_inc]]+Tabla3510813153423[[#This Row],[no_efec_cor]])</f>
        <v>0.791666666666667</v>
      </c>
      <c r="Q33" s="11" t="n">
        <f aca="false">Tabla3510813153423[[#This Row],[efec_cor]]/(Tabla3510813153423[[#This Row],[efec_cor]]+Tabla3510813153423[[#This Row],[no_efec_inc]])</f>
        <v>0.818181818181818</v>
      </c>
      <c r="R33" s="11" t="n">
        <f aca="false">(Tabla3510813153423[[#This Row],[PNE]]+Tabla3510813153423[[#This Row],[PE]])/2</f>
        <v>0.804924242424242</v>
      </c>
      <c r="S33" s="0" t="n">
        <v>87</v>
      </c>
      <c r="T33" s="0" t="n">
        <v>73</v>
      </c>
      <c r="U33" s="0" t="n">
        <f aca="false">Tabla3510813153423[[#This Row],[efec]]+Tabla3510813153423[[#This Row],[no_efe]]</f>
        <v>160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59</v>
      </c>
      <c r="D34" s="0" t="n">
        <v>14</v>
      </c>
      <c r="E34" s="0" t="n">
        <v>73</v>
      </c>
      <c r="F34" s="0" t="n">
        <v>14</v>
      </c>
      <c r="G34" s="0" t="n">
        <f aca="false">Tabla3510813153423[[#This Row],[no_efec_cor]]+Tabla3510813153423[[#This Row],[efec_cor]]</f>
        <v>132</v>
      </c>
      <c r="H34" s="0" t="n">
        <f aca="false">Tabla3510813153423[[#This Row],[no_efec_inc]]+Tabla3510813153423[[#This Row],[efect_inc]]</f>
        <v>28</v>
      </c>
      <c r="I34" s="9" t="n">
        <f aca="false">Tabla3510813153423[[#This Row],[Correctos]]/Tabla3510813153423[[#This Row],[total_sec]]</f>
        <v>0.825</v>
      </c>
      <c r="J34" s="9" t="n">
        <f aca="false">Tabla3510813153423[[#This Row],[efec_cor]]/Tabla3510813153423[[#This Row],[efec]]</f>
        <v>0.839080459770115</v>
      </c>
      <c r="K34" s="9" t="n">
        <f aca="false">Tabla3510813153423[[#This Row],[efect_inc]]/Tabla3510813153423[[#This Row],[efec]]</f>
        <v>0.160919540229885</v>
      </c>
      <c r="L34" s="9" t="n">
        <f aca="false">Tabla3510813153423[[#This Row],[no_efec_cor]]/Tabla3510813153423[[#This Row],[no_efe]]</f>
        <v>0.808219178082192</v>
      </c>
      <c r="M34" s="9" t="n">
        <f aca="false">Tabla3510813153423[[#This Row],[no_efec_inc]]/Tabla3510813153423[[#This Row],[no_efe]]</f>
        <v>0.191780821917808</v>
      </c>
      <c r="N34" s="9" t="n">
        <f aca="false">(Tabla3510813153423[[#This Row],[% efe_cor]]+Tabla3510813153423[[#This Row],[% no_efe_cor]])/2</f>
        <v>0.823649818926153</v>
      </c>
      <c r="O34" s="10" t="n">
        <f aca="false">(Tabla3510813153423[[#This Row],[% efe_inc]]+Tabla3510813153423[[#This Row],[% no_efect_inc]])/2</f>
        <v>0.176350181073847</v>
      </c>
      <c r="P34" s="11" t="n">
        <f aca="false">Tabla3510813153423[[#This Row],[no_efec_cor]]/(Tabla3510813153423[[#This Row],[efect_inc]]+Tabla3510813153423[[#This Row],[no_efec_cor]])</f>
        <v>0.808219178082192</v>
      </c>
      <c r="Q34" s="11" t="n">
        <f aca="false">Tabla3510813153423[[#This Row],[efec_cor]]/(Tabla3510813153423[[#This Row],[efec_cor]]+Tabla3510813153423[[#This Row],[no_efec_inc]])</f>
        <v>0.839080459770115</v>
      </c>
      <c r="R34" s="11" t="n">
        <f aca="false">(Tabla3510813153423[[#This Row],[PNE]]+Tabla3510813153423[[#This Row],[PE]])/2</f>
        <v>0.823649818926153</v>
      </c>
      <c r="S34" s="0" t="n">
        <v>87</v>
      </c>
      <c r="T34" s="0" t="n">
        <v>73</v>
      </c>
      <c r="U34" s="0" t="n">
        <f aca="false">Tabla3510813153423[[#This Row],[efec]]+Tabla3510813153423[[#This Row],[no_efe]]</f>
        <v>160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60</v>
      </c>
      <c r="D35" s="0" t="n">
        <v>13</v>
      </c>
      <c r="E35" s="0" t="n">
        <v>74</v>
      </c>
      <c r="F35" s="0" t="n">
        <v>13</v>
      </c>
      <c r="G35" s="0" t="n">
        <f aca="false">Tabla3510813153423[[#This Row],[no_efec_cor]]+Tabla3510813153423[[#This Row],[efec_cor]]</f>
        <v>134</v>
      </c>
      <c r="H35" s="0" t="n">
        <f aca="false">Tabla3510813153423[[#This Row],[no_efec_inc]]+Tabla3510813153423[[#This Row],[efect_inc]]</f>
        <v>26</v>
      </c>
      <c r="I35" s="9" t="n">
        <f aca="false">Tabla3510813153423[[#This Row],[Correctos]]/Tabla3510813153423[[#This Row],[total_sec]]</f>
        <v>0.8375</v>
      </c>
      <c r="J35" s="9" t="n">
        <f aca="false">Tabla3510813153423[[#This Row],[efec_cor]]/Tabla3510813153423[[#This Row],[efec]]</f>
        <v>0.850574712643678</v>
      </c>
      <c r="K35" s="9" t="n">
        <f aca="false">Tabla3510813153423[[#This Row],[efect_inc]]/Tabla3510813153423[[#This Row],[efec]]</f>
        <v>0.149425287356322</v>
      </c>
      <c r="L35" s="9" t="n">
        <f aca="false">Tabla3510813153423[[#This Row],[no_efec_cor]]/Tabla3510813153423[[#This Row],[no_efe]]</f>
        <v>0.821917808219178</v>
      </c>
      <c r="M35" s="9" t="n">
        <f aca="false">Tabla3510813153423[[#This Row],[no_efec_inc]]/Tabla3510813153423[[#This Row],[no_efe]]</f>
        <v>0.178082191780822</v>
      </c>
      <c r="N35" s="9" t="n">
        <f aca="false">(Tabla3510813153423[[#This Row],[% efe_cor]]+Tabla3510813153423[[#This Row],[% no_efe_cor]])/2</f>
        <v>0.836246260431428</v>
      </c>
      <c r="O35" s="10" t="n">
        <f aca="false">(Tabla3510813153423[[#This Row],[% efe_inc]]+Tabla3510813153423[[#This Row],[% no_efect_inc]])/2</f>
        <v>0.163753739568572</v>
      </c>
      <c r="P35" s="11" t="n">
        <f aca="false">Tabla3510813153423[[#This Row],[no_efec_cor]]/(Tabla3510813153423[[#This Row],[efect_inc]]+Tabla3510813153423[[#This Row],[no_efec_cor]])</f>
        <v>0.821917808219178</v>
      </c>
      <c r="Q35" s="11" t="n">
        <f aca="false">Tabla3510813153423[[#This Row],[efec_cor]]/(Tabla3510813153423[[#This Row],[efec_cor]]+Tabla3510813153423[[#This Row],[no_efec_inc]])</f>
        <v>0.850574712643678</v>
      </c>
      <c r="R35" s="11" t="n">
        <f aca="false">(Tabla3510813153423[[#This Row],[PNE]]+Tabla3510813153423[[#This Row],[PE]])/2</f>
        <v>0.836246260431428</v>
      </c>
      <c r="S35" s="0" t="n">
        <v>87</v>
      </c>
      <c r="T35" s="0" t="n">
        <v>73</v>
      </c>
      <c r="U35" s="0" t="n">
        <f aca="false">Tabla3510813153423[[#This Row],[efec]]+Tabla3510813153423[[#This Row],[no_efe]]</f>
        <v>160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57</v>
      </c>
      <c r="D36" s="0" t="n">
        <v>16</v>
      </c>
      <c r="E36" s="0" t="n">
        <v>78</v>
      </c>
      <c r="F36" s="0" t="n">
        <v>9</v>
      </c>
      <c r="G36" s="0" t="n">
        <f aca="false">Tabla3510813153423[[#This Row],[no_efec_cor]]+Tabla3510813153423[[#This Row],[efec_cor]]</f>
        <v>135</v>
      </c>
      <c r="H36" s="0" t="n">
        <f aca="false">Tabla3510813153423[[#This Row],[no_efec_inc]]+Tabla3510813153423[[#This Row],[efect_inc]]</f>
        <v>25</v>
      </c>
      <c r="I36" s="9" t="n">
        <f aca="false">Tabla3510813153423[[#This Row],[Correctos]]/Tabla3510813153423[[#This Row],[total_sec]]</f>
        <v>0.84375</v>
      </c>
      <c r="J36" s="9" t="n">
        <f aca="false">Tabla3510813153423[[#This Row],[efec_cor]]/Tabla3510813153423[[#This Row],[efec]]</f>
        <v>0.896551724137931</v>
      </c>
      <c r="K36" s="9" t="n">
        <f aca="false">Tabla3510813153423[[#This Row],[efect_inc]]/Tabla3510813153423[[#This Row],[efec]]</f>
        <v>0.103448275862069</v>
      </c>
      <c r="L36" s="9" t="n">
        <f aca="false">Tabla3510813153423[[#This Row],[no_efec_cor]]/Tabla3510813153423[[#This Row],[no_efe]]</f>
        <v>0.780821917808219</v>
      </c>
      <c r="M36" s="9" t="n">
        <f aca="false">Tabla3510813153423[[#This Row],[no_efec_inc]]/Tabla3510813153423[[#This Row],[no_efe]]</f>
        <v>0.219178082191781</v>
      </c>
      <c r="N36" s="9" t="n">
        <f aca="false">(Tabla3510813153423[[#This Row],[% efe_cor]]+Tabla3510813153423[[#This Row],[% no_efe_cor]])/2</f>
        <v>0.838686820973075</v>
      </c>
      <c r="O36" s="10" t="n">
        <f aca="false">(Tabla3510813153423[[#This Row],[% efe_inc]]+Tabla3510813153423[[#This Row],[% no_efect_inc]])/2</f>
        <v>0.161313179026925</v>
      </c>
      <c r="P36" s="11" t="n">
        <f aca="false">Tabla3510813153423[[#This Row],[no_efec_cor]]/(Tabla3510813153423[[#This Row],[efect_inc]]+Tabla3510813153423[[#This Row],[no_efec_cor]])</f>
        <v>0.863636363636364</v>
      </c>
      <c r="Q36" s="11" t="n">
        <f aca="false">Tabla3510813153423[[#This Row],[efec_cor]]/(Tabla3510813153423[[#This Row],[efec_cor]]+Tabla3510813153423[[#This Row],[no_efec_inc]])</f>
        <v>0.829787234042553</v>
      </c>
      <c r="R36" s="11" t="n">
        <f aca="false">(Tabla3510813153423[[#This Row],[PNE]]+Tabla3510813153423[[#This Row],[PE]])/2</f>
        <v>0.846711798839458</v>
      </c>
      <c r="S36" s="0" t="n">
        <v>87</v>
      </c>
      <c r="T36" s="0" t="n">
        <v>73</v>
      </c>
      <c r="U36" s="0" t="n">
        <f aca="false">Tabla3510813153423[[#This Row],[efec]]+Tabla3510813153423[[#This Row],[no_efe]]</f>
        <v>160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52</v>
      </c>
      <c r="D37" s="0" t="n">
        <v>21</v>
      </c>
      <c r="E37" s="0" t="n">
        <v>76</v>
      </c>
      <c r="F37" s="0" t="n">
        <v>11</v>
      </c>
      <c r="G37" s="0" t="n">
        <f aca="false">Tabla3510813153423[[#This Row],[no_efec_cor]]+Tabla3510813153423[[#This Row],[efec_cor]]</f>
        <v>128</v>
      </c>
      <c r="H37" s="0" t="n">
        <f aca="false">Tabla3510813153423[[#This Row],[no_efec_inc]]+Tabla3510813153423[[#This Row],[efect_inc]]</f>
        <v>32</v>
      </c>
      <c r="I37" s="9" t="n">
        <f aca="false">Tabla3510813153423[[#This Row],[Correctos]]/Tabla3510813153423[[#This Row],[total_sec]]</f>
        <v>0.8</v>
      </c>
      <c r="J37" s="9" t="n">
        <f aca="false">Tabla3510813153423[[#This Row],[efec_cor]]/Tabla3510813153423[[#This Row],[efec]]</f>
        <v>0.873563218390805</v>
      </c>
      <c r="K37" s="9" t="n">
        <f aca="false">Tabla3510813153423[[#This Row],[efect_inc]]/Tabla3510813153423[[#This Row],[efec]]</f>
        <v>0.126436781609195</v>
      </c>
      <c r="L37" s="9" t="n">
        <f aca="false">Tabla3510813153423[[#This Row],[no_efec_cor]]/Tabla3510813153423[[#This Row],[no_efe]]</f>
        <v>0.712328767123288</v>
      </c>
      <c r="M37" s="9" t="n">
        <f aca="false">Tabla3510813153423[[#This Row],[no_efec_inc]]/Tabla3510813153423[[#This Row],[no_efe]]</f>
        <v>0.287671232876712</v>
      </c>
      <c r="N37" s="9" t="n">
        <f aca="false">(Tabla3510813153423[[#This Row],[% efe_cor]]+Tabla3510813153423[[#This Row],[% no_efe_cor]])/2</f>
        <v>0.792945992757046</v>
      </c>
      <c r="O37" s="10" t="n">
        <f aca="false">(Tabla3510813153423[[#This Row],[% efe_inc]]+Tabla3510813153423[[#This Row],[% no_efect_inc]])/2</f>
        <v>0.207054007242954</v>
      </c>
      <c r="P37" s="11" t="n">
        <f aca="false">Tabla3510813153423[[#This Row],[no_efec_cor]]/(Tabla3510813153423[[#This Row],[efect_inc]]+Tabla3510813153423[[#This Row],[no_efec_cor]])</f>
        <v>0.825396825396825</v>
      </c>
      <c r="Q37" s="11" t="n">
        <f aca="false">Tabla3510813153423[[#This Row],[efec_cor]]/(Tabla3510813153423[[#This Row],[efec_cor]]+Tabla3510813153423[[#This Row],[no_efec_inc]])</f>
        <v>0.783505154639175</v>
      </c>
      <c r="R37" s="11" t="n">
        <f aca="false">(Tabla3510813153423[[#This Row],[PNE]]+Tabla3510813153423[[#This Row],[PE]])/2</f>
        <v>0.804450990018</v>
      </c>
      <c r="S37" s="0" t="n">
        <v>87</v>
      </c>
      <c r="T37" s="0" t="n">
        <v>73</v>
      </c>
      <c r="U37" s="0" t="n">
        <f aca="false">Tabla3510813153423[[#This Row],[efec]]+Tabla3510813153423[[#This Row],[no_efe]]</f>
        <v>160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33</v>
      </c>
      <c r="D38" s="0" t="n">
        <v>40</v>
      </c>
      <c r="E38" s="0" t="n">
        <v>81</v>
      </c>
      <c r="F38" s="0" t="n">
        <v>6</v>
      </c>
      <c r="G38" s="0" t="n">
        <f aca="false">Tabla3510813153423[[#This Row],[no_efec_cor]]+Tabla3510813153423[[#This Row],[efec_cor]]</f>
        <v>114</v>
      </c>
      <c r="H38" s="0" t="n">
        <f aca="false">Tabla3510813153423[[#This Row],[no_efec_inc]]+Tabla3510813153423[[#This Row],[efect_inc]]</f>
        <v>46</v>
      </c>
      <c r="I38" s="9" t="n">
        <f aca="false">Tabla3510813153423[[#This Row],[Correctos]]/Tabla3510813153423[[#This Row],[total_sec]]</f>
        <v>0.7125</v>
      </c>
      <c r="J38" s="9" t="n">
        <f aca="false">Tabla3510813153423[[#This Row],[efec_cor]]/Tabla3510813153423[[#This Row],[efec]]</f>
        <v>0.931034482758621</v>
      </c>
      <c r="K38" s="9" t="n">
        <f aca="false">Tabla3510813153423[[#This Row],[efect_inc]]/Tabla3510813153423[[#This Row],[efec]]</f>
        <v>0.0689655172413793</v>
      </c>
      <c r="L38" s="9" t="n">
        <f aca="false">Tabla3510813153423[[#This Row],[no_efec_cor]]/Tabla3510813153423[[#This Row],[no_efe]]</f>
        <v>0.452054794520548</v>
      </c>
      <c r="M38" s="9" t="n">
        <f aca="false">Tabla3510813153423[[#This Row],[no_efec_inc]]/Tabla3510813153423[[#This Row],[no_efe]]</f>
        <v>0.547945205479452</v>
      </c>
      <c r="N38" s="9" t="n">
        <f aca="false">(Tabla3510813153423[[#This Row],[% efe_cor]]+Tabla3510813153423[[#This Row],[% no_efe_cor]])/2</f>
        <v>0.691544638639584</v>
      </c>
      <c r="O38" s="10" t="n">
        <f aca="false">(Tabla3510813153423[[#This Row],[% efe_inc]]+Tabla3510813153423[[#This Row],[% no_efect_inc]])/2</f>
        <v>0.308455361360416</v>
      </c>
      <c r="P38" s="11" t="n">
        <f aca="false">Tabla3510813153423[[#This Row],[no_efec_cor]]/(Tabla3510813153423[[#This Row],[efect_inc]]+Tabla3510813153423[[#This Row],[no_efec_cor]])</f>
        <v>0.846153846153846</v>
      </c>
      <c r="Q38" s="11" t="n">
        <f aca="false">Tabla3510813153423[[#This Row],[efec_cor]]/(Tabla3510813153423[[#This Row],[efec_cor]]+Tabla3510813153423[[#This Row],[no_efec_inc]])</f>
        <v>0.669421487603306</v>
      </c>
      <c r="R38" s="11" t="n">
        <f aca="false">(Tabla3510813153423[[#This Row],[PNE]]+Tabla3510813153423[[#This Row],[PE]])/2</f>
        <v>0.757787666878576</v>
      </c>
      <c r="S38" s="0" t="n">
        <v>87</v>
      </c>
      <c r="T38" s="0" t="n">
        <v>73</v>
      </c>
      <c r="U38" s="0" t="n">
        <f aca="false">Tabla3510813153423[[#This Row],[efec]]+Tabla3510813153423[[#This Row],[no_efe]]</f>
        <v>160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60</v>
      </c>
      <c r="D39" s="0" t="n">
        <v>13</v>
      </c>
      <c r="E39" s="0" t="n">
        <v>71</v>
      </c>
      <c r="F39" s="0" t="n">
        <v>16</v>
      </c>
      <c r="G39" s="0" t="n">
        <f aca="false">Tabla3510813153423[[#This Row],[no_efec_cor]]+Tabla3510813153423[[#This Row],[efec_cor]]</f>
        <v>131</v>
      </c>
      <c r="H39" s="0" t="n">
        <f aca="false">Tabla3510813153423[[#This Row],[no_efec_inc]]+Tabla3510813153423[[#This Row],[efect_inc]]</f>
        <v>29</v>
      </c>
      <c r="I39" s="9" t="n">
        <f aca="false">Tabla3510813153423[[#This Row],[Correctos]]/Tabla3510813153423[[#This Row],[total_sec]]</f>
        <v>0.81875</v>
      </c>
      <c r="J39" s="9" t="n">
        <f aca="false">Tabla3510813153423[[#This Row],[efec_cor]]/Tabla3510813153423[[#This Row],[efec]]</f>
        <v>0.816091954022988</v>
      </c>
      <c r="K39" s="9" t="n">
        <f aca="false">Tabla3510813153423[[#This Row],[efect_inc]]/Tabla3510813153423[[#This Row],[efec]]</f>
        <v>0.183908045977011</v>
      </c>
      <c r="L39" s="9" t="n">
        <f aca="false">Tabla3510813153423[[#This Row],[no_efec_cor]]/Tabla3510813153423[[#This Row],[no_efe]]</f>
        <v>0.821917808219178</v>
      </c>
      <c r="M39" s="9" t="n">
        <f aca="false">Tabla3510813153423[[#This Row],[no_efec_inc]]/Tabla3510813153423[[#This Row],[no_efe]]</f>
        <v>0.178082191780822</v>
      </c>
      <c r="N39" s="9" t="n">
        <f aca="false">(Tabla3510813153423[[#This Row],[% efe_cor]]+Tabla3510813153423[[#This Row],[% no_efe_cor]])/2</f>
        <v>0.819004881121083</v>
      </c>
      <c r="O39" s="10" t="n">
        <f aca="false">(Tabla3510813153423[[#This Row],[% efe_inc]]+Tabla3510813153423[[#This Row],[% no_efect_inc]])/2</f>
        <v>0.180995118878917</v>
      </c>
      <c r="P39" s="11" t="n">
        <f aca="false">Tabla3510813153423[[#This Row],[no_efec_cor]]/(Tabla3510813153423[[#This Row],[efect_inc]]+Tabla3510813153423[[#This Row],[no_efec_cor]])</f>
        <v>0.789473684210526</v>
      </c>
      <c r="Q39" s="11" t="n">
        <f aca="false">Tabla3510813153423[[#This Row],[efec_cor]]/(Tabla3510813153423[[#This Row],[efec_cor]]+Tabla3510813153423[[#This Row],[no_efec_inc]])</f>
        <v>0.845238095238095</v>
      </c>
      <c r="R39" s="11" t="n">
        <f aca="false">(Tabla3510813153423[[#This Row],[PNE]]+Tabla3510813153423[[#This Row],[PE]])/2</f>
        <v>0.817355889724311</v>
      </c>
      <c r="S39" s="0" t="n">
        <v>87</v>
      </c>
      <c r="T39" s="0" t="n">
        <v>73</v>
      </c>
      <c r="U39" s="0" t="n">
        <f aca="false">Tabla3510813153423[[#This Row],[efec]]+Tabla3510813153423[[#This Row],[no_efe]]</f>
        <v>160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39" activeCellId="0" sqref="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76</v>
      </c>
    </row>
    <row r="5" customFormat="false" ht="15" hidden="false" customHeight="false" outlineLevel="0" collapsed="false">
      <c r="A5" s="3" t="s">
        <v>3</v>
      </c>
      <c r="B5" s="3"/>
      <c r="C5" s="4" t="n">
        <v>78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154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66</v>
      </c>
      <c r="C10" s="0" t="n">
        <v>12</v>
      </c>
      <c r="D10" s="0" t="n">
        <v>58</v>
      </c>
      <c r="E10" s="0" t="n">
        <v>18</v>
      </c>
      <c r="F10" s="0" t="n">
        <f aca="false">Tabla351081315327[[#This Row],[no_efec_cor]]+Tabla351081315327[[#This Row],[efec_cor]]</f>
        <v>124</v>
      </c>
      <c r="G10" s="0" t="n">
        <f aca="false">Tabla351081315327[[#This Row],[no_efec_inc]]+Tabla351081315327[[#This Row],[efect_inc]]</f>
        <v>30</v>
      </c>
      <c r="H10" s="9" t="n">
        <f aca="false">Tabla351081315327[[#This Row],[Correctos]]/Tabla351081315327[[#This Row],[total_sec]]</f>
        <v>0.805194805194805</v>
      </c>
      <c r="I10" s="9" t="n">
        <f aca="false">Tabla351081315327[[#This Row],[efec_cor]]/Tabla351081315327[[#This Row],[efec]]</f>
        <v>0.763157894736842</v>
      </c>
      <c r="J10" s="9" t="n">
        <f aca="false">Tabla351081315327[[#This Row],[efect_inc]]/Tabla351081315327[[#This Row],[efec]]</f>
        <v>0.236842105263158</v>
      </c>
      <c r="K10" s="9" t="n">
        <f aca="false">Tabla351081315327[[#This Row],[no_efec_cor]]/Tabla351081315327[[#This Row],[no_efe]]</f>
        <v>0.846153846153846</v>
      </c>
      <c r="L10" s="9" t="n">
        <f aca="false">Tabla351081315327[[#This Row],[no_efec_inc]]/Tabla351081315327[[#This Row],[no_efe]]</f>
        <v>0.153846153846154</v>
      </c>
      <c r="M10" s="9" t="n">
        <f aca="false">(Tabla351081315327[[#This Row],[% efe_cor]]+Tabla351081315327[[#This Row],[% no_efe_cor]])/2</f>
        <v>0.804655870445344</v>
      </c>
      <c r="N10" s="10" t="n">
        <f aca="false">(Tabla351081315327[[#This Row],[% efe_inc]]+Tabla351081315327[[#This Row],[% no_efect_inc]])/2</f>
        <v>0.195344129554656</v>
      </c>
      <c r="O10" s="11" t="n">
        <f aca="false">Tabla351081315327[[#This Row],[no_efec_cor]]/(Tabla351081315327[[#This Row],[efect_inc]]+Tabla351081315327[[#This Row],[no_efec_cor]])</f>
        <v>0.785714285714286</v>
      </c>
      <c r="P10" s="11" t="n">
        <f aca="false">Tabla351081315327[[#This Row],[efec_cor]]/(Tabla351081315327[[#This Row],[efec_cor]]+Tabla351081315327[[#This Row],[no_efec_inc]])</f>
        <v>0.828571428571429</v>
      </c>
      <c r="Q10" s="11" t="n">
        <f aca="false">(Tabla351081315327[[#This Row],[PNE]]+Tabla351081315327[[#This Row],[PE]])/2</f>
        <v>0.807142857142857</v>
      </c>
      <c r="R10" s="0" t="n">
        <v>76</v>
      </c>
      <c r="S10" s="0" t="n">
        <v>78</v>
      </c>
      <c r="T10" s="0" t="n">
        <f aca="false">Tabla351081315327[[#This Row],[efec]]+Tabla351081315327[[#This Row],[no_efe]]</f>
        <v>154</v>
      </c>
    </row>
    <row r="11" customFormat="false" ht="13.8" hidden="false" customHeight="false" outlineLevel="0" collapsed="false">
      <c r="A11" s="0" t="n">
        <v>5</v>
      </c>
      <c r="B11" s="0" t="n">
        <v>63</v>
      </c>
      <c r="C11" s="0" t="n">
        <v>15</v>
      </c>
      <c r="D11" s="0" t="n">
        <v>56</v>
      </c>
      <c r="E11" s="0" t="n">
        <v>20</v>
      </c>
      <c r="F11" s="0" t="n">
        <f aca="false">Tabla351081315327[[#This Row],[no_efec_cor]]+Tabla351081315327[[#This Row],[efec_cor]]</f>
        <v>119</v>
      </c>
      <c r="G11" s="0" t="n">
        <f aca="false">Tabla351081315327[[#This Row],[no_efec_inc]]+Tabla351081315327[[#This Row],[efect_inc]]</f>
        <v>35</v>
      </c>
      <c r="H11" s="9" t="n">
        <f aca="false">Tabla351081315327[[#This Row],[Correctos]]/Tabla351081315327[[#This Row],[total_sec]]</f>
        <v>0.772727272727273</v>
      </c>
      <c r="I11" s="9" t="n">
        <f aca="false">Tabla351081315327[[#This Row],[efec_cor]]/Tabla351081315327[[#This Row],[efec]]</f>
        <v>0.736842105263158</v>
      </c>
      <c r="J11" s="9" t="n">
        <f aca="false">Tabla351081315327[[#This Row],[efect_inc]]/Tabla351081315327[[#This Row],[efec]]</f>
        <v>0.263157894736842</v>
      </c>
      <c r="K11" s="9" t="n">
        <f aca="false">Tabla351081315327[[#This Row],[no_efec_cor]]/Tabla351081315327[[#This Row],[no_efe]]</f>
        <v>0.807692307692308</v>
      </c>
      <c r="L11" s="9" t="n">
        <f aca="false">Tabla351081315327[[#This Row],[no_efec_inc]]/Tabla351081315327[[#This Row],[no_efe]]</f>
        <v>0.192307692307692</v>
      </c>
      <c r="M11" s="9" t="n">
        <f aca="false">(Tabla351081315327[[#This Row],[% efe_cor]]+Tabla351081315327[[#This Row],[% no_efe_cor]])/2</f>
        <v>0.772267206477733</v>
      </c>
      <c r="N11" s="10" t="n">
        <f aca="false">(Tabla351081315327[[#This Row],[% efe_inc]]+Tabla351081315327[[#This Row],[% no_efect_inc]])/2</f>
        <v>0.227732793522267</v>
      </c>
      <c r="O11" s="11" t="n">
        <f aca="false">Tabla351081315327[[#This Row],[no_efec_cor]]/(Tabla351081315327[[#This Row],[efect_inc]]+Tabla351081315327[[#This Row],[no_efec_cor]])</f>
        <v>0.759036144578313</v>
      </c>
      <c r="P11" s="11" t="n">
        <f aca="false">Tabla351081315327[[#This Row],[efec_cor]]/(Tabla351081315327[[#This Row],[efec_cor]]+Tabla351081315327[[#This Row],[no_efec_inc]])</f>
        <v>0.788732394366197</v>
      </c>
      <c r="Q11" s="11" t="n">
        <f aca="false">(Tabla351081315327[[#This Row],[PNE]]+Tabla351081315327[[#This Row],[PE]])/2</f>
        <v>0.773884269472255</v>
      </c>
      <c r="R11" s="0" t="n">
        <v>76</v>
      </c>
      <c r="S11" s="0" t="n">
        <v>78</v>
      </c>
      <c r="T11" s="0" t="n">
        <f aca="false">Tabla351081315327[[#This Row],[efec]]+Tabla351081315327[[#This Row],[no_efe]]</f>
        <v>154</v>
      </c>
    </row>
    <row r="12" customFormat="false" ht="13.8" hidden="false" customHeight="false" outlineLevel="0" collapsed="false">
      <c r="A12" s="0" t="n">
        <v>10</v>
      </c>
      <c r="B12" s="0" t="n">
        <v>60</v>
      </c>
      <c r="C12" s="0" t="n">
        <v>18</v>
      </c>
      <c r="D12" s="0" t="n">
        <v>58</v>
      </c>
      <c r="E12" s="0" t="n">
        <v>18</v>
      </c>
      <c r="F12" s="0" t="n">
        <f aca="false">Tabla351081315327[[#This Row],[no_efec_cor]]+Tabla351081315327[[#This Row],[efec_cor]]</f>
        <v>118</v>
      </c>
      <c r="G12" s="0" t="n">
        <f aca="false">Tabla351081315327[[#This Row],[no_efec_inc]]+Tabla351081315327[[#This Row],[efect_inc]]</f>
        <v>36</v>
      </c>
      <c r="H12" s="9" t="n">
        <f aca="false">Tabla351081315327[[#This Row],[Correctos]]/Tabla351081315327[[#This Row],[total_sec]]</f>
        <v>0.766233766233766</v>
      </c>
      <c r="I12" s="9" t="n">
        <f aca="false">Tabla351081315327[[#This Row],[efec_cor]]/Tabla351081315327[[#This Row],[efec]]</f>
        <v>0.763157894736842</v>
      </c>
      <c r="J12" s="9" t="n">
        <f aca="false">Tabla351081315327[[#This Row],[efect_inc]]/Tabla351081315327[[#This Row],[efec]]</f>
        <v>0.236842105263158</v>
      </c>
      <c r="K12" s="9" t="n">
        <f aca="false">Tabla351081315327[[#This Row],[no_efec_cor]]/Tabla351081315327[[#This Row],[no_efe]]</f>
        <v>0.769230769230769</v>
      </c>
      <c r="L12" s="9" t="n">
        <f aca="false">Tabla351081315327[[#This Row],[no_efec_inc]]/Tabla351081315327[[#This Row],[no_efe]]</f>
        <v>0.230769230769231</v>
      </c>
      <c r="M12" s="9" t="n">
        <f aca="false">(Tabla351081315327[[#This Row],[% efe_cor]]+Tabla351081315327[[#This Row],[% no_efe_cor]])/2</f>
        <v>0.766194331983806</v>
      </c>
      <c r="N12" s="10" t="n">
        <f aca="false">(Tabla351081315327[[#This Row],[% efe_inc]]+Tabla351081315327[[#This Row],[% no_efect_inc]])/2</f>
        <v>0.233805668016194</v>
      </c>
      <c r="O12" s="11" t="n">
        <f aca="false">Tabla351081315327[[#This Row],[no_efec_cor]]/(Tabla351081315327[[#This Row],[efect_inc]]+Tabla351081315327[[#This Row],[no_efec_cor]])</f>
        <v>0.769230769230769</v>
      </c>
      <c r="P12" s="11" t="n">
        <f aca="false">Tabla351081315327[[#This Row],[efec_cor]]/(Tabla351081315327[[#This Row],[efec_cor]]+Tabla351081315327[[#This Row],[no_efec_inc]])</f>
        <v>0.763157894736842</v>
      </c>
      <c r="Q12" s="11" t="n">
        <f aca="false">(Tabla351081315327[[#This Row],[PNE]]+Tabla351081315327[[#This Row],[PE]])/2</f>
        <v>0.766194331983806</v>
      </c>
      <c r="R12" s="0" t="n">
        <v>76</v>
      </c>
      <c r="S12" s="0" t="n">
        <v>78</v>
      </c>
      <c r="T12" s="0" t="n">
        <f aca="false">Tabla351081315327[[#This Row],[efec]]+Tabla351081315327[[#This Row],[no_efe]]</f>
        <v>154</v>
      </c>
    </row>
    <row r="13" customFormat="false" ht="13.8" hidden="false" customHeight="false" outlineLevel="0" collapsed="false">
      <c r="A13" s="0" t="n">
        <v>15</v>
      </c>
      <c r="B13" s="0" t="n">
        <v>64</v>
      </c>
      <c r="C13" s="0" t="n">
        <v>14</v>
      </c>
      <c r="D13" s="0" t="n">
        <v>55</v>
      </c>
      <c r="E13" s="0" t="n">
        <v>21</v>
      </c>
      <c r="F13" s="0" t="n">
        <f aca="false">Tabla351081315327[[#This Row],[no_efec_cor]]+Tabla351081315327[[#This Row],[efec_cor]]</f>
        <v>119</v>
      </c>
      <c r="G13" s="0" t="n">
        <f aca="false">Tabla351081315327[[#This Row],[no_efec_inc]]+Tabla351081315327[[#This Row],[efect_inc]]</f>
        <v>35</v>
      </c>
      <c r="H13" s="9" t="n">
        <f aca="false">Tabla351081315327[[#This Row],[Correctos]]/Tabla351081315327[[#This Row],[total_sec]]</f>
        <v>0.772727272727273</v>
      </c>
      <c r="I13" s="9" t="n">
        <f aca="false">Tabla351081315327[[#This Row],[efec_cor]]/Tabla351081315327[[#This Row],[efec]]</f>
        <v>0.723684210526316</v>
      </c>
      <c r="J13" s="9" t="n">
        <f aca="false">Tabla351081315327[[#This Row],[efect_inc]]/Tabla351081315327[[#This Row],[efec]]</f>
        <v>0.276315789473684</v>
      </c>
      <c r="K13" s="9" t="n">
        <f aca="false">Tabla351081315327[[#This Row],[no_efec_cor]]/Tabla351081315327[[#This Row],[no_efe]]</f>
        <v>0.82051282051282</v>
      </c>
      <c r="L13" s="9" t="n">
        <f aca="false">Tabla351081315327[[#This Row],[no_efec_inc]]/Tabla351081315327[[#This Row],[no_efe]]</f>
        <v>0.179487179487179</v>
      </c>
      <c r="M13" s="9" t="n">
        <f aca="false">(Tabla351081315327[[#This Row],[% efe_cor]]+Tabla351081315327[[#This Row],[% no_efe_cor]])/2</f>
        <v>0.772098515519568</v>
      </c>
      <c r="N13" s="10" t="n">
        <f aca="false">(Tabla351081315327[[#This Row],[% efe_inc]]+Tabla351081315327[[#This Row],[% no_efect_inc]])/2</f>
        <v>0.227901484480432</v>
      </c>
      <c r="O13" s="11" t="n">
        <f aca="false">Tabla351081315327[[#This Row],[no_efec_cor]]/(Tabla351081315327[[#This Row],[efect_inc]]+Tabla351081315327[[#This Row],[no_efec_cor]])</f>
        <v>0.752941176470588</v>
      </c>
      <c r="P13" s="11" t="n">
        <f aca="false">Tabla351081315327[[#This Row],[efec_cor]]/(Tabla351081315327[[#This Row],[efec_cor]]+Tabla351081315327[[#This Row],[no_efec_inc]])</f>
        <v>0.797101449275362</v>
      </c>
      <c r="Q13" s="11" t="n">
        <f aca="false">(Tabla351081315327[[#This Row],[PNE]]+Tabla351081315327[[#This Row],[PE]])/2</f>
        <v>0.775021312872975</v>
      </c>
      <c r="R13" s="0" t="n">
        <v>76</v>
      </c>
      <c r="S13" s="0" t="n">
        <v>78</v>
      </c>
      <c r="T13" s="0" t="n">
        <f aca="false">Tabla351081315327[[#This Row],[efec]]+Tabla351081315327[[#This Row],[no_efe]]</f>
        <v>154</v>
      </c>
    </row>
    <row r="14" customFormat="false" ht="13.8" hidden="false" customHeight="false" outlineLevel="0" collapsed="false">
      <c r="A14" s="0" t="n">
        <v>20</v>
      </c>
      <c r="B14" s="0" t="n">
        <v>60</v>
      </c>
      <c r="C14" s="0" t="n">
        <v>18</v>
      </c>
      <c r="D14" s="0" t="n">
        <v>59</v>
      </c>
      <c r="E14" s="0" t="n">
        <v>17</v>
      </c>
      <c r="F14" s="0" t="n">
        <f aca="false">Tabla351081315327[[#This Row],[no_efec_cor]]+Tabla351081315327[[#This Row],[efec_cor]]</f>
        <v>119</v>
      </c>
      <c r="G14" s="0" t="n">
        <f aca="false">Tabla351081315327[[#This Row],[no_efec_inc]]+Tabla351081315327[[#This Row],[efect_inc]]</f>
        <v>35</v>
      </c>
      <c r="H14" s="9" t="n">
        <f aca="false">Tabla351081315327[[#This Row],[Correctos]]/Tabla351081315327[[#This Row],[total_sec]]</f>
        <v>0.772727272727273</v>
      </c>
      <c r="I14" s="9" t="n">
        <f aca="false">Tabla351081315327[[#This Row],[efec_cor]]/Tabla351081315327[[#This Row],[efec]]</f>
        <v>0.776315789473684</v>
      </c>
      <c r="J14" s="9" t="n">
        <f aca="false">Tabla351081315327[[#This Row],[efect_inc]]/Tabla351081315327[[#This Row],[efec]]</f>
        <v>0.223684210526316</v>
      </c>
      <c r="K14" s="9" t="n">
        <f aca="false">Tabla351081315327[[#This Row],[no_efec_cor]]/Tabla351081315327[[#This Row],[no_efe]]</f>
        <v>0.769230769230769</v>
      </c>
      <c r="L14" s="9" t="n">
        <f aca="false">Tabla351081315327[[#This Row],[no_efec_inc]]/Tabla351081315327[[#This Row],[no_efe]]</f>
        <v>0.230769230769231</v>
      </c>
      <c r="M14" s="9" t="n">
        <f aca="false">(Tabla351081315327[[#This Row],[% efe_cor]]+Tabla351081315327[[#This Row],[% no_efe_cor]])/2</f>
        <v>0.772773279352227</v>
      </c>
      <c r="N14" s="10" t="n">
        <f aca="false">(Tabla351081315327[[#This Row],[% efe_inc]]+Tabla351081315327[[#This Row],[% no_efect_inc]])/2</f>
        <v>0.227226720647773</v>
      </c>
      <c r="O14" s="11" t="n">
        <f aca="false">Tabla351081315327[[#This Row],[no_efec_cor]]/(Tabla351081315327[[#This Row],[efect_inc]]+Tabla351081315327[[#This Row],[no_efec_cor]])</f>
        <v>0.779220779220779</v>
      </c>
      <c r="P14" s="11" t="n">
        <f aca="false">Tabla351081315327[[#This Row],[efec_cor]]/(Tabla351081315327[[#This Row],[efec_cor]]+Tabla351081315327[[#This Row],[no_efec_inc]])</f>
        <v>0.766233766233766</v>
      </c>
      <c r="Q14" s="11" t="n">
        <f aca="false">(Tabla351081315327[[#This Row],[PNE]]+Tabla351081315327[[#This Row],[PE]])/2</f>
        <v>0.772727272727273</v>
      </c>
      <c r="R14" s="0" t="n">
        <v>76</v>
      </c>
      <c r="S14" s="0" t="n">
        <v>78</v>
      </c>
      <c r="T14" s="0" t="n">
        <f aca="false">Tabla351081315327[[#This Row],[efec]]+Tabla351081315327[[#This Row],[no_efe]]</f>
        <v>154</v>
      </c>
    </row>
    <row r="15" customFormat="false" ht="13.8" hidden="false" customHeight="false" outlineLevel="0" collapsed="false">
      <c r="A15" s="0" t="n">
        <v>25</v>
      </c>
      <c r="B15" s="0" t="n">
        <v>60</v>
      </c>
      <c r="C15" s="0" t="n">
        <v>18</v>
      </c>
      <c r="D15" s="0" t="n">
        <v>57</v>
      </c>
      <c r="E15" s="0" t="n">
        <v>19</v>
      </c>
      <c r="F15" s="0" t="n">
        <f aca="false">Tabla351081315327[[#This Row],[no_efec_cor]]+Tabla351081315327[[#This Row],[efec_cor]]</f>
        <v>117</v>
      </c>
      <c r="G15" s="0" t="n">
        <f aca="false">Tabla351081315327[[#This Row],[no_efec_inc]]+Tabla351081315327[[#This Row],[efect_inc]]</f>
        <v>37</v>
      </c>
      <c r="H15" s="9" t="n">
        <f aca="false">Tabla351081315327[[#This Row],[Correctos]]/Tabla351081315327[[#This Row],[total_sec]]</f>
        <v>0.75974025974026</v>
      </c>
      <c r="I15" s="9" t="n">
        <f aca="false">Tabla351081315327[[#This Row],[efec_cor]]/Tabla351081315327[[#This Row],[efec]]</f>
        <v>0.75</v>
      </c>
      <c r="J15" s="9" t="n">
        <f aca="false">Tabla351081315327[[#This Row],[efect_inc]]/Tabla351081315327[[#This Row],[efec]]</f>
        <v>0.25</v>
      </c>
      <c r="K15" s="9" t="n">
        <f aca="false">Tabla351081315327[[#This Row],[no_efec_cor]]/Tabla351081315327[[#This Row],[no_efe]]</f>
        <v>0.769230769230769</v>
      </c>
      <c r="L15" s="9" t="n">
        <f aca="false">Tabla351081315327[[#This Row],[no_efec_inc]]/Tabla351081315327[[#This Row],[no_efe]]</f>
        <v>0.230769230769231</v>
      </c>
      <c r="M15" s="9" t="n">
        <f aca="false">(Tabla351081315327[[#This Row],[% efe_cor]]+Tabla351081315327[[#This Row],[% no_efe_cor]])/2</f>
        <v>0.759615384615385</v>
      </c>
      <c r="N15" s="10" t="n">
        <f aca="false">(Tabla351081315327[[#This Row],[% efe_inc]]+Tabla351081315327[[#This Row],[% no_efect_inc]])/2</f>
        <v>0.240384615384615</v>
      </c>
      <c r="O15" s="11" t="n">
        <f aca="false">Tabla351081315327[[#This Row],[no_efec_cor]]/(Tabla351081315327[[#This Row],[efect_inc]]+Tabla351081315327[[#This Row],[no_efec_cor]])</f>
        <v>0.759493670886076</v>
      </c>
      <c r="P15" s="11" t="n">
        <f aca="false">Tabla351081315327[[#This Row],[efec_cor]]/(Tabla351081315327[[#This Row],[efec_cor]]+Tabla351081315327[[#This Row],[no_efec_inc]])</f>
        <v>0.76</v>
      </c>
      <c r="Q15" s="11" t="n">
        <f aca="false">(Tabla351081315327[[#This Row],[PNE]]+Tabla351081315327[[#This Row],[PE]])/2</f>
        <v>0.759746835443038</v>
      </c>
      <c r="R15" s="0" t="n">
        <v>76</v>
      </c>
      <c r="S15" s="0" t="n">
        <v>78</v>
      </c>
      <c r="T15" s="0" t="n">
        <f aca="false">Tabla351081315327[[#This Row],[efec]]+Tabla351081315327[[#This Row],[no_efe]]</f>
        <v>154</v>
      </c>
    </row>
    <row r="16" customFormat="false" ht="13.8" hidden="false" customHeight="false" outlineLevel="0" collapsed="false">
      <c r="A16" s="0" t="n">
        <v>30</v>
      </c>
      <c r="B16" s="0" t="n">
        <v>57</v>
      </c>
      <c r="C16" s="0" t="n">
        <v>21</v>
      </c>
      <c r="D16" s="0" t="n">
        <v>59</v>
      </c>
      <c r="E16" s="0" t="n">
        <v>17</v>
      </c>
      <c r="F16" s="0" t="n">
        <f aca="false">Tabla351081315327[[#This Row],[no_efec_cor]]+Tabla351081315327[[#This Row],[efec_cor]]</f>
        <v>116</v>
      </c>
      <c r="G16" s="0" t="n">
        <f aca="false">Tabla351081315327[[#This Row],[no_efec_inc]]+Tabla351081315327[[#This Row],[efect_inc]]</f>
        <v>38</v>
      </c>
      <c r="H16" s="9" t="n">
        <f aca="false">Tabla351081315327[[#This Row],[Correctos]]/Tabla351081315327[[#This Row],[total_sec]]</f>
        <v>0.753246753246753</v>
      </c>
      <c r="I16" s="9" t="n">
        <f aca="false">Tabla351081315327[[#This Row],[efec_cor]]/Tabla351081315327[[#This Row],[efec]]</f>
        <v>0.776315789473684</v>
      </c>
      <c r="J16" s="9" t="n">
        <f aca="false">Tabla351081315327[[#This Row],[efect_inc]]/Tabla351081315327[[#This Row],[efec]]</f>
        <v>0.223684210526316</v>
      </c>
      <c r="K16" s="9" t="n">
        <f aca="false">Tabla351081315327[[#This Row],[no_efec_cor]]/Tabla351081315327[[#This Row],[no_efe]]</f>
        <v>0.730769230769231</v>
      </c>
      <c r="L16" s="9" t="n">
        <f aca="false">Tabla351081315327[[#This Row],[no_efec_inc]]/Tabla351081315327[[#This Row],[no_efe]]</f>
        <v>0.269230769230769</v>
      </c>
      <c r="M16" s="9" t="n">
        <f aca="false">(Tabla351081315327[[#This Row],[% efe_cor]]+Tabla351081315327[[#This Row],[% no_efe_cor]])/2</f>
        <v>0.753542510121457</v>
      </c>
      <c r="N16" s="10" t="n">
        <f aca="false">(Tabla351081315327[[#This Row],[% efe_inc]]+Tabla351081315327[[#This Row],[% no_efect_inc]])/2</f>
        <v>0.246457489878542</v>
      </c>
      <c r="O16" s="11" t="n">
        <f aca="false">Tabla351081315327[[#This Row],[no_efec_cor]]/(Tabla351081315327[[#This Row],[efect_inc]]+Tabla351081315327[[#This Row],[no_efec_cor]])</f>
        <v>0.77027027027027</v>
      </c>
      <c r="P16" s="11" t="n">
        <f aca="false">Tabla351081315327[[#This Row],[efec_cor]]/(Tabla351081315327[[#This Row],[efec_cor]]+Tabla351081315327[[#This Row],[no_efec_inc]])</f>
        <v>0.7375</v>
      </c>
      <c r="Q16" s="11" t="n">
        <f aca="false">(Tabla351081315327[[#This Row],[PNE]]+Tabla351081315327[[#This Row],[PE]])/2</f>
        <v>0.753885135135135</v>
      </c>
      <c r="R16" s="0" t="n">
        <v>76</v>
      </c>
      <c r="S16" s="0" t="n">
        <v>78</v>
      </c>
      <c r="T16" s="0" t="n">
        <f aca="false">Tabla351081315327[[#This Row],[efec]]+Tabla351081315327[[#This Row],[no_efe]]</f>
        <v>154</v>
      </c>
    </row>
    <row r="17" customFormat="false" ht="13.8" hidden="false" customHeight="false" outlineLevel="0" collapsed="false">
      <c r="A17" s="0" t="n">
        <v>35</v>
      </c>
      <c r="B17" s="0" t="n">
        <v>62</v>
      </c>
      <c r="C17" s="0" t="n">
        <v>16</v>
      </c>
      <c r="D17" s="0" t="n">
        <v>51</v>
      </c>
      <c r="E17" s="0" t="n">
        <v>25</v>
      </c>
      <c r="F17" s="0" t="n">
        <f aca="false">Tabla351081315327[[#This Row],[no_efec_cor]]+Tabla351081315327[[#This Row],[efec_cor]]</f>
        <v>113</v>
      </c>
      <c r="G17" s="0" t="n">
        <f aca="false">Tabla351081315327[[#This Row],[no_efec_inc]]+Tabla351081315327[[#This Row],[efect_inc]]</f>
        <v>41</v>
      </c>
      <c r="H17" s="9" t="n">
        <f aca="false">Tabla351081315327[[#This Row],[Correctos]]/Tabla351081315327[[#This Row],[total_sec]]</f>
        <v>0.733766233766234</v>
      </c>
      <c r="I17" s="9" t="n">
        <f aca="false">Tabla351081315327[[#This Row],[efec_cor]]/Tabla351081315327[[#This Row],[efec]]</f>
        <v>0.671052631578947</v>
      </c>
      <c r="J17" s="9" t="n">
        <f aca="false">Tabla351081315327[[#This Row],[efect_inc]]/Tabla351081315327[[#This Row],[efec]]</f>
        <v>0.328947368421053</v>
      </c>
      <c r="K17" s="9" t="n">
        <f aca="false">Tabla351081315327[[#This Row],[no_efec_cor]]/Tabla351081315327[[#This Row],[no_efe]]</f>
        <v>0.794871794871795</v>
      </c>
      <c r="L17" s="9" t="n">
        <f aca="false">Tabla351081315327[[#This Row],[no_efec_inc]]/Tabla351081315327[[#This Row],[no_efe]]</f>
        <v>0.205128205128205</v>
      </c>
      <c r="M17" s="9" t="n">
        <f aca="false">(Tabla351081315327[[#This Row],[% efe_cor]]+Tabla351081315327[[#This Row],[% no_efe_cor]])/2</f>
        <v>0.732962213225371</v>
      </c>
      <c r="N17" s="10" t="n">
        <f aca="false">(Tabla351081315327[[#This Row],[% efe_inc]]+Tabla351081315327[[#This Row],[% no_efect_inc]])/2</f>
        <v>0.267037786774629</v>
      </c>
      <c r="O17" s="11" t="n">
        <f aca="false">Tabla351081315327[[#This Row],[no_efec_cor]]/(Tabla351081315327[[#This Row],[efect_inc]]+Tabla351081315327[[#This Row],[no_efec_cor]])</f>
        <v>0.71264367816092</v>
      </c>
      <c r="P17" s="11" t="n">
        <f aca="false">Tabla351081315327[[#This Row],[efec_cor]]/(Tabla351081315327[[#This Row],[efec_cor]]+Tabla351081315327[[#This Row],[no_efec_inc]])</f>
        <v>0.761194029850746</v>
      </c>
      <c r="Q17" s="11" t="n">
        <f aca="false">(Tabla351081315327[[#This Row],[PNE]]+Tabla351081315327[[#This Row],[PE]])/2</f>
        <v>0.736918854005833</v>
      </c>
      <c r="R17" s="0" t="n">
        <v>76</v>
      </c>
      <c r="S17" s="0" t="n">
        <v>78</v>
      </c>
      <c r="T17" s="0" t="n">
        <f aca="false">Tabla351081315327[[#This Row],[efec]]+Tabla351081315327[[#This Row],[no_efe]]</f>
        <v>154</v>
      </c>
    </row>
    <row r="18" customFormat="false" ht="13.8" hidden="false" customHeight="false" outlineLevel="0" collapsed="false">
      <c r="A18" s="0" t="n">
        <v>39</v>
      </c>
      <c r="B18" s="0" t="n">
        <v>65</v>
      </c>
      <c r="C18" s="0" t="n">
        <v>13</v>
      </c>
      <c r="D18" s="0" t="n">
        <v>46</v>
      </c>
      <c r="E18" s="0" t="n">
        <v>30</v>
      </c>
      <c r="F18" s="0" t="n">
        <f aca="false">Tabla351081315327[[#This Row],[no_efec_cor]]+Tabla351081315327[[#This Row],[efec_cor]]</f>
        <v>111</v>
      </c>
      <c r="G18" s="0" t="n">
        <f aca="false">Tabla351081315327[[#This Row],[no_efec_inc]]+Tabla351081315327[[#This Row],[efect_inc]]</f>
        <v>43</v>
      </c>
      <c r="H18" s="9" t="n">
        <f aca="false">Tabla351081315327[[#This Row],[Correctos]]/Tabla351081315327[[#This Row],[total_sec]]</f>
        <v>0.720779220779221</v>
      </c>
      <c r="I18" s="9" t="n">
        <f aca="false">Tabla351081315327[[#This Row],[efec_cor]]/Tabla351081315327[[#This Row],[efec]]</f>
        <v>0.605263157894737</v>
      </c>
      <c r="J18" s="9" t="n">
        <f aca="false">Tabla351081315327[[#This Row],[efect_inc]]/Tabla351081315327[[#This Row],[efec]]</f>
        <v>0.394736842105263</v>
      </c>
      <c r="K18" s="9" t="n">
        <f aca="false">Tabla351081315327[[#This Row],[no_efec_cor]]/Tabla351081315327[[#This Row],[no_efe]]</f>
        <v>0.833333333333333</v>
      </c>
      <c r="L18" s="9" t="n">
        <f aca="false">Tabla351081315327[[#This Row],[no_efec_inc]]/Tabla351081315327[[#This Row],[no_efe]]</f>
        <v>0.166666666666667</v>
      </c>
      <c r="M18" s="9" t="n">
        <f aca="false">(Tabla351081315327[[#This Row],[% efe_cor]]+Tabla351081315327[[#This Row],[% no_efe_cor]])/2</f>
        <v>0.719298245614035</v>
      </c>
      <c r="N18" s="10" t="n">
        <f aca="false">(Tabla351081315327[[#This Row],[% efe_inc]]+Tabla351081315327[[#This Row],[% no_efect_inc]])/2</f>
        <v>0.280701754385965</v>
      </c>
      <c r="O18" s="11" t="n">
        <f aca="false">Tabla351081315327[[#This Row],[no_efec_cor]]/(Tabla351081315327[[#This Row],[efect_inc]]+Tabla351081315327[[#This Row],[no_efec_cor]])</f>
        <v>0.68421052631579</v>
      </c>
      <c r="P18" s="11" t="n">
        <f aca="false">Tabla351081315327[[#This Row],[efec_cor]]/(Tabla351081315327[[#This Row],[efec_cor]]+Tabla351081315327[[#This Row],[no_efec_inc]])</f>
        <v>0.779661016949153</v>
      </c>
      <c r="Q18" s="11" t="n">
        <f aca="false">(Tabla351081315327[[#This Row],[PNE]]+Tabla351081315327[[#This Row],[PE]])/2</f>
        <v>0.731935771632471</v>
      </c>
      <c r="R18" s="0" t="n">
        <v>76</v>
      </c>
      <c r="S18" s="0" t="n">
        <v>78</v>
      </c>
      <c r="T18" s="0" t="n">
        <f aca="false">Tabla351081315327[[#This Row],[efec]]+Tabla351081315327[[#This Row],[no_efe]]</f>
        <v>154</v>
      </c>
    </row>
    <row r="20" customFormat="false" ht="19.5" hidden="false" customHeight="false" outlineLevel="0" collapsed="false">
      <c r="A20" s="1" t="s"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64</v>
      </c>
      <c r="D26" s="0" t="n">
        <v>14</v>
      </c>
      <c r="E26" s="0" t="n">
        <v>50</v>
      </c>
      <c r="F26" s="0" t="n">
        <v>26</v>
      </c>
      <c r="G26" s="0" t="n">
        <f aca="false">Tabla3510813153424[[#This Row],[no_efec_cor]]+Tabla3510813153424[[#This Row],[efec_cor]]</f>
        <v>114</v>
      </c>
      <c r="H26" s="0" t="n">
        <f aca="false">Tabla3510813153424[[#This Row],[no_efec_inc]]+Tabla3510813153424[[#This Row],[efect_inc]]</f>
        <v>40</v>
      </c>
      <c r="I26" s="9" t="n">
        <f aca="false">Tabla3510813153424[[#This Row],[Correctos]]/Tabla3510813153424[[#This Row],[total_sec]]</f>
        <v>0.74025974025974</v>
      </c>
      <c r="J26" s="9" t="n">
        <f aca="false">Tabla3510813153424[[#This Row],[efec_cor]]/Tabla3510813153424[[#This Row],[efec]]</f>
        <v>0.657894736842105</v>
      </c>
      <c r="K26" s="9" t="n">
        <f aca="false">Tabla3510813153424[[#This Row],[efect_inc]]/Tabla3510813153424[[#This Row],[efec]]</f>
        <v>0.342105263157895</v>
      </c>
      <c r="L26" s="9" t="n">
        <f aca="false">Tabla3510813153424[[#This Row],[no_efec_cor]]/Tabla3510813153424[[#This Row],[no_efe]]</f>
        <v>0.82051282051282</v>
      </c>
      <c r="M26" s="9" t="n">
        <f aca="false">Tabla3510813153424[[#This Row],[no_efec_inc]]/Tabla3510813153424[[#This Row],[no_efe]]</f>
        <v>0.179487179487179</v>
      </c>
      <c r="N26" s="9" t="n">
        <f aca="false">(Tabla3510813153424[[#This Row],[% efe_cor]]+Tabla3510813153424[[#This Row],[% no_efe_cor]])/2</f>
        <v>0.739203778677463</v>
      </c>
      <c r="O26" s="10" t="n">
        <f aca="false">(Tabla3510813153424[[#This Row],[% efe_inc]]+Tabla3510813153424[[#This Row],[% no_efect_inc]])/2</f>
        <v>0.260796221322537</v>
      </c>
      <c r="P26" s="11" t="n">
        <f aca="false">Tabla3510813153424[[#This Row],[no_efec_cor]]/(Tabla3510813153424[[#This Row],[efect_inc]]+Tabla3510813153424[[#This Row],[no_efec_cor]])</f>
        <v>0.711111111111111</v>
      </c>
      <c r="Q26" s="11" t="n">
        <f aca="false">Tabla3510813153424[[#This Row],[efec_cor]]/(Tabla3510813153424[[#This Row],[efec_cor]]+Tabla3510813153424[[#This Row],[no_efec_inc]])</f>
        <v>0.78125</v>
      </c>
      <c r="R26" s="11" t="n">
        <f aca="false">(Tabla3510813153424[[#This Row],[PNE]]+Tabla3510813153424[[#This Row],[PE]])/2</f>
        <v>0.746180555555556</v>
      </c>
      <c r="S26" s="0" t="n">
        <v>76</v>
      </c>
      <c r="T26" s="0" t="n">
        <v>78</v>
      </c>
      <c r="U26" s="0" t="n">
        <f aca="false">Tabla3510813153424[[#This Row],[efec]]+Tabla3510813153424[[#This Row],[no_efe]]</f>
        <v>154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65</v>
      </c>
      <c r="D27" s="0" t="n">
        <v>13</v>
      </c>
      <c r="E27" s="0" t="n">
        <v>63</v>
      </c>
      <c r="F27" s="0" t="n">
        <v>13</v>
      </c>
      <c r="G27" s="0" t="n">
        <f aca="false">Tabla3510813153424[[#This Row],[no_efec_cor]]+Tabla3510813153424[[#This Row],[efec_cor]]</f>
        <v>128</v>
      </c>
      <c r="H27" s="0" t="n">
        <f aca="false">Tabla3510813153424[[#This Row],[no_efec_inc]]+Tabla3510813153424[[#This Row],[efect_inc]]</f>
        <v>26</v>
      </c>
      <c r="I27" s="9" t="n">
        <f aca="false">Tabla3510813153424[[#This Row],[Correctos]]/Tabla3510813153424[[#This Row],[total_sec]]</f>
        <v>0.831168831168831</v>
      </c>
      <c r="J27" s="9" t="n">
        <f aca="false">Tabla3510813153424[[#This Row],[efec_cor]]/Tabla3510813153424[[#This Row],[efec]]</f>
        <v>0.828947368421053</v>
      </c>
      <c r="K27" s="9" t="n">
        <f aca="false">Tabla3510813153424[[#This Row],[efect_inc]]/Tabla3510813153424[[#This Row],[efec]]</f>
        <v>0.171052631578947</v>
      </c>
      <c r="L27" s="9" t="n">
        <f aca="false">Tabla3510813153424[[#This Row],[no_efec_cor]]/Tabla3510813153424[[#This Row],[no_efe]]</f>
        <v>0.833333333333333</v>
      </c>
      <c r="M27" s="9" t="n">
        <f aca="false">Tabla3510813153424[[#This Row],[no_efec_inc]]/Tabla3510813153424[[#This Row],[no_efe]]</f>
        <v>0.166666666666667</v>
      </c>
      <c r="N27" s="9" t="n">
        <f aca="false">(Tabla3510813153424[[#This Row],[% efe_cor]]+Tabla3510813153424[[#This Row],[% no_efe_cor]])/2</f>
        <v>0.831140350877193</v>
      </c>
      <c r="O27" s="10" t="n">
        <f aca="false">(Tabla3510813153424[[#This Row],[% efe_inc]]+Tabla3510813153424[[#This Row],[% no_efect_inc]])/2</f>
        <v>0.168859649122807</v>
      </c>
      <c r="P27" s="11" t="n">
        <f aca="false">Tabla3510813153424[[#This Row],[no_efec_cor]]/(Tabla3510813153424[[#This Row],[efect_inc]]+Tabla3510813153424[[#This Row],[no_efec_cor]])</f>
        <v>0.833333333333333</v>
      </c>
      <c r="Q27" s="11" t="n">
        <f aca="false">Tabla3510813153424[[#This Row],[efec_cor]]/(Tabla3510813153424[[#This Row],[efec_cor]]+Tabla3510813153424[[#This Row],[no_efec_inc]])</f>
        <v>0.828947368421053</v>
      </c>
      <c r="R27" s="11" t="n">
        <f aca="false">(Tabla3510813153424[[#This Row],[PNE]]+Tabla3510813153424[[#This Row],[PE]])/2</f>
        <v>0.831140350877193</v>
      </c>
      <c r="S27" s="0" t="n">
        <v>76</v>
      </c>
      <c r="T27" s="0" t="n">
        <v>78</v>
      </c>
      <c r="U27" s="0" t="n">
        <f aca="false">Tabla3510813153424[[#This Row],[efec]]+Tabla3510813153424[[#This Row],[no_efe]]</f>
        <v>154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68</v>
      </c>
      <c r="D28" s="0" t="n">
        <v>10</v>
      </c>
      <c r="E28" s="0" t="n">
        <v>58</v>
      </c>
      <c r="F28" s="0" t="n">
        <v>18</v>
      </c>
      <c r="G28" s="0" t="n">
        <f aca="false">Tabla3510813153424[[#This Row],[no_efec_cor]]+Tabla3510813153424[[#This Row],[efec_cor]]</f>
        <v>126</v>
      </c>
      <c r="H28" s="0" t="n">
        <f aca="false">Tabla3510813153424[[#This Row],[no_efec_inc]]+Tabla3510813153424[[#This Row],[efect_inc]]</f>
        <v>28</v>
      </c>
      <c r="I28" s="9" t="n">
        <f aca="false">Tabla3510813153424[[#This Row],[Correctos]]/Tabla3510813153424[[#This Row],[total_sec]]</f>
        <v>0.818181818181818</v>
      </c>
      <c r="J28" s="9" t="n">
        <f aca="false">Tabla3510813153424[[#This Row],[efec_cor]]/Tabla3510813153424[[#This Row],[efec]]</f>
        <v>0.763157894736842</v>
      </c>
      <c r="K28" s="9" t="n">
        <f aca="false">Tabla3510813153424[[#This Row],[efect_inc]]/Tabla3510813153424[[#This Row],[efec]]</f>
        <v>0.236842105263158</v>
      </c>
      <c r="L28" s="9" t="n">
        <f aca="false">Tabla3510813153424[[#This Row],[no_efec_cor]]/Tabla3510813153424[[#This Row],[no_efe]]</f>
        <v>0.871794871794872</v>
      </c>
      <c r="M28" s="9" t="n">
        <f aca="false">Tabla3510813153424[[#This Row],[no_efec_inc]]/Tabla3510813153424[[#This Row],[no_efe]]</f>
        <v>0.128205128205128</v>
      </c>
      <c r="N28" s="9" t="n">
        <f aca="false">(Tabla3510813153424[[#This Row],[% efe_cor]]+Tabla3510813153424[[#This Row],[% no_efe_cor]])/2</f>
        <v>0.817476383265857</v>
      </c>
      <c r="O28" s="10" t="n">
        <f aca="false">(Tabla3510813153424[[#This Row],[% efe_inc]]+Tabla3510813153424[[#This Row],[% no_efect_inc]])/2</f>
        <v>0.182523616734143</v>
      </c>
      <c r="P28" s="11" t="n">
        <f aca="false">Tabla3510813153424[[#This Row],[no_efec_cor]]/(Tabla3510813153424[[#This Row],[efect_inc]]+Tabla3510813153424[[#This Row],[no_efec_cor]])</f>
        <v>0.790697674418605</v>
      </c>
      <c r="Q28" s="11" t="n">
        <f aca="false">Tabla3510813153424[[#This Row],[efec_cor]]/(Tabla3510813153424[[#This Row],[efec_cor]]+Tabla3510813153424[[#This Row],[no_efec_inc]])</f>
        <v>0.852941176470588</v>
      </c>
      <c r="R28" s="11" t="n">
        <f aca="false">(Tabla3510813153424[[#This Row],[PNE]]+Tabla3510813153424[[#This Row],[PE]])/2</f>
        <v>0.821819425444596</v>
      </c>
      <c r="S28" s="0" t="n">
        <v>76</v>
      </c>
      <c r="T28" s="0" t="n">
        <v>78</v>
      </c>
      <c r="U28" s="0" t="n">
        <f aca="false">Tabla3510813153424[[#This Row],[efec]]+Tabla3510813153424[[#This Row],[no_efe]]</f>
        <v>154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69</v>
      </c>
      <c r="D29" s="0" t="n">
        <v>9</v>
      </c>
      <c r="E29" s="0" t="n">
        <v>46</v>
      </c>
      <c r="F29" s="0" t="n">
        <v>30</v>
      </c>
      <c r="G29" s="0" t="n">
        <f aca="false">Tabla3510813153424[[#This Row],[no_efec_cor]]+Tabla3510813153424[[#This Row],[efec_cor]]</f>
        <v>115</v>
      </c>
      <c r="H29" s="0" t="n">
        <f aca="false">Tabla3510813153424[[#This Row],[no_efec_inc]]+Tabla3510813153424[[#This Row],[efect_inc]]</f>
        <v>39</v>
      </c>
      <c r="I29" s="9" t="n">
        <f aca="false">Tabla3510813153424[[#This Row],[Correctos]]/Tabla3510813153424[[#This Row],[total_sec]]</f>
        <v>0.746753246753247</v>
      </c>
      <c r="J29" s="9" t="n">
        <f aca="false">Tabla3510813153424[[#This Row],[efec_cor]]/Tabla3510813153424[[#This Row],[efec]]</f>
        <v>0.605263157894737</v>
      </c>
      <c r="K29" s="9" t="n">
        <f aca="false">Tabla3510813153424[[#This Row],[efect_inc]]/Tabla3510813153424[[#This Row],[efec]]</f>
        <v>0.394736842105263</v>
      </c>
      <c r="L29" s="9" t="n">
        <f aca="false">Tabla3510813153424[[#This Row],[no_efec_cor]]/Tabla3510813153424[[#This Row],[no_efe]]</f>
        <v>0.884615384615385</v>
      </c>
      <c r="M29" s="9" t="n">
        <f aca="false">Tabla3510813153424[[#This Row],[no_efec_inc]]/Tabla3510813153424[[#This Row],[no_efe]]</f>
        <v>0.115384615384615</v>
      </c>
      <c r="N29" s="9" t="n">
        <f aca="false">(Tabla3510813153424[[#This Row],[% efe_cor]]+Tabla3510813153424[[#This Row],[% no_efe_cor]])/2</f>
        <v>0.744939271255061</v>
      </c>
      <c r="O29" s="10" t="n">
        <f aca="false">(Tabla3510813153424[[#This Row],[% efe_inc]]+Tabla3510813153424[[#This Row],[% no_efect_inc]])/2</f>
        <v>0.255060728744939</v>
      </c>
      <c r="P29" s="11" t="n">
        <f aca="false">Tabla3510813153424[[#This Row],[no_efec_cor]]/(Tabla3510813153424[[#This Row],[efect_inc]]+Tabla3510813153424[[#This Row],[no_efec_cor]])</f>
        <v>0.696969696969697</v>
      </c>
      <c r="Q29" s="11" t="n">
        <f aca="false">Tabla3510813153424[[#This Row],[efec_cor]]/(Tabla3510813153424[[#This Row],[efec_cor]]+Tabla3510813153424[[#This Row],[no_efec_inc]])</f>
        <v>0.836363636363636</v>
      </c>
      <c r="R29" s="11" t="n">
        <f aca="false">(Tabla3510813153424[[#This Row],[PNE]]+Tabla3510813153424[[#This Row],[PE]])/2</f>
        <v>0.766666666666667</v>
      </c>
      <c r="S29" s="0" t="n">
        <v>76</v>
      </c>
      <c r="T29" s="0" t="n">
        <v>78</v>
      </c>
      <c r="U29" s="0" t="n">
        <f aca="false">Tabla3510813153424[[#This Row],[efec]]+Tabla3510813153424[[#This Row],[no_efe]]</f>
        <v>154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75</v>
      </c>
      <c r="D30" s="0" t="n">
        <v>3</v>
      </c>
      <c r="E30" s="0" t="n">
        <v>41</v>
      </c>
      <c r="F30" s="0" t="n">
        <v>35</v>
      </c>
      <c r="G30" s="0" t="n">
        <f aca="false">Tabla3510813153424[[#This Row],[no_efec_cor]]+Tabla3510813153424[[#This Row],[efec_cor]]</f>
        <v>116</v>
      </c>
      <c r="H30" s="0" t="n">
        <f aca="false">Tabla3510813153424[[#This Row],[no_efec_inc]]+Tabla3510813153424[[#This Row],[efect_inc]]</f>
        <v>38</v>
      </c>
      <c r="I30" s="9" t="n">
        <f aca="false">Tabla3510813153424[[#This Row],[Correctos]]/Tabla3510813153424[[#This Row],[total_sec]]</f>
        <v>0.753246753246753</v>
      </c>
      <c r="J30" s="9" t="n">
        <f aca="false">Tabla3510813153424[[#This Row],[efec_cor]]/Tabla3510813153424[[#This Row],[efec]]</f>
        <v>0.539473684210526</v>
      </c>
      <c r="K30" s="9" t="n">
        <f aca="false">Tabla3510813153424[[#This Row],[efect_inc]]/Tabla3510813153424[[#This Row],[efec]]</f>
        <v>0.460526315789474</v>
      </c>
      <c r="L30" s="9" t="n">
        <f aca="false">Tabla3510813153424[[#This Row],[no_efec_cor]]/Tabla3510813153424[[#This Row],[no_efe]]</f>
        <v>0.961538461538462</v>
      </c>
      <c r="M30" s="9" t="n">
        <f aca="false">Tabla3510813153424[[#This Row],[no_efec_inc]]/Tabla3510813153424[[#This Row],[no_efe]]</f>
        <v>0.0384615384615385</v>
      </c>
      <c r="N30" s="9" t="n">
        <f aca="false">(Tabla3510813153424[[#This Row],[% efe_cor]]+Tabla3510813153424[[#This Row],[% no_efe_cor]])/2</f>
        <v>0.750506072874494</v>
      </c>
      <c r="O30" s="10" t="n">
        <f aca="false">(Tabla3510813153424[[#This Row],[% efe_inc]]+Tabla3510813153424[[#This Row],[% no_efect_inc]])/2</f>
        <v>0.249493927125506</v>
      </c>
      <c r="P30" s="11" t="n">
        <f aca="false">Tabla3510813153424[[#This Row],[no_efec_cor]]/(Tabla3510813153424[[#This Row],[efect_inc]]+Tabla3510813153424[[#This Row],[no_efec_cor]])</f>
        <v>0.681818181818182</v>
      </c>
      <c r="Q30" s="11" t="n">
        <f aca="false">Tabla3510813153424[[#This Row],[efec_cor]]/(Tabla3510813153424[[#This Row],[efec_cor]]+Tabla3510813153424[[#This Row],[no_efec_inc]])</f>
        <v>0.931818181818182</v>
      </c>
      <c r="R30" s="11" t="n">
        <f aca="false">(Tabla3510813153424[[#This Row],[PNE]]+Tabla3510813153424[[#This Row],[PE]])/2</f>
        <v>0.806818181818182</v>
      </c>
      <c r="S30" s="0" t="n">
        <v>76</v>
      </c>
      <c r="T30" s="0" t="n">
        <v>78</v>
      </c>
      <c r="U30" s="0" t="n">
        <f aca="false">Tabla3510813153424[[#This Row],[efec]]+Tabla3510813153424[[#This Row],[no_efe]]</f>
        <v>154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76</v>
      </c>
      <c r="D31" s="0" t="n">
        <v>2</v>
      </c>
      <c r="E31" s="0" t="n">
        <v>36</v>
      </c>
      <c r="F31" s="0" t="n">
        <v>40</v>
      </c>
      <c r="G31" s="0" t="n">
        <f aca="false">Tabla3510813153424[[#This Row],[no_efec_cor]]+Tabla3510813153424[[#This Row],[efec_cor]]</f>
        <v>112</v>
      </c>
      <c r="H31" s="0" t="n">
        <f aca="false">Tabla3510813153424[[#This Row],[no_efec_inc]]+Tabla3510813153424[[#This Row],[efect_inc]]</f>
        <v>42</v>
      </c>
      <c r="I31" s="9" t="n">
        <f aca="false">Tabla3510813153424[[#This Row],[Correctos]]/Tabla3510813153424[[#This Row],[total_sec]]</f>
        <v>0.727272727272727</v>
      </c>
      <c r="J31" s="9" t="n">
        <f aca="false">Tabla3510813153424[[#This Row],[efec_cor]]/Tabla3510813153424[[#This Row],[efec]]</f>
        <v>0.473684210526316</v>
      </c>
      <c r="K31" s="9" t="n">
        <f aca="false">Tabla3510813153424[[#This Row],[efect_inc]]/Tabla3510813153424[[#This Row],[efec]]</f>
        <v>0.526315789473684</v>
      </c>
      <c r="L31" s="9" t="n">
        <f aca="false">Tabla3510813153424[[#This Row],[no_efec_cor]]/Tabla3510813153424[[#This Row],[no_efe]]</f>
        <v>0.974358974358974</v>
      </c>
      <c r="M31" s="9" t="n">
        <f aca="false">Tabla3510813153424[[#This Row],[no_efec_inc]]/Tabla3510813153424[[#This Row],[no_efe]]</f>
        <v>0.0256410256410256</v>
      </c>
      <c r="N31" s="9" t="n">
        <f aca="false">(Tabla3510813153424[[#This Row],[% efe_cor]]+Tabla3510813153424[[#This Row],[% no_efe_cor]])/2</f>
        <v>0.724021592442645</v>
      </c>
      <c r="O31" s="10" t="n">
        <f aca="false">(Tabla3510813153424[[#This Row],[% efe_inc]]+Tabla3510813153424[[#This Row],[% no_efect_inc]])/2</f>
        <v>0.275978407557355</v>
      </c>
      <c r="P31" s="11" t="n">
        <f aca="false">Tabla3510813153424[[#This Row],[no_efec_cor]]/(Tabla3510813153424[[#This Row],[efect_inc]]+Tabla3510813153424[[#This Row],[no_efec_cor]])</f>
        <v>0.655172413793103</v>
      </c>
      <c r="Q31" s="11" t="n">
        <f aca="false">Tabla3510813153424[[#This Row],[efec_cor]]/(Tabla3510813153424[[#This Row],[efec_cor]]+Tabla3510813153424[[#This Row],[no_efec_inc]])</f>
        <v>0.947368421052632</v>
      </c>
      <c r="R31" s="11" t="n">
        <f aca="false">(Tabla3510813153424[[#This Row],[PNE]]+Tabla3510813153424[[#This Row],[PE]])/2</f>
        <v>0.801270417422868</v>
      </c>
      <c r="S31" s="0" t="n">
        <v>76</v>
      </c>
      <c r="T31" s="0" t="n">
        <v>78</v>
      </c>
      <c r="U31" s="0" t="n">
        <f aca="false">Tabla3510813153424[[#This Row],[efec]]+Tabla3510813153424[[#This Row],[no_efe]]</f>
        <v>154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78</v>
      </c>
      <c r="D32" s="0" t="n">
        <v>0</v>
      </c>
      <c r="E32" s="0" t="n">
        <v>31</v>
      </c>
      <c r="F32" s="0" t="n">
        <v>45</v>
      </c>
      <c r="G32" s="0" t="n">
        <f aca="false">Tabla3510813153424[[#This Row],[no_efec_cor]]+Tabla3510813153424[[#This Row],[efec_cor]]</f>
        <v>109</v>
      </c>
      <c r="H32" s="0" t="n">
        <f aca="false">Tabla3510813153424[[#This Row],[no_efec_inc]]+Tabla3510813153424[[#This Row],[efect_inc]]</f>
        <v>45</v>
      </c>
      <c r="I32" s="9" t="n">
        <f aca="false">Tabla3510813153424[[#This Row],[Correctos]]/Tabla3510813153424[[#This Row],[total_sec]]</f>
        <v>0.707792207792208</v>
      </c>
      <c r="J32" s="9" t="n">
        <f aca="false">Tabla3510813153424[[#This Row],[efec_cor]]/Tabla3510813153424[[#This Row],[efec]]</f>
        <v>0.407894736842105</v>
      </c>
      <c r="K32" s="9" t="n">
        <f aca="false">Tabla3510813153424[[#This Row],[efect_inc]]/Tabla3510813153424[[#This Row],[efec]]</f>
        <v>0.592105263157895</v>
      </c>
      <c r="L32" s="9" t="n">
        <f aca="false">Tabla3510813153424[[#This Row],[no_efec_cor]]/Tabla3510813153424[[#This Row],[no_efe]]</f>
        <v>1</v>
      </c>
      <c r="M32" s="9" t="n">
        <f aca="false">Tabla3510813153424[[#This Row],[no_efec_inc]]/Tabla3510813153424[[#This Row],[no_efe]]</f>
        <v>0</v>
      </c>
      <c r="N32" s="9" t="n">
        <f aca="false">(Tabla3510813153424[[#This Row],[% efe_cor]]+Tabla3510813153424[[#This Row],[% no_efe_cor]])/2</f>
        <v>0.703947368421053</v>
      </c>
      <c r="O32" s="10" t="n">
        <f aca="false">(Tabla3510813153424[[#This Row],[% efe_inc]]+Tabla3510813153424[[#This Row],[% no_efect_inc]])/2</f>
        <v>0.296052631578947</v>
      </c>
      <c r="P32" s="11" t="n">
        <f aca="false">Tabla3510813153424[[#This Row],[no_efec_cor]]/(Tabla3510813153424[[#This Row],[efect_inc]]+Tabla3510813153424[[#This Row],[no_efec_cor]])</f>
        <v>0.634146341463415</v>
      </c>
      <c r="Q32" s="11" t="n">
        <f aca="false">Tabla3510813153424[[#This Row],[efec_cor]]/(Tabla3510813153424[[#This Row],[efec_cor]]+Tabla3510813153424[[#This Row],[no_efec_inc]])</f>
        <v>1</v>
      </c>
      <c r="R32" s="11" t="n">
        <f aca="false">(Tabla3510813153424[[#This Row],[PNE]]+Tabla3510813153424[[#This Row],[PE]])/2</f>
        <v>0.817073170731707</v>
      </c>
      <c r="S32" s="0" t="n">
        <v>76</v>
      </c>
      <c r="T32" s="0" t="n">
        <v>78</v>
      </c>
      <c r="U32" s="0" t="n">
        <f aca="false">Tabla3510813153424[[#This Row],[efec]]+Tabla3510813153424[[#This Row],[no_efe]]</f>
        <v>154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70</v>
      </c>
      <c r="D33" s="0" t="n">
        <v>8</v>
      </c>
      <c r="E33" s="0" t="n">
        <v>61</v>
      </c>
      <c r="F33" s="0" t="n">
        <v>15</v>
      </c>
      <c r="G33" s="0" t="n">
        <f aca="false">Tabla3510813153424[[#This Row],[no_efec_cor]]+Tabla3510813153424[[#This Row],[efec_cor]]</f>
        <v>131</v>
      </c>
      <c r="H33" s="0" t="n">
        <f aca="false">Tabla3510813153424[[#This Row],[no_efec_inc]]+Tabla3510813153424[[#This Row],[efect_inc]]</f>
        <v>23</v>
      </c>
      <c r="I33" s="9" t="n">
        <f aca="false">Tabla3510813153424[[#This Row],[Correctos]]/Tabla3510813153424[[#This Row],[total_sec]]</f>
        <v>0.850649350649351</v>
      </c>
      <c r="J33" s="9" t="n">
        <f aca="false">Tabla3510813153424[[#This Row],[efec_cor]]/Tabla3510813153424[[#This Row],[efec]]</f>
        <v>0.802631578947369</v>
      </c>
      <c r="K33" s="9" t="n">
        <f aca="false">Tabla3510813153424[[#This Row],[efect_inc]]/Tabla3510813153424[[#This Row],[efec]]</f>
        <v>0.197368421052632</v>
      </c>
      <c r="L33" s="9" t="n">
        <f aca="false">Tabla3510813153424[[#This Row],[no_efec_cor]]/Tabla3510813153424[[#This Row],[no_efe]]</f>
        <v>0.897435897435897</v>
      </c>
      <c r="M33" s="9" t="n">
        <f aca="false">Tabla3510813153424[[#This Row],[no_efec_inc]]/Tabla3510813153424[[#This Row],[no_efe]]</f>
        <v>0.102564102564103</v>
      </c>
      <c r="N33" s="9" t="n">
        <f aca="false">(Tabla3510813153424[[#This Row],[% efe_cor]]+Tabla3510813153424[[#This Row],[% no_efe_cor]])/2</f>
        <v>0.850033738191633</v>
      </c>
      <c r="O33" s="10" t="n">
        <f aca="false">(Tabla3510813153424[[#This Row],[% efe_inc]]+Tabla3510813153424[[#This Row],[% no_efect_inc]])/2</f>
        <v>0.149966261808367</v>
      </c>
      <c r="P33" s="11" t="n">
        <f aca="false">Tabla3510813153424[[#This Row],[no_efec_cor]]/(Tabla3510813153424[[#This Row],[efect_inc]]+Tabla3510813153424[[#This Row],[no_efec_cor]])</f>
        <v>0.823529411764706</v>
      </c>
      <c r="Q33" s="11" t="n">
        <f aca="false">Tabla3510813153424[[#This Row],[efec_cor]]/(Tabla3510813153424[[#This Row],[efec_cor]]+Tabla3510813153424[[#This Row],[no_efec_inc]])</f>
        <v>0.884057971014493</v>
      </c>
      <c r="R33" s="11" t="n">
        <f aca="false">(Tabla3510813153424[[#This Row],[PNE]]+Tabla3510813153424[[#This Row],[PE]])/2</f>
        <v>0.853793691389599</v>
      </c>
      <c r="S33" s="0" t="n">
        <v>76</v>
      </c>
      <c r="T33" s="0" t="n">
        <v>78</v>
      </c>
      <c r="U33" s="0" t="n">
        <f aca="false">Tabla3510813153424[[#This Row],[efec]]+Tabla3510813153424[[#This Row],[no_efe]]</f>
        <v>154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70</v>
      </c>
      <c r="D34" s="0" t="n">
        <v>8</v>
      </c>
      <c r="E34" s="0" t="n">
        <v>62</v>
      </c>
      <c r="F34" s="0" t="n">
        <v>14</v>
      </c>
      <c r="G34" s="0" t="n">
        <f aca="false">Tabla3510813153424[[#This Row],[no_efec_cor]]+Tabla3510813153424[[#This Row],[efec_cor]]</f>
        <v>132</v>
      </c>
      <c r="H34" s="0" t="n">
        <f aca="false">Tabla3510813153424[[#This Row],[no_efec_inc]]+Tabla3510813153424[[#This Row],[efect_inc]]</f>
        <v>22</v>
      </c>
      <c r="I34" s="9" t="n">
        <f aca="false">Tabla3510813153424[[#This Row],[Correctos]]/Tabla3510813153424[[#This Row],[total_sec]]</f>
        <v>0.857142857142857</v>
      </c>
      <c r="J34" s="9" t="n">
        <f aca="false">Tabla3510813153424[[#This Row],[efec_cor]]/Tabla3510813153424[[#This Row],[efec]]</f>
        <v>0.81578947368421</v>
      </c>
      <c r="K34" s="9" t="n">
        <f aca="false">Tabla3510813153424[[#This Row],[efect_inc]]/Tabla3510813153424[[#This Row],[efec]]</f>
        <v>0.184210526315789</v>
      </c>
      <c r="L34" s="9" t="n">
        <f aca="false">Tabla3510813153424[[#This Row],[no_efec_cor]]/Tabla3510813153424[[#This Row],[no_efe]]</f>
        <v>0.897435897435897</v>
      </c>
      <c r="M34" s="9" t="n">
        <f aca="false">Tabla3510813153424[[#This Row],[no_efec_inc]]/Tabla3510813153424[[#This Row],[no_efe]]</f>
        <v>0.102564102564103</v>
      </c>
      <c r="N34" s="9" t="n">
        <f aca="false">(Tabla3510813153424[[#This Row],[% efe_cor]]+Tabla3510813153424[[#This Row],[% no_efe_cor]])/2</f>
        <v>0.856612685560054</v>
      </c>
      <c r="O34" s="10" t="n">
        <f aca="false">(Tabla3510813153424[[#This Row],[% efe_inc]]+Tabla3510813153424[[#This Row],[% no_efect_inc]])/2</f>
        <v>0.143387314439946</v>
      </c>
      <c r="P34" s="11" t="n">
        <f aca="false">Tabla3510813153424[[#This Row],[no_efec_cor]]/(Tabla3510813153424[[#This Row],[efect_inc]]+Tabla3510813153424[[#This Row],[no_efec_cor]])</f>
        <v>0.833333333333333</v>
      </c>
      <c r="Q34" s="11" t="n">
        <f aca="false">Tabla3510813153424[[#This Row],[efec_cor]]/(Tabla3510813153424[[#This Row],[efec_cor]]+Tabla3510813153424[[#This Row],[no_efec_inc]])</f>
        <v>0.885714285714286</v>
      </c>
      <c r="R34" s="11" t="n">
        <f aca="false">(Tabla3510813153424[[#This Row],[PNE]]+Tabla3510813153424[[#This Row],[PE]])/2</f>
        <v>0.85952380952381</v>
      </c>
      <c r="S34" s="0" t="n">
        <v>76</v>
      </c>
      <c r="T34" s="0" t="n">
        <v>78</v>
      </c>
      <c r="U34" s="0" t="n">
        <f aca="false">Tabla3510813153424[[#This Row],[efec]]+Tabla3510813153424[[#This Row],[no_efe]]</f>
        <v>154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70</v>
      </c>
      <c r="D35" s="0" t="n">
        <v>8</v>
      </c>
      <c r="E35" s="0" t="n">
        <v>61</v>
      </c>
      <c r="F35" s="0" t="n">
        <v>15</v>
      </c>
      <c r="G35" s="0" t="n">
        <f aca="false">Tabla3510813153424[[#This Row],[no_efec_cor]]+Tabla3510813153424[[#This Row],[efec_cor]]</f>
        <v>131</v>
      </c>
      <c r="H35" s="0" t="n">
        <f aca="false">Tabla3510813153424[[#This Row],[no_efec_inc]]+Tabla3510813153424[[#This Row],[efect_inc]]</f>
        <v>23</v>
      </c>
      <c r="I35" s="9" t="n">
        <f aca="false">Tabla3510813153424[[#This Row],[Correctos]]/Tabla3510813153424[[#This Row],[total_sec]]</f>
        <v>0.850649350649351</v>
      </c>
      <c r="J35" s="9" t="n">
        <f aca="false">Tabla3510813153424[[#This Row],[efec_cor]]/Tabla3510813153424[[#This Row],[efec]]</f>
        <v>0.802631578947369</v>
      </c>
      <c r="K35" s="9" t="n">
        <f aca="false">Tabla3510813153424[[#This Row],[efect_inc]]/Tabla3510813153424[[#This Row],[efec]]</f>
        <v>0.197368421052632</v>
      </c>
      <c r="L35" s="9" t="n">
        <f aca="false">Tabla3510813153424[[#This Row],[no_efec_cor]]/Tabla3510813153424[[#This Row],[no_efe]]</f>
        <v>0.897435897435897</v>
      </c>
      <c r="M35" s="9" t="n">
        <f aca="false">Tabla3510813153424[[#This Row],[no_efec_inc]]/Tabla3510813153424[[#This Row],[no_efe]]</f>
        <v>0.102564102564103</v>
      </c>
      <c r="N35" s="9" t="n">
        <f aca="false">(Tabla3510813153424[[#This Row],[% efe_cor]]+Tabla3510813153424[[#This Row],[% no_efe_cor]])/2</f>
        <v>0.850033738191633</v>
      </c>
      <c r="O35" s="10" t="n">
        <f aca="false">(Tabla3510813153424[[#This Row],[% efe_inc]]+Tabla3510813153424[[#This Row],[% no_efect_inc]])/2</f>
        <v>0.149966261808367</v>
      </c>
      <c r="P35" s="11" t="n">
        <f aca="false">Tabla3510813153424[[#This Row],[no_efec_cor]]/(Tabla3510813153424[[#This Row],[efect_inc]]+Tabla3510813153424[[#This Row],[no_efec_cor]])</f>
        <v>0.823529411764706</v>
      </c>
      <c r="Q35" s="11" t="n">
        <f aca="false">Tabla3510813153424[[#This Row],[efec_cor]]/(Tabla3510813153424[[#This Row],[efec_cor]]+Tabla3510813153424[[#This Row],[no_efec_inc]])</f>
        <v>0.884057971014493</v>
      </c>
      <c r="R35" s="11" t="n">
        <f aca="false">(Tabla3510813153424[[#This Row],[PNE]]+Tabla3510813153424[[#This Row],[PE]])/2</f>
        <v>0.853793691389599</v>
      </c>
      <c r="S35" s="0" t="n">
        <v>76</v>
      </c>
      <c r="T35" s="0" t="n">
        <v>78</v>
      </c>
      <c r="U35" s="0" t="n">
        <f aca="false">Tabla3510813153424[[#This Row],[efec]]+Tabla3510813153424[[#This Row],[no_efe]]</f>
        <v>154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70</v>
      </c>
      <c r="D36" s="0" t="n">
        <v>8</v>
      </c>
      <c r="E36" s="0" t="n">
        <v>52</v>
      </c>
      <c r="F36" s="0" t="n">
        <v>24</v>
      </c>
      <c r="G36" s="0" t="n">
        <f aca="false">Tabla3510813153424[[#This Row],[no_efec_cor]]+Tabla3510813153424[[#This Row],[efec_cor]]</f>
        <v>122</v>
      </c>
      <c r="H36" s="0" t="n">
        <f aca="false">Tabla3510813153424[[#This Row],[no_efec_inc]]+Tabla3510813153424[[#This Row],[efect_inc]]</f>
        <v>32</v>
      </c>
      <c r="I36" s="9" t="n">
        <f aca="false">Tabla3510813153424[[#This Row],[Correctos]]/Tabla3510813153424[[#This Row],[total_sec]]</f>
        <v>0.792207792207792</v>
      </c>
      <c r="J36" s="9" t="n">
        <f aca="false">Tabla3510813153424[[#This Row],[efec_cor]]/Tabla3510813153424[[#This Row],[efec]]</f>
        <v>0.68421052631579</v>
      </c>
      <c r="K36" s="9" t="n">
        <f aca="false">Tabla3510813153424[[#This Row],[efect_inc]]/Tabla3510813153424[[#This Row],[efec]]</f>
        <v>0.31578947368421</v>
      </c>
      <c r="L36" s="9" t="n">
        <f aca="false">Tabla3510813153424[[#This Row],[no_efec_cor]]/Tabla3510813153424[[#This Row],[no_efe]]</f>
        <v>0.897435897435897</v>
      </c>
      <c r="M36" s="9" t="n">
        <f aca="false">Tabla3510813153424[[#This Row],[no_efec_inc]]/Tabla3510813153424[[#This Row],[no_efe]]</f>
        <v>0.102564102564103</v>
      </c>
      <c r="N36" s="9" t="n">
        <f aca="false">(Tabla3510813153424[[#This Row],[% efe_cor]]+Tabla3510813153424[[#This Row],[% no_efe_cor]])/2</f>
        <v>0.790823211875843</v>
      </c>
      <c r="O36" s="10" t="n">
        <f aca="false">(Tabla3510813153424[[#This Row],[% efe_inc]]+Tabla3510813153424[[#This Row],[% no_efect_inc]])/2</f>
        <v>0.209176788124156</v>
      </c>
      <c r="P36" s="11" t="n">
        <f aca="false">Tabla3510813153424[[#This Row],[no_efec_cor]]/(Tabla3510813153424[[#This Row],[efect_inc]]+Tabla3510813153424[[#This Row],[no_efec_cor]])</f>
        <v>0.74468085106383</v>
      </c>
      <c r="Q36" s="11" t="n">
        <f aca="false">Tabla3510813153424[[#This Row],[efec_cor]]/(Tabla3510813153424[[#This Row],[efec_cor]]+Tabla3510813153424[[#This Row],[no_efec_inc]])</f>
        <v>0.866666666666667</v>
      </c>
      <c r="R36" s="11" t="n">
        <f aca="false">(Tabla3510813153424[[#This Row],[PNE]]+Tabla3510813153424[[#This Row],[PE]])/2</f>
        <v>0.805673758865248</v>
      </c>
      <c r="S36" s="0" t="n">
        <v>76</v>
      </c>
      <c r="T36" s="0" t="n">
        <v>78</v>
      </c>
      <c r="U36" s="0" t="n">
        <f aca="false">Tabla3510813153424[[#This Row],[efec]]+Tabla3510813153424[[#This Row],[no_efe]]</f>
        <v>154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72</v>
      </c>
      <c r="D37" s="0" t="n">
        <v>6</v>
      </c>
      <c r="E37" s="0" t="n">
        <v>42</v>
      </c>
      <c r="F37" s="0" t="n">
        <v>34</v>
      </c>
      <c r="G37" s="0" t="n">
        <f aca="false">Tabla3510813153424[[#This Row],[no_efec_cor]]+Tabla3510813153424[[#This Row],[efec_cor]]</f>
        <v>114</v>
      </c>
      <c r="H37" s="0" t="n">
        <f aca="false">Tabla3510813153424[[#This Row],[no_efec_inc]]+Tabla3510813153424[[#This Row],[efect_inc]]</f>
        <v>40</v>
      </c>
      <c r="I37" s="9" t="n">
        <f aca="false">Tabla3510813153424[[#This Row],[Correctos]]/Tabla3510813153424[[#This Row],[total_sec]]</f>
        <v>0.74025974025974</v>
      </c>
      <c r="J37" s="9" t="n">
        <f aca="false">Tabla3510813153424[[#This Row],[efec_cor]]/Tabla3510813153424[[#This Row],[efec]]</f>
        <v>0.552631578947368</v>
      </c>
      <c r="K37" s="9" t="n">
        <f aca="false">Tabla3510813153424[[#This Row],[efect_inc]]/Tabla3510813153424[[#This Row],[efec]]</f>
        <v>0.447368421052632</v>
      </c>
      <c r="L37" s="9" t="n">
        <f aca="false">Tabla3510813153424[[#This Row],[no_efec_cor]]/Tabla3510813153424[[#This Row],[no_efe]]</f>
        <v>0.923076923076923</v>
      </c>
      <c r="M37" s="9" t="n">
        <f aca="false">Tabla3510813153424[[#This Row],[no_efec_inc]]/Tabla3510813153424[[#This Row],[no_efe]]</f>
        <v>0.0769230769230769</v>
      </c>
      <c r="N37" s="9" t="n">
        <f aca="false">(Tabla3510813153424[[#This Row],[% efe_cor]]+Tabla3510813153424[[#This Row],[% no_efe_cor]])/2</f>
        <v>0.737854251012146</v>
      </c>
      <c r="O37" s="10" t="n">
        <f aca="false">(Tabla3510813153424[[#This Row],[% efe_inc]]+Tabla3510813153424[[#This Row],[% no_efect_inc]])/2</f>
        <v>0.262145748987854</v>
      </c>
      <c r="P37" s="11" t="n">
        <f aca="false">Tabla3510813153424[[#This Row],[no_efec_cor]]/(Tabla3510813153424[[#This Row],[efect_inc]]+Tabla3510813153424[[#This Row],[no_efec_cor]])</f>
        <v>0.679245283018868</v>
      </c>
      <c r="Q37" s="11" t="n">
        <f aca="false">Tabla3510813153424[[#This Row],[efec_cor]]/(Tabla3510813153424[[#This Row],[efec_cor]]+Tabla3510813153424[[#This Row],[no_efec_inc]])</f>
        <v>0.875</v>
      </c>
      <c r="R37" s="11" t="n">
        <f aca="false">(Tabla3510813153424[[#This Row],[PNE]]+Tabla3510813153424[[#This Row],[PE]])/2</f>
        <v>0.777122641509434</v>
      </c>
      <c r="S37" s="0" t="n">
        <v>76</v>
      </c>
      <c r="T37" s="0" t="n">
        <v>78</v>
      </c>
      <c r="U37" s="0" t="n">
        <f aca="false">Tabla3510813153424[[#This Row],[efec]]+Tabla3510813153424[[#This Row],[no_efe]]</f>
        <v>154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78</v>
      </c>
      <c r="D38" s="0" t="n">
        <v>0</v>
      </c>
      <c r="E38" s="0" t="n">
        <v>0</v>
      </c>
      <c r="F38" s="0" t="n">
        <v>76</v>
      </c>
      <c r="G38" s="0" t="n">
        <f aca="false">Tabla3510813153424[[#This Row],[no_efec_cor]]+Tabla3510813153424[[#This Row],[efec_cor]]</f>
        <v>78</v>
      </c>
      <c r="H38" s="0" t="n">
        <f aca="false">Tabla3510813153424[[#This Row],[no_efec_inc]]+Tabla3510813153424[[#This Row],[efect_inc]]</f>
        <v>76</v>
      </c>
      <c r="I38" s="9" t="n">
        <f aca="false">Tabla3510813153424[[#This Row],[Correctos]]/Tabla3510813153424[[#This Row],[total_sec]]</f>
        <v>0.506493506493506</v>
      </c>
      <c r="J38" s="9" t="n">
        <f aca="false">Tabla3510813153424[[#This Row],[efec_cor]]/Tabla3510813153424[[#This Row],[efec]]</f>
        <v>0</v>
      </c>
      <c r="K38" s="9" t="n">
        <f aca="false">Tabla3510813153424[[#This Row],[efect_inc]]/Tabla3510813153424[[#This Row],[efec]]</f>
        <v>1</v>
      </c>
      <c r="L38" s="9" t="n">
        <f aca="false">Tabla3510813153424[[#This Row],[no_efec_cor]]/Tabla3510813153424[[#This Row],[no_efe]]</f>
        <v>1</v>
      </c>
      <c r="M38" s="9" t="n">
        <f aca="false">Tabla3510813153424[[#This Row],[no_efec_inc]]/Tabla3510813153424[[#This Row],[no_efe]]</f>
        <v>0</v>
      </c>
      <c r="N38" s="9" t="n">
        <f aca="false">(Tabla3510813153424[[#This Row],[% efe_cor]]+Tabla3510813153424[[#This Row],[% no_efe_cor]])/2</f>
        <v>0.5</v>
      </c>
      <c r="O38" s="10" t="n">
        <f aca="false">(Tabla3510813153424[[#This Row],[% efe_inc]]+Tabla3510813153424[[#This Row],[% no_efect_inc]])/2</f>
        <v>0.5</v>
      </c>
      <c r="P38" s="11" t="n">
        <f aca="false">Tabla3510813153424[[#This Row],[no_efec_cor]]/(Tabla3510813153424[[#This Row],[efect_inc]]+Tabla3510813153424[[#This Row],[no_efec_cor]])</f>
        <v>0.506493506493506</v>
      </c>
      <c r="Q38" s="11" t="e">
        <f aca="false">Tabla3510813153424[[#This Row],[efec_cor]]/(Tabla3510813153424[[#This Row],[efec_cor]]+Tabla3510813153424[[#This Row],[no_efec_inc]])</f>
        <v>#DIV/0!</v>
      </c>
      <c r="R38" s="11" t="e">
        <f aca="false">(Tabla3510813153424[[#This Row],[PNE]]+Tabla3510813153424[[#This Row],[PE]])/2</f>
        <v>#DIV/0!</v>
      </c>
      <c r="S38" s="0" t="n">
        <v>76</v>
      </c>
      <c r="T38" s="0" t="n">
        <v>78</v>
      </c>
      <c r="U38" s="0" t="n">
        <f aca="false">Tabla3510813153424[[#This Row],[efec]]+Tabla3510813153424[[#This Row],[no_efe]]</f>
        <v>154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70</v>
      </c>
      <c r="D39" s="0" t="n">
        <v>8</v>
      </c>
      <c r="E39" s="0" t="n">
        <v>51</v>
      </c>
      <c r="F39" s="0" t="n">
        <v>25</v>
      </c>
      <c r="G39" s="0" t="n">
        <f aca="false">Tabla3510813153424[[#This Row],[no_efec_cor]]+Tabla3510813153424[[#This Row],[efec_cor]]</f>
        <v>121</v>
      </c>
      <c r="H39" s="0" t="n">
        <f aca="false">Tabla3510813153424[[#This Row],[no_efec_inc]]+Tabla3510813153424[[#This Row],[efect_inc]]</f>
        <v>33</v>
      </c>
      <c r="I39" s="9" t="n">
        <f aca="false">Tabla3510813153424[[#This Row],[Correctos]]/Tabla3510813153424[[#This Row],[total_sec]]</f>
        <v>0.785714285714286</v>
      </c>
      <c r="J39" s="9" t="n">
        <f aca="false">Tabla3510813153424[[#This Row],[efec_cor]]/Tabla3510813153424[[#This Row],[efec]]</f>
        <v>0.671052631578947</v>
      </c>
      <c r="K39" s="9" t="n">
        <f aca="false">Tabla3510813153424[[#This Row],[efect_inc]]/Tabla3510813153424[[#This Row],[efec]]</f>
        <v>0.328947368421053</v>
      </c>
      <c r="L39" s="9" t="n">
        <f aca="false">Tabla3510813153424[[#This Row],[no_efec_cor]]/Tabla3510813153424[[#This Row],[no_efe]]</f>
        <v>0.897435897435897</v>
      </c>
      <c r="M39" s="9" t="n">
        <f aca="false">Tabla3510813153424[[#This Row],[no_efec_inc]]/Tabla3510813153424[[#This Row],[no_efe]]</f>
        <v>0.102564102564103</v>
      </c>
      <c r="N39" s="9" t="n">
        <f aca="false">(Tabla3510813153424[[#This Row],[% efe_cor]]+Tabla3510813153424[[#This Row],[% no_efe_cor]])/2</f>
        <v>0.784244264507422</v>
      </c>
      <c r="O39" s="10" t="n">
        <f aca="false">(Tabla3510813153424[[#This Row],[% efe_inc]]+Tabla3510813153424[[#This Row],[% no_efect_inc]])/2</f>
        <v>0.215755735492578</v>
      </c>
      <c r="P39" s="11" t="n">
        <f aca="false">Tabla3510813153424[[#This Row],[no_efec_cor]]/(Tabla3510813153424[[#This Row],[efect_inc]]+Tabla3510813153424[[#This Row],[no_efec_cor]])</f>
        <v>0.736842105263158</v>
      </c>
      <c r="Q39" s="11" t="n">
        <f aca="false">Tabla3510813153424[[#This Row],[efec_cor]]/(Tabla3510813153424[[#This Row],[efec_cor]]+Tabla3510813153424[[#This Row],[no_efec_inc]])</f>
        <v>0.864406779661017</v>
      </c>
      <c r="R39" s="11" t="n">
        <f aca="false">(Tabla3510813153424[[#This Row],[PNE]]+Tabla3510813153424[[#This Row],[PE]])/2</f>
        <v>0.800624442462087</v>
      </c>
      <c r="S39" s="0" t="n">
        <v>76</v>
      </c>
      <c r="T39" s="0" t="n">
        <v>78</v>
      </c>
      <c r="U39" s="0" t="n">
        <f aca="false">Tabla3510813153424[[#This Row],[efec]]+Tabla3510813153424[[#This Row],[no_efe]]</f>
        <v>154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84</v>
      </c>
    </row>
    <row r="5" customFormat="false" ht="15" hidden="false" customHeight="false" outlineLevel="0" collapsed="false">
      <c r="A5" s="3" t="s">
        <v>3</v>
      </c>
      <c r="B5" s="3"/>
      <c r="C5" s="4" t="n">
        <v>94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178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68</v>
      </c>
      <c r="C10" s="0" t="n">
        <v>26</v>
      </c>
      <c r="D10" s="0" t="n">
        <v>46</v>
      </c>
      <c r="E10" s="0" t="n">
        <v>38</v>
      </c>
      <c r="F10" s="0" t="n">
        <f aca="false">Tabla3510813153420[[#This Row],[no_efec_cor]]+Tabla3510813153420[[#This Row],[efec_cor]]</f>
        <v>114</v>
      </c>
      <c r="G10" s="0" t="n">
        <f aca="false">Tabla3510813153420[[#This Row],[no_efec_inc]]+Tabla3510813153420[[#This Row],[efect_inc]]</f>
        <v>64</v>
      </c>
      <c r="H10" s="9" t="n">
        <f aca="false">Tabla3510813153420[[#This Row],[Correctos]]/Tabla3510813153420[[#This Row],[total_sec]]</f>
        <v>0.640449438202247</v>
      </c>
      <c r="I10" s="9" t="n">
        <f aca="false">Tabla3510813153420[[#This Row],[efec_cor]]/Tabla3510813153420[[#This Row],[efec]]</f>
        <v>0.547619047619048</v>
      </c>
      <c r="J10" s="9" t="n">
        <f aca="false">Tabla3510813153420[[#This Row],[efect_inc]]/Tabla3510813153420[[#This Row],[efec]]</f>
        <v>0.452380952380952</v>
      </c>
      <c r="K10" s="9" t="n">
        <f aca="false">Tabla3510813153420[[#This Row],[no_efec_cor]]/Tabla3510813153420[[#This Row],[no_efe]]</f>
        <v>0.723404255319149</v>
      </c>
      <c r="L10" s="9" t="n">
        <f aca="false">Tabla3510813153420[[#This Row],[no_efec_inc]]/Tabla3510813153420[[#This Row],[no_efe]]</f>
        <v>0.276595744680851</v>
      </c>
      <c r="M10" s="9" t="n">
        <f aca="false">(Tabla3510813153420[[#This Row],[% efe_cor]]+Tabla3510813153420[[#This Row],[% no_efe_cor]])/2</f>
        <v>0.635511651469098</v>
      </c>
      <c r="N10" s="10" t="n">
        <f aca="false">(Tabla3510813153420[[#This Row],[% efe_inc]]+Tabla3510813153420[[#This Row],[% no_efect_inc]])/2</f>
        <v>0.364488348530902</v>
      </c>
      <c r="O10" s="11" t="n">
        <f aca="false">Tabla3510813153420[[#This Row],[no_efec_cor]]/(Tabla3510813153420[[#This Row],[efect_inc]]+Tabla3510813153420[[#This Row],[no_efec_cor]])</f>
        <v>0.641509433962264</v>
      </c>
      <c r="P10" s="11" t="n">
        <f aca="false">Tabla3510813153420[[#This Row],[efec_cor]]/(Tabla3510813153420[[#This Row],[efec_cor]]+Tabla3510813153420[[#This Row],[no_efec_inc]])</f>
        <v>0.638888888888889</v>
      </c>
      <c r="Q10" s="11" t="n">
        <f aca="false">(Tabla3510813153420[[#This Row],[PNE]]+Tabla3510813153420[[#This Row],[PE]])/2</f>
        <v>0.640199161425576</v>
      </c>
      <c r="R10" s="0" t="n">
        <v>84</v>
      </c>
      <c r="S10" s="0" t="n">
        <v>94</v>
      </c>
      <c r="T10" s="0" t="n">
        <f aca="false">Tabla3510813153420[[#This Row],[efec]]+Tabla3510813153420[[#This Row],[no_efe]]</f>
        <v>178</v>
      </c>
    </row>
    <row r="11" customFormat="false" ht="13.8" hidden="false" customHeight="false" outlineLevel="0" collapsed="false">
      <c r="A11" s="0" t="n">
        <v>5</v>
      </c>
      <c r="B11" s="0" t="n">
        <v>72</v>
      </c>
      <c r="C11" s="0" t="n">
        <v>22</v>
      </c>
      <c r="D11" s="0" t="n">
        <v>38</v>
      </c>
      <c r="E11" s="0" t="n">
        <v>46</v>
      </c>
      <c r="F11" s="0" t="n">
        <f aca="false">Tabla3510813153420[[#This Row],[no_efec_cor]]+Tabla3510813153420[[#This Row],[efec_cor]]</f>
        <v>110</v>
      </c>
      <c r="G11" s="0" t="n">
        <f aca="false">Tabla3510813153420[[#This Row],[no_efec_inc]]+Tabla3510813153420[[#This Row],[efect_inc]]</f>
        <v>68</v>
      </c>
      <c r="H11" s="9" t="n">
        <f aca="false">Tabla3510813153420[[#This Row],[Correctos]]/Tabla3510813153420[[#This Row],[total_sec]]</f>
        <v>0.617977528089888</v>
      </c>
      <c r="I11" s="9" t="n">
        <f aca="false">Tabla3510813153420[[#This Row],[efec_cor]]/Tabla3510813153420[[#This Row],[efec]]</f>
        <v>0.452380952380952</v>
      </c>
      <c r="J11" s="9" t="n">
        <f aca="false">Tabla3510813153420[[#This Row],[efect_inc]]/Tabla3510813153420[[#This Row],[efec]]</f>
        <v>0.547619047619048</v>
      </c>
      <c r="K11" s="9" t="n">
        <f aca="false">Tabla3510813153420[[#This Row],[no_efec_cor]]/Tabla3510813153420[[#This Row],[no_efe]]</f>
        <v>0.765957446808511</v>
      </c>
      <c r="L11" s="9" t="n">
        <f aca="false">Tabla3510813153420[[#This Row],[no_efec_inc]]/Tabla3510813153420[[#This Row],[no_efe]]</f>
        <v>0.234042553191489</v>
      </c>
      <c r="M11" s="9" t="n">
        <f aca="false">(Tabla3510813153420[[#This Row],[% efe_cor]]+Tabla3510813153420[[#This Row],[% no_efe_cor]])/2</f>
        <v>0.609169199594732</v>
      </c>
      <c r="N11" s="10" t="n">
        <f aca="false">(Tabla3510813153420[[#This Row],[% efe_inc]]+Tabla3510813153420[[#This Row],[% no_efect_inc]])/2</f>
        <v>0.390830800405269</v>
      </c>
      <c r="O11" s="11" t="n">
        <f aca="false">Tabla3510813153420[[#This Row],[no_efec_cor]]/(Tabla3510813153420[[#This Row],[efect_inc]]+Tabla3510813153420[[#This Row],[no_efec_cor]])</f>
        <v>0.610169491525424</v>
      </c>
      <c r="P11" s="11" t="n">
        <f aca="false">Tabla3510813153420[[#This Row],[efec_cor]]/(Tabla3510813153420[[#This Row],[efec_cor]]+Tabla3510813153420[[#This Row],[no_efec_inc]])</f>
        <v>0.633333333333333</v>
      </c>
      <c r="Q11" s="11" t="n">
        <f aca="false">(Tabla3510813153420[[#This Row],[PNE]]+Tabla3510813153420[[#This Row],[PE]])/2</f>
        <v>0.621751412429379</v>
      </c>
      <c r="R11" s="0" t="n">
        <v>84</v>
      </c>
      <c r="S11" s="0" t="n">
        <v>94</v>
      </c>
      <c r="T11" s="0" t="n">
        <f aca="false">Tabla3510813153420[[#This Row],[efec]]+Tabla3510813153420[[#This Row],[no_efe]]</f>
        <v>178</v>
      </c>
    </row>
    <row r="12" customFormat="false" ht="13.8" hidden="false" customHeight="false" outlineLevel="0" collapsed="false">
      <c r="A12" s="0" t="n">
        <v>10</v>
      </c>
      <c r="B12" s="0" t="n">
        <v>74</v>
      </c>
      <c r="C12" s="0" t="n">
        <v>20</v>
      </c>
      <c r="D12" s="0" t="n">
        <v>36</v>
      </c>
      <c r="E12" s="0" t="n">
        <v>48</v>
      </c>
      <c r="F12" s="0" t="n">
        <f aca="false">Tabla3510813153420[[#This Row],[no_efec_cor]]+Tabla3510813153420[[#This Row],[efec_cor]]</f>
        <v>110</v>
      </c>
      <c r="G12" s="0" t="n">
        <f aca="false">Tabla3510813153420[[#This Row],[no_efec_inc]]+Tabla3510813153420[[#This Row],[efect_inc]]</f>
        <v>68</v>
      </c>
      <c r="H12" s="9" t="n">
        <f aca="false">Tabla3510813153420[[#This Row],[Correctos]]/Tabla3510813153420[[#This Row],[total_sec]]</f>
        <v>0.617977528089888</v>
      </c>
      <c r="I12" s="9" t="n">
        <f aca="false">Tabla3510813153420[[#This Row],[efec_cor]]/Tabla3510813153420[[#This Row],[efec]]</f>
        <v>0.428571428571429</v>
      </c>
      <c r="J12" s="9" t="n">
        <f aca="false">Tabla3510813153420[[#This Row],[efect_inc]]/Tabla3510813153420[[#This Row],[efec]]</f>
        <v>0.571428571428571</v>
      </c>
      <c r="K12" s="9" t="n">
        <f aca="false">Tabla3510813153420[[#This Row],[no_efec_cor]]/Tabla3510813153420[[#This Row],[no_efe]]</f>
        <v>0.787234042553192</v>
      </c>
      <c r="L12" s="9" t="n">
        <f aca="false">Tabla3510813153420[[#This Row],[no_efec_inc]]/Tabla3510813153420[[#This Row],[no_efe]]</f>
        <v>0.212765957446808</v>
      </c>
      <c r="M12" s="9" t="n">
        <f aca="false">(Tabla3510813153420[[#This Row],[% efe_cor]]+Tabla3510813153420[[#This Row],[% no_efe_cor]])/2</f>
        <v>0.60790273556231</v>
      </c>
      <c r="N12" s="10" t="n">
        <f aca="false">(Tabla3510813153420[[#This Row],[% efe_inc]]+Tabla3510813153420[[#This Row],[% no_efect_inc]])/2</f>
        <v>0.39209726443769</v>
      </c>
      <c r="O12" s="11" t="n">
        <f aca="false">Tabla3510813153420[[#This Row],[no_efec_cor]]/(Tabla3510813153420[[#This Row],[efect_inc]]+Tabla3510813153420[[#This Row],[no_efec_cor]])</f>
        <v>0.60655737704918</v>
      </c>
      <c r="P12" s="11" t="n">
        <f aca="false">Tabla3510813153420[[#This Row],[efec_cor]]/(Tabla3510813153420[[#This Row],[efec_cor]]+Tabla3510813153420[[#This Row],[no_efec_inc]])</f>
        <v>0.642857142857143</v>
      </c>
      <c r="Q12" s="11" t="n">
        <f aca="false">(Tabla3510813153420[[#This Row],[PNE]]+Tabla3510813153420[[#This Row],[PE]])/2</f>
        <v>0.624707259953162</v>
      </c>
      <c r="R12" s="0" t="n">
        <v>84</v>
      </c>
      <c r="S12" s="0" t="n">
        <v>94</v>
      </c>
      <c r="T12" s="0" t="n">
        <f aca="false">Tabla3510813153420[[#This Row],[efec]]+Tabla3510813153420[[#This Row],[no_efe]]</f>
        <v>178</v>
      </c>
    </row>
    <row r="13" customFormat="false" ht="13.8" hidden="false" customHeight="false" outlineLevel="0" collapsed="false">
      <c r="A13" s="0" t="n">
        <v>15</v>
      </c>
      <c r="B13" s="0" t="n">
        <v>83</v>
      </c>
      <c r="C13" s="0" t="n">
        <v>11</v>
      </c>
      <c r="D13" s="0" t="n">
        <v>24</v>
      </c>
      <c r="E13" s="0" t="n">
        <v>60</v>
      </c>
      <c r="F13" s="0" t="n">
        <f aca="false">Tabla3510813153420[[#This Row],[no_efec_cor]]+Tabla3510813153420[[#This Row],[efec_cor]]</f>
        <v>107</v>
      </c>
      <c r="G13" s="0" t="n">
        <f aca="false">Tabla3510813153420[[#This Row],[no_efec_inc]]+Tabla3510813153420[[#This Row],[efect_inc]]</f>
        <v>71</v>
      </c>
      <c r="H13" s="9" t="n">
        <f aca="false">Tabla3510813153420[[#This Row],[Correctos]]/Tabla3510813153420[[#This Row],[total_sec]]</f>
        <v>0.601123595505618</v>
      </c>
      <c r="I13" s="9" t="n">
        <f aca="false">Tabla3510813153420[[#This Row],[efec_cor]]/Tabla3510813153420[[#This Row],[efec]]</f>
        <v>0.285714285714286</v>
      </c>
      <c r="J13" s="9" t="n">
        <f aca="false">Tabla3510813153420[[#This Row],[efect_inc]]/Tabla3510813153420[[#This Row],[efec]]</f>
        <v>0.714285714285714</v>
      </c>
      <c r="K13" s="9" t="n">
        <f aca="false">Tabla3510813153420[[#This Row],[no_efec_cor]]/Tabla3510813153420[[#This Row],[no_efe]]</f>
        <v>0.882978723404255</v>
      </c>
      <c r="L13" s="9" t="n">
        <f aca="false">Tabla3510813153420[[#This Row],[no_efec_inc]]/Tabla3510813153420[[#This Row],[no_efe]]</f>
        <v>0.117021276595745</v>
      </c>
      <c r="M13" s="9" t="n">
        <f aca="false">(Tabla3510813153420[[#This Row],[% efe_cor]]+Tabla3510813153420[[#This Row],[% no_efe_cor]])/2</f>
        <v>0.584346504559271</v>
      </c>
      <c r="N13" s="10" t="n">
        <f aca="false">(Tabla3510813153420[[#This Row],[% efe_inc]]+Tabla3510813153420[[#This Row],[% no_efect_inc]])/2</f>
        <v>0.415653495440729</v>
      </c>
      <c r="O13" s="11" t="n">
        <f aca="false">Tabla3510813153420[[#This Row],[no_efec_cor]]/(Tabla3510813153420[[#This Row],[efect_inc]]+Tabla3510813153420[[#This Row],[no_efec_cor]])</f>
        <v>0.58041958041958</v>
      </c>
      <c r="P13" s="11" t="n">
        <f aca="false">Tabla3510813153420[[#This Row],[efec_cor]]/(Tabla3510813153420[[#This Row],[efec_cor]]+Tabla3510813153420[[#This Row],[no_efec_inc]])</f>
        <v>0.685714285714286</v>
      </c>
      <c r="Q13" s="11" t="n">
        <f aca="false">(Tabla3510813153420[[#This Row],[PNE]]+Tabla3510813153420[[#This Row],[PE]])/2</f>
        <v>0.633066933066933</v>
      </c>
      <c r="R13" s="0" t="n">
        <v>84</v>
      </c>
      <c r="S13" s="0" t="n">
        <v>94</v>
      </c>
      <c r="T13" s="0" t="n">
        <f aca="false">Tabla3510813153420[[#This Row],[efec]]+Tabla3510813153420[[#This Row],[no_efe]]</f>
        <v>178</v>
      </c>
    </row>
    <row r="14" customFormat="false" ht="13.8" hidden="false" customHeight="false" outlineLevel="0" collapsed="false">
      <c r="A14" s="0" t="n">
        <v>20</v>
      </c>
      <c r="B14" s="0" t="n">
        <v>82</v>
      </c>
      <c r="C14" s="0" t="n">
        <v>12</v>
      </c>
      <c r="D14" s="0" t="n">
        <v>24</v>
      </c>
      <c r="E14" s="0" t="n">
        <v>60</v>
      </c>
      <c r="F14" s="0" t="n">
        <f aca="false">Tabla3510813153420[[#This Row],[no_efec_cor]]+Tabla3510813153420[[#This Row],[efec_cor]]</f>
        <v>106</v>
      </c>
      <c r="G14" s="0" t="n">
        <f aca="false">Tabla3510813153420[[#This Row],[no_efec_inc]]+Tabla3510813153420[[#This Row],[efect_inc]]</f>
        <v>72</v>
      </c>
      <c r="H14" s="9" t="n">
        <f aca="false">Tabla3510813153420[[#This Row],[Correctos]]/Tabla3510813153420[[#This Row],[total_sec]]</f>
        <v>0.595505617977528</v>
      </c>
      <c r="I14" s="9" t="n">
        <f aca="false">Tabla3510813153420[[#This Row],[efec_cor]]/Tabla3510813153420[[#This Row],[efec]]</f>
        <v>0.285714285714286</v>
      </c>
      <c r="J14" s="9" t="n">
        <f aca="false">Tabla3510813153420[[#This Row],[efect_inc]]/Tabla3510813153420[[#This Row],[efec]]</f>
        <v>0.714285714285714</v>
      </c>
      <c r="K14" s="9" t="n">
        <f aca="false">Tabla3510813153420[[#This Row],[no_efec_cor]]/Tabla3510813153420[[#This Row],[no_efe]]</f>
        <v>0.872340425531915</v>
      </c>
      <c r="L14" s="9" t="n">
        <f aca="false">Tabla3510813153420[[#This Row],[no_efec_inc]]/Tabla3510813153420[[#This Row],[no_efe]]</f>
        <v>0.127659574468085</v>
      </c>
      <c r="M14" s="9" t="n">
        <f aca="false">(Tabla3510813153420[[#This Row],[% efe_cor]]+Tabla3510813153420[[#This Row],[% no_efe_cor]])/2</f>
        <v>0.5790273556231</v>
      </c>
      <c r="N14" s="10" t="n">
        <f aca="false">(Tabla3510813153420[[#This Row],[% efe_inc]]+Tabla3510813153420[[#This Row],[% no_efect_inc]])/2</f>
        <v>0.4209726443769</v>
      </c>
      <c r="O14" s="11" t="n">
        <f aca="false">Tabla3510813153420[[#This Row],[no_efec_cor]]/(Tabla3510813153420[[#This Row],[efect_inc]]+Tabla3510813153420[[#This Row],[no_efec_cor]])</f>
        <v>0.577464788732394</v>
      </c>
      <c r="P14" s="11" t="n">
        <f aca="false">Tabla3510813153420[[#This Row],[efec_cor]]/(Tabla3510813153420[[#This Row],[efec_cor]]+Tabla3510813153420[[#This Row],[no_efec_inc]])</f>
        <v>0.666666666666667</v>
      </c>
      <c r="Q14" s="11" t="n">
        <f aca="false">(Tabla3510813153420[[#This Row],[PNE]]+Tabla3510813153420[[#This Row],[PE]])/2</f>
        <v>0.622065727699531</v>
      </c>
      <c r="R14" s="0" t="n">
        <v>84</v>
      </c>
      <c r="S14" s="0" t="n">
        <v>94</v>
      </c>
      <c r="T14" s="0" t="n">
        <f aca="false">Tabla3510813153420[[#This Row],[efec]]+Tabla3510813153420[[#This Row],[no_efe]]</f>
        <v>178</v>
      </c>
    </row>
    <row r="15" customFormat="false" ht="13.8" hidden="false" customHeight="false" outlineLevel="0" collapsed="false">
      <c r="A15" s="0" t="n">
        <v>25</v>
      </c>
      <c r="B15" s="0" t="n">
        <v>89</v>
      </c>
      <c r="C15" s="0" t="n">
        <v>5</v>
      </c>
      <c r="D15" s="0" t="n">
        <v>13</v>
      </c>
      <c r="E15" s="0" t="n">
        <v>71</v>
      </c>
      <c r="F15" s="0" t="n">
        <f aca="false">Tabla3510813153420[[#This Row],[no_efec_cor]]+Tabla3510813153420[[#This Row],[efec_cor]]</f>
        <v>102</v>
      </c>
      <c r="G15" s="0" t="n">
        <f aca="false">Tabla3510813153420[[#This Row],[no_efec_inc]]+Tabla3510813153420[[#This Row],[efect_inc]]</f>
        <v>76</v>
      </c>
      <c r="H15" s="9" t="n">
        <f aca="false">Tabla3510813153420[[#This Row],[Correctos]]/Tabla3510813153420[[#This Row],[total_sec]]</f>
        <v>0.573033707865169</v>
      </c>
      <c r="I15" s="9" t="n">
        <f aca="false">Tabla3510813153420[[#This Row],[efec_cor]]/Tabla3510813153420[[#This Row],[efec]]</f>
        <v>0.154761904761905</v>
      </c>
      <c r="J15" s="9" t="n">
        <f aca="false">Tabla3510813153420[[#This Row],[efect_inc]]/Tabla3510813153420[[#This Row],[efec]]</f>
        <v>0.845238095238095</v>
      </c>
      <c r="K15" s="9" t="n">
        <f aca="false">Tabla3510813153420[[#This Row],[no_efec_cor]]/Tabla3510813153420[[#This Row],[no_efe]]</f>
        <v>0.946808510638298</v>
      </c>
      <c r="L15" s="9" t="n">
        <f aca="false">Tabla3510813153420[[#This Row],[no_efec_inc]]/Tabla3510813153420[[#This Row],[no_efe]]</f>
        <v>0.0531914893617021</v>
      </c>
      <c r="M15" s="9" t="n">
        <f aca="false">(Tabla3510813153420[[#This Row],[% efe_cor]]+Tabla3510813153420[[#This Row],[% no_efe_cor]])/2</f>
        <v>0.550785207700101</v>
      </c>
      <c r="N15" s="10" t="n">
        <f aca="false">(Tabla3510813153420[[#This Row],[% efe_inc]]+Tabla3510813153420[[#This Row],[% no_efect_inc]])/2</f>
        <v>0.449214792299899</v>
      </c>
      <c r="O15" s="11" t="n">
        <f aca="false">Tabla3510813153420[[#This Row],[no_efec_cor]]/(Tabla3510813153420[[#This Row],[efect_inc]]+Tabla3510813153420[[#This Row],[no_efec_cor]])</f>
        <v>0.55625</v>
      </c>
      <c r="P15" s="11" t="n">
        <f aca="false">Tabla3510813153420[[#This Row],[efec_cor]]/(Tabla3510813153420[[#This Row],[efec_cor]]+Tabla3510813153420[[#This Row],[no_efec_inc]])</f>
        <v>0.722222222222222</v>
      </c>
      <c r="Q15" s="11" t="n">
        <f aca="false">(Tabla3510813153420[[#This Row],[PNE]]+Tabla3510813153420[[#This Row],[PE]])/2</f>
        <v>0.639236111111111</v>
      </c>
      <c r="R15" s="0" t="n">
        <v>84</v>
      </c>
      <c r="S15" s="0" t="n">
        <v>94</v>
      </c>
      <c r="T15" s="0" t="n">
        <f aca="false">Tabla3510813153420[[#This Row],[efec]]+Tabla3510813153420[[#This Row],[no_efe]]</f>
        <v>178</v>
      </c>
    </row>
    <row r="16" customFormat="false" ht="13.8" hidden="false" customHeight="false" outlineLevel="0" collapsed="false">
      <c r="A16" s="0" t="n">
        <v>30</v>
      </c>
      <c r="B16" s="0" t="n">
        <v>89</v>
      </c>
      <c r="C16" s="0" t="n">
        <v>5</v>
      </c>
      <c r="D16" s="0" t="n">
        <v>12</v>
      </c>
      <c r="E16" s="0" t="n">
        <v>72</v>
      </c>
      <c r="F16" s="0" t="n">
        <f aca="false">Tabla3510813153420[[#This Row],[no_efec_cor]]+Tabla3510813153420[[#This Row],[efec_cor]]</f>
        <v>101</v>
      </c>
      <c r="G16" s="0" t="n">
        <f aca="false">Tabla3510813153420[[#This Row],[no_efec_inc]]+Tabla3510813153420[[#This Row],[efect_inc]]</f>
        <v>77</v>
      </c>
      <c r="H16" s="9" t="n">
        <f aca="false">Tabla3510813153420[[#This Row],[Correctos]]/Tabla3510813153420[[#This Row],[total_sec]]</f>
        <v>0.567415730337079</v>
      </c>
      <c r="I16" s="9" t="n">
        <f aca="false">Tabla3510813153420[[#This Row],[efec_cor]]/Tabla3510813153420[[#This Row],[efec]]</f>
        <v>0.142857142857143</v>
      </c>
      <c r="J16" s="9" t="n">
        <f aca="false">Tabla3510813153420[[#This Row],[efect_inc]]/Tabla3510813153420[[#This Row],[efec]]</f>
        <v>0.857142857142857</v>
      </c>
      <c r="K16" s="9" t="n">
        <f aca="false">Tabla3510813153420[[#This Row],[no_efec_cor]]/Tabla3510813153420[[#This Row],[no_efe]]</f>
        <v>0.946808510638298</v>
      </c>
      <c r="L16" s="9" t="n">
        <f aca="false">Tabla3510813153420[[#This Row],[no_efec_inc]]/Tabla3510813153420[[#This Row],[no_efe]]</f>
        <v>0.0531914893617021</v>
      </c>
      <c r="M16" s="9" t="n">
        <f aca="false">(Tabla3510813153420[[#This Row],[% efe_cor]]+Tabla3510813153420[[#This Row],[% no_efe_cor]])/2</f>
        <v>0.54483282674772</v>
      </c>
      <c r="N16" s="10" t="n">
        <f aca="false">(Tabla3510813153420[[#This Row],[% efe_inc]]+Tabla3510813153420[[#This Row],[% no_efect_inc]])/2</f>
        <v>0.45516717325228</v>
      </c>
      <c r="O16" s="11" t="n">
        <f aca="false">Tabla3510813153420[[#This Row],[no_efec_cor]]/(Tabla3510813153420[[#This Row],[efect_inc]]+Tabla3510813153420[[#This Row],[no_efec_cor]])</f>
        <v>0.552795031055901</v>
      </c>
      <c r="P16" s="11" t="n">
        <f aca="false">Tabla3510813153420[[#This Row],[efec_cor]]/(Tabla3510813153420[[#This Row],[efec_cor]]+Tabla3510813153420[[#This Row],[no_efec_inc]])</f>
        <v>0.705882352941176</v>
      </c>
      <c r="Q16" s="11" t="n">
        <f aca="false">(Tabla3510813153420[[#This Row],[PNE]]+Tabla3510813153420[[#This Row],[PE]])/2</f>
        <v>0.629338691998539</v>
      </c>
      <c r="R16" s="0" t="n">
        <v>84</v>
      </c>
      <c r="S16" s="0" t="n">
        <v>94</v>
      </c>
      <c r="T16" s="0" t="n">
        <f aca="false">Tabla3510813153420[[#This Row],[efec]]+Tabla3510813153420[[#This Row],[no_efe]]</f>
        <v>178</v>
      </c>
    </row>
    <row r="17" customFormat="false" ht="13.8" hidden="false" customHeight="false" outlineLevel="0" collapsed="false">
      <c r="A17" s="0" t="n">
        <v>35</v>
      </c>
      <c r="B17" s="0" t="n">
        <v>90</v>
      </c>
      <c r="C17" s="0" t="n">
        <v>4</v>
      </c>
      <c r="D17" s="0" t="n">
        <v>8</v>
      </c>
      <c r="E17" s="0" t="n">
        <v>76</v>
      </c>
      <c r="F17" s="0" t="n">
        <f aca="false">Tabla3510813153420[[#This Row],[no_efec_cor]]+Tabla3510813153420[[#This Row],[efec_cor]]</f>
        <v>98</v>
      </c>
      <c r="G17" s="0" t="n">
        <f aca="false">Tabla3510813153420[[#This Row],[no_efec_inc]]+Tabla3510813153420[[#This Row],[efect_inc]]</f>
        <v>80</v>
      </c>
      <c r="H17" s="9" t="n">
        <f aca="false">Tabla3510813153420[[#This Row],[Correctos]]/Tabla3510813153420[[#This Row],[total_sec]]</f>
        <v>0.550561797752809</v>
      </c>
      <c r="I17" s="9" t="n">
        <f aca="false">Tabla3510813153420[[#This Row],[efec_cor]]/Tabla3510813153420[[#This Row],[efec]]</f>
        <v>0.0952380952380952</v>
      </c>
      <c r="J17" s="9" t="n">
        <f aca="false">Tabla3510813153420[[#This Row],[efect_inc]]/Tabla3510813153420[[#This Row],[efec]]</f>
        <v>0.904761904761905</v>
      </c>
      <c r="K17" s="9" t="n">
        <f aca="false">Tabla3510813153420[[#This Row],[no_efec_cor]]/Tabla3510813153420[[#This Row],[no_efe]]</f>
        <v>0.957446808510638</v>
      </c>
      <c r="L17" s="9" t="n">
        <f aca="false">Tabla3510813153420[[#This Row],[no_efec_inc]]/Tabla3510813153420[[#This Row],[no_efe]]</f>
        <v>0.0425531914893617</v>
      </c>
      <c r="M17" s="9" t="n">
        <f aca="false">(Tabla3510813153420[[#This Row],[% efe_cor]]+Tabla3510813153420[[#This Row],[% no_efe_cor]])/2</f>
        <v>0.526342451874367</v>
      </c>
      <c r="N17" s="10" t="n">
        <f aca="false">(Tabla3510813153420[[#This Row],[% efe_inc]]+Tabla3510813153420[[#This Row],[% no_efect_inc]])/2</f>
        <v>0.473657548125633</v>
      </c>
      <c r="O17" s="11" t="n">
        <f aca="false">Tabla3510813153420[[#This Row],[no_efec_cor]]/(Tabla3510813153420[[#This Row],[efect_inc]]+Tabla3510813153420[[#This Row],[no_efec_cor]])</f>
        <v>0.542168674698795</v>
      </c>
      <c r="P17" s="11" t="n">
        <f aca="false">Tabla3510813153420[[#This Row],[efec_cor]]/(Tabla3510813153420[[#This Row],[efec_cor]]+Tabla3510813153420[[#This Row],[no_efec_inc]])</f>
        <v>0.666666666666667</v>
      </c>
      <c r="Q17" s="11" t="n">
        <f aca="false">(Tabla3510813153420[[#This Row],[PNE]]+Tabla3510813153420[[#This Row],[PE]])/2</f>
        <v>0.604417670682731</v>
      </c>
      <c r="R17" s="0" t="n">
        <v>84</v>
      </c>
      <c r="S17" s="0" t="n">
        <v>94</v>
      </c>
      <c r="T17" s="0" t="n">
        <f aca="false">Tabla3510813153420[[#This Row],[efec]]+Tabla3510813153420[[#This Row],[no_efe]]</f>
        <v>178</v>
      </c>
    </row>
    <row r="18" customFormat="false" ht="13.8" hidden="false" customHeight="false" outlineLevel="0" collapsed="false">
      <c r="A18" s="0" t="n">
        <v>39</v>
      </c>
      <c r="B18" s="0" t="n">
        <v>91</v>
      </c>
      <c r="C18" s="0" t="n">
        <v>3</v>
      </c>
      <c r="D18" s="0" t="n">
        <v>5</v>
      </c>
      <c r="E18" s="0" t="n">
        <v>79</v>
      </c>
      <c r="F18" s="0" t="n">
        <f aca="false">Tabla3510813153420[[#This Row],[no_efec_cor]]+Tabla3510813153420[[#This Row],[efec_cor]]</f>
        <v>96</v>
      </c>
      <c r="G18" s="0" t="n">
        <f aca="false">Tabla3510813153420[[#This Row],[no_efec_inc]]+Tabla3510813153420[[#This Row],[efect_inc]]</f>
        <v>82</v>
      </c>
      <c r="H18" s="9" t="n">
        <f aca="false">Tabla3510813153420[[#This Row],[Correctos]]/Tabla3510813153420[[#This Row],[total_sec]]</f>
        <v>0.539325842696629</v>
      </c>
      <c r="I18" s="9" t="n">
        <f aca="false">Tabla3510813153420[[#This Row],[efec_cor]]/Tabla3510813153420[[#This Row],[efec]]</f>
        <v>0.0595238095238095</v>
      </c>
      <c r="J18" s="9" t="n">
        <f aca="false">Tabla3510813153420[[#This Row],[efect_inc]]/Tabla3510813153420[[#This Row],[efec]]</f>
        <v>0.94047619047619</v>
      </c>
      <c r="K18" s="9" t="n">
        <f aca="false">Tabla3510813153420[[#This Row],[no_efec_cor]]/Tabla3510813153420[[#This Row],[no_efe]]</f>
        <v>0.968085106382979</v>
      </c>
      <c r="L18" s="9" t="n">
        <f aca="false">Tabla3510813153420[[#This Row],[no_efec_inc]]/Tabla3510813153420[[#This Row],[no_efe]]</f>
        <v>0.0319148936170213</v>
      </c>
      <c r="M18" s="9" t="n">
        <f aca="false">(Tabla3510813153420[[#This Row],[% efe_cor]]+Tabla3510813153420[[#This Row],[% no_efe_cor]])/2</f>
        <v>0.513804457953394</v>
      </c>
      <c r="N18" s="10" t="n">
        <f aca="false">(Tabla3510813153420[[#This Row],[% efe_inc]]+Tabla3510813153420[[#This Row],[% no_efect_inc]])/2</f>
        <v>0.486195542046606</v>
      </c>
      <c r="O18" s="11" t="n">
        <f aca="false">Tabla3510813153420[[#This Row],[no_efec_cor]]/(Tabla3510813153420[[#This Row],[efect_inc]]+Tabla3510813153420[[#This Row],[no_efec_cor]])</f>
        <v>0.535294117647059</v>
      </c>
      <c r="P18" s="11" t="n">
        <f aca="false">Tabla3510813153420[[#This Row],[efec_cor]]/(Tabla3510813153420[[#This Row],[efec_cor]]+Tabla3510813153420[[#This Row],[no_efec_inc]])</f>
        <v>0.625</v>
      </c>
      <c r="Q18" s="11" t="n">
        <f aca="false">(Tabla3510813153420[[#This Row],[PNE]]+Tabla3510813153420[[#This Row],[PE]])/2</f>
        <v>0.580147058823529</v>
      </c>
      <c r="R18" s="0" t="n">
        <v>84</v>
      </c>
      <c r="S18" s="0" t="n">
        <v>94</v>
      </c>
      <c r="T18" s="0" t="n">
        <f aca="false">Tabla3510813153420[[#This Row],[efec]]+Tabla3510813153420[[#This Row],[no_efe]]</f>
        <v>178</v>
      </c>
    </row>
    <row r="20" customFormat="false" ht="19.5" hidden="false" customHeight="false" outlineLevel="0" collapsed="false">
      <c r="A20" s="1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  <c r="J24" s="9"/>
      <c r="K24" s="9"/>
      <c r="L24" s="9"/>
      <c r="M24" s="9"/>
      <c r="N24" s="10"/>
      <c r="O24" s="11"/>
      <c r="P24" s="11"/>
      <c r="Q24" s="11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94</v>
      </c>
      <c r="D26" s="0" t="n">
        <v>0</v>
      </c>
      <c r="E26" s="0" t="n">
        <v>2</v>
      </c>
      <c r="F26" s="0" t="n">
        <v>82</v>
      </c>
      <c r="G26" s="0" t="n">
        <f aca="false">Tabla3510813153425[[#This Row],[no_efec_cor]]+Tabla3510813153425[[#This Row],[efec_cor]]</f>
        <v>96</v>
      </c>
      <c r="H26" s="0" t="n">
        <f aca="false">Tabla3510813153425[[#This Row],[no_efec_inc]]+Tabla3510813153425[[#This Row],[efect_inc]]</f>
        <v>82</v>
      </c>
      <c r="I26" s="9" t="n">
        <f aca="false">Tabla3510813153425[[#This Row],[Correctos]]/Tabla3510813153425[[#This Row],[total_sec]]</f>
        <v>0.539325842696629</v>
      </c>
      <c r="J26" s="9" t="n">
        <f aca="false">Tabla3510813153425[[#This Row],[efec_cor]]/Tabla3510813153425[[#This Row],[efec]]</f>
        <v>0.0238095238095238</v>
      </c>
      <c r="K26" s="9" t="n">
        <f aca="false">Tabla3510813153425[[#This Row],[efect_inc]]/Tabla3510813153425[[#This Row],[efec]]</f>
        <v>0.976190476190476</v>
      </c>
      <c r="L26" s="9" t="n">
        <f aca="false">Tabla3510813153425[[#This Row],[no_efec_cor]]/Tabla3510813153425[[#This Row],[no_efe]]</f>
        <v>1</v>
      </c>
      <c r="M26" s="9" t="n">
        <f aca="false">Tabla3510813153425[[#This Row],[no_efec_inc]]/Tabla3510813153425[[#This Row],[no_efe]]</f>
        <v>0</v>
      </c>
      <c r="N26" s="9" t="n">
        <f aca="false">(Tabla3510813153425[[#This Row],[% efe_cor]]+Tabla3510813153425[[#This Row],[% no_efe_cor]])/2</f>
        <v>0.511904761904762</v>
      </c>
      <c r="O26" s="10" t="n">
        <f aca="false">(Tabla3510813153425[[#This Row],[% efe_inc]]+Tabla3510813153425[[#This Row],[% no_efect_inc]])/2</f>
        <v>0.488095238095238</v>
      </c>
      <c r="P26" s="11" t="n">
        <f aca="false">Tabla3510813153425[[#This Row],[no_efec_cor]]/(Tabla3510813153425[[#This Row],[efect_inc]]+Tabla3510813153425[[#This Row],[no_efec_cor]])</f>
        <v>0.534090909090909</v>
      </c>
      <c r="Q26" s="11" t="n">
        <f aca="false">Tabla3510813153425[[#This Row],[efec_cor]]/(Tabla3510813153425[[#This Row],[efec_cor]]+Tabla3510813153425[[#This Row],[no_efec_inc]])</f>
        <v>1</v>
      </c>
      <c r="R26" s="11" t="n">
        <f aca="false">(Tabla3510813153425[[#This Row],[PNE]]+Tabla3510813153425[[#This Row],[PE]])/2</f>
        <v>0.767045454545455</v>
      </c>
      <c r="S26" s="0" t="n">
        <v>84</v>
      </c>
      <c r="T26" s="0" t="n">
        <v>94</v>
      </c>
      <c r="U26" s="0" t="n">
        <f aca="false">Tabla3510813153425[[#This Row],[efec]]+Tabla3510813153425[[#This Row],[no_efe]]</f>
        <v>178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94</v>
      </c>
      <c r="D27" s="0" t="n">
        <v>0</v>
      </c>
      <c r="E27" s="0" t="n">
        <v>2</v>
      </c>
      <c r="F27" s="0" t="n">
        <v>82</v>
      </c>
      <c r="G27" s="0" t="n">
        <f aca="false">Tabla3510813153425[[#This Row],[no_efec_cor]]+Tabla3510813153425[[#This Row],[efec_cor]]</f>
        <v>96</v>
      </c>
      <c r="H27" s="0" t="n">
        <f aca="false">Tabla3510813153425[[#This Row],[no_efec_inc]]+Tabla3510813153425[[#This Row],[efect_inc]]</f>
        <v>82</v>
      </c>
      <c r="I27" s="9" t="n">
        <f aca="false">Tabla3510813153425[[#This Row],[Correctos]]/Tabla3510813153425[[#This Row],[total_sec]]</f>
        <v>0.539325842696629</v>
      </c>
      <c r="J27" s="9" t="n">
        <f aca="false">Tabla3510813153425[[#This Row],[efec_cor]]/Tabla3510813153425[[#This Row],[efec]]</f>
        <v>0.0238095238095238</v>
      </c>
      <c r="K27" s="9" t="n">
        <f aca="false">Tabla3510813153425[[#This Row],[efect_inc]]/Tabla3510813153425[[#This Row],[efec]]</f>
        <v>0.976190476190476</v>
      </c>
      <c r="L27" s="9" t="n">
        <f aca="false">Tabla3510813153425[[#This Row],[no_efec_cor]]/Tabla3510813153425[[#This Row],[no_efe]]</f>
        <v>1</v>
      </c>
      <c r="M27" s="9" t="n">
        <f aca="false">Tabla3510813153425[[#This Row],[no_efec_inc]]/Tabla3510813153425[[#This Row],[no_efe]]</f>
        <v>0</v>
      </c>
      <c r="N27" s="9" t="n">
        <f aca="false">(Tabla3510813153425[[#This Row],[% efe_cor]]+Tabla3510813153425[[#This Row],[% no_efe_cor]])/2</f>
        <v>0.511904761904762</v>
      </c>
      <c r="O27" s="10" t="n">
        <f aca="false">(Tabla3510813153425[[#This Row],[% efe_inc]]+Tabla3510813153425[[#This Row],[% no_efect_inc]])/2</f>
        <v>0.488095238095238</v>
      </c>
      <c r="P27" s="11" t="n">
        <f aca="false">Tabla3510813153425[[#This Row],[no_efec_cor]]/(Tabla3510813153425[[#This Row],[efect_inc]]+Tabla3510813153425[[#This Row],[no_efec_cor]])</f>
        <v>0.534090909090909</v>
      </c>
      <c r="Q27" s="11" t="n">
        <f aca="false">Tabla3510813153425[[#This Row],[efec_cor]]/(Tabla3510813153425[[#This Row],[efec_cor]]+Tabla3510813153425[[#This Row],[no_efec_inc]])</f>
        <v>1</v>
      </c>
      <c r="R27" s="11" t="n">
        <f aca="false">(Tabla3510813153425[[#This Row],[PNE]]+Tabla3510813153425[[#This Row],[PE]])/2</f>
        <v>0.767045454545455</v>
      </c>
      <c r="S27" s="0" t="n">
        <v>84</v>
      </c>
      <c r="T27" s="0" t="n">
        <v>94</v>
      </c>
      <c r="U27" s="0" t="n">
        <f aca="false">Tabla3510813153425[[#This Row],[efec]]+Tabla3510813153425[[#This Row],[no_efe]]</f>
        <v>178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81</v>
      </c>
      <c r="D28" s="0" t="n">
        <v>13</v>
      </c>
      <c r="E28" s="0" t="n">
        <v>34</v>
      </c>
      <c r="F28" s="0" t="n">
        <v>50</v>
      </c>
      <c r="G28" s="0" t="n">
        <f aca="false">Tabla3510813153425[[#This Row],[no_efec_cor]]+Tabla3510813153425[[#This Row],[efec_cor]]</f>
        <v>115</v>
      </c>
      <c r="H28" s="0" t="n">
        <f aca="false">Tabla3510813153425[[#This Row],[no_efec_inc]]+Tabla3510813153425[[#This Row],[efect_inc]]</f>
        <v>63</v>
      </c>
      <c r="I28" s="9" t="n">
        <f aca="false">Tabla3510813153425[[#This Row],[Correctos]]/Tabla3510813153425[[#This Row],[total_sec]]</f>
        <v>0.646067415730337</v>
      </c>
      <c r="J28" s="9" t="n">
        <f aca="false">Tabla3510813153425[[#This Row],[efec_cor]]/Tabla3510813153425[[#This Row],[efec]]</f>
        <v>0.404761904761905</v>
      </c>
      <c r="K28" s="9" t="n">
        <f aca="false">Tabla3510813153425[[#This Row],[efect_inc]]/Tabla3510813153425[[#This Row],[efec]]</f>
        <v>0.595238095238095</v>
      </c>
      <c r="L28" s="9" t="n">
        <f aca="false">Tabla3510813153425[[#This Row],[no_efec_cor]]/Tabla3510813153425[[#This Row],[no_efe]]</f>
        <v>0.861702127659574</v>
      </c>
      <c r="M28" s="9" t="n">
        <f aca="false">Tabla3510813153425[[#This Row],[no_efec_inc]]/Tabla3510813153425[[#This Row],[no_efe]]</f>
        <v>0.138297872340426</v>
      </c>
      <c r="N28" s="9" t="n">
        <f aca="false">(Tabla3510813153425[[#This Row],[% efe_cor]]+Tabla3510813153425[[#This Row],[% no_efe_cor]])/2</f>
        <v>0.63323201621074</v>
      </c>
      <c r="O28" s="10" t="n">
        <f aca="false">(Tabla3510813153425[[#This Row],[% efe_inc]]+Tabla3510813153425[[#This Row],[% no_efect_inc]])/2</f>
        <v>0.36676798378926</v>
      </c>
      <c r="P28" s="11" t="n">
        <f aca="false">Tabla3510813153425[[#This Row],[no_efec_cor]]/(Tabla3510813153425[[#This Row],[efect_inc]]+Tabla3510813153425[[#This Row],[no_efec_cor]])</f>
        <v>0.618320610687023</v>
      </c>
      <c r="Q28" s="11" t="n">
        <f aca="false">Tabla3510813153425[[#This Row],[efec_cor]]/(Tabla3510813153425[[#This Row],[efec_cor]]+Tabla3510813153425[[#This Row],[no_efec_inc]])</f>
        <v>0.723404255319149</v>
      </c>
      <c r="R28" s="11" t="n">
        <f aca="false">(Tabla3510813153425[[#This Row],[PNE]]+Tabla3510813153425[[#This Row],[PE]])/2</f>
        <v>0.670862433003086</v>
      </c>
      <c r="S28" s="0" t="n">
        <v>84</v>
      </c>
      <c r="T28" s="0" t="n">
        <v>94</v>
      </c>
      <c r="U28" s="0" t="n">
        <f aca="false">Tabla3510813153425[[#This Row],[efec]]+Tabla3510813153425[[#This Row],[no_efe]]</f>
        <v>178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72</v>
      </c>
      <c r="D29" s="0" t="n">
        <v>22</v>
      </c>
      <c r="E29" s="0" t="n">
        <v>46</v>
      </c>
      <c r="F29" s="0" t="n">
        <v>38</v>
      </c>
      <c r="G29" s="0" t="n">
        <f aca="false">Tabla3510813153425[[#This Row],[no_efec_cor]]+Tabla3510813153425[[#This Row],[efec_cor]]</f>
        <v>118</v>
      </c>
      <c r="H29" s="0" t="n">
        <f aca="false">Tabla3510813153425[[#This Row],[no_efec_inc]]+Tabla3510813153425[[#This Row],[efect_inc]]</f>
        <v>60</v>
      </c>
      <c r="I29" s="9" t="n">
        <f aca="false">Tabla3510813153425[[#This Row],[Correctos]]/Tabla3510813153425[[#This Row],[total_sec]]</f>
        <v>0.662921348314607</v>
      </c>
      <c r="J29" s="9" t="n">
        <f aca="false">Tabla3510813153425[[#This Row],[efec_cor]]/Tabla3510813153425[[#This Row],[efec]]</f>
        <v>0.547619047619048</v>
      </c>
      <c r="K29" s="9" t="n">
        <f aca="false">Tabla3510813153425[[#This Row],[efect_inc]]/Tabla3510813153425[[#This Row],[efec]]</f>
        <v>0.452380952380952</v>
      </c>
      <c r="L29" s="9" t="n">
        <f aca="false">Tabla3510813153425[[#This Row],[no_efec_cor]]/Tabla3510813153425[[#This Row],[no_efe]]</f>
        <v>0.765957446808511</v>
      </c>
      <c r="M29" s="9" t="n">
        <f aca="false">Tabla3510813153425[[#This Row],[no_efec_inc]]/Tabla3510813153425[[#This Row],[no_efe]]</f>
        <v>0.234042553191489</v>
      </c>
      <c r="N29" s="9" t="n">
        <f aca="false">(Tabla3510813153425[[#This Row],[% efe_cor]]+Tabla3510813153425[[#This Row],[% no_efe_cor]])/2</f>
        <v>0.656788247213779</v>
      </c>
      <c r="O29" s="10" t="n">
        <f aca="false">(Tabla3510813153425[[#This Row],[% efe_inc]]+Tabla3510813153425[[#This Row],[% no_efect_inc]])/2</f>
        <v>0.343211752786221</v>
      </c>
      <c r="P29" s="11" t="n">
        <f aca="false">Tabla3510813153425[[#This Row],[no_efec_cor]]/(Tabla3510813153425[[#This Row],[efect_inc]]+Tabla3510813153425[[#This Row],[no_efec_cor]])</f>
        <v>0.654545454545455</v>
      </c>
      <c r="Q29" s="11" t="n">
        <f aca="false">Tabla3510813153425[[#This Row],[efec_cor]]/(Tabla3510813153425[[#This Row],[efec_cor]]+Tabla3510813153425[[#This Row],[no_efec_inc]])</f>
        <v>0.676470588235294</v>
      </c>
      <c r="R29" s="11" t="n">
        <f aca="false">(Tabla3510813153425[[#This Row],[PNE]]+Tabla3510813153425[[#This Row],[PE]])/2</f>
        <v>0.665508021390374</v>
      </c>
      <c r="S29" s="0" t="n">
        <v>84</v>
      </c>
      <c r="T29" s="0" t="n">
        <v>94</v>
      </c>
      <c r="U29" s="0" t="n">
        <f aca="false">Tabla3510813153425[[#This Row],[efec]]+Tabla3510813153425[[#This Row],[no_efe]]</f>
        <v>178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66</v>
      </c>
      <c r="D30" s="0" t="n">
        <v>28</v>
      </c>
      <c r="E30" s="0" t="n">
        <v>51</v>
      </c>
      <c r="F30" s="0" t="n">
        <v>33</v>
      </c>
      <c r="G30" s="0" t="n">
        <f aca="false">Tabla3510813153425[[#This Row],[no_efec_cor]]+Tabla3510813153425[[#This Row],[efec_cor]]</f>
        <v>117</v>
      </c>
      <c r="H30" s="0" t="n">
        <f aca="false">Tabla3510813153425[[#This Row],[no_efec_inc]]+Tabla3510813153425[[#This Row],[efect_inc]]</f>
        <v>61</v>
      </c>
      <c r="I30" s="9" t="n">
        <f aca="false">Tabla3510813153425[[#This Row],[Correctos]]/Tabla3510813153425[[#This Row],[total_sec]]</f>
        <v>0.657303370786517</v>
      </c>
      <c r="J30" s="9" t="n">
        <f aca="false">Tabla3510813153425[[#This Row],[efec_cor]]/Tabla3510813153425[[#This Row],[efec]]</f>
        <v>0.607142857142857</v>
      </c>
      <c r="K30" s="9" t="n">
        <f aca="false">Tabla3510813153425[[#This Row],[efect_inc]]/Tabla3510813153425[[#This Row],[efec]]</f>
        <v>0.392857142857143</v>
      </c>
      <c r="L30" s="9" t="n">
        <f aca="false">Tabla3510813153425[[#This Row],[no_efec_cor]]/Tabla3510813153425[[#This Row],[no_efe]]</f>
        <v>0.702127659574468</v>
      </c>
      <c r="M30" s="9" t="n">
        <f aca="false">Tabla3510813153425[[#This Row],[no_efec_inc]]/Tabla3510813153425[[#This Row],[no_efe]]</f>
        <v>0.297872340425532</v>
      </c>
      <c r="N30" s="9" t="n">
        <f aca="false">(Tabla3510813153425[[#This Row],[% efe_cor]]+Tabla3510813153425[[#This Row],[% no_efe_cor]])/2</f>
        <v>0.654635258358663</v>
      </c>
      <c r="O30" s="10" t="n">
        <f aca="false">(Tabla3510813153425[[#This Row],[% efe_inc]]+Tabla3510813153425[[#This Row],[% no_efect_inc]])/2</f>
        <v>0.345364741641337</v>
      </c>
      <c r="P30" s="11" t="n">
        <f aca="false">Tabla3510813153425[[#This Row],[no_efec_cor]]/(Tabla3510813153425[[#This Row],[efect_inc]]+Tabla3510813153425[[#This Row],[no_efec_cor]])</f>
        <v>0.666666666666667</v>
      </c>
      <c r="Q30" s="11" t="n">
        <f aca="false">Tabla3510813153425[[#This Row],[efec_cor]]/(Tabla3510813153425[[#This Row],[efec_cor]]+Tabla3510813153425[[#This Row],[no_efec_inc]])</f>
        <v>0.645569620253165</v>
      </c>
      <c r="R30" s="11" t="n">
        <f aca="false">(Tabla3510813153425[[#This Row],[PNE]]+Tabla3510813153425[[#This Row],[PE]])/2</f>
        <v>0.656118143459916</v>
      </c>
      <c r="S30" s="0" t="n">
        <v>84</v>
      </c>
      <c r="T30" s="0" t="n">
        <v>94</v>
      </c>
      <c r="U30" s="0" t="n">
        <f aca="false">Tabla3510813153425[[#This Row],[efec]]+Tabla3510813153425[[#This Row],[no_efe]]</f>
        <v>178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65</v>
      </c>
      <c r="D31" s="0" t="n">
        <v>29</v>
      </c>
      <c r="E31" s="0" t="n">
        <v>50</v>
      </c>
      <c r="F31" s="0" t="n">
        <v>34</v>
      </c>
      <c r="G31" s="0" t="n">
        <f aca="false">Tabla3510813153425[[#This Row],[no_efec_cor]]+Tabla3510813153425[[#This Row],[efec_cor]]</f>
        <v>115</v>
      </c>
      <c r="H31" s="0" t="n">
        <f aca="false">Tabla3510813153425[[#This Row],[no_efec_inc]]+Tabla3510813153425[[#This Row],[efect_inc]]</f>
        <v>63</v>
      </c>
      <c r="I31" s="9" t="n">
        <f aca="false">Tabla3510813153425[[#This Row],[Correctos]]/Tabla3510813153425[[#This Row],[total_sec]]</f>
        <v>0.646067415730337</v>
      </c>
      <c r="J31" s="9" t="n">
        <f aca="false">Tabla3510813153425[[#This Row],[efec_cor]]/Tabla3510813153425[[#This Row],[efec]]</f>
        <v>0.595238095238095</v>
      </c>
      <c r="K31" s="9" t="n">
        <f aca="false">Tabla3510813153425[[#This Row],[efect_inc]]/Tabla3510813153425[[#This Row],[efec]]</f>
        <v>0.404761904761905</v>
      </c>
      <c r="L31" s="9" t="n">
        <f aca="false">Tabla3510813153425[[#This Row],[no_efec_cor]]/Tabla3510813153425[[#This Row],[no_efe]]</f>
        <v>0.691489361702128</v>
      </c>
      <c r="M31" s="9" t="n">
        <f aca="false">Tabla3510813153425[[#This Row],[no_efec_inc]]/Tabla3510813153425[[#This Row],[no_efe]]</f>
        <v>0.308510638297872</v>
      </c>
      <c r="N31" s="9" t="n">
        <f aca="false">(Tabla3510813153425[[#This Row],[% efe_cor]]+Tabla3510813153425[[#This Row],[% no_efe_cor]])/2</f>
        <v>0.643363728470111</v>
      </c>
      <c r="O31" s="10" t="n">
        <f aca="false">(Tabla3510813153425[[#This Row],[% efe_inc]]+Tabla3510813153425[[#This Row],[% no_efect_inc]])/2</f>
        <v>0.356636271529889</v>
      </c>
      <c r="P31" s="11" t="n">
        <f aca="false">Tabla3510813153425[[#This Row],[no_efec_cor]]/(Tabla3510813153425[[#This Row],[efect_inc]]+Tabla3510813153425[[#This Row],[no_efec_cor]])</f>
        <v>0.656565656565657</v>
      </c>
      <c r="Q31" s="11" t="n">
        <f aca="false">Tabla3510813153425[[#This Row],[efec_cor]]/(Tabla3510813153425[[#This Row],[efec_cor]]+Tabla3510813153425[[#This Row],[no_efec_inc]])</f>
        <v>0.632911392405063</v>
      </c>
      <c r="R31" s="11" t="n">
        <f aca="false">(Tabla3510813153425[[#This Row],[PNE]]+Tabla3510813153425[[#This Row],[PE]])/2</f>
        <v>0.64473852448536</v>
      </c>
      <c r="S31" s="0" t="n">
        <v>84</v>
      </c>
      <c r="T31" s="0" t="n">
        <v>94</v>
      </c>
      <c r="U31" s="0" t="n">
        <f aca="false">Tabla3510813153425[[#This Row],[efec]]+Tabla3510813153425[[#This Row],[no_efe]]</f>
        <v>178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62</v>
      </c>
      <c r="D32" s="0" t="n">
        <v>32</v>
      </c>
      <c r="E32" s="0" t="n">
        <v>52</v>
      </c>
      <c r="F32" s="0" t="n">
        <v>32</v>
      </c>
      <c r="G32" s="0" t="n">
        <f aca="false">Tabla3510813153425[[#This Row],[no_efec_cor]]+Tabla3510813153425[[#This Row],[efec_cor]]</f>
        <v>114</v>
      </c>
      <c r="H32" s="0" t="n">
        <f aca="false">Tabla3510813153425[[#This Row],[no_efec_inc]]+Tabla3510813153425[[#This Row],[efect_inc]]</f>
        <v>64</v>
      </c>
      <c r="I32" s="9" t="n">
        <f aca="false">Tabla3510813153425[[#This Row],[Correctos]]/Tabla3510813153425[[#This Row],[total_sec]]</f>
        <v>0.640449438202247</v>
      </c>
      <c r="J32" s="9" t="n">
        <f aca="false">Tabla3510813153425[[#This Row],[efec_cor]]/Tabla3510813153425[[#This Row],[efec]]</f>
        <v>0.619047619047619</v>
      </c>
      <c r="K32" s="9" t="n">
        <f aca="false">Tabla3510813153425[[#This Row],[efect_inc]]/Tabla3510813153425[[#This Row],[efec]]</f>
        <v>0.380952380952381</v>
      </c>
      <c r="L32" s="9" t="n">
        <f aca="false">Tabla3510813153425[[#This Row],[no_efec_cor]]/Tabla3510813153425[[#This Row],[no_efe]]</f>
        <v>0.659574468085106</v>
      </c>
      <c r="M32" s="9" t="n">
        <f aca="false">Tabla3510813153425[[#This Row],[no_efec_inc]]/Tabla3510813153425[[#This Row],[no_efe]]</f>
        <v>0.340425531914894</v>
      </c>
      <c r="N32" s="9" t="n">
        <f aca="false">(Tabla3510813153425[[#This Row],[% efe_cor]]+Tabla3510813153425[[#This Row],[% no_efe_cor]])/2</f>
        <v>0.639311043566363</v>
      </c>
      <c r="O32" s="10" t="n">
        <f aca="false">(Tabla3510813153425[[#This Row],[% efe_inc]]+Tabla3510813153425[[#This Row],[% no_efect_inc]])/2</f>
        <v>0.360688956433637</v>
      </c>
      <c r="P32" s="11" t="n">
        <f aca="false">Tabla3510813153425[[#This Row],[no_efec_cor]]/(Tabla3510813153425[[#This Row],[efect_inc]]+Tabla3510813153425[[#This Row],[no_efec_cor]])</f>
        <v>0.659574468085106</v>
      </c>
      <c r="Q32" s="11" t="n">
        <f aca="false">Tabla3510813153425[[#This Row],[efec_cor]]/(Tabla3510813153425[[#This Row],[efec_cor]]+Tabla3510813153425[[#This Row],[no_efec_inc]])</f>
        <v>0.619047619047619</v>
      </c>
      <c r="R32" s="11" t="n">
        <f aca="false">(Tabla3510813153425[[#This Row],[PNE]]+Tabla3510813153425[[#This Row],[PE]])/2</f>
        <v>0.639311043566363</v>
      </c>
      <c r="S32" s="0" t="n">
        <v>84</v>
      </c>
      <c r="T32" s="0" t="n">
        <v>94</v>
      </c>
      <c r="U32" s="0" t="n">
        <f aca="false">Tabla3510813153425[[#This Row],[efec]]+Tabla3510813153425[[#This Row],[no_efe]]</f>
        <v>178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72</v>
      </c>
      <c r="D33" s="0" t="n">
        <v>22</v>
      </c>
      <c r="E33" s="0" t="n">
        <v>45</v>
      </c>
      <c r="F33" s="0" t="n">
        <v>39</v>
      </c>
      <c r="G33" s="0" t="n">
        <f aca="false">Tabla3510813153425[[#This Row],[no_efec_cor]]+Tabla3510813153425[[#This Row],[efec_cor]]</f>
        <v>117</v>
      </c>
      <c r="H33" s="0" t="n">
        <f aca="false">Tabla3510813153425[[#This Row],[no_efec_inc]]+Tabla3510813153425[[#This Row],[efect_inc]]</f>
        <v>61</v>
      </c>
      <c r="I33" s="9" t="n">
        <f aca="false">Tabla3510813153425[[#This Row],[Correctos]]/Tabla3510813153425[[#This Row],[total_sec]]</f>
        <v>0.657303370786517</v>
      </c>
      <c r="J33" s="9" t="n">
        <f aca="false">Tabla3510813153425[[#This Row],[efec_cor]]/Tabla3510813153425[[#This Row],[efec]]</f>
        <v>0.535714285714286</v>
      </c>
      <c r="K33" s="9" t="n">
        <f aca="false">Tabla3510813153425[[#This Row],[efect_inc]]/Tabla3510813153425[[#This Row],[efec]]</f>
        <v>0.464285714285714</v>
      </c>
      <c r="L33" s="9" t="n">
        <f aca="false">Tabla3510813153425[[#This Row],[no_efec_cor]]/Tabla3510813153425[[#This Row],[no_efe]]</f>
        <v>0.765957446808511</v>
      </c>
      <c r="M33" s="9" t="n">
        <f aca="false">Tabla3510813153425[[#This Row],[no_efec_inc]]/Tabla3510813153425[[#This Row],[no_efe]]</f>
        <v>0.234042553191489</v>
      </c>
      <c r="N33" s="9" t="n">
        <f aca="false">(Tabla3510813153425[[#This Row],[% efe_cor]]+Tabla3510813153425[[#This Row],[% no_efe_cor]])/2</f>
        <v>0.650835866261398</v>
      </c>
      <c r="O33" s="10" t="n">
        <f aca="false">(Tabla3510813153425[[#This Row],[% efe_inc]]+Tabla3510813153425[[#This Row],[% no_efect_inc]])/2</f>
        <v>0.349164133738602</v>
      </c>
      <c r="P33" s="11" t="n">
        <f aca="false">Tabla3510813153425[[#This Row],[no_efec_cor]]/(Tabla3510813153425[[#This Row],[efect_inc]]+Tabla3510813153425[[#This Row],[no_efec_cor]])</f>
        <v>0.648648648648649</v>
      </c>
      <c r="Q33" s="11" t="n">
        <f aca="false">Tabla3510813153425[[#This Row],[efec_cor]]/(Tabla3510813153425[[#This Row],[efec_cor]]+Tabla3510813153425[[#This Row],[no_efec_inc]])</f>
        <v>0.671641791044776</v>
      </c>
      <c r="R33" s="11" t="n">
        <f aca="false">(Tabla3510813153425[[#This Row],[PNE]]+Tabla3510813153425[[#This Row],[PE]])/2</f>
        <v>0.660145219846712</v>
      </c>
      <c r="S33" s="0" t="n">
        <v>84</v>
      </c>
      <c r="T33" s="0" t="n">
        <v>94</v>
      </c>
      <c r="U33" s="0" t="n">
        <f aca="false">Tabla3510813153425[[#This Row],[efec]]+Tabla3510813153425[[#This Row],[no_efe]]</f>
        <v>178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71</v>
      </c>
      <c r="D34" s="0" t="n">
        <v>23</v>
      </c>
      <c r="E34" s="0" t="n">
        <v>46</v>
      </c>
      <c r="F34" s="0" t="n">
        <v>38</v>
      </c>
      <c r="G34" s="0" t="n">
        <f aca="false">Tabla3510813153425[[#This Row],[no_efec_cor]]+Tabla3510813153425[[#This Row],[efec_cor]]</f>
        <v>117</v>
      </c>
      <c r="H34" s="0" t="n">
        <f aca="false">Tabla3510813153425[[#This Row],[no_efec_inc]]+Tabla3510813153425[[#This Row],[efect_inc]]</f>
        <v>61</v>
      </c>
      <c r="I34" s="9" t="n">
        <f aca="false">Tabla3510813153425[[#This Row],[Correctos]]/Tabla3510813153425[[#This Row],[total_sec]]</f>
        <v>0.657303370786517</v>
      </c>
      <c r="J34" s="9" t="n">
        <f aca="false">Tabla3510813153425[[#This Row],[efec_cor]]/Tabla3510813153425[[#This Row],[efec]]</f>
        <v>0.547619047619048</v>
      </c>
      <c r="K34" s="9" t="n">
        <f aca="false">Tabla3510813153425[[#This Row],[efect_inc]]/Tabla3510813153425[[#This Row],[efec]]</f>
        <v>0.452380952380952</v>
      </c>
      <c r="L34" s="9" t="n">
        <f aca="false">Tabla3510813153425[[#This Row],[no_efec_cor]]/Tabla3510813153425[[#This Row],[no_efe]]</f>
        <v>0.75531914893617</v>
      </c>
      <c r="M34" s="9" t="n">
        <f aca="false">Tabla3510813153425[[#This Row],[no_efec_inc]]/Tabla3510813153425[[#This Row],[no_efe]]</f>
        <v>0.24468085106383</v>
      </c>
      <c r="N34" s="9" t="n">
        <f aca="false">(Tabla3510813153425[[#This Row],[% efe_cor]]+Tabla3510813153425[[#This Row],[% no_efe_cor]])/2</f>
        <v>0.651469098277609</v>
      </c>
      <c r="O34" s="10" t="n">
        <f aca="false">(Tabla3510813153425[[#This Row],[% efe_inc]]+Tabla3510813153425[[#This Row],[% no_efect_inc]])/2</f>
        <v>0.348530901722391</v>
      </c>
      <c r="P34" s="11" t="n">
        <f aca="false">Tabla3510813153425[[#This Row],[no_efec_cor]]/(Tabla3510813153425[[#This Row],[efect_inc]]+Tabla3510813153425[[#This Row],[no_efec_cor]])</f>
        <v>0.651376146788991</v>
      </c>
      <c r="Q34" s="11" t="n">
        <f aca="false">Tabla3510813153425[[#This Row],[efec_cor]]/(Tabla3510813153425[[#This Row],[efec_cor]]+Tabla3510813153425[[#This Row],[no_efec_inc]])</f>
        <v>0.666666666666667</v>
      </c>
      <c r="R34" s="11" t="n">
        <f aca="false">(Tabla3510813153425[[#This Row],[PNE]]+Tabla3510813153425[[#This Row],[PE]])/2</f>
        <v>0.659021406727829</v>
      </c>
      <c r="S34" s="0" t="n">
        <v>84</v>
      </c>
      <c r="T34" s="0" t="n">
        <v>94</v>
      </c>
      <c r="U34" s="0" t="n">
        <f aca="false">Tabla3510813153425[[#This Row],[efec]]+Tabla3510813153425[[#This Row],[no_efe]]</f>
        <v>178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70</v>
      </c>
      <c r="D35" s="0" t="n">
        <v>24</v>
      </c>
      <c r="E35" s="0" t="n">
        <v>49</v>
      </c>
      <c r="F35" s="0" t="n">
        <v>35</v>
      </c>
      <c r="G35" s="0" t="n">
        <f aca="false">Tabla3510813153425[[#This Row],[no_efec_cor]]+Tabla3510813153425[[#This Row],[efec_cor]]</f>
        <v>119</v>
      </c>
      <c r="H35" s="0" t="n">
        <f aca="false">Tabla3510813153425[[#This Row],[no_efec_inc]]+Tabla3510813153425[[#This Row],[efect_inc]]</f>
        <v>59</v>
      </c>
      <c r="I35" s="9" t="n">
        <f aca="false">Tabla3510813153425[[#This Row],[Correctos]]/Tabla3510813153425[[#This Row],[total_sec]]</f>
        <v>0.668539325842697</v>
      </c>
      <c r="J35" s="9" t="n">
        <f aca="false">Tabla3510813153425[[#This Row],[efec_cor]]/Tabla3510813153425[[#This Row],[efec]]</f>
        <v>0.583333333333333</v>
      </c>
      <c r="K35" s="9" t="n">
        <f aca="false">Tabla3510813153425[[#This Row],[efect_inc]]/Tabla3510813153425[[#This Row],[efec]]</f>
        <v>0.416666666666667</v>
      </c>
      <c r="L35" s="9" t="n">
        <f aca="false">Tabla3510813153425[[#This Row],[no_efec_cor]]/Tabla3510813153425[[#This Row],[no_efe]]</f>
        <v>0.74468085106383</v>
      </c>
      <c r="M35" s="9" t="n">
        <f aca="false">Tabla3510813153425[[#This Row],[no_efec_inc]]/Tabla3510813153425[[#This Row],[no_efe]]</f>
        <v>0.25531914893617</v>
      </c>
      <c r="N35" s="9" t="n">
        <f aca="false">(Tabla3510813153425[[#This Row],[% efe_cor]]+Tabla3510813153425[[#This Row],[% no_efe_cor]])/2</f>
        <v>0.664007092198582</v>
      </c>
      <c r="O35" s="10" t="n">
        <f aca="false">(Tabla3510813153425[[#This Row],[% efe_inc]]+Tabla3510813153425[[#This Row],[% no_efect_inc]])/2</f>
        <v>0.335992907801418</v>
      </c>
      <c r="P35" s="11" t="n">
        <f aca="false">Tabla3510813153425[[#This Row],[no_efec_cor]]/(Tabla3510813153425[[#This Row],[efect_inc]]+Tabla3510813153425[[#This Row],[no_efec_cor]])</f>
        <v>0.666666666666667</v>
      </c>
      <c r="Q35" s="11" t="n">
        <f aca="false">Tabla3510813153425[[#This Row],[efec_cor]]/(Tabla3510813153425[[#This Row],[efec_cor]]+Tabla3510813153425[[#This Row],[no_efec_inc]])</f>
        <v>0.671232876712329</v>
      </c>
      <c r="R35" s="11" t="n">
        <f aca="false">(Tabla3510813153425[[#This Row],[PNE]]+Tabla3510813153425[[#This Row],[PE]])/2</f>
        <v>0.668949771689498</v>
      </c>
      <c r="S35" s="0" t="n">
        <v>84</v>
      </c>
      <c r="T35" s="0" t="n">
        <v>94</v>
      </c>
      <c r="U35" s="0" t="n">
        <f aca="false">Tabla3510813153425[[#This Row],[efec]]+Tabla3510813153425[[#This Row],[no_efe]]</f>
        <v>178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67</v>
      </c>
      <c r="D36" s="0" t="n">
        <v>27</v>
      </c>
      <c r="E36" s="0" t="n">
        <v>46</v>
      </c>
      <c r="F36" s="0" t="n">
        <v>38</v>
      </c>
      <c r="G36" s="0" t="n">
        <f aca="false">Tabla3510813153425[[#This Row],[no_efec_cor]]+Tabla3510813153425[[#This Row],[efec_cor]]</f>
        <v>113</v>
      </c>
      <c r="H36" s="0" t="n">
        <f aca="false">Tabla3510813153425[[#This Row],[no_efec_inc]]+Tabla3510813153425[[#This Row],[efect_inc]]</f>
        <v>65</v>
      </c>
      <c r="I36" s="9" t="n">
        <f aca="false">Tabla3510813153425[[#This Row],[Correctos]]/Tabla3510813153425[[#This Row],[total_sec]]</f>
        <v>0.634831460674157</v>
      </c>
      <c r="J36" s="9" t="n">
        <f aca="false">Tabla3510813153425[[#This Row],[efec_cor]]/Tabla3510813153425[[#This Row],[efec]]</f>
        <v>0.547619047619048</v>
      </c>
      <c r="K36" s="9" t="n">
        <f aca="false">Tabla3510813153425[[#This Row],[efect_inc]]/Tabla3510813153425[[#This Row],[efec]]</f>
        <v>0.452380952380952</v>
      </c>
      <c r="L36" s="9" t="n">
        <f aca="false">Tabla3510813153425[[#This Row],[no_efec_cor]]/Tabla3510813153425[[#This Row],[no_efe]]</f>
        <v>0.712765957446808</v>
      </c>
      <c r="M36" s="9" t="n">
        <f aca="false">Tabla3510813153425[[#This Row],[no_efec_inc]]/Tabla3510813153425[[#This Row],[no_efe]]</f>
        <v>0.287234042553191</v>
      </c>
      <c r="N36" s="9" t="n">
        <f aca="false">(Tabla3510813153425[[#This Row],[% efe_cor]]+Tabla3510813153425[[#This Row],[% no_efe_cor]])/2</f>
        <v>0.630192502532928</v>
      </c>
      <c r="O36" s="10" t="n">
        <f aca="false">(Tabla3510813153425[[#This Row],[% efe_inc]]+Tabla3510813153425[[#This Row],[% no_efect_inc]])/2</f>
        <v>0.369807497467072</v>
      </c>
      <c r="P36" s="11" t="n">
        <f aca="false">Tabla3510813153425[[#This Row],[no_efec_cor]]/(Tabla3510813153425[[#This Row],[efect_inc]]+Tabla3510813153425[[#This Row],[no_efec_cor]])</f>
        <v>0.638095238095238</v>
      </c>
      <c r="Q36" s="11" t="n">
        <f aca="false">Tabla3510813153425[[#This Row],[efec_cor]]/(Tabla3510813153425[[#This Row],[efec_cor]]+Tabla3510813153425[[#This Row],[no_efec_inc]])</f>
        <v>0.63013698630137</v>
      </c>
      <c r="R36" s="11" t="n">
        <f aca="false">(Tabla3510813153425[[#This Row],[PNE]]+Tabla3510813153425[[#This Row],[PE]])/2</f>
        <v>0.634116112198304</v>
      </c>
      <c r="S36" s="0" t="n">
        <v>84</v>
      </c>
      <c r="T36" s="0" t="n">
        <v>94</v>
      </c>
      <c r="U36" s="0" t="n">
        <f aca="false">Tabla3510813153425[[#This Row],[efec]]+Tabla3510813153425[[#This Row],[no_efe]]</f>
        <v>178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81</v>
      </c>
      <c r="D37" s="0" t="n">
        <v>13</v>
      </c>
      <c r="E37" s="0" t="n">
        <v>37</v>
      </c>
      <c r="F37" s="0" t="n">
        <v>47</v>
      </c>
      <c r="G37" s="0" t="n">
        <f aca="false">Tabla3510813153425[[#This Row],[no_efec_cor]]+Tabla3510813153425[[#This Row],[efec_cor]]</f>
        <v>118</v>
      </c>
      <c r="H37" s="0" t="n">
        <f aca="false">Tabla3510813153425[[#This Row],[no_efec_inc]]+Tabla3510813153425[[#This Row],[efect_inc]]</f>
        <v>60</v>
      </c>
      <c r="I37" s="9" t="n">
        <f aca="false">Tabla3510813153425[[#This Row],[Correctos]]/Tabla3510813153425[[#This Row],[total_sec]]</f>
        <v>0.662921348314607</v>
      </c>
      <c r="J37" s="9" t="n">
        <f aca="false">Tabla3510813153425[[#This Row],[efec_cor]]/Tabla3510813153425[[#This Row],[efec]]</f>
        <v>0.44047619047619</v>
      </c>
      <c r="K37" s="9" t="n">
        <f aca="false">Tabla3510813153425[[#This Row],[efect_inc]]/Tabla3510813153425[[#This Row],[efec]]</f>
        <v>0.55952380952381</v>
      </c>
      <c r="L37" s="9" t="n">
        <f aca="false">Tabla3510813153425[[#This Row],[no_efec_cor]]/Tabla3510813153425[[#This Row],[no_efe]]</f>
        <v>0.861702127659574</v>
      </c>
      <c r="M37" s="9" t="n">
        <f aca="false">Tabla3510813153425[[#This Row],[no_efec_inc]]/Tabla3510813153425[[#This Row],[no_efe]]</f>
        <v>0.138297872340426</v>
      </c>
      <c r="N37" s="9" t="n">
        <f aca="false">(Tabla3510813153425[[#This Row],[% efe_cor]]+Tabla3510813153425[[#This Row],[% no_efe_cor]])/2</f>
        <v>0.651089159067882</v>
      </c>
      <c r="O37" s="10" t="n">
        <f aca="false">(Tabla3510813153425[[#This Row],[% efe_inc]]+Tabla3510813153425[[#This Row],[% no_efect_inc]])/2</f>
        <v>0.348910840932118</v>
      </c>
      <c r="P37" s="11" t="n">
        <f aca="false">Tabla3510813153425[[#This Row],[no_efec_cor]]/(Tabla3510813153425[[#This Row],[efect_inc]]+Tabla3510813153425[[#This Row],[no_efec_cor]])</f>
        <v>0.6328125</v>
      </c>
      <c r="Q37" s="11" t="n">
        <f aca="false">Tabla3510813153425[[#This Row],[efec_cor]]/(Tabla3510813153425[[#This Row],[efec_cor]]+Tabla3510813153425[[#This Row],[no_efec_inc]])</f>
        <v>0.74</v>
      </c>
      <c r="R37" s="11" t="n">
        <f aca="false">(Tabla3510813153425[[#This Row],[PNE]]+Tabla3510813153425[[#This Row],[PE]])/2</f>
        <v>0.68640625</v>
      </c>
      <c r="S37" s="0" t="n">
        <v>84</v>
      </c>
      <c r="T37" s="0" t="n">
        <v>94</v>
      </c>
      <c r="U37" s="0" t="n">
        <f aca="false">Tabla3510813153425[[#This Row],[efec]]+Tabla3510813153425[[#This Row],[no_efe]]</f>
        <v>178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94</v>
      </c>
      <c r="D38" s="0" t="n">
        <v>0</v>
      </c>
      <c r="E38" s="0" t="n">
        <v>0</v>
      </c>
      <c r="F38" s="0" t="n">
        <v>84</v>
      </c>
      <c r="G38" s="0" t="n">
        <f aca="false">Tabla3510813153425[[#This Row],[no_efec_cor]]+Tabla3510813153425[[#This Row],[efec_cor]]</f>
        <v>94</v>
      </c>
      <c r="H38" s="0" t="n">
        <f aca="false">Tabla3510813153425[[#This Row],[no_efec_inc]]+Tabla3510813153425[[#This Row],[efect_inc]]</f>
        <v>84</v>
      </c>
      <c r="I38" s="9" t="n">
        <f aca="false">Tabla3510813153425[[#This Row],[Correctos]]/Tabla3510813153425[[#This Row],[total_sec]]</f>
        <v>0.528089887640449</v>
      </c>
      <c r="J38" s="9" t="n">
        <f aca="false">Tabla3510813153425[[#This Row],[efec_cor]]/Tabla3510813153425[[#This Row],[efec]]</f>
        <v>0</v>
      </c>
      <c r="K38" s="9" t="n">
        <f aca="false">Tabla3510813153425[[#This Row],[efect_inc]]/Tabla3510813153425[[#This Row],[efec]]</f>
        <v>1</v>
      </c>
      <c r="L38" s="9" t="n">
        <f aca="false">Tabla3510813153425[[#This Row],[no_efec_cor]]/Tabla3510813153425[[#This Row],[no_efe]]</f>
        <v>1</v>
      </c>
      <c r="M38" s="9" t="n">
        <f aca="false">Tabla3510813153425[[#This Row],[no_efec_inc]]/Tabla3510813153425[[#This Row],[no_efe]]</f>
        <v>0</v>
      </c>
      <c r="N38" s="9" t="n">
        <f aca="false">(Tabla3510813153425[[#This Row],[% efe_cor]]+Tabla3510813153425[[#This Row],[% no_efe_cor]])/2</f>
        <v>0.5</v>
      </c>
      <c r="O38" s="10" t="n">
        <f aca="false">(Tabla3510813153425[[#This Row],[% efe_inc]]+Tabla3510813153425[[#This Row],[% no_efect_inc]])/2</f>
        <v>0.5</v>
      </c>
      <c r="P38" s="11" t="n">
        <f aca="false">Tabla3510813153425[[#This Row],[no_efec_cor]]/(Tabla3510813153425[[#This Row],[efect_inc]]+Tabla3510813153425[[#This Row],[no_efec_cor]])</f>
        <v>0.528089887640449</v>
      </c>
      <c r="Q38" s="11" t="e">
        <f aca="false">Tabla3510813153425[[#This Row],[efec_cor]]/(Tabla3510813153425[[#This Row],[efec_cor]]+Tabla3510813153425[[#This Row],[no_efec_inc]])</f>
        <v>#DIV/0!</v>
      </c>
      <c r="R38" s="11" t="e">
        <f aca="false">(Tabla3510813153425[[#This Row],[PNE]]+Tabla3510813153425[[#This Row],[PE]])/2</f>
        <v>#DIV/0!</v>
      </c>
      <c r="S38" s="0" t="n">
        <v>84</v>
      </c>
      <c r="T38" s="0" t="n">
        <v>94</v>
      </c>
      <c r="U38" s="0" t="n">
        <f aca="false">Tabla3510813153425[[#This Row],[efec]]+Tabla3510813153425[[#This Row],[no_efe]]</f>
        <v>178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91</v>
      </c>
      <c r="D39" s="0" t="n">
        <v>3</v>
      </c>
      <c r="E39" s="0" t="n">
        <v>11</v>
      </c>
      <c r="F39" s="0" t="n">
        <v>73</v>
      </c>
      <c r="G39" s="0" t="n">
        <f aca="false">Tabla3510813153425[[#This Row],[no_efec_cor]]+Tabla3510813153425[[#This Row],[efec_cor]]</f>
        <v>102</v>
      </c>
      <c r="H39" s="0" t="n">
        <f aca="false">Tabla3510813153425[[#This Row],[no_efec_inc]]+Tabla3510813153425[[#This Row],[efect_inc]]</f>
        <v>76</v>
      </c>
      <c r="I39" s="9" t="n">
        <f aca="false">Tabla3510813153425[[#This Row],[Correctos]]/Tabla3510813153425[[#This Row],[total_sec]]</f>
        <v>0.573033707865169</v>
      </c>
      <c r="J39" s="9" t="n">
        <f aca="false">Tabla3510813153425[[#This Row],[efec_cor]]/Tabla3510813153425[[#This Row],[efec]]</f>
        <v>0.130952380952381</v>
      </c>
      <c r="K39" s="9" t="n">
        <f aca="false">Tabla3510813153425[[#This Row],[efect_inc]]/Tabla3510813153425[[#This Row],[efec]]</f>
        <v>0.869047619047619</v>
      </c>
      <c r="L39" s="9" t="n">
        <f aca="false">Tabla3510813153425[[#This Row],[no_efec_cor]]/Tabla3510813153425[[#This Row],[no_efe]]</f>
        <v>0.968085106382979</v>
      </c>
      <c r="M39" s="9" t="n">
        <f aca="false">Tabla3510813153425[[#This Row],[no_efec_inc]]/Tabla3510813153425[[#This Row],[no_efe]]</f>
        <v>0.0319148936170213</v>
      </c>
      <c r="N39" s="9" t="n">
        <f aca="false">(Tabla3510813153425[[#This Row],[% efe_cor]]+Tabla3510813153425[[#This Row],[% no_efe_cor]])/2</f>
        <v>0.54951874366768</v>
      </c>
      <c r="O39" s="10" t="n">
        <f aca="false">(Tabla3510813153425[[#This Row],[% efe_inc]]+Tabla3510813153425[[#This Row],[% no_efect_inc]])/2</f>
        <v>0.45048125633232</v>
      </c>
      <c r="P39" s="11" t="n">
        <f aca="false">Tabla3510813153425[[#This Row],[no_efec_cor]]/(Tabla3510813153425[[#This Row],[efect_inc]]+Tabla3510813153425[[#This Row],[no_efec_cor]])</f>
        <v>0.554878048780488</v>
      </c>
      <c r="Q39" s="11" t="n">
        <f aca="false">Tabla3510813153425[[#This Row],[efec_cor]]/(Tabla3510813153425[[#This Row],[efec_cor]]+Tabla3510813153425[[#This Row],[no_efec_inc]])</f>
        <v>0.785714285714286</v>
      </c>
      <c r="R39" s="11" t="n">
        <f aca="false">(Tabla3510813153425[[#This Row],[PNE]]+Tabla3510813153425[[#This Row],[PE]])/2</f>
        <v>0.670296167247387</v>
      </c>
      <c r="S39" s="0" t="n">
        <v>84</v>
      </c>
      <c r="T39" s="0" t="n">
        <v>94</v>
      </c>
      <c r="U39" s="0" t="n">
        <f aca="false">Tabla3510813153425[[#This Row],[efec]]+Tabla3510813153425[[#This Row],[no_efe]]</f>
        <v>178</v>
      </c>
    </row>
    <row r="40" customFormat="false" ht="15" hidden="false" customHeight="false" outlineLevel="0" collapsed="false">
      <c r="H40" s="9"/>
      <c r="I40" s="9"/>
      <c r="J40" s="9"/>
      <c r="K40" s="9"/>
      <c r="L40" s="9"/>
      <c r="M40" s="9"/>
      <c r="N40" s="10"/>
      <c r="O40" s="11"/>
      <c r="P40" s="11"/>
      <c r="Q40" s="11"/>
    </row>
    <row r="41" customFormat="false" ht="15" hidden="false" customHeight="false" outlineLevel="0" collapsed="false">
      <c r="H41" s="9"/>
      <c r="I41" s="9"/>
      <c r="J41" s="9"/>
      <c r="K41" s="9"/>
      <c r="L41" s="9"/>
      <c r="M41" s="9"/>
      <c r="N41" s="10"/>
      <c r="O41" s="11"/>
      <c r="P41" s="11"/>
      <c r="Q41" s="11"/>
    </row>
    <row r="42" customFormat="false" ht="15" hidden="false" customHeight="false" outlineLevel="0" collapsed="false">
      <c r="H42" s="9"/>
      <c r="I42" s="9"/>
      <c r="J42" s="9"/>
      <c r="K42" s="9"/>
      <c r="L42" s="9"/>
      <c r="M42" s="9"/>
      <c r="N42" s="10"/>
      <c r="O42" s="11"/>
      <c r="P42" s="11"/>
      <c r="Q42" s="11"/>
    </row>
    <row r="43" customFormat="false" ht="15" hidden="false" customHeight="false" outlineLevel="0" collapsed="false">
      <c r="H43" s="9"/>
      <c r="I43" s="9"/>
      <c r="J43" s="9"/>
      <c r="K43" s="9"/>
      <c r="L43" s="9"/>
      <c r="M43" s="9"/>
      <c r="N43" s="10"/>
      <c r="O43" s="11"/>
      <c r="P43" s="11"/>
      <c r="Q43" s="11"/>
    </row>
    <row r="44" customFormat="false" ht="15" hidden="false" customHeight="false" outlineLevel="0" collapsed="false">
      <c r="H44" s="9"/>
      <c r="I44" s="9"/>
      <c r="J44" s="9"/>
      <c r="K44" s="9"/>
      <c r="L44" s="9"/>
      <c r="M44" s="9"/>
      <c r="N44" s="10"/>
      <c r="O44" s="11"/>
      <c r="P44" s="11"/>
      <c r="Q44" s="11"/>
    </row>
    <row r="45" customFormat="false" ht="15" hidden="false" customHeight="false" outlineLevel="0" collapsed="false">
      <c r="H45" s="9"/>
      <c r="I45" s="9"/>
      <c r="J45" s="9"/>
      <c r="K45" s="9"/>
      <c r="L45" s="9"/>
      <c r="M45" s="9"/>
      <c r="N45" s="10"/>
      <c r="O45" s="11"/>
      <c r="P45" s="11"/>
      <c r="Q45" s="11"/>
    </row>
    <row r="46" customFormat="false" ht="15" hidden="false" customHeight="false" outlineLevel="0" collapsed="false">
      <c r="H46" s="9"/>
      <c r="I46" s="9"/>
      <c r="J46" s="9"/>
      <c r="K46" s="9"/>
      <c r="L46" s="9"/>
      <c r="M46" s="9"/>
      <c r="N46" s="10"/>
      <c r="O46" s="11"/>
      <c r="P46" s="11"/>
      <c r="Q46" s="11"/>
    </row>
    <row r="47" customFormat="false" ht="15" hidden="false" customHeight="false" outlineLevel="0" collapsed="false">
      <c r="H47" s="9"/>
      <c r="I47" s="9"/>
      <c r="J47" s="9"/>
      <c r="K47" s="9"/>
      <c r="L47" s="9"/>
      <c r="M47" s="9"/>
      <c r="N47" s="10"/>
      <c r="O47" s="11"/>
      <c r="P47" s="11"/>
      <c r="Q47" s="11"/>
    </row>
    <row r="48" customFormat="false" ht="15" hidden="false" customHeight="false" outlineLevel="0" collapsed="false">
      <c r="H48" s="9"/>
      <c r="I48" s="9"/>
      <c r="J48" s="9"/>
      <c r="K48" s="9"/>
      <c r="L48" s="9"/>
      <c r="M48" s="9"/>
      <c r="N48" s="10"/>
      <c r="O48" s="11"/>
      <c r="P48" s="11"/>
      <c r="Q48" s="11"/>
    </row>
    <row r="49" customFormat="false" ht="15" hidden="false" customHeight="false" outlineLevel="0" collapsed="false">
      <c r="H49" s="9"/>
      <c r="I49" s="9"/>
      <c r="J49" s="9"/>
      <c r="K49" s="9"/>
      <c r="L49" s="9"/>
      <c r="M49" s="9"/>
      <c r="N49" s="10"/>
      <c r="O49" s="11"/>
      <c r="P49" s="11"/>
      <c r="Q49" s="11"/>
    </row>
    <row r="50" customFormat="false" ht="15" hidden="false" customHeight="false" outlineLevel="0" collapsed="false">
      <c r="H50" s="9"/>
      <c r="I50" s="9"/>
      <c r="J50" s="9"/>
      <c r="K50" s="9"/>
      <c r="L50" s="9"/>
      <c r="M50" s="9"/>
      <c r="N50" s="10"/>
      <c r="O50" s="11"/>
      <c r="P50" s="11"/>
      <c r="Q50" s="11"/>
    </row>
    <row r="51" customFormat="false" ht="15" hidden="false" customHeight="false" outlineLevel="0" collapsed="false">
      <c r="H51" s="9"/>
      <c r="I51" s="9"/>
      <c r="J51" s="9"/>
      <c r="K51" s="9"/>
      <c r="L51" s="9"/>
      <c r="M51" s="9"/>
      <c r="N51" s="10"/>
      <c r="O51" s="11"/>
      <c r="P51" s="11"/>
      <c r="Q51" s="11"/>
    </row>
    <row r="52" customFormat="false" ht="15" hidden="false" customHeight="false" outlineLevel="0" collapsed="false">
      <c r="H52" s="9"/>
      <c r="I52" s="9"/>
      <c r="J52" s="9"/>
      <c r="K52" s="9"/>
      <c r="L52" s="9"/>
      <c r="M52" s="9"/>
      <c r="N52" s="10"/>
      <c r="O52" s="11"/>
      <c r="P52" s="11"/>
      <c r="Q52" s="11"/>
    </row>
    <row r="53" customFormat="false" ht="15" hidden="false" customHeight="false" outlineLevel="0" collapsed="false">
      <c r="H53" s="9"/>
      <c r="I53" s="9"/>
      <c r="J53" s="9"/>
      <c r="K53" s="9"/>
      <c r="L53" s="9"/>
      <c r="M53" s="9"/>
      <c r="N53" s="10"/>
      <c r="O53" s="11"/>
      <c r="P53" s="11"/>
      <c r="Q53" s="11"/>
    </row>
    <row r="54" customFormat="false" ht="15" hidden="false" customHeight="false" outlineLevel="0" collapsed="false">
      <c r="H54" s="9"/>
      <c r="I54" s="9"/>
      <c r="J54" s="9"/>
      <c r="K54" s="9"/>
      <c r="L54" s="9"/>
      <c r="M54" s="9"/>
      <c r="N54" s="10"/>
      <c r="O54" s="11"/>
      <c r="P54" s="11"/>
      <c r="Q54" s="11"/>
    </row>
    <row r="55" customFormat="false" ht="15" hidden="false" customHeight="false" outlineLevel="0" collapsed="false">
      <c r="H55" s="9"/>
      <c r="I55" s="9"/>
      <c r="J55" s="9"/>
      <c r="K55" s="9"/>
      <c r="L55" s="9"/>
      <c r="M55" s="9"/>
      <c r="N55" s="10"/>
      <c r="O55" s="11"/>
      <c r="P55" s="11"/>
      <c r="Q55" s="11"/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E39" activeCellId="0" sqref="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94</v>
      </c>
    </row>
    <row r="5" customFormat="false" ht="15" hidden="false" customHeight="false" outlineLevel="0" collapsed="false">
      <c r="A5" s="3" t="s">
        <v>3</v>
      </c>
      <c r="B5" s="3"/>
      <c r="C5" s="4" t="n">
        <v>92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186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59</v>
      </c>
      <c r="C10" s="0" t="n">
        <v>33</v>
      </c>
      <c r="D10" s="0" t="n">
        <v>54</v>
      </c>
      <c r="E10" s="0" t="n">
        <v>40</v>
      </c>
      <c r="F10" s="0" t="n">
        <f aca="false">Tabla3510813153221[[#This Row],[no_efec_cor]]+Tabla3510813153221[[#This Row],[efec_cor]]</f>
        <v>113</v>
      </c>
      <c r="G10" s="0" t="n">
        <f aca="false">Tabla3510813153221[[#This Row],[no_efec_inc]]+Tabla3510813153221[[#This Row],[efect_inc]]</f>
        <v>73</v>
      </c>
      <c r="H10" s="9" t="n">
        <f aca="false">Tabla3510813153221[[#This Row],[Correctos]]/Tabla3510813153221[[#This Row],[total_sec]]</f>
        <v>0.60752688172043</v>
      </c>
      <c r="I10" s="9" t="n">
        <f aca="false">Tabla3510813153221[[#This Row],[efec_cor]]/Tabla3510813153221[[#This Row],[efec]]</f>
        <v>0.574468085106383</v>
      </c>
      <c r="J10" s="9" t="n">
        <f aca="false">Tabla3510813153221[[#This Row],[efect_inc]]/Tabla3510813153221[[#This Row],[efec]]</f>
        <v>0.425531914893617</v>
      </c>
      <c r="K10" s="9" t="n">
        <f aca="false">Tabla3510813153221[[#This Row],[no_efec_cor]]/Tabla3510813153221[[#This Row],[no_efe]]</f>
        <v>0.641304347826087</v>
      </c>
      <c r="L10" s="9" t="n">
        <f aca="false">Tabla3510813153221[[#This Row],[no_efec_inc]]/Tabla3510813153221[[#This Row],[no_efe]]</f>
        <v>0.358695652173913</v>
      </c>
      <c r="M10" s="9" t="n">
        <f aca="false">(Tabla3510813153221[[#This Row],[% efe_cor]]+Tabla3510813153221[[#This Row],[% no_efe_cor]])/2</f>
        <v>0.607886216466235</v>
      </c>
      <c r="N10" s="10" t="n">
        <f aca="false">(Tabla3510813153221[[#This Row],[% efe_inc]]+Tabla3510813153221[[#This Row],[% no_efect_inc]])/2</f>
        <v>0.392113783533765</v>
      </c>
      <c r="O10" s="11" t="n">
        <f aca="false">Tabla3510813153221[[#This Row],[no_efec_cor]]/(Tabla3510813153221[[#This Row],[efect_inc]]+Tabla3510813153221[[#This Row],[no_efec_cor]])</f>
        <v>0.595959595959596</v>
      </c>
      <c r="P10" s="11" t="n">
        <f aca="false">Tabla3510813153221[[#This Row],[efec_cor]]/(Tabla3510813153221[[#This Row],[efec_cor]]+Tabla3510813153221[[#This Row],[no_efec_inc]])</f>
        <v>0.620689655172414</v>
      </c>
      <c r="Q10" s="11" t="n">
        <f aca="false">(Tabla3510813153221[[#This Row],[PNE]]+Tabla3510813153221[[#This Row],[PE]])/2</f>
        <v>0.608324625566005</v>
      </c>
      <c r="R10" s="0" t="n">
        <v>94</v>
      </c>
      <c r="S10" s="0" t="n">
        <v>92</v>
      </c>
      <c r="T10" s="0" t="n">
        <f aca="false">Tabla3510813153221[[#This Row],[efec]]+Tabla3510813153221[[#This Row],[no_efe]]</f>
        <v>186</v>
      </c>
    </row>
    <row r="11" customFormat="false" ht="13.8" hidden="false" customHeight="false" outlineLevel="0" collapsed="false">
      <c r="A11" s="0" t="n">
        <v>5</v>
      </c>
      <c r="B11" s="0" t="n">
        <v>68</v>
      </c>
      <c r="C11" s="0" t="n">
        <v>24</v>
      </c>
      <c r="D11" s="0" t="n">
        <v>45</v>
      </c>
      <c r="E11" s="0" t="n">
        <v>49</v>
      </c>
      <c r="F11" s="0" t="n">
        <f aca="false">Tabla3510813153221[[#This Row],[no_efec_cor]]+Tabla3510813153221[[#This Row],[efec_cor]]</f>
        <v>113</v>
      </c>
      <c r="G11" s="0" t="n">
        <f aca="false">Tabla3510813153221[[#This Row],[no_efec_inc]]+Tabla3510813153221[[#This Row],[efect_inc]]</f>
        <v>73</v>
      </c>
      <c r="H11" s="9" t="n">
        <f aca="false">Tabla3510813153221[[#This Row],[Correctos]]/Tabla3510813153221[[#This Row],[total_sec]]</f>
        <v>0.60752688172043</v>
      </c>
      <c r="I11" s="9" t="n">
        <f aca="false">Tabla3510813153221[[#This Row],[efec_cor]]/Tabla3510813153221[[#This Row],[efec]]</f>
        <v>0.478723404255319</v>
      </c>
      <c r="J11" s="9" t="n">
        <f aca="false">Tabla3510813153221[[#This Row],[efect_inc]]/Tabla3510813153221[[#This Row],[efec]]</f>
        <v>0.521276595744681</v>
      </c>
      <c r="K11" s="9" t="n">
        <f aca="false">Tabla3510813153221[[#This Row],[no_efec_cor]]/Tabla3510813153221[[#This Row],[no_efe]]</f>
        <v>0.739130434782609</v>
      </c>
      <c r="L11" s="9" t="n">
        <f aca="false">Tabla3510813153221[[#This Row],[no_efec_inc]]/Tabla3510813153221[[#This Row],[no_efe]]</f>
        <v>0.260869565217391</v>
      </c>
      <c r="M11" s="9" t="n">
        <f aca="false">(Tabla3510813153221[[#This Row],[% efe_cor]]+Tabla3510813153221[[#This Row],[% no_efe_cor]])/2</f>
        <v>0.608926919518964</v>
      </c>
      <c r="N11" s="10" t="n">
        <f aca="false">(Tabla3510813153221[[#This Row],[% efe_inc]]+Tabla3510813153221[[#This Row],[% no_efect_inc]])/2</f>
        <v>0.391073080481036</v>
      </c>
      <c r="O11" s="11" t="n">
        <f aca="false">Tabla3510813153221[[#This Row],[no_efec_cor]]/(Tabla3510813153221[[#This Row],[efect_inc]]+Tabla3510813153221[[#This Row],[no_efec_cor]])</f>
        <v>0.581196581196581</v>
      </c>
      <c r="P11" s="11" t="n">
        <f aca="false">Tabla3510813153221[[#This Row],[efec_cor]]/(Tabla3510813153221[[#This Row],[efec_cor]]+Tabla3510813153221[[#This Row],[no_efec_inc]])</f>
        <v>0.652173913043478</v>
      </c>
      <c r="Q11" s="11" t="n">
        <f aca="false">(Tabla3510813153221[[#This Row],[PNE]]+Tabla3510813153221[[#This Row],[PE]])/2</f>
        <v>0.61668524712003</v>
      </c>
      <c r="R11" s="0" t="n">
        <v>94</v>
      </c>
      <c r="S11" s="0" t="n">
        <v>92</v>
      </c>
      <c r="T11" s="0" t="n">
        <f aca="false">Tabla3510813153221[[#This Row],[efec]]+Tabla3510813153221[[#This Row],[no_efe]]</f>
        <v>186</v>
      </c>
    </row>
    <row r="12" customFormat="false" ht="13.8" hidden="false" customHeight="false" outlineLevel="0" collapsed="false">
      <c r="A12" s="0" t="n">
        <v>10</v>
      </c>
      <c r="B12" s="0" t="n">
        <v>61</v>
      </c>
      <c r="C12" s="0" t="n">
        <v>31</v>
      </c>
      <c r="D12" s="0" t="n">
        <v>51</v>
      </c>
      <c r="E12" s="0" t="n">
        <v>43</v>
      </c>
      <c r="F12" s="0" t="n">
        <f aca="false">Tabla3510813153221[[#This Row],[no_efec_cor]]+Tabla3510813153221[[#This Row],[efec_cor]]</f>
        <v>112</v>
      </c>
      <c r="G12" s="0" t="n">
        <f aca="false">Tabla3510813153221[[#This Row],[no_efec_inc]]+Tabla3510813153221[[#This Row],[efect_inc]]</f>
        <v>74</v>
      </c>
      <c r="H12" s="9" t="n">
        <f aca="false">Tabla3510813153221[[#This Row],[Correctos]]/Tabla3510813153221[[#This Row],[total_sec]]</f>
        <v>0.602150537634409</v>
      </c>
      <c r="I12" s="9" t="n">
        <f aca="false">Tabla3510813153221[[#This Row],[efec_cor]]/Tabla3510813153221[[#This Row],[efec]]</f>
        <v>0.542553191489362</v>
      </c>
      <c r="J12" s="9" t="n">
        <f aca="false">Tabla3510813153221[[#This Row],[efect_inc]]/Tabla3510813153221[[#This Row],[efec]]</f>
        <v>0.457446808510638</v>
      </c>
      <c r="K12" s="9" t="n">
        <f aca="false">Tabla3510813153221[[#This Row],[no_efec_cor]]/Tabla3510813153221[[#This Row],[no_efe]]</f>
        <v>0.663043478260869</v>
      </c>
      <c r="L12" s="9" t="n">
        <f aca="false">Tabla3510813153221[[#This Row],[no_efec_inc]]/Tabla3510813153221[[#This Row],[no_efe]]</f>
        <v>0.33695652173913</v>
      </c>
      <c r="M12" s="9" t="n">
        <f aca="false">(Tabla3510813153221[[#This Row],[% efe_cor]]+Tabla3510813153221[[#This Row],[% no_efe_cor]])/2</f>
        <v>0.602798334875116</v>
      </c>
      <c r="N12" s="10" t="n">
        <f aca="false">(Tabla3510813153221[[#This Row],[% efe_inc]]+Tabla3510813153221[[#This Row],[% no_efect_inc]])/2</f>
        <v>0.397201665124884</v>
      </c>
      <c r="O12" s="11" t="n">
        <f aca="false">Tabla3510813153221[[#This Row],[no_efec_cor]]/(Tabla3510813153221[[#This Row],[efect_inc]]+Tabla3510813153221[[#This Row],[no_efec_cor]])</f>
        <v>0.586538461538462</v>
      </c>
      <c r="P12" s="11" t="n">
        <f aca="false">Tabla3510813153221[[#This Row],[efec_cor]]/(Tabla3510813153221[[#This Row],[efec_cor]]+Tabla3510813153221[[#This Row],[no_efec_inc]])</f>
        <v>0.621951219512195</v>
      </c>
      <c r="Q12" s="11" t="n">
        <f aca="false">(Tabla3510813153221[[#This Row],[PNE]]+Tabla3510813153221[[#This Row],[PE]])/2</f>
        <v>0.604244840525328</v>
      </c>
      <c r="R12" s="0" t="n">
        <v>94</v>
      </c>
      <c r="S12" s="0" t="n">
        <v>92</v>
      </c>
      <c r="T12" s="0" t="n">
        <f aca="false">Tabla3510813153221[[#This Row],[efec]]+Tabla3510813153221[[#This Row],[no_efe]]</f>
        <v>186</v>
      </c>
    </row>
    <row r="13" customFormat="false" ht="13.8" hidden="false" customHeight="false" outlineLevel="0" collapsed="false">
      <c r="A13" s="0" t="n">
        <v>15</v>
      </c>
      <c r="B13" s="0" t="n">
        <v>75</v>
      </c>
      <c r="C13" s="0" t="n">
        <v>17</v>
      </c>
      <c r="D13" s="0" t="n">
        <v>37</v>
      </c>
      <c r="E13" s="0" t="n">
        <v>57</v>
      </c>
      <c r="F13" s="0" t="n">
        <f aca="false">Tabla3510813153221[[#This Row],[no_efec_cor]]+Tabla3510813153221[[#This Row],[efec_cor]]</f>
        <v>112</v>
      </c>
      <c r="G13" s="0" t="n">
        <f aca="false">Tabla3510813153221[[#This Row],[no_efec_inc]]+Tabla3510813153221[[#This Row],[efect_inc]]</f>
        <v>74</v>
      </c>
      <c r="H13" s="9" t="n">
        <f aca="false">Tabla3510813153221[[#This Row],[Correctos]]/Tabla3510813153221[[#This Row],[total_sec]]</f>
        <v>0.602150537634409</v>
      </c>
      <c r="I13" s="9" t="n">
        <f aca="false">Tabla3510813153221[[#This Row],[efec_cor]]/Tabla3510813153221[[#This Row],[efec]]</f>
        <v>0.393617021276596</v>
      </c>
      <c r="J13" s="9" t="n">
        <f aca="false">Tabla3510813153221[[#This Row],[efect_inc]]/Tabla3510813153221[[#This Row],[efec]]</f>
        <v>0.606382978723404</v>
      </c>
      <c r="K13" s="9" t="n">
        <f aca="false">Tabla3510813153221[[#This Row],[no_efec_cor]]/Tabla3510813153221[[#This Row],[no_efe]]</f>
        <v>0.815217391304348</v>
      </c>
      <c r="L13" s="9" t="n">
        <f aca="false">Tabla3510813153221[[#This Row],[no_efec_inc]]/Tabla3510813153221[[#This Row],[no_efe]]</f>
        <v>0.184782608695652</v>
      </c>
      <c r="M13" s="9" t="n">
        <f aca="false">(Tabla3510813153221[[#This Row],[% efe_cor]]+Tabla3510813153221[[#This Row],[% no_efe_cor]])/2</f>
        <v>0.604417206290472</v>
      </c>
      <c r="N13" s="10" t="n">
        <f aca="false">(Tabla3510813153221[[#This Row],[% efe_inc]]+Tabla3510813153221[[#This Row],[% no_efect_inc]])/2</f>
        <v>0.395582793709528</v>
      </c>
      <c r="O13" s="11" t="n">
        <f aca="false">Tabla3510813153221[[#This Row],[no_efec_cor]]/(Tabla3510813153221[[#This Row],[efect_inc]]+Tabla3510813153221[[#This Row],[no_efec_cor]])</f>
        <v>0.568181818181818</v>
      </c>
      <c r="P13" s="11" t="n">
        <f aca="false">Tabla3510813153221[[#This Row],[efec_cor]]/(Tabla3510813153221[[#This Row],[efec_cor]]+Tabla3510813153221[[#This Row],[no_efec_inc]])</f>
        <v>0.685185185185185</v>
      </c>
      <c r="Q13" s="11" t="n">
        <f aca="false">(Tabla3510813153221[[#This Row],[PNE]]+Tabla3510813153221[[#This Row],[PE]])/2</f>
        <v>0.626683501683502</v>
      </c>
      <c r="R13" s="0" t="n">
        <v>94</v>
      </c>
      <c r="S13" s="0" t="n">
        <v>92</v>
      </c>
      <c r="T13" s="0" t="n">
        <f aca="false">Tabla3510813153221[[#This Row],[efec]]+Tabla3510813153221[[#This Row],[no_efe]]</f>
        <v>186</v>
      </c>
    </row>
    <row r="14" customFormat="false" ht="13.8" hidden="false" customHeight="false" outlineLevel="0" collapsed="false">
      <c r="A14" s="0" t="n">
        <v>20</v>
      </c>
      <c r="B14" s="0" t="n">
        <v>73</v>
      </c>
      <c r="C14" s="0" t="n">
        <v>19</v>
      </c>
      <c r="D14" s="0" t="n">
        <v>37</v>
      </c>
      <c r="E14" s="0" t="n">
        <v>57</v>
      </c>
      <c r="F14" s="0" t="n">
        <f aca="false">Tabla3510813153221[[#This Row],[no_efec_cor]]+Tabla3510813153221[[#This Row],[efec_cor]]</f>
        <v>110</v>
      </c>
      <c r="G14" s="0" t="n">
        <f aca="false">Tabla3510813153221[[#This Row],[no_efec_inc]]+Tabla3510813153221[[#This Row],[efect_inc]]</f>
        <v>76</v>
      </c>
      <c r="H14" s="9" t="n">
        <f aca="false">Tabla3510813153221[[#This Row],[Correctos]]/Tabla3510813153221[[#This Row],[total_sec]]</f>
        <v>0.591397849462366</v>
      </c>
      <c r="I14" s="9" t="n">
        <f aca="false">Tabla3510813153221[[#This Row],[efec_cor]]/Tabla3510813153221[[#This Row],[efec]]</f>
        <v>0.393617021276596</v>
      </c>
      <c r="J14" s="9" t="n">
        <f aca="false">Tabla3510813153221[[#This Row],[efect_inc]]/Tabla3510813153221[[#This Row],[efec]]</f>
        <v>0.606382978723404</v>
      </c>
      <c r="K14" s="9" t="n">
        <f aca="false">Tabla3510813153221[[#This Row],[no_efec_cor]]/Tabla3510813153221[[#This Row],[no_efe]]</f>
        <v>0.793478260869565</v>
      </c>
      <c r="L14" s="9" t="n">
        <f aca="false">Tabla3510813153221[[#This Row],[no_efec_inc]]/Tabla3510813153221[[#This Row],[no_efe]]</f>
        <v>0.206521739130435</v>
      </c>
      <c r="M14" s="9" t="n">
        <f aca="false">(Tabla3510813153221[[#This Row],[% efe_cor]]+Tabla3510813153221[[#This Row],[% no_efe_cor]])/2</f>
        <v>0.59354764107308</v>
      </c>
      <c r="N14" s="10" t="n">
        <f aca="false">(Tabla3510813153221[[#This Row],[% efe_inc]]+Tabla3510813153221[[#This Row],[% no_efect_inc]])/2</f>
        <v>0.40645235892692</v>
      </c>
      <c r="O14" s="11" t="n">
        <f aca="false">Tabla3510813153221[[#This Row],[no_efec_cor]]/(Tabla3510813153221[[#This Row],[efect_inc]]+Tabla3510813153221[[#This Row],[no_efec_cor]])</f>
        <v>0.561538461538462</v>
      </c>
      <c r="P14" s="11" t="n">
        <f aca="false">Tabla3510813153221[[#This Row],[efec_cor]]/(Tabla3510813153221[[#This Row],[efec_cor]]+Tabla3510813153221[[#This Row],[no_efec_inc]])</f>
        <v>0.660714285714286</v>
      </c>
      <c r="Q14" s="11" t="n">
        <f aca="false">(Tabla3510813153221[[#This Row],[PNE]]+Tabla3510813153221[[#This Row],[PE]])/2</f>
        <v>0.611126373626374</v>
      </c>
      <c r="R14" s="0" t="n">
        <v>94</v>
      </c>
      <c r="S14" s="0" t="n">
        <v>92</v>
      </c>
      <c r="T14" s="0" t="n">
        <f aca="false">Tabla3510813153221[[#This Row],[efec]]+Tabla3510813153221[[#This Row],[no_efe]]</f>
        <v>186</v>
      </c>
    </row>
    <row r="15" customFormat="false" ht="13.8" hidden="false" customHeight="false" outlineLevel="0" collapsed="false">
      <c r="A15" s="0" t="n">
        <v>25</v>
      </c>
      <c r="B15" s="0" t="n">
        <v>80</v>
      </c>
      <c r="C15" s="0" t="n">
        <v>12</v>
      </c>
      <c r="D15" s="0" t="n">
        <v>32</v>
      </c>
      <c r="E15" s="0" t="n">
        <v>62</v>
      </c>
      <c r="F15" s="0" t="n">
        <f aca="false">Tabla3510813153221[[#This Row],[no_efec_cor]]+Tabla3510813153221[[#This Row],[efec_cor]]</f>
        <v>112</v>
      </c>
      <c r="G15" s="0" t="n">
        <f aca="false">Tabla3510813153221[[#This Row],[no_efec_inc]]+Tabla3510813153221[[#This Row],[efect_inc]]</f>
        <v>74</v>
      </c>
      <c r="H15" s="9" t="n">
        <f aca="false">Tabla3510813153221[[#This Row],[Correctos]]/Tabla3510813153221[[#This Row],[total_sec]]</f>
        <v>0.602150537634409</v>
      </c>
      <c r="I15" s="9" t="n">
        <f aca="false">Tabla3510813153221[[#This Row],[efec_cor]]/Tabla3510813153221[[#This Row],[efec]]</f>
        <v>0.340425531914894</v>
      </c>
      <c r="J15" s="9" t="n">
        <f aca="false">Tabla3510813153221[[#This Row],[efect_inc]]/Tabla3510813153221[[#This Row],[efec]]</f>
        <v>0.659574468085106</v>
      </c>
      <c r="K15" s="9" t="n">
        <f aca="false">Tabla3510813153221[[#This Row],[no_efec_cor]]/Tabla3510813153221[[#This Row],[no_efe]]</f>
        <v>0.869565217391304</v>
      </c>
      <c r="L15" s="9" t="n">
        <f aca="false">Tabla3510813153221[[#This Row],[no_efec_inc]]/Tabla3510813153221[[#This Row],[no_efe]]</f>
        <v>0.130434782608696</v>
      </c>
      <c r="M15" s="9" t="n">
        <f aca="false">(Tabla3510813153221[[#This Row],[% efe_cor]]+Tabla3510813153221[[#This Row],[% no_efe_cor]])/2</f>
        <v>0.604995374653099</v>
      </c>
      <c r="N15" s="10" t="n">
        <f aca="false">(Tabla3510813153221[[#This Row],[% efe_inc]]+Tabla3510813153221[[#This Row],[% no_efect_inc]])/2</f>
        <v>0.395004625346901</v>
      </c>
      <c r="O15" s="11" t="n">
        <f aca="false">Tabla3510813153221[[#This Row],[no_efec_cor]]/(Tabla3510813153221[[#This Row],[efect_inc]]+Tabla3510813153221[[#This Row],[no_efec_cor]])</f>
        <v>0.563380281690141</v>
      </c>
      <c r="P15" s="11" t="n">
        <f aca="false">Tabla3510813153221[[#This Row],[efec_cor]]/(Tabla3510813153221[[#This Row],[efec_cor]]+Tabla3510813153221[[#This Row],[no_efec_inc]])</f>
        <v>0.727272727272727</v>
      </c>
      <c r="Q15" s="11" t="n">
        <f aca="false">(Tabla3510813153221[[#This Row],[PNE]]+Tabla3510813153221[[#This Row],[PE]])/2</f>
        <v>0.645326504481434</v>
      </c>
      <c r="R15" s="0" t="n">
        <v>94</v>
      </c>
      <c r="S15" s="0" t="n">
        <v>92</v>
      </c>
      <c r="T15" s="0" t="n">
        <f aca="false">Tabla3510813153221[[#This Row],[efec]]+Tabla3510813153221[[#This Row],[no_efe]]</f>
        <v>186</v>
      </c>
    </row>
    <row r="16" customFormat="false" ht="13.8" hidden="false" customHeight="false" outlineLevel="0" collapsed="false">
      <c r="A16" s="0" t="n">
        <v>30</v>
      </c>
      <c r="B16" s="0" t="n">
        <v>78</v>
      </c>
      <c r="C16" s="0" t="n">
        <v>14</v>
      </c>
      <c r="D16" s="0" t="n">
        <v>30</v>
      </c>
      <c r="E16" s="0" t="n">
        <v>64</v>
      </c>
      <c r="F16" s="0" t="n">
        <f aca="false">Tabla3510813153221[[#This Row],[no_efec_cor]]+Tabla3510813153221[[#This Row],[efec_cor]]</f>
        <v>108</v>
      </c>
      <c r="G16" s="0" t="n">
        <f aca="false">Tabla3510813153221[[#This Row],[no_efec_inc]]+Tabla3510813153221[[#This Row],[efect_inc]]</f>
        <v>78</v>
      </c>
      <c r="H16" s="9" t="n">
        <f aca="false">Tabla3510813153221[[#This Row],[Correctos]]/Tabla3510813153221[[#This Row],[total_sec]]</f>
        <v>0.580645161290323</v>
      </c>
      <c r="I16" s="9" t="n">
        <f aca="false">Tabla3510813153221[[#This Row],[efec_cor]]/Tabla3510813153221[[#This Row],[efec]]</f>
        <v>0.319148936170213</v>
      </c>
      <c r="J16" s="9" t="n">
        <f aca="false">Tabla3510813153221[[#This Row],[efect_inc]]/Tabla3510813153221[[#This Row],[efec]]</f>
        <v>0.680851063829787</v>
      </c>
      <c r="K16" s="9" t="n">
        <f aca="false">Tabla3510813153221[[#This Row],[no_efec_cor]]/Tabla3510813153221[[#This Row],[no_efe]]</f>
        <v>0.847826086956522</v>
      </c>
      <c r="L16" s="9" t="n">
        <f aca="false">Tabla3510813153221[[#This Row],[no_efec_inc]]/Tabla3510813153221[[#This Row],[no_efe]]</f>
        <v>0.152173913043478</v>
      </c>
      <c r="M16" s="9" t="n">
        <f aca="false">(Tabla3510813153221[[#This Row],[% efe_cor]]+Tabla3510813153221[[#This Row],[% no_efe_cor]])/2</f>
        <v>0.583487511563367</v>
      </c>
      <c r="N16" s="10" t="n">
        <f aca="false">(Tabla3510813153221[[#This Row],[% efe_inc]]+Tabla3510813153221[[#This Row],[% no_efect_inc]])/2</f>
        <v>0.416512488436633</v>
      </c>
      <c r="O16" s="11" t="n">
        <f aca="false">Tabla3510813153221[[#This Row],[no_efec_cor]]/(Tabla3510813153221[[#This Row],[efect_inc]]+Tabla3510813153221[[#This Row],[no_efec_cor]])</f>
        <v>0.549295774647887</v>
      </c>
      <c r="P16" s="11" t="n">
        <f aca="false">Tabla3510813153221[[#This Row],[efec_cor]]/(Tabla3510813153221[[#This Row],[efec_cor]]+Tabla3510813153221[[#This Row],[no_efec_inc]])</f>
        <v>0.681818181818182</v>
      </c>
      <c r="Q16" s="11" t="n">
        <f aca="false">(Tabla3510813153221[[#This Row],[PNE]]+Tabla3510813153221[[#This Row],[PE]])/2</f>
        <v>0.615556978233035</v>
      </c>
      <c r="R16" s="0" t="n">
        <v>94</v>
      </c>
      <c r="S16" s="0" t="n">
        <v>92</v>
      </c>
      <c r="T16" s="0" t="n">
        <f aca="false">Tabla3510813153221[[#This Row],[efec]]+Tabla3510813153221[[#This Row],[no_efe]]</f>
        <v>186</v>
      </c>
    </row>
    <row r="17" customFormat="false" ht="13.8" hidden="false" customHeight="false" outlineLevel="0" collapsed="false">
      <c r="A17" s="0" t="n">
        <v>35</v>
      </c>
      <c r="B17" s="0" t="n">
        <v>84</v>
      </c>
      <c r="C17" s="0" t="n">
        <v>8</v>
      </c>
      <c r="D17" s="0" t="n">
        <v>27</v>
      </c>
      <c r="E17" s="0" t="n">
        <v>67</v>
      </c>
      <c r="F17" s="0" t="n">
        <f aca="false">Tabla3510813153221[[#This Row],[no_efec_cor]]+Tabla3510813153221[[#This Row],[efec_cor]]</f>
        <v>111</v>
      </c>
      <c r="G17" s="0" t="n">
        <f aca="false">Tabla3510813153221[[#This Row],[no_efec_inc]]+Tabla3510813153221[[#This Row],[efect_inc]]</f>
        <v>75</v>
      </c>
      <c r="H17" s="9" t="n">
        <f aca="false">Tabla3510813153221[[#This Row],[Correctos]]/Tabla3510813153221[[#This Row],[total_sec]]</f>
        <v>0.596774193548387</v>
      </c>
      <c r="I17" s="9" t="n">
        <f aca="false">Tabla3510813153221[[#This Row],[efec_cor]]/Tabla3510813153221[[#This Row],[efec]]</f>
        <v>0.287234042553191</v>
      </c>
      <c r="J17" s="9" t="n">
        <f aca="false">Tabla3510813153221[[#This Row],[efect_inc]]/Tabla3510813153221[[#This Row],[efec]]</f>
        <v>0.712765957446808</v>
      </c>
      <c r="K17" s="9" t="n">
        <f aca="false">Tabla3510813153221[[#This Row],[no_efec_cor]]/Tabla3510813153221[[#This Row],[no_efe]]</f>
        <v>0.91304347826087</v>
      </c>
      <c r="L17" s="9" t="n">
        <f aca="false">Tabla3510813153221[[#This Row],[no_efec_inc]]/Tabla3510813153221[[#This Row],[no_efe]]</f>
        <v>0.0869565217391304</v>
      </c>
      <c r="M17" s="9" t="n">
        <f aca="false">(Tabla3510813153221[[#This Row],[% efe_cor]]+Tabla3510813153221[[#This Row],[% no_efe_cor]])/2</f>
        <v>0.600138760407031</v>
      </c>
      <c r="N17" s="10" t="n">
        <f aca="false">(Tabla3510813153221[[#This Row],[% efe_inc]]+Tabla3510813153221[[#This Row],[% no_efect_inc]])/2</f>
        <v>0.399861239592969</v>
      </c>
      <c r="O17" s="11" t="n">
        <f aca="false">Tabla3510813153221[[#This Row],[no_efec_cor]]/(Tabla3510813153221[[#This Row],[efect_inc]]+Tabla3510813153221[[#This Row],[no_efec_cor]])</f>
        <v>0.556291390728477</v>
      </c>
      <c r="P17" s="11" t="n">
        <f aca="false">Tabla3510813153221[[#This Row],[efec_cor]]/(Tabla3510813153221[[#This Row],[efec_cor]]+Tabla3510813153221[[#This Row],[no_efec_inc]])</f>
        <v>0.771428571428571</v>
      </c>
      <c r="Q17" s="11" t="n">
        <f aca="false">(Tabla3510813153221[[#This Row],[PNE]]+Tabla3510813153221[[#This Row],[PE]])/2</f>
        <v>0.663859981078524</v>
      </c>
      <c r="R17" s="0" t="n">
        <v>94</v>
      </c>
      <c r="S17" s="0" t="n">
        <v>92</v>
      </c>
      <c r="T17" s="0" t="n">
        <f aca="false">Tabla3510813153221[[#This Row],[efec]]+Tabla3510813153221[[#This Row],[no_efe]]</f>
        <v>186</v>
      </c>
    </row>
    <row r="18" customFormat="false" ht="13.8" hidden="false" customHeight="false" outlineLevel="0" collapsed="false">
      <c r="A18" s="0" t="n">
        <v>39</v>
      </c>
      <c r="B18" s="0" t="n">
        <v>85</v>
      </c>
      <c r="C18" s="0" t="n">
        <v>7</v>
      </c>
      <c r="D18" s="0" t="n">
        <v>24</v>
      </c>
      <c r="E18" s="0" t="n">
        <v>70</v>
      </c>
      <c r="F18" s="0" t="n">
        <f aca="false">Tabla3510813153221[[#This Row],[no_efec_cor]]+Tabla3510813153221[[#This Row],[efec_cor]]</f>
        <v>109</v>
      </c>
      <c r="G18" s="0" t="n">
        <f aca="false">Tabla3510813153221[[#This Row],[no_efec_inc]]+Tabla3510813153221[[#This Row],[efect_inc]]</f>
        <v>77</v>
      </c>
      <c r="H18" s="9" t="n">
        <f aca="false">Tabla3510813153221[[#This Row],[Correctos]]/Tabla3510813153221[[#This Row],[total_sec]]</f>
        <v>0.586021505376344</v>
      </c>
      <c r="I18" s="9" t="n">
        <f aca="false">Tabla3510813153221[[#This Row],[efec_cor]]/Tabla3510813153221[[#This Row],[efec]]</f>
        <v>0.25531914893617</v>
      </c>
      <c r="J18" s="9" t="n">
        <f aca="false">Tabla3510813153221[[#This Row],[efect_inc]]/Tabla3510813153221[[#This Row],[efec]]</f>
        <v>0.74468085106383</v>
      </c>
      <c r="K18" s="9" t="n">
        <f aca="false">Tabla3510813153221[[#This Row],[no_efec_cor]]/Tabla3510813153221[[#This Row],[no_efe]]</f>
        <v>0.923913043478261</v>
      </c>
      <c r="L18" s="9" t="n">
        <f aca="false">Tabla3510813153221[[#This Row],[no_efec_inc]]/Tabla3510813153221[[#This Row],[no_efe]]</f>
        <v>0.0760869565217391</v>
      </c>
      <c r="M18" s="9" t="n">
        <f aca="false">(Tabla3510813153221[[#This Row],[% efe_cor]]+Tabla3510813153221[[#This Row],[% no_efe_cor]])/2</f>
        <v>0.589616096207216</v>
      </c>
      <c r="N18" s="10" t="n">
        <f aca="false">(Tabla3510813153221[[#This Row],[% efe_inc]]+Tabla3510813153221[[#This Row],[% no_efect_inc]])/2</f>
        <v>0.410383903792784</v>
      </c>
      <c r="O18" s="11" t="n">
        <f aca="false">Tabla3510813153221[[#This Row],[no_efec_cor]]/(Tabla3510813153221[[#This Row],[efect_inc]]+Tabla3510813153221[[#This Row],[no_efec_cor]])</f>
        <v>0.548387096774194</v>
      </c>
      <c r="P18" s="11" t="n">
        <f aca="false">Tabla3510813153221[[#This Row],[efec_cor]]/(Tabla3510813153221[[#This Row],[efec_cor]]+Tabla3510813153221[[#This Row],[no_efec_inc]])</f>
        <v>0.774193548387097</v>
      </c>
      <c r="Q18" s="11" t="n">
        <f aca="false">(Tabla3510813153221[[#This Row],[PNE]]+Tabla3510813153221[[#This Row],[PE]])/2</f>
        <v>0.661290322580645</v>
      </c>
      <c r="R18" s="0" t="n">
        <v>94</v>
      </c>
      <c r="S18" s="0" t="n">
        <v>92</v>
      </c>
      <c r="T18" s="0" t="n">
        <f aca="false">Tabla3510813153221[[#This Row],[efec]]+Tabla3510813153221[[#This Row],[no_efe]]</f>
        <v>186</v>
      </c>
    </row>
    <row r="20" customFormat="false" ht="19.5" hidden="false" customHeight="false" outlineLevel="0" collapsed="false">
      <c r="A20" s="1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86</v>
      </c>
      <c r="D26" s="0" t="n">
        <v>6</v>
      </c>
      <c r="E26" s="0" t="n">
        <v>27</v>
      </c>
      <c r="F26" s="0" t="n">
        <v>67</v>
      </c>
      <c r="G26" s="0" t="n">
        <f aca="false">Tabla3510813153426[[#This Row],[no_efec_cor]]+Tabla3510813153426[[#This Row],[efec_cor]]</f>
        <v>113</v>
      </c>
      <c r="H26" s="0" t="n">
        <f aca="false">Tabla3510813153426[[#This Row],[no_efec_inc]]+Tabla3510813153426[[#This Row],[efect_inc]]</f>
        <v>73</v>
      </c>
      <c r="I26" s="9" t="n">
        <f aca="false">Tabla3510813153426[[#This Row],[Correctos]]/Tabla3510813153426[[#This Row],[total_sec]]</f>
        <v>0.60752688172043</v>
      </c>
      <c r="J26" s="9" t="n">
        <f aca="false">Tabla3510813153426[[#This Row],[efec_cor]]/Tabla3510813153426[[#This Row],[efec]]</f>
        <v>0.287234042553191</v>
      </c>
      <c r="K26" s="9" t="n">
        <f aca="false">Tabla3510813153426[[#This Row],[efect_inc]]/Tabla3510813153426[[#This Row],[efec]]</f>
        <v>0.712765957446808</v>
      </c>
      <c r="L26" s="9" t="n">
        <f aca="false">Tabla3510813153426[[#This Row],[no_efec_cor]]/Tabla3510813153426[[#This Row],[no_efe]]</f>
        <v>0.934782608695652</v>
      </c>
      <c r="M26" s="9" t="n">
        <f aca="false">Tabla3510813153426[[#This Row],[no_efec_inc]]/Tabla3510813153426[[#This Row],[no_efe]]</f>
        <v>0.0652173913043478</v>
      </c>
      <c r="N26" s="9" t="n">
        <f aca="false">(Tabla3510813153426[[#This Row],[% efe_cor]]+Tabla3510813153426[[#This Row],[% no_efe_cor]])/2</f>
        <v>0.611008325624422</v>
      </c>
      <c r="O26" s="10" t="n">
        <f aca="false">(Tabla3510813153426[[#This Row],[% efe_inc]]+Tabla3510813153426[[#This Row],[% no_efect_inc]])/2</f>
        <v>0.388991674375578</v>
      </c>
      <c r="P26" s="11" t="n">
        <f aca="false">Tabla3510813153426[[#This Row],[no_efec_cor]]/(Tabla3510813153426[[#This Row],[efect_inc]]+Tabla3510813153426[[#This Row],[no_efec_cor]])</f>
        <v>0.562091503267974</v>
      </c>
      <c r="Q26" s="11" t="n">
        <f aca="false">Tabla3510813153426[[#This Row],[efec_cor]]/(Tabla3510813153426[[#This Row],[efec_cor]]+Tabla3510813153426[[#This Row],[no_efec_inc]])</f>
        <v>0.818181818181818</v>
      </c>
      <c r="R26" s="11" t="n">
        <f aca="false">(Tabla3510813153426[[#This Row],[PNE]]+Tabla3510813153426[[#This Row],[PE]])/2</f>
        <v>0.690136660724896</v>
      </c>
      <c r="S26" s="0" t="n">
        <v>94</v>
      </c>
      <c r="T26" s="0" t="n">
        <v>92</v>
      </c>
      <c r="U26" s="0" t="n">
        <f aca="false">Tabla3510813153426[[#This Row],[efec]]+Tabla3510813153426[[#This Row],[no_efe]]</f>
        <v>186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81</v>
      </c>
      <c r="D27" s="0" t="n">
        <v>11</v>
      </c>
      <c r="E27" s="0" t="n">
        <v>28</v>
      </c>
      <c r="F27" s="0" t="n">
        <v>66</v>
      </c>
      <c r="G27" s="0" t="n">
        <f aca="false">Tabla3510813153426[[#This Row],[no_efec_cor]]+Tabla3510813153426[[#This Row],[efec_cor]]</f>
        <v>109</v>
      </c>
      <c r="H27" s="0" t="n">
        <f aca="false">Tabla3510813153426[[#This Row],[no_efec_inc]]+Tabla3510813153426[[#This Row],[efect_inc]]</f>
        <v>77</v>
      </c>
      <c r="I27" s="9" t="n">
        <f aca="false">Tabla3510813153426[[#This Row],[Correctos]]/Tabla3510813153426[[#This Row],[total_sec]]</f>
        <v>0.586021505376344</v>
      </c>
      <c r="J27" s="9" t="n">
        <f aca="false">Tabla3510813153426[[#This Row],[efec_cor]]/Tabla3510813153426[[#This Row],[efec]]</f>
        <v>0.297872340425532</v>
      </c>
      <c r="K27" s="9" t="n">
        <f aca="false">Tabla3510813153426[[#This Row],[efect_inc]]/Tabla3510813153426[[#This Row],[efec]]</f>
        <v>0.702127659574468</v>
      </c>
      <c r="L27" s="9" t="n">
        <f aca="false">Tabla3510813153426[[#This Row],[no_efec_cor]]/Tabla3510813153426[[#This Row],[no_efe]]</f>
        <v>0.880434782608696</v>
      </c>
      <c r="M27" s="9" t="n">
        <f aca="false">Tabla3510813153426[[#This Row],[no_efec_inc]]/Tabla3510813153426[[#This Row],[no_efe]]</f>
        <v>0.119565217391304</v>
      </c>
      <c r="N27" s="9" t="n">
        <f aca="false">(Tabla3510813153426[[#This Row],[% efe_cor]]+Tabla3510813153426[[#This Row],[% no_efe_cor]])/2</f>
        <v>0.589153561517114</v>
      </c>
      <c r="O27" s="10" t="n">
        <f aca="false">(Tabla3510813153426[[#This Row],[% efe_inc]]+Tabla3510813153426[[#This Row],[% no_efect_inc]])/2</f>
        <v>0.410846438482886</v>
      </c>
      <c r="P27" s="11" t="n">
        <f aca="false">Tabla3510813153426[[#This Row],[no_efec_cor]]/(Tabla3510813153426[[#This Row],[efect_inc]]+Tabla3510813153426[[#This Row],[no_efec_cor]])</f>
        <v>0.551020408163265</v>
      </c>
      <c r="Q27" s="11" t="n">
        <f aca="false">Tabla3510813153426[[#This Row],[efec_cor]]/(Tabla3510813153426[[#This Row],[efec_cor]]+Tabla3510813153426[[#This Row],[no_efec_inc]])</f>
        <v>0.717948717948718</v>
      </c>
      <c r="R27" s="11" t="n">
        <f aca="false">(Tabla3510813153426[[#This Row],[PNE]]+Tabla3510813153426[[#This Row],[PE]])/2</f>
        <v>0.634484563055992</v>
      </c>
      <c r="S27" s="0" t="n">
        <v>94</v>
      </c>
      <c r="T27" s="0" t="n">
        <v>92</v>
      </c>
      <c r="U27" s="0" t="n">
        <f aca="false">Tabla3510813153426[[#This Row],[efec]]+Tabla3510813153426[[#This Row],[no_efe]]</f>
        <v>186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69</v>
      </c>
      <c r="D28" s="0" t="n">
        <v>23</v>
      </c>
      <c r="E28" s="0" t="n">
        <v>50</v>
      </c>
      <c r="F28" s="0" t="n">
        <v>44</v>
      </c>
      <c r="G28" s="0" t="n">
        <f aca="false">Tabla3510813153426[[#This Row],[no_efec_cor]]+Tabla3510813153426[[#This Row],[efec_cor]]</f>
        <v>119</v>
      </c>
      <c r="H28" s="0" t="n">
        <f aca="false">Tabla3510813153426[[#This Row],[no_efec_inc]]+Tabla3510813153426[[#This Row],[efect_inc]]</f>
        <v>67</v>
      </c>
      <c r="I28" s="9" t="n">
        <f aca="false">Tabla3510813153426[[#This Row],[Correctos]]/Tabla3510813153426[[#This Row],[total_sec]]</f>
        <v>0.639784946236559</v>
      </c>
      <c r="J28" s="9" t="n">
        <f aca="false">Tabla3510813153426[[#This Row],[efec_cor]]/Tabla3510813153426[[#This Row],[efec]]</f>
        <v>0.531914893617021</v>
      </c>
      <c r="K28" s="9" t="n">
        <f aca="false">Tabla3510813153426[[#This Row],[efect_inc]]/Tabla3510813153426[[#This Row],[efec]]</f>
        <v>0.468085106382979</v>
      </c>
      <c r="L28" s="9" t="n">
        <f aca="false">Tabla3510813153426[[#This Row],[no_efec_cor]]/Tabla3510813153426[[#This Row],[no_efe]]</f>
        <v>0.75</v>
      </c>
      <c r="M28" s="9" t="n">
        <f aca="false">Tabla3510813153426[[#This Row],[no_efec_inc]]/Tabla3510813153426[[#This Row],[no_efe]]</f>
        <v>0.25</v>
      </c>
      <c r="N28" s="9" t="n">
        <f aca="false">(Tabla3510813153426[[#This Row],[% efe_cor]]+Tabla3510813153426[[#This Row],[% no_efe_cor]])/2</f>
        <v>0.640957446808511</v>
      </c>
      <c r="O28" s="10" t="n">
        <f aca="false">(Tabla3510813153426[[#This Row],[% efe_inc]]+Tabla3510813153426[[#This Row],[% no_efect_inc]])/2</f>
        <v>0.359042553191489</v>
      </c>
      <c r="P28" s="11" t="n">
        <f aca="false">Tabla3510813153426[[#This Row],[no_efec_cor]]/(Tabla3510813153426[[#This Row],[efect_inc]]+Tabla3510813153426[[#This Row],[no_efec_cor]])</f>
        <v>0.610619469026549</v>
      </c>
      <c r="Q28" s="11" t="n">
        <f aca="false">Tabla3510813153426[[#This Row],[efec_cor]]/(Tabla3510813153426[[#This Row],[efec_cor]]+Tabla3510813153426[[#This Row],[no_efec_inc]])</f>
        <v>0.684931506849315</v>
      </c>
      <c r="R28" s="11" t="n">
        <f aca="false">(Tabla3510813153426[[#This Row],[PNE]]+Tabla3510813153426[[#This Row],[PE]])/2</f>
        <v>0.647775487937932</v>
      </c>
      <c r="S28" s="0" t="n">
        <v>94</v>
      </c>
      <c r="T28" s="0" t="n">
        <v>92</v>
      </c>
      <c r="U28" s="0" t="n">
        <f aca="false">Tabla3510813153426[[#This Row],[efec]]+Tabla3510813153426[[#This Row],[no_efe]]</f>
        <v>186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66</v>
      </c>
      <c r="D29" s="0" t="n">
        <v>26</v>
      </c>
      <c r="E29" s="0" t="n">
        <v>54</v>
      </c>
      <c r="F29" s="0" t="n">
        <v>40</v>
      </c>
      <c r="G29" s="0" t="n">
        <f aca="false">Tabla3510813153426[[#This Row],[no_efec_cor]]+Tabla3510813153426[[#This Row],[efec_cor]]</f>
        <v>120</v>
      </c>
      <c r="H29" s="0" t="n">
        <f aca="false">Tabla3510813153426[[#This Row],[no_efec_inc]]+Tabla3510813153426[[#This Row],[efect_inc]]</f>
        <v>66</v>
      </c>
      <c r="I29" s="9" t="n">
        <f aca="false">Tabla3510813153426[[#This Row],[Correctos]]/Tabla3510813153426[[#This Row],[total_sec]]</f>
        <v>0.645161290322581</v>
      </c>
      <c r="J29" s="9" t="n">
        <f aca="false">Tabla3510813153426[[#This Row],[efec_cor]]/Tabla3510813153426[[#This Row],[efec]]</f>
        <v>0.574468085106383</v>
      </c>
      <c r="K29" s="9" t="n">
        <f aca="false">Tabla3510813153426[[#This Row],[efect_inc]]/Tabla3510813153426[[#This Row],[efec]]</f>
        <v>0.425531914893617</v>
      </c>
      <c r="L29" s="9" t="n">
        <f aca="false">Tabla3510813153426[[#This Row],[no_efec_cor]]/Tabla3510813153426[[#This Row],[no_efe]]</f>
        <v>0.717391304347826</v>
      </c>
      <c r="M29" s="9" t="n">
        <f aca="false">Tabla3510813153426[[#This Row],[no_efec_inc]]/Tabla3510813153426[[#This Row],[no_efe]]</f>
        <v>0.282608695652174</v>
      </c>
      <c r="N29" s="9" t="n">
        <f aca="false">(Tabla3510813153426[[#This Row],[% efe_cor]]+Tabla3510813153426[[#This Row],[% no_efe_cor]])/2</f>
        <v>0.645929694727105</v>
      </c>
      <c r="O29" s="10" t="n">
        <f aca="false">(Tabla3510813153426[[#This Row],[% efe_inc]]+Tabla3510813153426[[#This Row],[% no_efect_inc]])/2</f>
        <v>0.354070305272895</v>
      </c>
      <c r="P29" s="11" t="n">
        <f aca="false">Tabla3510813153426[[#This Row],[no_efec_cor]]/(Tabla3510813153426[[#This Row],[efect_inc]]+Tabla3510813153426[[#This Row],[no_efec_cor]])</f>
        <v>0.622641509433962</v>
      </c>
      <c r="Q29" s="11" t="n">
        <f aca="false">Tabla3510813153426[[#This Row],[efec_cor]]/(Tabla3510813153426[[#This Row],[efec_cor]]+Tabla3510813153426[[#This Row],[no_efec_inc]])</f>
        <v>0.675</v>
      </c>
      <c r="R29" s="11" t="n">
        <f aca="false">(Tabla3510813153426[[#This Row],[PNE]]+Tabla3510813153426[[#This Row],[PE]])/2</f>
        <v>0.648820754716981</v>
      </c>
      <c r="S29" s="0" t="n">
        <v>94</v>
      </c>
      <c r="T29" s="0" t="n">
        <v>92</v>
      </c>
      <c r="U29" s="0" t="n">
        <f aca="false">Tabla3510813153426[[#This Row],[efec]]+Tabla3510813153426[[#This Row],[no_efe]]</f>
        <v>186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62</v>
      </c>
      <c r="D30" s="0" t="n">
        <v>30</v>
      </c>
      <c r="E30" s="0" t="n">
        <v>59</v>
      </c>
      <c r="F30" s="0" t="n">
        <v>35</v>
      </c>
      <c r="G30" s="0" t="n">
        <f aca="false">Tabla3510813153426[[#This Row],[no_efec_cor]]+Tabla3510813153426[[#This Row],[efec_cor]]</f>
        <v>121</v>
      </c>
      <c r="H30" s="0" t="n">
        <f aca="false">Tabla3510813153426[[#This Row],[no_efec_inc]]+Tabla3510813153426[[#This Row],[efect_inc]]</f>
        <v>65</v>
      </c>
      <c r="I30" s="9" t="n">
        <f aca="false">Tabla3510813153426[[#This Row],[Correctos]]/Tabla3510813153426[[#This Row],[total_sec]]</f>
        <v>0.650537634408602</v>
      </c>
      <c r="J30" s="9" t="n">
        <f aca="false">Tabla3510813153426[[#This Row],[efec_cor]]/Tabla3510813153426[[#This Row],[efec]]</f>
        <v>0.627659574468085</v>
      </c>
      <c r="K30" s="9" t="n">
        <f aca="false">Tabla3510813153426[[#This Row],[efect_inc]]/Tabla3510813153426[[#This Row],[efec]]</f>
        <v>0.372340425531915</v>
      </c>
      <c r="L30" s="9" t="n">
        <f aca="false">Tabla3510813153426[[#This Row],[no_efec_cor]]/Tabla3510813153426[[#This Row],[no_efe]]</f>
        <v>0.673913043478261</v>
      </c>
      <c r="M30" s="9" t="n">
        <f aca="false">Tabla3510813153426[[#This Row],[no_efec_inc]]/Tabla3510813153426[[#This Row],[no_efe]]</f>
        <v>0.326086956521739</v>
      </c>
      <c r="N30" s="9" t="n">
        <f aca="false">(Tabla3510813153426[[#This Row],[% efe_cor]]+Tabla3510813153426[[#This Row],[% no_efe_cor]])/2</f>
        <v>0.650786308973173</v>
      </c>
      <c r="O30" s="10" t="n">
        <f aca="false">(Tabla3510813153426[[#This Row],[% efe_inc]]+Tabla3510813153426[[#This Row],[% no_efect_inc]])/2</f>
        <v>0.349213691026827</v>
      </c>
      <c r="P30" s="11" t="n">
        <f aca="false">Tabla3510813153426[[#This Row],[no_efec_cor]]/(Tabla3510813153426[[#This Row],[efect_inc]]+Tabla3510813153426[[#This Row],[no_efec_cor]])</f>
        <v>0.639175257731959</v>
      </c>
      <c r="Q30" s="11" t="n">
        <f aca="false">Tabla3510813153426[[#This Row],[efec_cor]]/(Tabla3510813153426[[#This Row],[efec_cor]]+Tabla3510813153426[[#This Row],[no_efec_inc]])</f>
        <v>0.662921348314607</v>
      </c>
      <c r="R30" s="11" t="n">
        <f aca="false">(Tabla3510813153426[[#This Row],[PNE]]+Tabla3510813153426[[#This Row],[PE]])/2</f>
        <v>0.651048303023283</v>
      </c>
      <c r="S30" s="0" t="n">
        <v>94</v>
      </c>
      <c r="T30" s="0" t="n">
        <v>92</v>
      </c>
      <c r="U30" s="0" t="n">
        <f aca="false">Tabla3510813153426[[#This Row],[efec]]+Tabla3510813153426[[#This Row],[no_efe]]</f>
        <v>186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58</v>
      </c>
      <c r="D31" s="0" t="n">
        <v>34</v>
      </c>
      <c r="E31" s="0" t="n">
        <v>59</v>
      </c>
      <c r="F31" s="0" t="n">
        <v>35</v>
      </c>
      <c r="G31" s="0" t="n">
        <f aca="false">Tabla3510813153426[[#This Row],[no_efec_cor]]+Tabla3510813153426[[#This Row],[efec_cor]]</f>
        <v>117</v>
      </c>
      <c r="H31" s="0" t="n">
        <f aca="false">Tabla3510813153426[[#This Row],[no_efec_inc]]+Tabla3510813153426[[#This Row],[efect_inc]]</f>
        <v>69</v>
      </c>
      <c r="I31" s="9" t="n">
        <f aca="false">Tabla3510813153426[[#This Row],[Correctos]]/Tabla3510813153426[[#This Row],[total_sec]]</f>
        <v>0.629032258064516</v>
      </c>
      <c r="J31" s="9" t="n">
        <f aca="false">Tabla3510813153426[[#This Row],[efec_cor]]/Tabla3510813153426[[#This Row],[efec]]</f>
        <v>0.627659574468085</v>
      </c>
      <c r="K31" s="9" t="n">
        <f aca="false">Tabla3510813153426[[#This Row],[efect_inc]]/Tabla3510813153426[[#This Row],[efec]]</f>
        <v>0.372340425531915</v>
      </c>
      <c r="L31" s="9" t="n">
        <f aca="false">Tabla3510813153426[[#This Row],[no_efec_cor]]/Tabla3510813153426[[#This Row],[no_efe]]</f>
        <v>0.630434782608696</v>
      </c>
      <c r="M31" s="9" t="n">
        <f aca="false">Tabla3510813153426[[#This Row],[no_efec_inc]]/Tabla3510813153426[[#This Row],[no_efe]]</f>
        <v>0.369565217391304</v>
      </c>
      <c r="N31" s="9" t="n">
        <f aca="false">(Tabla3510813153426[[#This Row],[% efe_cor]]+Tabla3510813153426[[#This Row],[% no_efe_cor]])/2</f>
        <v>0.62904717853839</v>
      </c>
      <c r="O31" s="10" t="n">
        <f aca="false">(Tabla3510813153426[[#This Row],[% efe_inc]]+Tabla3510813153426[[#This Row],[% no_efect_inc]])/2</f>
        <v>0.37095282146161</v>
      </c>
      <c r="P31" s="11" t="n">
        <f aca="false">Tabla3510813153426[[#This Row],[no_efec_cor]]/(Tabla3510813153426[[#This Row],[efect_inc]]+Tabla3510813153426[[#This Row],[no_efec_cor]])</f>
        <v>0.623655913978495</v>
      </c>
      <c r="Q31" s="11" t="n">
        <f aca="false">Tabla3510813153426[[#This Row],[efec_cor]]/(Tabla3510813153426[[#This Row],[efec_cor]]+Tabla3510813153426[[#This Row],[no_efec_inc]])</f>
        <v>0.634408602150538</v>
      </c>
      <c r="R31" s="11" t="n">
        <f aca="false">(Tabla3510813153426[[#This Row],[PNE]]+Tabla3510813153426[[#This Row],[PE]])/2</f>
        <v>0.629032258064516</v>
      </c>
      <c r="S31" s="0" t="n">
        <v>94</v>
      </c>
      <c r="T31" s="0" t="n">
        <v>92</v>
      </c>
      <c r="U31" s="0" t="n">
        <f aca="false">Tabla3510813153426[[#This Row],[efec]]+Tabla3510813153426[[#This Row],[no_efe]]</f>
        <v>186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57</v>
      </c>
      <c r="D32" s="0" t="n">
        <v>35</v>
      </c>
      <c r="E32" s="0" t="n">
        <v>61</v>
      </c>
      <c r="F32" s="0" t="n">
        <v>33</v>
      </c>
      <c r="G32" s="0" t="n">
        <f aca="false">Tabla3510813153426[[#This Row],[no_efec_cor]]+Tabla3510813153426[[#This Row],[efec_cor]]</f>
        <v>118</v>
      </c>
      <c r="H32" s="0" t="n">
        <f aca="false">Tabla3510813153426[[#This Row],[no_efec_inc]]+Tabla3510813153426[[#This Row],[efect_inc]]</f>
        <v>68</v>
      </c>
      <c r="I32" s="9" t="n">
        <f aca="false">Tabla3510813153426[[#This Row],[Correctos]]/Tabla3510813153426[[#This Row],[total_sec]]</f>
        <v>0.634408602150538</v>
      </c>
      <c r="J32" s="9" t="n">
        <f aca="false">Tabla3510813153426[[#This Row],[efec_cor]]/Tabla3510813153426[[#This Row],[efec]]</f>
        <v>0.648936170212766</v>
      </c>
      <c r="K32" s="9" t="n">
        <f aca="false">Tabla3510813153426[[#This Row],[efect_inc]]/Tabla3510813153426[[#This Row],[efec]]</f>
        <v>0.351063829787234</v>
      </c>
      <c r="L32" s="9" t="n">
        <f aca="false">Tabla3510813153426[[#This Row],[no_efec_cor]]/Tabla3510813153426[[#This Row],[no_efe]]</f>
        <v>0.619565217391304</v>
      </c>
      <c r="M32" s="9" t="n">
        <f aca="false">Tabla3510813153426[[#This Row],[no_efec_inc]]/Tabla3510813153426[[#This Row],[no_efe]]</f>
        <v>0.380434782608696</v>
      </c>
      <c r="N32" s="9" t="n">
        <f aca="false">(Tabla3510813153426[[#This Row],[% efe_cor]]+Tabla3510813153426[[#This Row],[% no_efe_cor]])/2</f>
        <v>0.634250693802035</v>
      </c>
      <c r="O32" s="10" t="n">
        <f aca="false">(Tabla3510813153426[[#This Row],[% efe_inc]]+Tabla3510813153426[[#This Row],[% no_efect_inc]])/2</f>
        <v>0.365749306197965</v>
      </c>
      <c r="P32" s="11" t="n">
        <f aca="false">Tabla3510813153426[[#This Row],[no_efec_cor]]/(Tabla3510813153426[[#This Row],[efect_inc]]+Tabla3510813153426[[#This Row],[no_efec_cor]])</f>
        <v>0.633333333333333</v>
      </c>
      <c r="Q32" s="11" t="n">
        <f aca="false">Tabla3510813153426[[#This Row],[efec_cor]]/(Tabla3510813153426[[#This Row],[efec_cor]]+Tabla3510813153426[[#This Row],[no_efec_inc]])</f>
        <v>0.635416666666667</v>
      </c>
      <c r="R32" s="11" t="n">
        <f aca="false">(Tabla3510813153426[[#This Row],[PNE]]+Tabla3510813153426[[#This Row],[PE]])/2</f>
        <v>0.634375</v>
      </c>
      <c r="S32" s="0" t="n">
        <v>94</v>
      </c>
      <c r="T32" s="0" t="n">
        <v>92</v>
      </c>
      <c r="U32" s="0" t="n">
        <f aca="false">Tabla3510813153426[[#This Row],[efec]]+Tabla3510813153426[[#This Row],[no_efe]]</f>
        <v>186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67</v>
      </c>
      <c r="D33" s="0" t="n">
        <v>25</v>
      </c>
      <c r="E33" s="0" t="n">
        <v>52</v>
      </c>
      <c r="F33" s="0" t="n">
        <v>42</v>
      </c>
      <c r="G33" s="0" t="n">
        <f aca="false">Tabla3510813153426[[#This Row],[no_efec_cor]]+Tabla3510813153426[[#This Row],[efec_cor]]</f>
        <v>119</v>
      </c>
      <c r="H33" s="0" t="n">
        <f aca="false">Tabla3510813153426[[#This Row],[no_efec_inc]]+Tabla3510813153426[[#This Row],[efect_inc]]</f>
        <v>67</v>
      </c>
      <c r="I33" s="9" t="n">
        <f aca="false">Tabla3510813153426[[#This Row],[Correctos]]/Tabla3510813153426[[#This Row],[total_sec]]</f>
        <v>0.639784946236559</v>
      </c>
      <c r="J33" s="9" t="n">
        <f aca="false">Tabla3510813153426[[#This Row],[efec_cor]]/Tabla3510813153426[[#This Row],[efec]]</f>
        <v>0.553191489361702</v>
      </c>
      <c r="K33" s="9" t="n">
        <f aca="false">Tabla3510813153426[[#This Row],[efect_inc]]/Tabla3510813153426[[#This Row],[efec]]</f>
        <v>0.446808510638298</v>
      </c>
      <c r="L33" s="9" t="n">
        <f aca="false">Tabla3510813153426[[#This Row],[no_efec_cor]]/Tabla3510813153426[[#This Row],[no_efe]]</f>
        <v>0.728260869565217</v>
      </c>
      <c r="M33" s="9" t="n">
        <f aca="false">Tabla3510813153426[[#This Row],[no_efec_inc]]/Tabla3510813153426[[#This Row],[no_efe]]</f>
        <v>0.271739130434783</v>
      </c>
      <c r="N33" s="9" t="n">
        <f aca="false">(Tabla3510813153426[[#This Row],[% efe_cor]]+Tabla3510813153426[[#This Row],[% no_efe_cor]])/2</f>
        <v>0.64072617946346</v>
      </c>
      <c r="O33" s="10" t="n">
        <f aca="false">(Tabla3510813153426[[#This Row],[% efe_inc]]+Tabla3510813153426[[#This Row],[% no_efect_inc]])/2</f>
        <v>0.35927382053654</v>
      </c>
      <c r="P33" s="11" t="n">
        <f aca="false">Tabla3510813153426[[#This Row],[no_efec_cor]]/(Tabla3510813153426[[#This Row],[efect_inc]]+Tabla3510813153426[[#This Row],[no_efec_cor]])</f>
        <v>0.614678899082569</v>
      </c>
      <c r="Q33" s="11" t="n">
        <f aca="false">Tabla3510813153426[[#This Row],[efec_cor]]/(Tabla3510813153426[[#This Row],[efec_cor]]+Tabla3510813153426[[#This Row],[no_efec_inc]])</f>
        <v>0.675324675324675</v>
      </c>
      <c r="R33" s="11" t="n">
        <f aca="false">(Tabla3510813153426[[#This Row],[PNE]]+Tabla3510813153426[[#This Row],[PE]])/2</f>
        <v>0.645001787203622</v>
      </c>
      <c r="S33" s="0" t="n">
        <v>94</v>
      </c>
      <c r="T33" s="0" t="n">
        <v>92</v>
      </c>
      <c r="U33" s="0" t="n">
        <f aca="false">Tabla3510813153426[[#This Row],[efec]]+Tabla3510813153426[[#This Row],[no_efe]]</f>
        <v>186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68</v>
      </c>
      <c r="D34" s="0" t="n">
        <v>24</v>
      </c>
      <c r="E34" s="0" t="n">
        <v>51</v>
      </c>
      <c r="F34" s="0" t="n">
        <v>43</v>
      </c>
      <c r="G34" s="0" t="n">
        <f aca="false">Tabla3510813153426[[#This Row],[no_efec_cor]]+Tabla3510813153426[[#This Row],[efec_cor]]</f>
        <v>119</v>
      </c>
      <c r="H34" s="0" t="n">
        <f aca="false">Tabla3510813153426[[#This Row],[no_efec_inc]]+Tabla3510813153426[[#This Row],[efect_inc]]</f>
        <v>67</v>
      </c>
      <c r="I34" s="9" t="n">
        <f aca="false">Tabla3510813153426[[#This Row],[Correctos]]/Tabla3510813153426[[#This Row],[total_sec]]</f>
        <v>0.639784946236559</v>
      </c>
      <c r="J34" s="9" t="n">
        <f aca="false">Tabla3510813153426[[#This Row],[efec_cor]]/Tabla3510813153426[[#This Row],[efec]]</f>
        <v>0.542553191489362</v>
      </c>
      <c r="K34" s="9" t="n">
        <f aca="false">Tabla3510813153426[[#This Row],[efect_inc]]/Tabla3510813153426[[#This Row],[efec]]</f>
        <v>0.457446808510638</v>
      </c>
      <c r="L34" s="9" t="n">
        <f aca="false">Tabla3510813153426[[#This Row],[no_efec_cor]]/Tabla3510813153426[[#This Row],[no_efe]]</f>
        <v>0.739130434782609</v>
      </c>
      <c r="M34" s="9" t="n">
        <f aca="false">Tabla3510813153426[[#This Row],[no_efec_inc]]/Tabla3510813153426[[#This Row],[no_efe]]</f>
        <v>0.260869565217391</v>
      </c>
      <c r="N34" s="9" t="n">
        <f aca="false">(Tabla3510813153426[[#This Row],[% efe_cor]]+Tabla3510813153426[[#This Row],[% no_efe_cor]])/2</f>
        <v>0.640841813135985</v>
      </c>
      <c r="O34" s="10" t="n">
        <f aca="false">(Tabla3510813153426[[#This Row],[% efe_inc]]+Tabla3510813153426[[#This Row],[% no_efect_inc]])/2</f>
        <v>0.359158186864015</v>
      </c>
      <c r="P34" s="11" t="n">
        <f aca="false">Tabla3510813153426[[#This Row],[no_efec_cor]]/(Tabla3510813153426[[#This Row],[efect_inc]]+Tabla3510813153426[[#This Row],[no_efec_cor]])</f>
        <v>0.612612612612613</v>
      </c>
      <c r="Q34" s="11" t="n">
        <f aca="false">Tabla3510813153426[[#This Row],[efec_cor]]/(Tabla3510813153426[[#This Row],[efec_cor]]+Tabla3510813153426[[#This Row],[no_efec_inc]])</f>
        <v>0.68</v>
      </c>
      <c r="R34" s="11" t="n">
        <f aca="false">(Tabla3510813153426[[#This Row],[PNE]]+Tabla3510813153426[[#This Row],[PE]])/2</f>
        <v>0.646306306306306</v>
      </c>
      <c r="S34" s="0" t="n">
        <v>94</v>
      </c>
      <c r="T34" s="0" t="n">
        <v>92</v>
      </c>
      <c r="U34" s="0" t="n">
        <f aca="false">Tabla3510813153426[[#This Row],[efec]]+Tabla3510813153426[[#This Row],[no_efe]]</f>
        <v>186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67</v>
      </c>
      <c r="D35" s="0" t="n">
        <v>25</v>
      </c>
      <c r="E35" s="0" t="n">
        <v>55</v>
      </c>
      <c r="F35" s="0" t="n">
        <v>39</v>
      </c>
      <c r="G35" s="0" t="n">
        <f aca="false">Tabla3510813153426[[#This Row],[no_efec_cor]]+Tabla3510813153426[[#This Row],[efec_cor]]</f>
        <v>122</v>
      </c>
      <c r="H35" s="0" t="n">
        <f aca="false">Tabla3510813153426[[#This Row],[no_efec_inc]]+Tabla3510813153426[[#This Row],[efect_inc]]</f>
        <v>64</v>
      </c>
      <c r="I35" s="9" t="n">
        <f aca="false">Tabla3510813153426[[#This Row],[Correctos]]/Tabla3510813153426[[#This Row],[total_sec]]</f>
        <v>0.655913978494624</v>
      </c>
      <c r="J35" s="9" t="n">
        <f aca="false">Tabla3510813153426[[#This Row],[efec_cor]]/Tabla3510813153426[[#This Row],[efec]]</f>
        <v>0.585106382978723</v>
      </c>
      <c r="K35" s="9" t="n">
        <f aca="false">Tabla3510813153426[[#This Row],[efect_inc]]/Tabla3510813153426[[#This Row],[efec]]</f>
        <v>0.414893617021277</v>
      </c>
      <c r="L35" s="9" t="n">
        <f aca="false">Tabla3510813153426[[#This Row],[no_efec_cor]]/Tabla3510813153426[[#This Row],[no_efe]]</f>
        <v>0.728260869565217</v>
      </c>
      <c r="M35" s="9" t="n">
        <f aca="false">Tabla3510813153426[[#This Row],[no_efec_inc]]/Tabla3510813153426[[#This Row],[no_efe]]</f>
        <v>0.271739130434783</v>
      </c>
      <c r="N35" s="9" t="n">
        <f aca="false">(Tabla3510813153426[[#This Row],[% efe_cor]]+Tabla3510813153426[[#This Row],[% no_efe_cor]])/2</f>
        <v>0.65668362627197</v>
      </c>
      <c r="O35" s="10" t="n">
        <f aca="false">(Tabla3510813153426[[#This Row],[% efe_inc]]+Tabla3510813153426[[#This Row],[% no_efect_inc]])/2</f>
        <v>0.34331637372803</v>
      </c>
      <c r="P35" s="11" t="n">
        <f aca="false">Tabla3510813153426[[#This Row],[no_efec_cor]]/(Tabla3510813153426[[#This Row],[efect_inc]]+Tabla3510813153426[[#This Row],[no_efec_cor]])</f>
        <v>0.632075471698113</v>
      </c>
      <c r="Q35" s="11" t="n">
        <f aca="false">Tabla3510813153426[[#This Row],[efec_cor]]/(Tabla3510813153426[[#This Row],[efec_cor]]+Tabla3510813153426[[#This Row],[no_efec_inc]])</f>
        <v>0.6875</v>
      </c>
      <c r="R35" s="11" t="n">
        <f aca="false">(Tabla3510813153426[[#This Row],[PNE]]+Tabla3510813153426[[#This Row],[PE]])/2</f>
        <v>0.659787735849057</v>
      </c>
      <c r="S35" s="0" t="n">
        <v>94</v>
      </c>
      <c r="T35" s="0" t="n">
        <v>92</v>
      </c>
      <c r="U35" s="0" t="n">
        <f aca="false">Tabla3510813153426[[#This Row],[efec]]+Tabla3510813153426[[#This Row],[no_efe]]</f>
        <v>186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66</v>
      </c>
      <c r="D36" s="0" t="n">
        <v>26</v>
      </c>
      <c r="E36" s="0" t="n">
        <v>56</v>
      </c>
      <c r="F36" s="0" t="n">
        <v>38</v>
      </c>
      <c r="G36" s="0" t="n">
        <f aca="false">Tabla3510813153426[[#This Row],[no_efec_cor]]+Tabla3510813153426[[#This Row],[efec_cor]]</f>
        <v>122</v>
      </c>
      <c r="H36" s="0" t="n">
        <f aca="false">Tabla3510813153426[[#This Row],[no_efec_inc]]+Tabla3510813153426[[#This Row],[efect_inc]]</f>
        <v>64</v>
      </c>
      <c r="I36" s="9" t="n">
        <f aca="false">Tabla3510813153426[[#This Row],[Correctos]]/Tabla3510813153426[[#This Row],[total_sec]]</f>
        <v>0.655913978494624</v>
      </c>
      <c r="J36" s="9" t="n">
        <f aca="false">Tabla3510813153426[[#This Row],[efec_cor]]/Tabla3510813153426[[#This Row],[efec]]</f>
        <v>0.595744680851064</v>
      </c>
      <c r="K36" s="9" t="n">
        <f aca="false">Tabla3510813153426[[#This Row],[efect_inc]]/Tabla3510813153426[[#This Row],[efec]]</f>
        <v>0.404255319148936</v>
      </c>
      <c r="L36" s="9" t="n">
        <f aca="false">Tabla3510813153426[[#This Row],[no_efec_cor]]/Tabla3510813153426[[#This Row],[no_efe]]</f>
        <v>0.717391304347826</v>
      </c>
      <c r="M36" s="9" t="n">
        <f aca="false">Tabla3510813153426[[#This Row],[no_efec_inc]]/Tabla3510813153426[[#This Row],[no_efe]]</f>
        <v>0.282608695652174</v>
      </c>
      <c r="N36" s="9" t="n">
        <f aca="false">(Tabla3510813153426[[#This Row],[% efe_cor]]+Tabla3510813153426[[#This Row],[% no_efe_cor]])/2</f>
        <v>0.656567992599445</v>
      </c>
      <c r="O36" s="10" t="n">
        <f aca="false">(Tabla3510813153426[[#This Row],[% efe_inc]]+Tabla3510813153426[[#This Row],[% no_efect_inc]])/2</f>
        <v>0.343432007400555</v>
      </c>
      <c r="P36" s="11" t="n">
        <f aca="false">Tabla3510813153426[[#This Row],[no_efec_cor]]/(Tabla3510813153426[[#This Row],[efect_inc]]+Tabla3510813153426[[#This Row],[no_efec_cor]])</f>
        <v>0.634615384615385</v>
      </c>
      <c r="Q36" s="11" t="n">
        <f aca="false">Tabla3510813153426[[#This Row],[efec_cor]]/(Tabla3510813153426[[#This Row],[efec_cor]]+Tabla3510813153426[[#This Row],[no_efec_inc]])</f>
        <v>0.682926829268293</v>
      </c>
      <c r="R36" s="11" t="n">
        <f aca="false">(Tabla3510813153426[[#This Row],[PNE]]+Tabla3510813153426[[#This Row],[PE]])/2</f>
        <v>0.658771106941839</v>
      </c>
      <c r="S36" s="0" t="n">
        <v>94</v>
      </c>
      <c r="T36" s="0" t="n">
        <v>92</v>
      </c>
      <c r="U36" s="0" t="n">
        <f aca="false">Tabla3510813153426[[#This Row],[efec]]+Tabla3510813153426[[#This Row],[no_efe]]</f>
        <v>186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68</v>
      </c>
      <c r="D37" s="0" t="n">
        <v>24</v>
      </c>
      <c r="E37" s="0" t="n">
        <v>50</v>
      </c>
      <c r="F37" s="0" t="n">
        <v>44</v>
      </c>
      <c r="G37" s="0" t="n">
        <f aca="false">Tabla3510813153426[[#This Row],[no_efec_cor]]+Tabla3510813153426[[#This Row],[efec_cor]]</f>
        <v>118</v>
      </c>
      <c r="H37" s="0" t="n">
        <f aca="false">Tabla3510813153426[[#This Row],[no_efec_inc]]+Tabla3510813153426[[#This Row],[efect_inc]]</f>
        <v>68</v>
      </c>
      <c r="I37" s="9" t="n">
        <f aca="false">Tabla3510813153426[[#This Row],[Correctos]]/Tabla3510813153426[[#This Row],[total_sec]]</f>
        <v>0.634408602150538</v>
      </c>
      <c r="J37" s="9" t="n">
        <f aca="false">Tabla3510813153426[[#This Row],[efec_cor]]/Tabla3510813153426[[#This Row],[efec]]</f>
        <v>0.531914893617021</v>
      </c>
      <c r="K37" s="9" t="n">
        <f aca="false">Tabla3510813153426[[#This Row],[efect_inc]]/Tabla3510813153426[[#This Row],[efec]]</f>
        <v>0.468085106382979</v>
      </c>
      <c r="L37" s="9" t="n">
        <f aca="false">Tabla3510813153426[[#This Row],[no_efec_cor]]/Tabla3510813153426[[#This Row],[no_efe]]</f>
        <v>0.739130434782609</v>
      </c>
      <c r="M37" s="9" t="n">
        <f aca="false">Tabla3510813153426[[#This Row],[no_efec_inc]]/Tabla3510813153426[[#This Row],[no_efe]]</f>
        <v>0.260869565217391</v>
      </c>
      <c r="N37" s="9" t="n">
        <f aca="false">(Tabla3510813153426[[#This Row],[% efe_cor]]+Tabla3510813153426[[#This Row],[% no_efe_cor]])/2</f>
        <v>0.635522664199815</v>
      </c>
      <c r="O37" s="10" t="n">
        <f aca="false">(Tabla3510813153426[[#This Row],[% efe_inc]]+Tabla3510813153426[[#This Row],[% no_efect_inc]])/2</f>
        <v>0.364477335800185</v>
      </c>
      <c r="P37" s="11" t="n">
        <f aca="false">Tabla3510813153426[[#This Row],[no_efec_cor]]/(Tabla3510813153426[[#This Row],[efect_inc]]+Tabla3510813153426[[#This Row],[no_efec_cor]])</f>
        <v>0.607142857142857</v>
      </c>
      <c r="Q37" s="11" t="n">
        <f aca="false">Tabla3510813153426[[#This Row],[efec_cor]]/(Tabla3510813153426[[#This Row],[efec_cor]]+Tabla3510813153426[[#This Row],[no_efec_inc]])</f>
        <v>0.675675675675676</v>
      </c>
      <c r="R37" s="11" t="n">
        <f aca="false">(Tabla3510813153426[[#This Row],[PNE]]+Tabla3510813153426[[#This Row],[PE]])/2</f>
        <v>0.641409266409266</v>
      </c>
      <c r="S37" s="0" t="n">
        <v>94</v>
      </c>
      <c r="T37" s="0" t="n">
        <v>92</v>
      </c>
      <c r="U37" s="0" t="n">
        <f aca="false">Tabla3510813153426[[#This Row],[efec]]+Tabla3510813153426[[#This Row],[no_efe]]</f>
        <v>186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53</v>
      </c>
      <c r="D38" s="0" t="n">
        <v>39</v>
      </c>
      <c r="E38" s="0" t="n">
        <v>57</v>
      </c>
      <c r="F38" s="0" t="n">
        <v>37</v>
      </c>
      <c r="G38" s="0" t="n">
        <f aca="false">Tabla3510813153426[[#This Row],[no_efec_cor]]+Tabla3510813153426[[#This Row],[efec_cor]]</f>
        <v>110</v>
      </c>
      <c r="H38" s="0" t="n">
        <f aca="false">Tabla3510813153426[[#This Row],[no_efec_inc]]+Tabla3510813153426[[#This Row],[efect_inc]]</f>
        <v>76</v>
      </c>
      <c r="I38" s="9" t="n">
        <f aca="false">Tabla3510813153426[[#This Row],[Correctos]]/Tabla3510813153426[[#This Row],[total_sec]]</f>
        <v>0.591397849462366</v>
      </c>
      <c r="J38" s="9" t="n">
        <f aca="false">Tabla3510813153426[[#This Row],[efec_cor]]/Tabla3510813153426[[#This Row],[efec]]</f>
        <v>0.606382978723404</v>
      </c>
      <c r="K38" s="9" t="n">
        <f aca="false">Tabla3510813153426[[#This Row],[efect_inc]]/Tabla3510813153426[[#This Row],[efec]]</f>
        <v>0.393617021276596</v>
      </c>
      <c r="L38" s="9" t="n">
        <f aca="false">Tabla3510813153426[[#This Row],[no_efec_cor]]/Tabla3510813153426[[#This Row],[no_efe]]</f>
        <v>0.576086956521739</v>
      </c>
      <c r="M38" s="9" t="n">
        <f aca="false">Tabla3510813153426[[#This Row],[no_efec_inc]]/Tabla3510813153426[[#This Row],[no_efe]]</f>
        <v>0.423913043478261</v>
      </c>
      <c r="N38" s="9" t="n">
        <f aca="false">(Tabla3510813153426[[#This Row],[% efe_cor]]+Tabla3510813153426[[#This Row],[% no_efe_cor]])/2</f>
        <v>0.591234967622572</v>
      </c>
      <c r="O38" s="10" t="n">
        <f aca="false">(Tabla3510813153426[[#This Row],[% efe_inc]]+Tabla3510813153426[[#This Row],[% no_efect_inc]])/2</f>
        <v>0.408765032377428</v>
      </c>
      <c r="P38" s="11" t="n">
        <f aca="false">Tabla3510813153426[[#This Row],[no_efec_cor]]/(Tabla3510813153426[[#This Row],[efect_inc]]+Tabla3510813153426[[#This Row],[no_efec_cor]])</f>
        <v>0.588888888888889</v>
      </c>
      <c r="Q38" s="11" t="n">
        <f aca="false">Tabla3510813153426[[#This Row],[efec_cor]]/(Tabla3510813153426[[#This Row],[efec_cor]]+Tabla3510813153426[[#This Row],[no_efec_inc]])</f>
        <v>0.59375</v>
      </c>
      <c r="R38" s="11" t="n">
        <f aca="false">(Tabla3510813153426[[#This Row],[PNE]]+Tabla3510813153426[[#This Row],[PE]])/2</f>
        <v>0.591319444444444</v>
      </c>
      <c r="S38" s="0" t="n">
        <v>94</v>
      </c>
      <c r="T38" s="0" t="n">
        <v>92</v>
      </c>
      <c r="U38" s="0" t="n">
        <f aca="false">Tabla3510813153426[[#This Row],[efec]]+Tabla3510813153426[[#This Row],[no_efe]]</f>
        <v>186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76</v>
      </c>
      <c r="D39" s="0" t="n">
        <v>16</v>
      </c>
      <c r="E39" s="0" t="n">
        <v>37</v>
      </c>
      <c r="F39" s="0" t="n">
        <v>57</v>
      </c>
      <c r="G39" s="0" t="n">
        <f aca="false">Tabla3510813153426[[#This Row],[no_efec_cor]]+Tabla3510813153426[[#This Row],[efec_cor]]</f>
        <v>113</v>
      </c>
      <c r="H39" s="0" t="n">
        <f aca="false">Tabla3510813153426[[#This Row],[no_efec_inc]]+Tabla3510813153426[[#This Row],[efect_inc]]</f>
        <v>73</v>
      </c>
      <c r="I39" s="9" t="n">
        <f aca="false">Tabla3510813153426[[#This Row],[Correctos]]/Tabla3510813153426[[#This Row],[total_sec]]</f>
        <v>0.60752688172043</v>
      </c>
      <c r="J39" s="9" t="n">
        <f aca="false">Tabla3510813153426[[#This Row],[efec_cor]]/Tabla3510813153426[[#This Row],[efec]]</f>
        <v>0.393617021276596</v>
      </c>
      <c r="K39" s="9" t="n">
        <f aca="false">Tabla3510813153426[[#This Row],[efect_inc]]/Tabla3510813153426[[#This Row],[efec]]</f>
        <v>0.606382978723404</v>
      </c>
      <c r="L39" s="9" t="n">
        <f aca="false">Tabla3510813153426[[#This Row],[no_efec_cor]]/Tabla3510813153426[[#This Row],[no_efe]]</f>
        <v>0.826086956521739</v>
      </c>
      <c r="M39" s="9" t="n">
        <f aca="false">Tabla3510813153426[[#This Row],[no_efec_inc]]/Tabla3510813153426[[#This Row],[no_efe]]</f>
        <v>0.173913043478261</v>
      </c>
      <c r="N39" s="9" t="n">
        <f aca="false">(Tabla3510813153426[[#This Row],[% efe_cor]]+Tabla3510813153426[[#This Row],[% no_efe_cor]])/2</f>
        <v>0.609851988899167</v>
      </c>
      <c r="O39" s="10" t="n">
        <f aca="false">(Tabla3510813153426[[#This Row],[% efe_inc]]+Tabla3510813153426[[#This Row],[% no_efect_inc]])/2</f>
        <v>0.390148011100833</v>
      </c>
      <c r="P39" s="11" t="n">
        <f aca="false">Tabla3510813153426[[#This Row],[no_efec_cor]]/(Tabla3510813153426[[#This Row],[efect_inc]]+Tabla3510813153426[[#This Row],[no_efec_cor]])</f>
        <v>0.571428571428571</v>
      </c>
      <c r="Q39" s="11" t="n">
        <f aca="false">Tabla3510813153426[[#This Row],[efec_cor]]/(Tabla3510813153426[[#This Row],[efec_cor]]+Tabla3510813153426[[#This Row],[no_efec_inc]])</f>
        <v>0.69811320754717</v>
      </c>
      <c r="R39" s="11" t="n">
        <f aca="false">(Tabla3510813153426[[#This Row],[PNE]]+Tabla3510813153426[[#This Row],[PE]])/2</f>
        <v>0.634770889487871</v>
      </c>
      <c r="S39" s="0" t="n">
        <v>94</v>
      </c>
      <c r="T39" s="0" t="n">
        <v>92</v>
      </c>
      <c r="U39" s="0" t="n">
        <f aca="false">Tabla3510813153426[[#This Row],[efec]]+Tabla3510813153426[[#This Row],[no_efe]]</f>
        <v>186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T87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7.85"/>
    <col collapsed="false" customWidth="true" hidden="false" outlineLevel="0" max="3" min="3" style="0" width="14.57"/>
    <col collapsed="false" customWidth="true" hidden="false" outlineLevel="0" max="4" min="4" style="0" width="12.14"/>
    <col collapsed="false" customWidth="true" hidden="false" outlineLevel="0" max="5" min="5" style="0" width="11.43"/>
    <col collapsed="false" customWidth="true" hidden="false" outlineLevel="0" max="6" min="6" style="0" width="12.71"/>
    <col collapsed="false" customWidth="true" hidden="false" outlineLevel="0" max="7" min="7" style="0" width="13.28"/>
    <col collapsed="false" customWidth="true" hidden="false" outlineLevel="0" max="9" min="9" style="0" width="14.57"/>
    <col collapsed="false" customWidth="true" hidden="false" outlineLevel="0" max="10" min="10" style="0" width="15.71"/>
    <col collapsed="false" customWidth="true" hidden="false" outlineLevel="0" max="11" min="11" style="0" width="16.14"/>
    <col collapsed="false" customWidth="true" hidden="false" outlineLevel="0" max="12" min="12" style="0" width="18.57"/>
    <col collapsed="false" customWidth="true" hidden="false" outlineLevel="0" max="13" min="13" style="0" width="11.43"/>
  </cols>
  <sheetData>
    <row r="1" customFormat="false" ht="19.5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customFormat="false" ht="15" hidden="false" customHeight="false" outlineLevel="0" collapsed="false">
      <c r="A3" s="3" t="s">
        <v>2</v>
      </c>
      <c r="B3" s="3"/>
      <c r="C3" s="4"/>
    </row>
    <row r="4" customFormat="false" ht="15" hidden="false" customHeight="false" outlineLevel="0" collapsed="false">
      <c r="A4" s="3" t="s">
        <v>3</v>
      </c>
      <c r="B4" s="3"/>
      <c r="C4" s="4"/>
    </row>
    <row r="5" customFormat="false" ht="15" hidden="false" customHeight="false" outlineLevel="0" collapsed="false">
      <c r="A5" s="3" t="s">
        <v>4</v>
      </c>
      <c r="B5" s="3"/>
      <c r="C5" s="4" t="n">
        <f aca="false">SUM(C3:C4)</f>
        <v>0</v>
      </c>
    </row>
    <row r="7" customFormat="false" ht="15" hidden="false" customHeight="false" outlineLevel="0" collapsed="false">
      <c r="A7" s="13" t="s">
        <v>5</v>
      </c>
      <c r="B7" s="13"/>
      <c r="C7" s="13"/>
      <c r="D7" s="13"/>
      <c r="E7" s="13"/>
      <c r="F7" s="13"/>
      <c r="G7" s="13"/>
      <c r="H7" s="12"/>
      <c r="I7" s="12"/>
    </row>
    <row r="8" customFormat="false" ht="16.5" hidden="false" customHeight="false" outlineLevel="0" collapsed="false">
      <c r="A8" s="14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customFormat="false" ht="15.75" hidden="false" customHeight="false" outlineLevel="0" collapsed="false">
      <c r="A9" s="7" t="s">
        <v>38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s">
        <v>39</v>
      </c>
      <c r="F10" s="0" t="n">
        <f aca="false">Tabla3510813153[[#This Row],[no_efec_cor]]+Tabla3510813153[[#This Row],[efec_cor]]</f>
        <v>0</v>
      </c>
      <c r="G10" s="0" t="n">
        <f aca="false">Tabla3510813153[[#This Row],[no_efec_inc]]+Tabla3510813153[[#This Row],[efect_inc]]</f>
        <v>0</v>
      </c>
      <c r="H10" s="9" t="e">
        <f aca="false">Tabla3510813153[[#This Row],[Correctos]]/Tabla3510813153[[#This Row],[total_sec]]</f>
        <v>#DIV/0!</v>
      </c>
      <c r="I10" s="9" t="e">
        <f aca="false">Tabla3510813153[[#This Row],[efec_cor]]/Tabla3510813153[[#This Row],[efec]]</f>
        <v>#DIV/0!</v>
      </c>
      <c r="J10" s="9" t="e">
        <f aca="false">Tabla3510813153[[#This Row],[efect_inc]]/Tabla3510813153[[#This Row],[efec]]</f>
        <v>#DIV/0!</v>
      </c>
      <c r="K10" s="9" t="e">
        <f aca="false">Tabla3510813153[[#This Row],[no_efec_cor]]/Tabla3510813153[[#This Row],[no_efe]]</f>
        <v>#DIV/0!</v>
      </c>
      <c r="L10" s="9" t="e">
        <f aca="false">Tabla3510813153[[#This Row],[no_efec_inc]]/Tabla3510813153[[#This Row],[no_efe]]</f>
        <v>#DIV/0!</v>
      </c>
      <c r="M10" s="9" t="e">
        <f aca="false">(Tabla3510813153[[#This Row],[% efe_cor]]+Tabla3510813153[[#This Row],[% no_efe_cor]])/2</f>
        <v>#DIV/0!</v>
      </c>
      <c r="N10" s="9" t="e">
        <f aca="false">(Tabla3510813153[[#This Row],[% efe_inc]]+Tabla3510813153[[#This Row],[% no_efect_inc]])/2</f>
        <v>#DIV/0!</v>
      </c>
      <c r="O10" s="11" t="e">
        <f aca="false">Tabla3510813153[[#This Row],[no_efec_cor]]/(Tabla3510813153[[#This Row],[efect_inc]]+Tabla3510813153[[#This Row],[no_efec_cor]])</f>
        <v>#DIV/0!</v>
      </c>
      <c r="P10" s="11" t="e">
        <f aca="false">Tabla3510813153[[#This Row],[efec_cor]]/(Tabla3510813153[[#This Row],[efec_cor]]+Tabla3510813153[[#This Row],[no_efec_inc]])</f>
        <v>#DIV/0!</v>
      </c>
      <c r="Q10" s="11" t="e">
        <f aca="false">(Tabla3510813153[[#This Row],[PNE]]+Tabla3510813153[[#This Row],[PE]])/2</f>
        <v>#DIV/0!</v>
      </c>
      <c r="T10" s="0" t="n">
        <f aca="false">Tabla3510813153[[#This Row],[efec]]+Tabla3510813153[[#This Row],[no_efe]]</f>
        <v>0</v>
      </c>
    </row>
    <row r="11" customFormat="false" ht="13.8" hidden="false" customHeight="false" outlineLevel="0" collapsed="false">
      <c r="A11" s="0" t="s">
        <v>40</v>
      </c>
      <c r="F11" s="0" t="n">
        <f aca="false">Tabla3510813153[[#This Row],[no_efec_cor]]+Tabla3510813153[[#This Row],[efec_cor]]</f>
        <v>0</v>
      </c>
      <c r="G11" s="0" t="n">
        <f aca="false">Tabla3510813153[[#This Row],[no_efec_inc]]+Tabla3510813153[[#This Row],[efect_inc]]</f>
        <v>0</v>
      </c>
      <c r="H11" s="9" t="e">
        <f aca="false">Tabla3510813153[[#This Row],[Correctos]]/Tabla3510813153[[#This Row],[total_sec]]</f>
        <v>#DIV/0!</v>
      </c>
      <c r="I11" s="9" t="e">
        <f aca="false">Tabla3510813153[[#This Row],[efec_cor]]/Tabla3510813153[[#This Row],[efec]]</f>
        <v>#DIV/0!</v>
      </c>
      <c r="J11" s="9" t="e">
        <f aca="false">Tabla3510813153[[#This Row],[efect_inc]]/Tabla3510813153[[#This Row],[efec]]</f>
        <v>#DIV/0!</v>
      </c>
      <c r="K11" s="9" t="e">
        <f aca="false">Tabla3510813153[[#This Row],[no_efec_cor]]/Tabla3510813153[[#This Row],[no_efe]]</f>
        <v>#DIV/0!</v>
      </c>
      <c r="L11" s="9" t="e">
        <f aca="false">Tabla3510813153[[#This Row],[no_efec_inc]]/Tabla3510813153[[#This Row],[no_efe]]</f>
        <v>#DIV/0!</v>
      </c>
      <c r="M11" s="9" t="e">
        <f aca="false">(Tabla3510813153[[#This Row],[% efe_cor]]+Tabla3510813153[[#This Row],[% no_efe_cor]])/2</f>
        <v>#DIV/0!</v>
      </c>
      <c r="N11" s="9" t="e">
        <f aca="false">(Tabla3510813153[[#This Row],[% efe_inc]]+Tabla3510813153[[#This Row],[% no_efect_inc]])/2</f>
        <v>#DIV/0!</v>
      </c>
      <c r="O11" s="11" t="e">
        <f aca="false">Tabla3510813153[[#This Row],[no_efec_cor]]/(Tabla3510813153[[#This Row],[efect_inc]]+Tabla3510813153[[#This Row],[no_efec_cor]])</f>
        <v>#DIV/0!</v>
      </c>
      <c r="P11" s="11" t="e">
        <f aca="false">Tabla3510813153[[#This Row],[efec_cor]]/(Tabla3510813153[[#This Row],[efec_cor]]+Tabla3510813153[[#This Row],[no_efec_inc]])</f>
        <v>#DIV/0!</v>
      </c>
      <c r="Q11" s="11" t="e">
        <f aca="false">(Tabla3510813153[[#This Row],[PNE]]+Tabla3510813153[[#This Row],[PE]])/2</f>
        <v>#DIV/0!</v>
      </c>
      <c r="T11" s="0" t="n">
        <f aca="false">Tabla3510813153[[#This Row],[efec]]+Tabla3510813153[[#This Row],[no_efe]]</f>
        <v>0</v>
      </c>
    </row>
    <row r="12" customFormat="false" ht="13.8" hidden="false" customHeight="false" outlineLevel="0" collapsed="false">
      <c r="A12" s="0" t="s">
        <v>41</v>
      </c>
      <c r="F12" s="0" t="n">
        <f aca="false">Tabla3510813153[[#This Row],[no_efec_cor]]+Tabla3510813153[[#This Row],[efec_cor]]</f>
        <v>0</v>
      </c>
      <c r="G12" s="0" t="n">
        <f aca="false">Tabla3510813153[[#This Row],[no_efec_inc]]+Tabla3510813153[[#This Row],[efect_inc]]</f>
        <v>0</v>
      </c>
      <c r="H12" s="9" t="e">
        <f aca="false">Tabla3510813153[[#This Row],[Correctos]]/Tabla3510813153[[#This Row],[total_sec]]</f>
        <v>#DIV/0!</v>
      </c>
      <c r="I12" s="9" t="e">
        <f aca="false">Tabla3510813153[[#This Row],[efec_cor]]/Tabla3510813153[[#This Row],[efec]]</f>
        <v>#DIV/0!</v>
      </c>
      <c r="J12" s="9" t="e">
        <f aca="false">Tabla3510813153[[#This Row],[efect_inc]]/Tabla3510813153[[#This Row],[efec]]</f>
        <v>#DIV/0!</v>
      </c>
      <c r="K12" s="9" t="e">
        <f aca="false">Tabla3510813153[[#This Row],[no_efec_cor]]/Tabla3510813153[[#This Row],[no_efe]]</f>
        <v>#DIV/0!</v>
      </c>
      <c r="L12" s="9" t="e">
        <f aca="false">Tabla3510813153[[#This Row],[no_efec_inc]]/Tabla3510813153[[#This Row],[no_efe]]</f>
        <v>#DIV/0!</v>
      </c>
      <c r="M12" s="9" t="e">
        <f aca="false">(Tabla3510813153[[#This Row],[% efe_cor]]+Tabla3510813153[[#This Row],[% no_efe_cor]])/2</f>
        <v>#DIV/0!</v>
      </c>
      <c r="N12" s="10" t="e">
        <f aca="false">(Tabla3510813153[[#This Row],[% efe_inc]]+Tabla3510813153[[#This Row],[% no_efect_inc]])/2</f>
        <v>#DIV/0!</v>
      </c>
      <c r="O12" s="11" t="e">
        <f aca="false">Tabla3510813153[[#This Row],[no_efec_cor]]/(Tabla3510813153[[#This Row],[efect_inc]]+Tabla3510813153[[#This Row],[no_efec_cor]])</f>
        <v>#DIV/0!</v>
      </c>
      <c r="P12" s="11" t="e">
        <f aca="false">Tabla3510813153[[#This Row],[efec_cor]]/(Tabla3510813153[[#This Row],[efec_cor]]+Tabla3510813153[[#This Row],[no_efec_inc]])</f>
        <v>#DIV/0!</v>
      </c>
      <c r="Q12" s="11" t="e">
        <f aca="false">(Tabla3510813153[[#This Row],[PNE]]+Tabla3510813153[[#This Row],[PE]])/2</f>
        <v>#DIV/0!</v>
      </c>
      <c r="T12" s="0" t="n">
        <f aca="false">Tabla3510813153[[#This Row],[efec]]+Tabla3510813153[[#This Row],[no_efe]]</f>
        <v>0</v>
      </c>
    </row>
    <row r="13" customFormat="false" ht="13.8" hidden="false" customHeight="false" outlineLevel="0" collapsed="false">
      <c r="A13" s="0" t="s">
        <v>42</v>
      </c>
      <c r="F13" s="0" t="n">
        <f aca="false">Tabla3510813153[[#This Row],[no_efec_cor]]+Tabla3510813153[[#This Row],[efec_cor]]</f>
        <v>0</v>
      </c>
      <c r="G13" s="0" t="n">
        <f aca="false">Tabla3510813153[[#This Row],[no_efec_inc]]+Tabla3510813153[[#This Row],[efect_inc]]</f>
        <v>0</v>
      </c>
      <c r="H13" s="9" t="e">
        <f aca="false">Tabla3510813153[[#This Row],[Correctos]]/Tabla3510813153[[#This Row],[total_sec]]</f>
        <v>#DIV/0!</v>
      </c>
      <c r="I13" s="9" t="e">
        <f aca="false">Tabla3510813153[[#This Row],[efec_cor]]/Tabla3510813153[[#This Row],[efec]]</f>
        <v>#DIV/0!</v>
      </c>
      <c r="J13" s="9" t="e">
        <f aca="false">Tabla3510813153[[#This Row],[efect_inc]]/Tabla3510813153[[#This Row],[efec]]</f>
        <v>#DIV/0!</v>
      </c>
      <c r="K13" s="9" t="e">
        <f aca="false">Tabla3510813153[[#This Row],[no_efec_cor]]/Tabla3510813153[[#This Row],[no_efe]]</f>
        <v>#DIV/0!</v>
      </c>
      <c r="L13" s="9" t="e">
        <f aca="false">Tabla3510813153[[#This Row],[no_efec_inc]]/Tabla3510813153[[#This Row],[no_efe]]</f>
        <v>#DIV/0!</v>
      </c>
      <c r="M13" s="9" t="e">
        <f aca="false">(Tabla3510813153[[#This Row],[% efe_cor]]+Tabla3510813153[[#This Row],[% no_efe_cor]])/2</f>
        <v>#DIV/0!</v>
      </c>
      <c r="N13" s="10" t="e">
        <f aca="false">(Tabla3510813153[[#This Row],[% efe_inc]]+Tabla3510813153[[#This Row],[% no_efect_inc]])/2</f>
        <v>#DIV/0!</v>
      </c>
      <c r="O13" s="11" t="e">
        <f aca="false">Tabla3510813153[[#This Row],[no_efec_cor]]/(Tabla3510813153[[#This Row],[efect_inc]]+Tabla3510813153[[#This Row],[no_efec_cor]])</f>
        <v>#DIV/0!</v>
      </c>
      <c r="P13" s="11" t="e">
        <f aca="false">Tabla3510813153[[#This Row],[efec_cor]]/(Tabla3510813153[[#This Row],[efec_cor]]+Tabla3510813153[[#This Row],[no_efec_inc]])</f>
        <v>#DIV/0!</v>
      </c>
      <c r="Q13" s="11" t="e">
        <f aca="false">(Tabla3510813153[[#This Row],[PNE]]+Tabla3510813153[[#This Row],[PE]])/2</f>
        <v>#DIV/0!</v>
      </c>
      <c r="T13" s="0" t="n">
        <f aca="false">Tabla3510813153[[#This Row],[efec]]+Tabla3510813153[[#This Row],[no_efe]]</f>
        <v>0</v>
      </c>
    </row>
    <row r="14" customFormat="false" ht="13.8" hidden="false" customHeight="false" outlineLevel="0" collapsed="false">
      <c r="A14" s="0" t="s">
        <v>43</v>
      </c>
      <c r="F14" s="0" t="n">
        <f aca="false">Tabla3510813153[[#This Row],[no_efec_cor]]+Tabla3510813153[[#This Row],[efec_cor]]</f>
        <v>0</v>
      </c>
      <c r="G14" s="0" t="n">
        <f aca="false">Tabla3510813153[[#This Row],[no_efec_inc]]+Tabla3510813153[[#This Row],[efect_inc]]</f>
        <v>0</v>
      </c>
      <c r="H14" s="9" t="e">
        <f aca="false">Tabla3510813153[[#This Row],[Correctos]]/Tabla3510813153[[#This Row],[total_sec]]</f>
        <v>#DIV/0!</v>
      </c>
      <c r="I14" s="9" t="e">
        <f aca="false">Tabla3510813153[[#This Row],[efec_cor]]/Tabla3510813153[[#This Row],[efec]]</f>
        <v>#DIV/0!</v>
      </c>
      <c r="J14" s="9" t="e">
        <f aca="false">Tabla3510813153[[#This Row],[efect_inc]]/Tabla3510813153[[#This Row],[efec]]</f>
        <v>#DIV/0!</v>
      </c>
      <c r="K14" s="9" t="e">
        <f aca="false">Tabla3510813153[[#This Row],[no_efec_cor]]/Tabla3510813153[[#This Row],[no_efe]]</f>
        <v>#DIV/0!</v>
      </c>
      <c r="L14" s="9" t="e">
        <f aca="false">Tabla3510813153[[#This Row],[no_efec_inc]]/Tabla3510813153[[#This Row],[no_efe]]</f>
        <v>#DIV/0!</v>
      </c>
      <c r="M14" s="9" t="e">
        <f aca="false">(Tabla3510813153[[#This Row],[% efe_cor]]+Tabla3510813153[[#This Row],[% no_efe_cor]])/2</f>
        <v>#DIV/0!</v>
      </c>
      <c r="N14" s="10" t="e">
        <f aca="false">(Tabla3510813153[[#This Row],[% efe_inc]]+Tabla3510813153[[#This Row],[% no_efect_inc]])/2</f>
        <v>#DIV/0!</v>
      </c>
      <c r="O14" s="11" t="e">
        <f aca="false">Tabla3510813153[[#This Row],[no_efec_cor]]/(Tabla3510813153[[#This Row],[efect_inc]]+Tabla3510813153[[#This Row],[no_efec_cor]])</f>
        <v>#DIV/0!</v>
      </c>
      <c r="P14" s="11" t="e">
        <f aca="false">Tabla3510813153[[#This Row],[efec_cor]]/(Tabla3510813153[[#This Row],[efec_cor]]+Tabla3510813153[[#This Row],[no_efec_inc]])</f>
        <v>#DIV/0!</v>
      </c>
      <c r="Q14" s="11" t="e">
        <f aca="false">(Tabla3510813153[[#This Row],[PNE]]+Tabla3510813153[[#This Row],[PE]])/2</f>
        <v>#DIV/0!</v>
      </c>
      <c r="T14" s="0" t="n">
        <f aca="false">Tabla3510813153[[#This Row],[efec]]+Tabla3510813153[[#This Row],[no_efe]]</f>
        <v>0</v>
      </c>
    </row>
    <row r="15" customFormat="false" ht="13.8" hidden="false" customHeight="false" outlineLevel="0" collapsed="false">
      <c r="A15" s="0" t="s">
        <v>44</v>
      </c>
      <c r="F15" s="0" t="n">
        <f aca="false">Tabla3510813153[[#This Row],[no_efec_cor]]+Tabla3510813153[[#This Row],[efec_cor]]</f>
        <v>0</v>
      </c>
      <c r="G15" s="0" t="n">
        <f aca="false">Tabla3510813153[[#This Row],[no_efec_inc]]+Tabla3510813153[[#This Row],[efect_inc]]</f>
        <v>0</v>
      </c>
      <c r="H15" s="9" t="e">
        <f aca="false">Tabla3510813153[[#This Row],[Correctos]]/Tabla3510813153[[#This Row],[total_sec]]</f>
        <v>#DIV/0!</v>
      </c>
      <c r="I15" s="9" t="e">
        <f aca="false">Tabla3510813153[[#This Row],[efec_cor]]/Tabla3510813153[[#This Row],[efec]]</f>
        <v>#DIV/0!</v>
      </c>
      <c r="J15" s="9" t="e">
        <f aca="false">Tabla3510813153[[#This Row],[efect_inc]]/Tabla3510813153[[#This Row],[efec]]</f>
        <v>#DIV/0!</v>
      </c>
      <c r="K15" s="9" t="e">
        <f aca="false">Tabla3510813153[[#This Row],[no_efec_cor]]/Tabla3510813153[[#This Row],[no_efe]]</f>
        <v>#DIV/0!</v>
      </c>
      <c r="L15" s="9" t="e">
        <f aca="false">Tabla3510813153[[#This Row],[no_efec_inc]]/Tabla3510813153[[#This Row],[no_efe]]</f>
        <v>#DIV/0!</v>
      </c>
      <c r="M15" s="9" t="e">
        <f aca="false">(Tabla3510813153[[#This Row],[% efe_cor]]+Tabla3510813153[[#This Row],[% no_efe_cor]])/2</f>
        <v>#DIV/0!</v>
      </c>
      <c r="N15" s="10" t="e">
        <f aca="false">(Tabla3510813153[[#This Row],[% efe_inc]]+Tabla3510813153[[#This Row],[% no_efect_inc]])/2</f>
        <v>#DIV/0!</v>
      </c>
      <c r="O15" s="11" t="e">
        <f aca="false">Tabla3510813153[[#This Row],[no_efec_cor]]/(Tabla3510813153[[#This Row],[efect_inc]]+Tabla3510813153[[#This Row],[no_efec_cor]])</f>
        <v>#DIV/0!</v>
      </c>
      <c r="P15" s="11" t="e">
        <f aca="false">Tabla3510813153[[#This Row],[efec_cor]]/(Tabla3510813153[[#This Row],[efec_cor]]+Tabla3510813153[[#This Row],[no_efec_inc]])</f>
        <v>#DIV/0!</v>
      </c>
      <c r="Q15" s="11" t="e">
        <f aca="false">(Tabla3510813153[[#This Row],[PNE]]+Tabla3510813153[[#This Row],[PE]])/2</f>
        <v>#DIV/0!</v>
      </c>
      <c r="T15" s="0" t="n">
        <f aca="false">Tabla3510813153[[#This Row],[efec]]+Tabla3510813153[[#This Row],[no_efe]]</f>
        <v>0</v>
      </c>
    </row>
    <row r="16" customFormat="false" ht="15" hidden="false" customHeight="false" outlineLevel="0" collapsed="false">
      <c r="H16" s="10"/>
      <c r="I16" s="11"/>
      <c r="J16" s="11"/>
      <c r="K16" s="11"/>
    </row>
    <row r="17" customFormat="false" ht="15" hidden="false" customHeight="false" outlineLevel="0" collapsed="false">
      <c r="A17" s="13" t="s">
        <v>5</v>
      </c>
      <c r="B17" s="13"/>
      <c r="C17" s="13"/>
      <c r="D17" s="13"/>
      <c r="E17" s="13"/>
      <c r="F17" s="13"/>
      <c r="G17" s="13"/>
    </row>
    <row r="18" customFormat="false" ht="16.5" hidden="false" customHeight="false" outlineLevel="0" collapsed="false">
      <c r="A18" s="14" t="s">
        <v>45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customFormat="false" ht="15.75" hidden="false" customHeight="false" outlineLevel="0" collapsed="false">
      <c r="A19" s="7" t="s">
        <v>38</v>
      </c>
      <c r="B19" s="8" t="s">
        <v>7</v>
      </c>
      <c r="C19" s="8" t="s">
        <v>8</v>
      </c>
      <c r="D19" s="8" t="s">
        <v>9</v>
      </c>
      <c r="E19" s="8" t="s">
        <v>10</v>
      </c>
      <c r="F19" s="8" t="s">
        <v>11</v>
      </c>
      <c r="G19" s="8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7" t="s">
        <v>20</v>
      </c>
      <c r="P19" s="7" t="s">
        <v>21</v>
      </c>
      <c r="Q19" s="7" t="s">
        <v>22</v>
      </c>
      <c r="R19" s="7" t="s">
        <v>23</v>
      </c>
      <c r="S19" s="7" t="s">
        <v>24</v>
      </c>
      <c r="T19" s="7" t="s">
        <v>25</v>
      </c>
    </row>
    <row r="20" customFormat="false" ht="13.8" hidden="false" customHeight="false" outlineLevel="0" collapsed="false">
      <c r="A20" s="0" t="s">
        <v>39</v>
      </c>
      <c r="F20" s="0" t="n">
        <f aca="false">Tabla35108131536[[#This Row],[no_efec_cor]]+Tabla35108131536[[#This Row],[efec_cor]]</f>
        <v>0</v>
      </c>
      <c r="G20" s="0" t="n">
        <f aca="false">Tabla35108131536[[#This Row],[no_efec_inc]]+Tabla35108131536[[#This Row],[efect_inc]]</f>
        <v>0</v>
      </c>
      <c r="H20" s="9" t="e">
        <f aca="false">Tabla35108131536[[#This Row],[Correctos]]/Tabla35108131536[[#This Row],[total_sec]]</f>
        <v>#DIV/0!</v>
      </c>
      <c r="I20" s="9" t="e">
        <f aca="false">Tabla35108131536[[#This Row],[efec_cor]]/Tabla35108131536[[#This Row],[efec]]</f>
        <v>#DIV/0!</v>
      </c>
      <c r="J20" s="9" t="e">
        <f aca="false">Tabla35108131536[[#This Row],[efect_inc]]/Tabla35108131536[[#This Row],[efec]]</f>
        <v>#DIV/0!</v>
      </c>
      <c r="K20" s="9" t="e">
        <f aca="false">Tabla35108131536[[#This Row],[no_efec_cor]]/Tabla35108131536[[#This Row],[no_efe]]</f>
        <v>#DIV/0!</v>
      </c>
      <c r="L20" s="9" t="e">
        <f aca="false">Tabla35108131536[[#This Row],[no_efec_inc]]/Tabla35108131536[[#This Row],[no_efe]]</f>
        <v>#DIV/0!</v>
      </c>
      <c r="M20" s="9" t="e">
        <f aca="false">(Tabla35108131536[[#This Row],[% efe_cor]]+Tabla35108131536[[#This Row],[% no_efe_cor]])/2</f>
        <v>#DIV/0!</v>
      </c>
      <c r="N20" s="10" t="e">
        <f aca="false">(Tabla35108131536[[#This Row],[% efe_inc]]+Tabla35108131536[[#This Row],[% no_efect_inc]])/2</f>
        <v>#DIV/0!</v>
      </c>
      <c r="O20" s="11" t="e">
        <f aca="false">Tabla35108131536[[#This Row],[no_efec_cor]]/(Tabla35108131536[[#This Row],[efect_inc]]+Tabla35108131536[[#This Row],[no_efec_cor]])</f>
        <v>#DIV/0!</v>
      </c>
      <c r="P20" s="11" t="e">
        <f aca="false">Tabla35108131536[[#This Row],[efec_cor]]/(Tabla35108131536[[#This Row],[efec_cor]]+Tabla35108131536[[#This Row],[no_efec_inc]])</f>
        <v>#DIV/0!</v>
      </c>
      <c r="Q20" s="11" t="e">
        <f aca="false">(Tabla35108131536[[#This Row],[PNE]]+Tabla35108131536[[#This Row],[PE]])/2</f>
        <v>#DIV/0!</v>
      </c>
      <c r="T20" s="0" t="n">
        <f aca="false">Tabla35108131536[[#This Row],[efec]]+Tabla35108131536[[#This Row],[no_efe]]</f>
        <v>0</v>
      </c>
    </row>
    <row r="21" customFormat="false" ht="13.8" hidden="false" customHeight="false" outlineLevel="0" collapsed="false">
      <c r="A21" s="0" t="s">
        <v>40</v>
      </c>
      <c r="F21" s="0" t="n">
        <f aca="false">Tabla35108131536[[#This Row],[no_efec_cor]]+Tabla35108131536[[#This Row],[efec_cor]]</f>
        <v>0</v>
      </c>
      <c r="G21" s="0" t="n">
        <f aca="false">Tabla35108131536[[#This Row],[no_efec_inc]]+Tabla35108131536[[#This Row],[efect_inc]]</f>
        <v>0</v>
      </c>
      <c r="H21" s="9" t="e">
        <f aca="false">Tabla35108131536[[#This Row],[Correctos]]/Tabla35108131536[[#This Row],[total_sec]]</f>
        <v>#DIV/0!</v>
      </c>
      <c r="I21" s="9" t="e">
        <f aca="false">Tabla35108131536[[#This Row],[efec_cor]]/Tabla35108131536[[#This Row],[efec]]</f>
        <v>#DIV/0!</v>
      </c>
      <c r="J21" s="9" t="e">
        <f aca="false">Tabla35108131536[[#This Row],[efect_inc]]/Tabla35108131536[[#This Row],[efec]]</f>
        <v>#DIV/0!</v>
      </c>
      <c r="K21" s="9" t="e">
        <f aca="false">Tabla35108131536[[#This Row],[no_efec_cor]]/Tabla35108131536[[#This Row],[no_efe]]</f>
        <v>#DIV/0!</v>
      </c>
      <c r="L21" s="9" t="e">
        <f aca="false">Tabla35108131536[[#This Row],[no_efec_inc]]/Tabla35108131536[[#This Row],[no_efe]]</f>
        <v>#DIV/0!</v>
      </c>
      <c r="M21" s="9" t="e">
        <f aca="false">(Tabla35108131536[[#This Row],[% efe_cor]]+Tabla35108131536[[#This Row],[% no_efe_cor]])/2</f>
        <v>#DIV/0!</v>
      </c>
      <c r="N21" s="10" t="e">
        <f aca="false">(Tabla35108131536[[#This Row],[% efe_inc]]+Tabla35108131536[[#This Row],[% no_efect_inc]])/2</f>
        <v>#DIV/0!</v>
      </c>
      <c r="O21" s="11" t="e">
        <f aca="false">Tabla35108131536[[#This Row],[no_efec_cor]]/(Tabla35108131536[[#This Row],[efect_inc]]+Tabla35108131536[[#This Row],[no_efec_cor]])</f>
        <v>#DIV/0!</v>
      </c>
      <c r="P21" s="11" t="e">
        <f aca="false">Tabla35108131536[[#This Row],[efec_cor]]/(Tabla35108131536[[#This Row],[efec_cor]]+Tabla35108131536[[#This Row],[no_efec_inc]])</f>
        <v>#DIV/0!</v>
      </c>
      <c r="Q21" s="11" t="e">
        <f aca="false">(Tabla35108131536[[#This Row],[PNE]]+Tabla35108131536[[#This Row],[PE]])/2</f>
        <v>#DIV/0!</v>
      </c>
      <c r="T21" s="0" t="n">
        <f aca="false">Tabla35108131536[[#This Row],[efec]]+Tabla35108131536[[#This Row],[no_efe]]</f>
        <v>0</v>
      </c>
    </row>
    <row r="22" customFormat="false" ht="13.8" hidden="false" customHeight="false" outlineLevel="0" collapsed="false">
      <c r="A22" s="0" t="s">
        <v>41</v>
      </c>
      <c r="F22" s="0" t="n">
        <f aca="false">Tabla35108131536[[#This Row],[no_efec_cor]]+Tabla35108131536[[#This Row],[efec_cor]]</f>
        <v>0</v>
      </c>
      <c r="G22" s="0" t="n">
        <f aca="false">Tabla35108131536[[#This Row],[no_efec_inc]]+Tabla35108131536[[#This Row],[efect_inc]]</f>
        <v>0</v>
      </c>
      <c r="H22" s="9" t="e">
        <f aca="false">Tabla35108131536[[#This Row],[Correctos]]/Tabla35108131536[[#This Row],[total_sec]]</f>
        <v>#DIV/0!</v>
      </c>
      <c r="I22" s="9" t="e">
        <f aca="false">Tabla35108131536[[#This Row],[efec_cor]]/Tabla35108131536[[#This Row],[efec]]</f>
        <v>#DIV/0!</v>
      </c>
      <c r="J22" s="9" t="e">
        <f aca="false">Tabla35108131536[[#This Row],[efect_inc]]/Tabla35108131536[[#This Row],[efec]]</f>
        <v>#DIV/0!</v>
      </c>
      <c r="K22" s="9" t="e">
        <f aca="false">Tabla35108131536[[#This Row],[no_efec_cor]]/Tabla35108131536[[#This Row],[no_efe]]</f>
        <v>#DIV/0!</v>
      </c>
      <c r="L22" s="9" t="e">
        <f aca="false">Tabla35108131536[[#This Row],[no_efec_inc]]/Tabla35108131536[[#This Row],[no_efe]]</f>
        <v>#DIV/0!</v>
      </c>
      <c r="M22" s="9" t="e">
        <f aca="false">(Tabla35108131536[[#This Row],[% efe_cor]]+Tabla35108131536[[#This Row],[% no_efe_cor]])/2</f>
        <v>#DIV/0!</v>
      </c>
      <c r="N22" s="10" t="e">
        <f aca="false">(Tabla35108131536[[#This Row],[% efe_inc]]+Tabla35108131536[[#This Row],[% no_efect_inc]])/2</f>
        <v>#DIV/0!</v>
      </c>
      <c r="O22" s="11" t="e">
        <f aca="false">Tabla35108131536[[#This Row],[no_efec_cor]]/(Tabla35108131536[[#This Row],[efect_inc]]+Tabla35108131536[[#This Row],[no_efec_cor]])</f>
        <v>#DIV/0!</v>
      </c>
      <c r="P22" s="11" t="e">
        <f aca="false">Tabla35108131536[[#This Row],[efec_cor]]/(Tabla35108131536[[#This Row],[efec_cor]]+Tabla35108131536[[#This Row],[no_efec_inc]])</f>
        <v>#DIV/0!</v>
      </c>
      <c r="Q22" s="11" t="e">
        <f aca="false">(Tabla35108131536[[#This Row],[PNE]]+Tabla35108131536[[#This Row],[PE]])/2</f>
        <v>#DIV/0!</v>
      </c>
      <c r="T22" s="0" t="n">
        <f aca="false">Tabla35108131536[[#This Row],[efec]]+Tabla35108131536[[#This Row],[no_efe]]</f>
        <v>0</v>
      </c>
    </row>
    <row r="23" customFormat="false" ht="13.8" hidden="false" customHeight="false" outlineLevel="0" collapsed="false">
      <c r="A23" s="0" t="s">
        <v>42</v>
      </c>
      <c r="F23" s="0" t="n">
        <f aca="false">Tabla35108131536[[#This Row],[no_efec_cor]]+Tabla35108131536[[#This Row],[efec_cor]]</f>
        <v>0</v>
      </c>
      <c r="G23" s="0" t="n">
        <f aca="false">Tabla35108131536[[#This Row],[no_efec_inc]]+Tabla35108131536[[#This Row],[efect_inc]]</f>
        <v>0</v>
      </c>
      <c r="H23" s="9" t="e">
        <f aca="false">Tabla35108131536[[#This Row],[Correctos]]/Tabla35108131536[[#This Row],[total_sec]]</f>
        <v>#DIV/0!</v>
      </c>
      <c r="I23" s="9" t="e">
        <f aca="false">Tabla35108131536[[#This Row],[efec_cor]]/Tabla35108131536[[#This Row],[efec]]</f>
        <v>#DIV/0!</v>
      </c>
      <c r="J23" s="9" t="e">
        <f aca="false">Tabla35108131536[[#This Row],[efect_inc]]/Tabla35108131536[[#This Row],[efec]]</f>
        <v>#DIV/0!</v>
      </c>
      <c r="K23" s="9" t="e">
        <f aca="false">Tabla35108131536[[#This Row],[no_efec_cor]]/Tabla35108131536[[#This Row],[no_efe]]</f>
        <v>#DIV/0!</v>
      </c>
      <c r="L23" s="9" t="e">
        <f aca="false">Tabla35108131536[[#This Row],[no_efec_inc]]/Tabla35108131536[[#This Row],[no_efe]]</f>
        <v>#DIV/0!</v>
      </c>
      <c r="M23" s="9" t="e">
        <f aca="false">(Tabla35108131536[[#This Row],[% efe_cor]]+Tabla35108131536[[#This Row],[% no_efe_cor]])/2</f>
        <v>#DIV/0!</v>
      </c>
      <c r="N23" s="10" t="e">
        <f aca="false">(Tabla35108131536[[#This Row],[% efe_inc]]+Tabla35108131536[[#This Row],[% no_efect_inc]])/2</f>
        <v>#DIV/0!</v>
      </c>
      <c r="O23" s="11" t="e">
        <f aca="false">Tabla35108131536[[#This Row],[no_efec_cor]]/(Tabla35108131536[[#This Row],[efect_inc]]+Tabla35108131536[[#This Row],[no_efec_cor]])</f>
        <v>#DIV/0!</v>
      </c>
      <c r="P23" s="11" t="e">
        <f aca="false">Tabla35108131536[[#This Row],[efec_cor]]/(Tabla35108131536[[#This Row],[efec_cor]]+Tabla35108131536[[#This Row],[no_efec_inc]])</f>
        <v>#DIV/0!</v>
      </c>
      <c r="Q23" s="11" t="e">
        <f aca="false">(Tabla35108131536[[#This Row],[PNE]]+Tabla35108131536[[#This Row],[PE]])/2</f>
        <v>#DIV/0!</v>
      </c>
      <c r="T23" s="0" t="n">
        <f aca="false">Tabla35108131536[[#This Row],[efec]]+Tabla35108131536[[#This Row],[no_efe]]</f>
        <v>0</v>
      </c>
    </row>
    <row r="24" customFormat="false" ht="13.8" hidden="false" customHeight="false" outlineLevel="0" collapsed="false">
      <c r="A24" s="0" t="s">
        <v>43</v>
      </c>
      <c r="F24" s="0" t="n">
        <f aca="false">Tabla35108131536[[#This Row],[no_efec_cor]]+Tabla35108131536[[#This Row],[efec_cor]]</f>
        <v>0</v>
      </c>
      <c r="G24" s="0" t="n">
        <f aca="false">Tabla35108131536[[#This Row],[no_efec_inc]]+Tabla35108131536[[#This Row],[efect_inc]]</f>
        <v>0</v>
      </c>
      <c r="H24" s="9" t="e">
        <f aca="false">Tabla35108131536[[#This Row],[Correctos]]/Tabla35108131536[[#This Row],[total_sec]]</f>
        <v>#DIV/0!</v>
      </c>
      <c r="I24" s="9" t="e">
        <f aca="false">Tabla35108131536[[#This Row],[efec_cor]]/Tabla35108131536[[#This Row],[efec]]</f>
        <v>#DIV/0!</v>
      </c>
      <c r="J24" s="9" t="e">
        <f aca="false">Tabla35108131536[[#This Row],[efect_inc]]/Tabla35108131536[[#This Row],[efec]]</f>
        <v>#DIV/0!</v>
      </c>
      <c r="K24" s="9" t="e">
        <f aca="false">Tabla35108131536[[#This Row],[no_efec_cor]]/Tabla35108131536[[#This Row],[no_efe]]</f>
        <v>#DIV/0!</v>
      </c>
      <c r="L24" s="9" t="e">
        <f aca="false">Tabla35108131536[[#This Row],[no_efec_inc]]/Tabla35108131536[[#This Row],[no_efe]]</f>
        <v>#DIV/0!</v>
      </c>
      <c r="M24" s="9" t="e">
        <f aca="false">(Tabla35108131536[[#This Row],[% efe_cor]]+Tabla35108131536[[#This Row],[% no_efe_cor]])/2</f>
        <v>#DIV/0!</v>
      </c>
      <c r="N24" s="10" t="e">
        <f aca="false">(Tabla35108131536[[#This Row],[% efe_inc]]+Tabla35108131536[[#This Row],[% no_efect_inc]])/2</f>
        <v>#DIV/0!</v>
      </c>
      <c r="O24" s="11" t="e">
        <f aca="false">Tabla35108131536[[#This Row],[no_efec_cor]]/(Tabla35108131536[[#This Row],[efect_inc]]+Tabla35108131536[[#This Row],[no_efec_cor]])</f>
        <v>#DIV/0!</v>
      </c>
      <c r="P24" s="11" t="e">
        <f aca="false">Tabla35108131536[[#This Row],[efec_cor]]/(Tabla35108131536[[#This Row],[efec_cor]]+Tabla35108131536[[#This Row],[no_efec_inc]])</f>
        <v>#DIV/0!</v>
      </c>
      <c r="Q24" s="11" t="e">
        <f aca="false">(Tabla35108131536[[#This Row],[PNE]]+Tabla35108131536[[#This Row],[PE]])/2</f>
        <v>#DIV/0!</v>
      </c>
      <c r="T24" s="0" t="n">
        <f aca="false">Tabla35108131536[[#This Row],[efec]]+Tabla35108131536[[#This Row],[no_efe]]</f>
        <v>0</v>
      </c>
    </row>
    <row r="25" customFormat="false" ht="13.8" hidden="false" customHeight="false" outlineLevel="0" collapsed="false">
      <c r="A25" s="0" t="s">
        <v>44</v>
      </c>
      <c r="F25" s="0" t="n">
        <f aca="false">Tabla35108131536[[#This Row],[no_efec_cor]]+Tabla35108131536[[#This Row],[efec_cor]]</f>
        <v>0</v>
      </c>
      <c r="G25" s="0" t="n">
        <f aca="false">Tabla35108131536[[#This Row],[no_efec_inc]]+Tabla35108131536[[#This Row],[efect_inc]]</f>
        <v>0</v>
      </c>
      <c r="H25" s="9" t="e">
        <f aca="false">Tabla35108131536[[#This Row],[Correctos]]/Tabla35108131536[[#This Row],[total_sec]]</f>
        <v>#DIV/0!</v>
      </c>
      <c r="I25" s="9" t="e">
        <f aca="false">Tabla35108131536[[#This Row],[efec_cor]]/Tabla35108131536[[#This Row],[efec]]</f>
        <v>#DIV/0!</v>
      </c>
      <c r="J25" s="9" t="e">
        <f aca="false">Tabla35108131536[[#This Row],[efect_inc]]/Tabla35108131536[[#This Row],[efec]]</f>
        <v>#DIV/0!</v>
      </c>
      <c r="K25" s="9" t="e">
        <f aca="false">Tabla35108131536[[#This Row],[no_efec_cor]]/Tabla35108131536[[#This Row],[no_efe]]</f>
        <v>#DIV/0!</v>
      </c>
      <c r="L25" s="9" t="e">
        <f aca="false">Tabla35108131536[[#This Row],[no_efec_inc]]/Tabla35108131536[[#This Row],[no_efe]]</f>
        <v>#DIV/0!</v>
      </c>
      <c r="M25" s="9" t="e">
        <f aca="false">(Tabla35108131536[[#This Row],[% efe_cor]]+Tabla35108131536[[#This Row],[% no_efe_cor]])/2</f>
        <v>#DIV/0!</v>
      </c>
      <c r="N25" s="10" t="e">
        <f aca="false">(Tabla35108131536[[#This Row],[% efe_inc]]+Tabla35108131536[[#This Row],[% no_efect_inc]])/2</f>
        <v>#DIV/0!</v>
      </c>
      <c r="O25" s="11" t="e">
        <f aca="false">Tabla35108131536[[#This Row],[no_efec_cor]]/(Tabla35108131536[[#This Row],[efect_inc]]+Tabla35108131536[[#This Row],[no_efec_cor]])</f>
        <v>#DIV/0!</v>
      </c>
      <c r="P25" s="11" t="e">
        <f aca="false">Tabla35108131536[[#This Row],[efec_cor]]/(Tabla35108131536[[#This Row],[efec_cor]]+Tabla35108131536[[#This Row],[no_efec_inc]])</f>
        <v>#DIV/0!</v>
      </c>
      <c r="Q25" s="11" t="e">
        <f aca="false">(Tabla35108131536[[#This Row],[PNE]]+Tabla35108131536[[#This Row],[PE]])/2</f>
        <v>#DIV/0!</v>
      </c>
      <c r="T25" s="0" t="n">
        <f aca="false">Tabla35108131536[[#This Row],[efec]]+Tabla35108131536[[#This Row],[no_efe]]</f>
        <v>0</v>
      </c>
    </row>
    <row r="27" customFormat="false" ht="15" hidden="false" customHeight="false" outlineLevel="0" collapsed="false">
      <c r="A27" s="13" t="s">
        <v>5</v>
      </c>
      <c r="B27" s="13"/>
      <c r="C27" s="13"/>
      <c r="D27" s="13"/>
      <c r="E27" s="13"/>
      <c r="F27" s="13"/>
      <c r="G27" s="13"/>
    </row>
    <row r="28" customFormat="false" ht="16.5" hidden="false" customHeight="false" outlineLevel="0" collapsed="false">
      <c r="A28" s="14" t="s">
        <v>46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customFormat="false" ht="15.75" hidden="false" customHeight="false" outlineLevel="0" collapsed="false">
      <c r="A29" s="7" t="s">
        <v>38</v>
      </c>
      <c r="B29" s="8" t="s">
        <v>7</v>
      </c>
      <c r="C29" s="8" t="s">
        <v>8</v>
      </c>
      <c r="D29" s="8" t="s">
        <v>9</v>
      </c>
      <c r="E29" s="8" t="s">
        <v>10</v>
      </c>
      <c r="F29" s="8" t="s">
        <v>11</v>
      </c>
      <c r="G29" s="8" t="s">
        <v>12</v>
      </c>
      <c r="H29" s="7" t="s">
        <v>13</v>
      </c>
      <c r="I29" s="7" t="s">
        <v>14</v>
      </c>
      <c r="J29" s="7" t="s">
        <v>15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20</v>
      </c>
      <c r="P29" s="7" t="s">
        <v>21</v>
      </c>
      <c r="Q29" s="7" t="s">
        <v>22</v>
      </c>
      <c r="R29" s="7" t="s">
        <v>23</v>
      </c>
      <c r="S29" s="7" t="s">
        <v>24</v>
      </c>
      <c r="T29" s="7" t="s">
        <v>25</v>
      </c>
    </row>
    <row r="30" customFormat="false" ht="13.8" hidden="false" customHeight="false" outlineLevel="0" collapsed="false">
      <c r="A30" s="0" t="s">
        <v>39</v>
      </c>
      <c r="F30" s="0" t="n">
        <f aca="false">Tabla351081315368[[#This Row],[no_efec_cor]]+Tabla351081315368[[#This Row],[efec_cor]]</f>
        <v>0</v>
      </c>
      <c r="G30" s="0" t="n">
        <f aca="false">Tabla351081315368[[#This Row],[no_efec_inc]]+Tabla351081315368[[#This Row],[efect_inc]]</f>
        <v>0</v>
      </c>
      <c r="H30" s="9" t="e">
        <f aca="false">Tabla351081315368[[#This Row],[Correctos]]/Tabla351081315368[[#This Row],[total_sec]]</f>
        <v>#DIV/0!</v>
      </c>
      <c r="I30" s="9" t="e">
        <f aca="false">Tabla351081315368[[#This Row],[efec_cor]]/Tabla351081315368[[#This Row],[efec]]</f>
        <v>#DIV/0!</v>
      </c>
      <c r="J30" s="9" t="e">
        <f aca="false">Tabla351081315368[[#This Row],[efect_inc]]/Tabla351081315368[[#This Row],[efec]]</f>
        <v>#DIV/0!</v>
      </c>
      <c r="K30" s="9" t="e">
        <f aca="false">Tabla351081315368[[#This Row],[no_efec_cor]]/Tabla351081315368[[#This Row],[no_efe]]</f>
        <v>#DIV/0!</v>
      </c>
      <c r="L30" s="9" t="e">
        <f aca="false">Tabla351081315368[[#This Row],[no_efec_inc]]/Tabla351081315368[[#This Row],[no_efe]]</f>
        <v>#DIV/0!</v>
      </c>
      <c r="M30" s="9" t="e">
        <f aca="false">(Tabla351081315368[[#This Row],[% efe_cor]]+Tabla351081315368[[#This Row],[% no_efe_cor]])/2</f>
        <v>#DIV/0!</v>
      </c>
      <c r="N30" s="10" t="e">
        <f aca="false">(Tabla351081315368[[#This Row],[% efe_inc]]+Tabla351081315368[[#This Row],[% no_efect_inc]])/2</f>
        <v>#DIV/0!</v>
      </c>
      <c r="O30" s="11" t="e">
        <f aca="false">Tabla351081315368[[#This Row],[no_efec_cor]]/(Tabla351081315368[[#This Row],[efect_inc]]+Tabla351081315368[[#This Row],[no_efec_cor]])</f>
        <v>#DIV/0!</v>
      </c>
      <c r="P30" s="11" t="e">
        <f aca="false">Tabla351081315368[[#This Row],[efec_cor]]/(Tabla351081315368[[#This Row],[efec_cor]]+Tabla351081315368[[#This Row],[no_efec_inc]])</f>
        <v>#DIV/0!</v>
      </c>
      <c r="Q30" s="11" t="e">
        <f aca="false">(Tabla351081315368[[#This Row],[PNE]]+Tabla351081315368[[#This Row],[PE]])/2</f>
        <v>#DIV/0!</v>
      </c>
      <c r="T30" s="0" t="n">
        <f aca="false">Tabla351081315368[[#This Row],[efec]]+Tabla351081315368[[#This Row],[no_efe]]</f>
        <v>0</v>
      </c>
    </row>
    <row r="31" customFormat="false" ht="13.8" hidden="false" customHeight="false" outlineLevel="0" collapsed="false">
      <c r="A31" s="0" t="s">
        <v>40</v>
      </c>
      <c r="F31" s="0" t="n">
        <f aca="false">Tabla351081315368[[#This Row],[no_efec_cor]]+Tabla351081315368[[#This Row],[efec_cor]]</f>
        <v>0</v>
      </c>
      <c r="G31" s="0" t="n">
        <f aca="false">Tabla351081315368[[#This Row],[no_efec_inc]]+Tabla351081315368[[#This Row],[efect_inc]]</f>
        <v>0</v>
      </c>
      <c r="H31" s="9" t="e">
        <f aca="false">Tabla351081315368[[#This Row],[Correctos]]/Tabla351081315368[[#This Row],[total_sec]]</f>
        <v>#DIV/0!</v>
      </c>
      <c r="I31" s="9" t="e">
        <f aca="false">Tabla351081315368[[#This Row],[efec_cor]]/Tabla351081315368[[#This Row],[efec]]</f>
        <v>#DIV/0!</v>
      </c>
      <c r="J31" s="9" t="e">
        <f aca="false">Tabla351081315368[[#This Row],[efect_inc]]/Tabla351081315368[[#This Row],[efec]]</f>
        <v>#DIV/0!</v>
      </c>
      <c r="K31" s="9" t="e">
        <f aca="false">Tabla351081315368[[#This Row],[no_efec_cor]]/Tabla351081315368[[#This Row],[no_efe]]</f>
        <v>#DIV/0!</v>
      </c>
      <c r="L31" s="9" t="e">
        <f aca="false">Tabla351081315368[[#This Row],[no_efec_inc]]/Tabla351081315368[[#This Row],[no_efe]]</f>
        <v>#DIV/0!</v>
      </c>
      <c r="M31" s="9" t="e">
        <f aca="false">(Tabla351081315368[[#This Row],[% efe_cor]]+Tabla351081315368[[#This Row],[% no_efe_cor]])/2</f>
        <v>#DIV/0!</v>
      </c>
      <c r="N31" s="10" t="e">
        <f aca="false">(Tabla351081315368[[#This Row],[% efe_inc]]+Tabla351081315368[[#This Row],[% no_efect_inc]])/2</f>
        <v>#DIV/0!</v>
      </c>
      <c r="O31" s="11" t="e">
        <f aca="false">Tabla351081315368[[#This Row],[no_efec_cor]]/(Tabla351081315368[[#This Row],[efect_inc]]+Tabla351081315368[[#This Row],[no_efec_cor]])</f>
        <v>#DIV/0!</v>
      </c>
      <c r="P31" s="11" t="e">
        <f aca="false">Tabla351081315368[[#This Row],[efec_cor]]/(Tabla351081315368[[#This Row],[efec_cor]]+Tabla351081315368[[#This Row],[no_efec_inc]])</f>
        <v>#DIV/0!</v>
      </c>
      <c r="Q31" s="11" t="e">
        <f aca="false">(Tabla351081315368[[#This Row],[PNE]]+Tabla351081315368[[#This Row],[PE]])/2</f>
        <v>#DIV/0!</v>
      </c>
      <c r="T31" s="0" t="n">
        <f aca="false">Tabla351081315368[[#This Row],[efec]]+Tabla351081315368[[#This Row],[no_efe]]</f>
        <v>0</v>
      </c>
    </row>
    <row r="32" customFormat="false" ht="13.8" hidden="false" customHeight="false" outlineLevel="0" collapsed="false">
      <c r="A32" s="0" t="s">
        <v>41</v>
      </c>
      <c r="F32" s="0" t="n">
        <f aca="false">Tabla351081315368[[#This Row],[no_efec_cor]]+Tabla351081315368[[#This Row],[efec_cor]]</f>
        <v>0</v>
      </c>
      <c r="G32" s="0" t="n">
        <f aca="false">Tabla351081315368[[#This Row],[no_efec_inc]]+Tabla351081315368[[#This Row],[efect_inc]]</f>
        <v>0</v>
      </c>
      <c r="H32" s="9" t="e">
        <f aca="false">Tabla351081315368[[#This Row],[Correctos]]/Tabla351081315368[[#This Row],[total_sec]]</f>
        <v>#DIV/0!</v>
      </c>
      <c r="I32" s="9" t="e">
        <f aca="false">Tabla351081315368[[#This Row],[efec_cor]]/Tabla351081315368[[#This Row],[efec]]</f>
        <v>#DIV/0!</v>
      </c>
      <c r="J32" s="9" t="e">
        <f aca="false">Tabla351081315368[[#This Row],[efect_inc]]/Tabla351081315368[[#This Row],[efec]]</f>
        <v>#DIV/0!</v>
      </c>
      <c r="K32" s="9" t="e">
        <f aca="false">Tabla351081315368[[#This Row],[no_efec_cor]]/Tabla351081315368[[#This Row],[no_efe]]</f>
        <v>#DIV/0!</v>
      </c>
      <c r="L32" s="9" t="e">
        <f aca="false">Tabla351081315368[[#This Row],[no_efec_inc]]/Tabla351081315368[[#This Row],[no_efe]]</f>
        <v>#DIV/0!</v>
      </c>
      <c r="M32" s="9" t="e">
        <f aca="false">(Tabla351081315368[[#This Row],[% efe_cor]]+Tabla351081315368[[#This Row],[% no_efe_cor]])/2</f>
        <v>#DIV/0!</v>
      </c>
      <c r="N32" s="10" t="e">
        <f aca="false">(Tabla351081315368[[#This Row],[% efe_inc]]+Tabla351081315368[[#This Row],[% no_efect_inc]])/2</f>
        <v>#DIV/0!</v>
      </c>
      <c r="O32" s="11" t="e">
        <f aca="false">Tabla351081315368[[#This Row],[no_efec_cor]]/(Tabla351081315368[[#This Row],[efect_inc]]+Tabla351081315368[[#This Row],[no_efec_cor]])</f>
        <v>#DIV/0!</v>
      </c>
      <c r="P32" s="11" t="e">
        <f aca="false">Tabla351081315368[[#This Row],[efec_cor]]/(Tabla351081315368[[#This Row],[efec_cor]]+Tabla351081315368[[#This Row],[no_efec_inc]])</f>
        <v>#DIV/0!</v>
      </c>
      <c r="Q32" s="11" t="e">
        <f aca="false">(Tabla351081315368[[#This Row],[PNE]]+Tabla351081315368[[#This Row],[PE]])/2</f>
        <v>#DIV/0!</v>
      </c>
      <c r="T32" s="0" t="n">
        <f aca="false">Tabla351081315368[[#This Row],[efec]]+Tabla351081315368[[#This Row],[no_efe]]</f>
        <v>0</v>
      </c>
    </row>
    <row r="33" customFormat="false" ht="13.8" hidden="false" customHeight="false" outlineLevel="0" collapsed="false">
      <c r="A33" s="0" t="s">
        <v>42</v>
      </c>
      <c r="F33" s="0" t="n">
        <f aca="false">Tabla351081315368[[#This Row],[no_efec_cor]]+Tabla351081315368[[#This Row],[efec_cor]]</f>
        <v>0</v>
      </c>
      <c r="G33" s="0" t="n">
        <f aca="false">Tabla351081315368[[#This Row],[no_efec_inc]]+Tabla351081315368[[#This Row],[efect_inc]]</f>
        <v>0</v>
      </c>
      <c r="H33" s="9" t="e">
        <f aca="false">Tabla351081315368[[#This Row],[Correctos]]/Tabla351081315368[[#This Row],[total_sec]]</f>
        <v>#DIV/0!</v>
      </c>
      <c r="I33" s="9" t="e">
        <f aca="false">Tabla351081315368[[#This Row],[efec_cor]]/Tabla351081315368[[#This Row],[efec]]</f>
        <v>#DIV/0!</v>
      </c>
      <c r="J33" s="9" t="e">
        <f aca="false">Tabla351081315368[[#This Row],[efect_inc]]/Tabla351081315368[[#This Row],[efec]]</f>
        <v>#DIV/0!</v>
      </c>
      <c r="K33" s="9" t="e">
        <f aca="false">Tabla351081315368[[#This Row],[no_efec_cor]]/Tabla351081315368[[#This Row],[no_efe]]</f>
        <v>#DIV/0!</v>
      </c>
      <c r="L33" s="9" t="e">
        <f aca="false">Tabla351081315368[[#This Row],[no_efec_inc]]/Tabla351081315368[[#This Row],[no_efe]]</f>
        <v>#DIV/0!</v>
      </c>
      <c r="M33" s="9" t="e">
        <f aca="false">(Tabla351081315368[[#This Row],[% efe_cor]]+Tabla351081315368[[#This Row],[% no_efe_cor]])/2</f>
        <v>#DIV/0!</v>
      </c>
      <c r="N33" s="10" t="e">
        <f aca="false">(Tabla351081315368[[#This Row],[% efe_inc]]+Tabla351081315368[[#This Row],[% no_efect_inc]])/2</f>
        <v>#DIV/0!</v>
      </c>
      <c r="O33" s="11" t="e">
        <f aca="false">Tabla351081315368[[#This Row],[no_efec_cor]]/(Tabla351081315368[[#This Row],[efect_inc]]+Tabla351081315368[[#This Row],[no_efec_cor]])</f>
        <v>#DIV/0!</v>
      </c>
      <c r="P33" s="11" t="e">
        <f aca="false">Tabla351081315368[[#This Row],[efec_cor]]/(Tabla351081315368[[#This Row],[efec_cor]]+Tabla351081315368[[#This Row],[no_efec_inc]])</f>
        <v>#DIV/0!</v>
      </c>
      <c r="Q33" s="11" t="e">
        <f aca="false">(Tabla351081315368[[#This Row],[PNE]]+Tabla351081315368[[#This Row],[PE]])/2</f>
        <v>#DIV/0!</v>
      </c>
      <c r="T33" s="0" t="n">
        <f aca="false">Tabla351081315368[[#This Row],[efec]]+Tabla351081315368[[#This Row],[no_efe]]</f>
        <v>0</v>
      </c>
    </row>
    <row r="34" customFormat="false" ht="13.8" hidden="false" customHeight="false" outlineLevel="0" collapsed="false">
      <c r="A34" s="0" t="s">
        <v>43</v>
      </c>
      <c r="F34" s="0" t="n">
        <f aca="false">Tabla351081315368[[#This Row],[no_efec_cor]]+Tabla351081315368[[#This Row],[efec_cor]]</f>
        <v>0</v>
      </c>
      <c r="G34" s="0" t="n">
        <f aca="false">Tabla351081315368[[#This Row],[no_efec_inc]]+Tabla351081315368[[#This Row],[efect_inc]]</f>
        <v>0</v>
      </c>
      <c r="H34" s="9" t="e">
        <f aca="false">Tabla351081315368[[#This Row],[Correctos]]/Tabla351081315368[[#This Row],[total_sec]]</f>
        <v>#DIV/0!</v>
      </c>
      <c r="I34" s="9" t="e">
        <f aca="false">Tabla351081315368[[#This Row],[efec_cor]]/Tabla351081315368[[#This Row],[efec]]</f>
        <v>#DIV/0!</v>
      </c>
      <c r="J34" s="9" t="e">
        <f aca="false">Tabla351081315368[[#This Row],[efect_inc]]/Tabla351081315368[[#This Row],[efec]]</f>
        <v>#DIV/0!</v>
      </c>
      <c r="K34" s="9" t="e">
        <f aca="false">Tabla351081315368[[#This Row],[no_efec_cor]]/Tabla351081315368[[#This Row],[no_efe]]</f>
        <v>#DIV/0!</v>
      </c>
      <c r="L34" s="9" t="e">
        <f aca="false">Tabla351081315368[[#This Row],[no_efec_inc]]/Tabla351081315368[[#This Row],[no_efe]]</f>
        <v>#DIV/0!</v>
      </c>
      <c r="M34" s="9" t="e">
        <f aca="false">(Tabla351081315368[[#This Row],[% efe_cor]]+Tabla351081315368[[#This Row],[% no_efe_cor]])/2</f>
        <v>#DIV/0!</v>
      </c>
      <c r="N34" s="10" t="e">
        <f aca="false">(Tabla351081315368[[#This Row],[% efe_inc]]+Tabla351081315368[[#This Row],[% no_efect_inc]])/2</f>
        <v>#DIV/0!</v>
      </c>
      <c r="O34" s="11" t="e">
        <f aca="false">Tabla351081315368[[#This Row],[no_efec_cor]]/(Tabla351081315368[[#This Row],[efect_inc]]+Tabla351081315368[[#This Row],[no_efec_cor]])</f>
        <v>#DIV/0!</v>
      </c>
      <c r="P34" s="11" t="e">
        <f aca="false">Tabla351081315368[[#This Row],[efec_cor]]/(Tabla351081315368[[#This Row],[efec_cor]]+Tabla351081315368[[#This Row],[no_efec_inc]])</f>
        <v>#DIV/0!</v>
      </c>
      <c r="Q34" s="11" t="e">
        <f aca="false">(Tabla351081315368[[#This Row],[PNE]]+Tabla351081315368[[#This Row],[PE]])/2</f>
        <v>#DIV/0!</v>
      </c>
      <c r="T34" s="0" t="n">
        <f aca="false">Tabla351081315368[[#This Row],[efec]]+Tabla351081315368[[#This Row],[no_efe]]</f>
        <v>0</v>
      </c>
    </row>
    <row r="35" customFormat="false" ht="13.8" hidden="false" customHeight="false" outlineLevel="0" collapsed="false">
      <c r="A35" s="0" t="s">
        <v>44</v>
      </c>
      <c r="F35" s="0" t="n">
        <f aca="false">Tabla351081315368[[#This Row],[no_efec_cor]]+Tabla351081315368[[#This Row],[efec_cor]]</f>
        <v>0</v>
      </c>
      <c r="G35" s="0" t="n">
        <f aca="false">Tabla351081315368[[#This Row],[no_efec_inc]]+Tabla351081315368[[#This Row],[efect_inc]]</f>
        <v>0</v>
      </c>
      <c r="H35" s="9" t="e">
        <f aca="false">Tabla351081315368[[#This Row],[Correctos]]/Tabla351081315368[[#This Row],[total_sec]]</f>
        <v>#DIV/0!</v>
      </c>
      <c r="I35" s="9" t="e">
        <f aca="false">Tabla351081315368[[#This Row],[efec_cor]]/Tabla351081315368[[#This Row],[efec]]</f>
        <v>#DIV/0!</v>
      </c>
      <c r="J35" s="9" t="e">
        <f aca="false">Tabla351081315368[[#This Row],[efect_inc]]/Tabla351081315368[[#This Row],[efec]]</f>
        <v>#DIV/0!</v>
      </c>
      <c r="K35" s="9" t="e">
        <f aca="false">Tabla351081315368[[#This Row],[no_efec_cor]]/Tabla351081315368[[#This Row],[no_efe]]</f>
        <v>#DIV/0!</v>
      </c>
      <c r="L35" s="9" t="e">
        <f aca="false">Tabla351081315368[[#This Row],[no_efec_inc]]/Tabla351081315368[[#This Row],[no_efe]]</f>
        <v>#DIV/0!</v>
      </c>
      <c r="M35" s="9" t="e">
        <f aca="false">(Tabla351081315368[[#This Row],[% efe_cor]]+Tabla351081315368[[#This Row],[% no_efe_cor]])/2</f>
        <v>#DIV/0!</v>
      </c>
      <c r="N35" s="10" t="e">
        <f aca="false">(Tabla351081315368[[#This Row],[% efe_inc]]+Tabla351081315368[[#This Row],[% no_efect_inc]])/2</f>
        <v>#DIV/0!</v>
      </c>
      <c r="O35" s="11" t="e">
        <f aca="false">Tabla351081315368[[#This Row],[no_efec_cor]]/(Tabla351081315368[[#This Row],[efect_inc]]+Tabla351081315368[[#This Row],[no_efec_cor]])</f>
        <v>#DIV/0!</v>
      </c>
      <c r="P35" s="11" t="e">
        <f aca="false">Tabla351081315368[[#This Row],[efec_cor]]/(Tabla351081315368[[#This Row],[efec_cor]]+Tabla351081315368[[#This Row],[no_efec_inc]])</f>
        <v>#DIV/0!</v>
      </c>
      <c r="Q35" s="11" t="e">
        <f aca="false">(Tabla351081315368[[#This Row],[PNE]]+Tabla351081315368[[#This Row],[PE]])/2</f>
        <v>#DIV/0!</v>
      </c>
      <c r="T35" s="0" t="n">
        <f aca="false">Tabla351081315368[[#This Row],[efec]]+Tabla351081315368[[#This Row],[no_efe]]</f>
        <v>0</v>
      </c>
    </row>
    <row r="37" customFormat="false" ht="15" hidden="false" customHeight="false" outlineLevel="0" collapsed="false">
      <c r="A37" s="13" t="s">
        <v>5</v>
      </c>
      <c r="B37" s="13"/>
      <c r="C37" s="13"/>
      <c r="D37" s="13"/>
      <c r="E37" s="13"/>
      <c r="F37" s="13"/>
      <c r="G37" s="13"/>
    </row>
    <row r="38" customFormat="false" ht="16.5" hidden="false" customHeight="false" outlineLevel="0" collapsed="false">
      <c r="A38" s="14" t="s">
        <v>47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5.75" hidden="false" customHeight="false" outlineLevel="0" collapsed="false">
      <c r="A39" s="7" t="s">
        <v>38</v>
      </c>
      <c r="B39" s="8" t="s">
        <v>7</v>
      </c>
      <c r="C39" s="8" t="s">
        <v>8</v>
      </c>
      <c r="D39" s="8" t="s">
        <v>9</v>
      </c>
      <c r="E39" s="8" t="s">
        <v>10</v>
      </c>
      <c r="F39" s="8" t="s">
        <v>11</v>
      </c>
      <c r="G39" s="8" t="s">
        <v>12</v>
      </c>
      <c r="H39" s="7" t="s">
        <v>13</v>
      </c>
      <c r="I39" s="7" t="s">
        <v>14</v>
      </c>
      <c r="J39" s="7" t="s">
        <v>15</v>
      </c>
      <c r="K39" s="7" t="s">
        <v>16</v>
      </c>
      <c r="L39" s="7" t="s">
        <v>17</v>
      </c>
      <c r="M39" s="7" t="s">
        <v>18</v>
      </c>
      <c r="N39" s="7" t="s">
        <v>19</v>
      </c>
      <c r="O39" s="7" t="s">
        <v>20</v>
      </c>
      <c r="P39" s="7" t="s">
        <v>21</v>
      </c>
      <c r="Q39" s="7" t="s">
        <v>22</v>
      </c>
      <c r="R39" s="7" t="s">
        <v>23</v>
      </c>
      <c r="S39" s="7" t="s">
        <v>24</v>
      </c>
      <c r="T39" s="7" t="s">
        <v>25</v>
      </c>
    </row>
    <row r="40" customFormat="false" ht="13.8" hidden="false" customHeight="false" outlineLevel="0" collapsed="false">
      <c r="A40" s="0" t="s">
        <v>39</v>
      </c>
      <c r="F40" s="0" t="n">
        <f aca="false">Tabla351081315369[[#This Row],[no_efec_cor]]+Tabla351081315369[[#This Row],[efec_cor]]</f>
        <v>0</v>
      </c>
      <c r="G40" s="0" t="n">
        <f aca="false">Tabla351081315369[[#This Row],[no_efec_inc]]+Tabla351081315369[[#This Row],[efect_inc]]</f>
        <v>0</v>
      </c>
      <c r="H40" s="9" t="e">
        <f aca="false">Tabla351081315369[[#This Row],[Correctos]]/Tabla351081315369[[#This Row],[total_sec]]</f>
        <v>#DIV/0!</v>
      </c>
      <c r="I40" s="9" t="e">
        <f aca="false">Tabla351081315369[[#This Row],[efec_cor]]/Tabla351081315369[[#This Row],[efec]]</f>
        <v>#DIV/0!</v>
      </c>
      <c r="J40" s="9" t="e">
        <f aca="false">Tabla351081315369[[#This Row],[efect_inc]]/Tabla351081315369[[#This Row],[efec]]</f>
        <v>#DIV/0!</v>
      </c>
      <c r="K40" s="9" t="e">
        <f aca="false">Tabla351081315369[[#This Row],[no_efec_cor]]/Tabla351081315369[[#This Row],[no_efe]]</f>
        <v>#DIV/0!</v>
      </c>
      <c r="L40" s="9" t="e">
        <f aca="false">Tabla351081315369[[#This Row],[no_efec_inc]]/Tabla351081315369[[#This Row],[no_efe]]</f>
        <v>#DIV/0!</v>
      </c>
      <c r="M40" s="9" t="e">
        <f aca="false">(Tabla351081315369[[#This Row],[% efe_cor]]+Tabla351081315369[[#This Row],[% no_efe_cor]])/2</f>
        <v>#DIV/0!</v>
      </c>
      <c r="N40" s="10" t="e">
        <f aca="false">(Tabla351081315369[[#This Row],[% efe_inc]]+Tabla351081315369[[#This Row],[% no_efect_inc]])/2</f>
        <v>#DIV/0!</v>
      </c>
      <c r="O40" s="11" t="e">
        <f aca="false">Tabla351081315369[[#This Row],[no_efec_cor]]/(Tabla351081315369[[#This Row],[efect_inc]]+Tabla351081315369[[#This Row],[no_efec_cor]])</f>
        <v>#DIV/0!</v>
      </c>
      <c r="P40" s="11" t="e">
        <f aca="false">Tabla351081315369[[#This Row],[efec_cor]]/(Tabla351081315369[[#This Row],[efec_cor]]+Tabla351081315369[[#This Row],[no_efec_inc]])</f>
        <v>#DIV/0!</v>
      </c>
      <c r="Q40" s="11" t="e">
        <f aca="false">(Tabla351081315369[[#This Row],[PNE]]+Tabla351081315369[[#This Row],[PE]])/2</f>
        <v>#DIV/0!</v>
      </c>
      <c r="T40" s="0" t="n">
        <f aca="false">Tabla351081315369[[#This Row],[efec]]+Tabla351081315369[[#This Row],[no_efe]]</f>
        <v>0</v>
      </c>
    </row>
    <row r="41" customFormat="false" ht="13.8" hidden="false" customHeight="false" outlineLevel="0" collapsed="false">
      <c r="A41" s="0" t="s">
        <v>40</v>
      </c>
      <c r="F41" s="0" t="n">
        <f aca="false">Tabla351081315369[[#This Row],[no_efec_cor]]+Tabla351081315369[[#This Row],[efec_cor]]</f>
        <v>0</v>
      </c>
      <c r="G41" s="0" t="n">
        <f aca="false">Tabla351081315369[[#This Row],[no_efec_inc]]+Tabla351081315369[[#This Row],[efect_inc]]</f>
        <v>0</v>
      </c>
      <c r="H41" s="9" t="e">
        <f aca="false">Tabla351081315369[[#This Row],[Correctos]]/Tabla351081315369[[#This Row],[total_sec]]</f>
        <v>#DIV/0!</v>
      </c>
      <c r="I41" s="9" t="e">
        <f aca="false">Tabla351081315369[[#This Row],[efec_cor]]/Tabla351081315369[[#This Row],[efec]]</f>
        <v>#DIV/0!</v>
      </c>
      <c r="J41" s="9" t="e">
        <f aca="false">Tabla351081315369[[#This Row],[efect_inc]]/Tabla351081315369[[#This Row],[efec]]</f>
        <v>#DIV/0!</v>
      </c>
      <c r="K41" s="9" t="e">
        <f aca="false">Tabla351081315369[[#This Row],[no_efec_cor]]/Tabla351081315369[[#This Row],[no_efe]]</f>
        <v>#DIV/0!</v>
      </c>
      <c r="L41" s="9" t="e">
        <f aca="false">Tabla351081315369[[#This Row],[no_efec_inc]]/Tabla351081315369[[#This Row],[no_efe]]</f>
        <v>#DIV/0!</v>
      </c>
      <c r="M41" s="9" t="e">
        <f aca="false">(Tabla351081315369[[#This Row],[% efe_cor]]+Tabla351081315369[[#This Row],[% no_efe_cor]])/2</f>
        <v>#DIV/0!</v>
      </c>
      <c r="N41" s="10" t="e">
        <f aca="false">(Tabla351081315369[[#This Row],[% efe_inc]]+Tabla351081315369[[#This Row],[% no_efect_inc]])/2</f>
        <v>#DIV/0!</v>
      </c>
      <c r="O41" s="11" t="e">
        <f aca="false">Tabla351081315369[[#This Row],[no_efec_cor]]/(Tabla351081315369[[#This Row],[efect_inc]]+Tabla351081315369[[#This Row],[no_efec_cor]])</f>
        <v>#DIV/0!</v>
      </c>
      <c r="P41" s="11" t="e">
        <f aca="false">Tabla351081315369[[#This Row],[efec_cor]]/(Tabla351081315369[[#This Row],[efec_cor]]+Tabla351081315369[[#This Row],[no_efec_inc]])</f>
        <v>#DIV/0!</v>
      </c>
      <c r="Q41" s="11" t="e">
        <f aca="false">(Tabla351081315369[[#This Row],[PNE]]+Tabla351081315369[[#This Row],[PE]])/2</f>
        <v>#DIV/0!</v>
      </c>
      <c r="T41" s="0" t="n">
        <f aca="false">Tabla351081315369[[#This Row],[efec]]+Tabla351081315369[[#This Row],[no_efe]]</f>
        <v>0</v>
      </c>
    </row>
    <row r="42" customFormat="false" ht="13.8" hidden="false" customHeight="false" outlineLevel="0" collapsed="false">
      <c r="A42" s="0" t="s">
        <v>41</v>
      </c>
      <c r="F42" s="0" t="n">
        <f aca="false">Tabla351081315369[[#This Row],[no_efec_cor]]+Tabla351081315369[[#This Row],[efec_cor]]</f>
        <v>0</v>
      </c>
      <c r="G42" s="0" t="n">
        <f aca="false">Tabla351081315369[[#This Row],[no_efec_inc]]+Tabla351081315369[[#This Row],[efect_inc]]</f>
        <v>0</v>
      </c>
      <c r="H42" s="9" t="e">
        <f aca="false">Tabla351081315369[[#This Row],[Correctos]]/Tabla351081315369[[#This Row],[total_sec]]</f>
        <v>#DIV/0!</v>
      </c>
      <c r="I42" s="9" t="e">
        <f aca="false">Tabla351081315369[[#This Row],[efec_cor]]/Tabla351081315369[[#This Row],[efec]]</f>
        <v>#DIV/0!</v>
      </c>
      <c r="J42" s="9" t="e">
        <f aca="false">Tabla351081315369[[#This Row],[efect_inc]]/Tabla351081315369[[#This Row],[efec]]</f>
        <v>#DIV/0!</v>
      </c>
      <c r="K42" s="9" t="e">
        <f aca="false">Tabla351081315369[[#This Row],[no_efec_cor]]/Tabla351081315369[[#This Row],[no_efe]]</f>
        <v>#DIV/0!</v>
      </c>
      <c r="L42" s="9" t="e">
        <f aca="false">Tabla351081315369[[#This Row],[no_efec_inc]]/Tabla351081315369[[#This Row],[no_efe]]</f>
        <v>#DIV/0!</v>
      </c>
      <c r="M42" s="9" t="e">
        <f aca="false">(Tabla351081315369[[#This Row],[% efe_cor]]+Tabla351081315369[[#This Row],[% no_efe_cor]])/2</f>
        <v>#DIV/0!</v>
      </c>
      <c r="N42" s="10" t="e">
        <f aca="false">(Tabla351081315369[[#This Row],[% efe_inc]]+Tabla351081315369[[#This Row],[% no_efect_inc]])/2</f>
        <v>#DIV/0!</v>
      </c>
      <c r="O42" s="11" t="e">
        <f aca="false">Tabla351081315369[[#This Row],[no_efec_cor]]/(Tabla351081315369[[#This Row],[efect_inc]]+Tabla351081315369[[#This Row],[no_efec_cor]])</f>
        <v>#DIV/0!</v>
      </c>
      <c r="P42" s="11" t="e">
        <f aca="false">Tabla351081315369[[#This Row],[efec_cor]]/(Tabla351081315369[[#This Row],[efec_cor]]+Tabla351081315369[[#This Row],[no_efec_inc]])</f>
        <v>#DIV/0!</v>
      </c>
      <c r="Q42" s="11" t="e">
        <f aca="false">(Tabla351081315369[[#This Row],[PNE]]+Tabla351081315369[[#This Row],[PE]])/2</f>
        <v>#DIV/0!</v>
      </c>
      <c r="T42" s="0" t="n">
        <f aca="false">Tabla351081315369[[#This Row],[efec]]+Tabla351081315369[[#This Row],[no_efe]]</f>
        <v>0</v>
      </c>
    </row>
    <row r="43" customFormat="false" ht="13.8" hidden="false" customHeight="false" outlineLevel="0" collapsed="false">
      <c r="A43" s="0" t="s">
        <v>42</v>
      </c>
      <c r="F43" s="0" t="n">
        <f aca="false">Tabla351081315369[[#This Row],[no_efec_cor]]+Tabla351081315369[[#This Row],[efec_cor]]</f>
        <v>0</v>
      </c>
      <c r="G43" s="0" t="n">
        <f aca="false">Tabla351081315369[[#This Row],[no_efec_inc]]+Tabla351081315369[[#This Row],[efect_inc]]</f>
        <v>0</v>
      </c>
      <c r="H43" s="9" t="e">
        <f aca="false">Tabla351081315369[[#This Row],[Correctos]]/Tabla351081315369[[#This Row],[total_sec]]</f>
        <v>#DIV/0!</v>
      </c>
      <c r="I43" s="9" t="e">
        <f aca="false">Tabla351081315369[[#This Row],[efec_cor]]/Tabla351081315369[[#This Row],[efec]]</f>
        <v>#DIV/0!</v>
      </c>
      <c r="J43" s="9" t="e">
        <f aca="false">Tabla351081315369[[#This Row],[efect_inc]]/Tabla351081315369[[#This Row],[efec]]</f>
        <v>#DIV/0!</v>
      </c>
      <c r="K43" s="9" t="e">
        <f aca="false">Tabla351081315369[[#This Row],[no_efec_cor]]/Tabla351081315369[[#This Row],[no_efe]]</f>
        <v>#DIV/0!</v>
      </c>
      <c r="L43" s="9" t="e">
        <f aca="false">Tabla351081315369[[#This Row],[no_efec_inc]]/Tabla351081315369[[#This Row],[no_efe]]</f>
        <v>#DIV/0!</v>
      </c>
      <c r="M43" s="9" t="e">
        <f aca="false">(Tabla351081315369[[#This Row],[% efe_cor]]+Tabla351081315369[[#This Row],[% no_efe_cor]])/2</f>
        <v>#DIV/0!</v>
      </c>
      <c r="N43" s="10" t="e">
        <f aca="false">(Tabla351081315369[[#This Row],[% efe_inc]]+Tabla351081315369[[#This Row],[% no_efect_inc]])/2</f>
        <v>#DIV/0!</v>
      </c>
      <c r="O43" s="11" t="e">
        <f aca="false">Tabla351081315369[[#This Row],[no_efec_cor]]/(Tabla351081315369[[#This Row],[efect_inc]]+Tabla351081315369[[#This Row],[no_efec_cor]])</f>
        <v>#DIV/0!</v>
      </c>
      <c r="P43" s="11" t="e">
        <f aca="false">Tabla351081315369[[#This Row],[efec_cor]]/(Tabla351081315369[[#This Row],[efec_cor]]+Tabla351081315369[[#This Row],[no_efec_inc]])</f>
        <v>#DIV/0!</v>
      </c>
      <c r="Q43" s="11" t="e">
        <f aca="false">(Tabla351081315369[[#This Row],[PNE]]+Tabla351081315369[[#This Row],[PE]])/2</f>
        <v>#DIV/0!</v>
      </c>
      <c r="T43" s="0" t="n">
        <f aca="false">Tabla351081315369[[#This Row],[efec]]+Tabla351081315369[[#This Row],[no_efe]]</f>
        <v>0</v>
      </c>
    </row>
    <row r="44" customFormat="false" ht="13.8" hidden="false" customHeight="false" outlineLevel="0" collapsed="false">
      <c r="A44" s="0" t="s">
        <v>43</v>
      </c>
      <c r="F44" s="0" t="n">
        <f aca="false">Tabla351081315369[[#This Row],[no_efec_cor]]+Tabla351081315369[[#This Row],[efec_cor]]</f>
        <v>0</v>
      </c>
      <c r="G44" s="0" t="n">
        <f aca="false">Tabla351081315369[[#This Row],[no_efec_inc]]+Tabla351081315369[[#This Row],[efect_inc]]</f>
        <v>0</v>
      </c>
      <c r="H44" s="9" t="e">
        <f aca="false">Tabla351081315369[[#This Row],[Correctos]]/Tabla351081315369[[#This Row],[total_sec]]</f>
        <v>#DIV/0!</v>
      </c>
      <c r="I44" s="9" t="e">
        <f aca="false">Tabla351081315369[[#This Row],[efec_cor]]/Tabla351081315369[[#This Row],[efec]]</f>
        <v>#DIV/0!</v>
      </c>
      <c r="J44" s="9" t="e">
        <f aca="false">Tabla351081315369[[#This Row],[efect_inc]]/Tabla351081315369[[#This Row],[efec]]</f>
        <v>#DIV/0!</v>
      </c>
      <c r="K44" s="9" t="e">
        <f aca="false">Tabla351081315369[[#This Row],[no_efec_cor]]/Tabla351081315369[[#This Row],[no_efe]]</f>
        <v>#DIV/0!</v>
      </c>
      <c r="L44" s="9" t="e">
        <f aca="false">Tabla351081315369[[#This Row],[no_efec_inc]]/Tabla351081315369[[#This Row],[no_efe]]</f>
        <v>#DIV/0!</v>
      </c>
      <c r="M44" s="9" t="e">
        <f aca="false">(Tabla351081315369[[#This Row],[% efe_cor]]+Tabla351081315369[[#This Row],[% no_efe_cor]])/2</f>
        <v>#DIV/0!</v>
      </c>
      <c r="N44" s="10" t="e">
        <f aca="false">(Tabla351081315369[[#This Row],[% efe_inc]]+Tabla351081315369[[#This Row],[% no_efect_inc]])/2</f>
        <v>#DIV/0!</v>
      </c>
      <c r="O44" s="11" t="e">
        <f aca="false">Tabla351081315369[[#This Row],[no_efec_cor]]/(Tabla351081315369[[#This Row],[efect_inc]]+Tabla351081315369[[#This Row],[no_efec_cor]])</f>
        <v>#DIV/0!</v>
      </c>
      <c r="P44" s="11" t="e">
        <f aca="false">Tabla351081315369[[#This Row],[efec_cor]]/(Tabla351081315369[[#This Row],[efec_cor]]+Tabla351081315369[[#This Row],[no_efec_inc]])</f>
        <v>#DIV/0!</v>
      </c>
      <c r="Q44" s="11" t="e">
        <f aca="false">(Tabla351081315369[[#This Row],[PNE]]+Tabla351081315369[[#This Row],[PE]])/2</f>
        <v>#DIV/0!</v>
      </c>
      <c r="T44" s="0" t="n">
        <f aca="false">Tabla351081315369[[#This Row],[efec]]+Tabla351081315369[[#This Row],[no_efe]]</f>
        <v>0</v>
      </c>
    </row>
    <row r="45" customFormat="false" ht="13.8" hidden="false" customHeight="false" outlineLevel="0" collapsed="false">
      <c r="A45" s="0" t="s">
        <v>44</v>
      </c>
      <c r="F45" s="0" t="n">
        <f aca="false">Tabla351081315369[[#This Row],[no_efec_cor]]+Tabla351081315369[[#This Row],[efec_cor]]</f>
        <v>0</v>
      </c>
      <c r="G45" s="0" t="n">
        <f aca="false">Tabla351081315369[[#This Row],[no_efec_inc]]+Tabla351081315369[[#This Row],[efect_inc]]</f>
        <v>0</v>
      </c>
      <c r="H45" s="9" t="e">
        <f aca="false">Tabla351081315369[[#This Row],[Correctos]]/Tabla351081315369[[#This Row],[total_sec]]</f>
        <v>#DIV/0!</v>
      </c>
      <c r="I45" s="9" t="e">
        <f aca="false">Tabla351081315369[[#This Row],[efec_cor]]/Tabla351081315369[[#This Row],[efec]]</f>
        <v>#DIV/0!</v>
      </c>
      <c r="J45" s="9" t="e">
        <f aca="false">Tabla351081315369[[#This Row],[efect_inc]]/Tabla351081315369[[#This Row],[efec]]</f>
        <v>#DIV/0!</v>
      </c>
      <c r="K45" s="9" t="e">
        <f aca="false">Tabla351081315369[[#This Row],[no_efec_cor]]/Tabla351081315369[[#This Row],[no_efe]]</f>
        <v>#DIV/0!</v>
      </c>
      <c r="L45" s="9" t="e">
        <f aca="false">Tabla351081315369[[#This Row],[no_efec_inc]]/Tabla351081315369[[#This Row],[no_efe]]</f>
        <v>#DIV/0!</v>
      </c>
      <c r="M45" s="9" t="e">
        <f aca="false">(Tabla351081315369[[#This Row],[% efe_cor]]+Tabla351081315369[[#This Row],[% no_efe_cor]])/2</f>
        <v>#DIV/0!</v>
      </c>
      <c r="N45" s="10" t="e">
        <f aca="false">(Tabla351081315369[[#This Row],[% efe_inc]]+Tabla351081315369[[#This Row],[% no_efect_inc]])/2</f>
        <v>#DIV/0!</v>
      </c>
      <c r="O45" s="11" t="e">
        <f aca="false">Tabla351081315369[[#This Row],[no_efec_cor]]/(Tabla351081315369[[#This Row],[efect_inc]]+Tabla351081315369[[#This Row],[no_efec_cor]])</f>
        <v>#DIV/0!</v>
      </c>
      <c r="P45" s="11" t="e">
        <f aca="false">Tabla351081315369[[#This Row],[efec_cor]]/(Tabla351081315369[[#This Row],[efec_cor]]+Tabla351081315369[[#This Row],[no_efec_inc]])</f>
        <v>#DIV/0!</v>
      </c>
      <c r="Q45" s="11" t="e">
        <f aca="false">(Tabla351081315369[[#This Row],[PNE]]+Tabla351081315369[[#This Row],[PE]])/2</f>
        <v>#DIV/0!</v>
      </c>
      <c r="T45" s="0" t="n">
        <f aca="false">Tabla351081315369[[#This Row],[efec]]+Tabla351081315369[[#This Row],[no_efe]]</f>
        <v>0</v>
      </c>
    </row>
    <row r="47" customFormat="false" ht="15" hidden="false" customHeight="false" outlineLevel="0" collapsed="false">
      <c r="A47" s="13" t="s">
        <v>5</v>
      </c>
      <c r="B47" s="13"/>
      <c r="C47" s="13"/>
      <c r="D47" s="13"/>
      <c r="E47" s="13"/>
      <c r="F47" s="13"/>
      <c r="G47" s="13"/>
    </row>
    <row r="48" customFormat="false" ht="16.5" hidden="false" customHeight="false" outlineLevel="0" collapsed="false">
      <c r="A48" s="14" t="s">
        <v>48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customFormat="false" ht="15.75" hidden="false" customHeight="false" outlineLevel="0" collapsed="false">
      <c r="A49" s="7" t="s">
        <v>38</v>
      </c>
      <c r="B49" s="8" t="s">
        <v>7</v>
      </c>
      <c r="C49" s="8" t="s">
        <v>8</v>
      </c>
      <c r="D49" s="8" t="s">
        <v>9</v>
      </c>
      <c r="E49" s="8" t="s">
        <v>10</v>
      </c>
      <c r="F49" s="8" t="s">
        <v>11</v>
      </c>
      <c r="G49" s="8" t="s">
        <v>12</v>
      </c>
      <c r="H49" s="7" t="s">
        <v>13</v>
      </c>
      <c r="I49" s="7" t="s">
        <v>14</v>
      </c>
      <c r="J49" s="7" t="s">
        <v>15</v>
      </c>
      <c r="K49" s="7" t="s">
        <v>16</v>
      </c>
      <c r="L49" s="7" t="s">
        <v>17</v>
      </c>
      <c r="M49" s="7" t="s">
        <v>18</v>
      </c>
      <c r="N49" s="7" t="s">
        <v>19</v>
      </c>
      <c r="O49" s="7" t="s">
        <v>20</v>
      </c>
      <c r="P49" s="7" t="s">
        <v>21</v>
      </c>
      <c r="Q49" s="7" t="s">
        <v>22</v>
      </c>
      <c r="R49" s="7" t="s">
        <v>23</v>
      </c>
      <c r="S49" s="7" t="s">
        <v>24</v>
      </c>
      <c r="T49" s="7" t="s">
        <v>25</v>
      </c>
    </row>
    <row r="50" customFormat="false" ht="13.8" hidden="false" customHeight="false" outlineLevel="0" collapsed="false">
      <c r="A50" s="0" t="s">
        <v>39</v>
      </c>
      <c r="F50" s="0" t="n">
        <f aca="false">Tabla3510813153610[[#This Row],[no_efec_cor]]+Tabla3510813153610[[#This Row],[efec_cor]]</f>
        <v>0</v>
      </c>
      <c r="G50" s="0" t="n">
        <f aca="false">Tabla3510813153610[[#This Row],[no_efec_inc]]+Tabla3510813153610[[#This Row],[efect_inc]]</f>
        <v>0</v>
      </c>
      <c r="H50" s="9" t="e">
        <f aca="false">Tabla3510813153610[[#This Row],[Correctos]]/Tabla3510813153610[[#This Row],[total_sec]]</f>
        <v>#DIV/0!</v>
      </c>
      <c r="I50" s="9" t="e">
        <f aca="false">Tabla3510813153610[[#This Row],[efec_cor]]/Tabla3510813153610[[#This Row],[efec]]</f>
        <v>#DIV/0!</v>
      </c>
      <c r="J50" s="9" t="e">
        <f aca="false">Tabla3510813153610[[#This Row],[efect_inc]]/Tabla3510813153610[[#This Row],[efec]]</f>
        <v>#DIV/0!</v>
      </c>
      <c r="K50" s="9" t="e">
        <f aca="false">Tabla3510813153610[[#This Row],[no_efec_cor]]/Tabla3510813153610[[#This Row],[no_efe]]</f>
        <v>#DIV/0!</v>
      </c>
      <c r="L50" s="9" t="e">
        <f aca="false">Tabla3510813153610[[#This Row],[no_efec_inc]]/Tabla3510813153610[[#This Row],[no_efe]]</f>
        <v>#DIV/0!</v>
      </c>
      <c r="M50" s="9" t="e">
        <f aca="false">(Tabla3510813153610[[#This Row],[% efe_cor]]+Tabla3510813153610[[#This Row],[% no_efe_cor]])/2</f>
        <v>#DIV/0!</v>
      </c>
      <c r="N50" s="10" t="e">
        <f aca="false">(Tabla3510813153610[[#This Row],[% efe_inc]]+Tabla3510813153610[[#This Row],[% no_efect_inc]])/2</f>
        <v>#DIV/0!</v>
      </c>
      <c r="O50" s="11" t="e">
        <f aca="false">Tabla3510813153610[[#This Row],[no_efec_cor]]/(Tabla3510813153610[[#This Row],[efect_inc]]+Tabla3510813153610[[#This Row],[no_efec_cor]])</f>
        <v>#DIV/0!</v>
      </c>
      <c r="P50" s="11" t="e">
        <f aca="false">Tabla3510813153610[[#This Row],[efec_cor]]/(Tabla3510813153610[[#This Row],[efec_cor]]+Tabla3510813153610[[#This Row],[no_efec_inc]])</f>
        <v>#DIV/0!</v>
      </c>
      <c r="Q50" s="11" t="e">
        <f aca="false">(Tabla3510813153610[[#This Row],[PNE]]+Tabla3510813153610[[#This Row],[PE]])/2</f>
        <v>#DIV/0!</v>
      </c>
      <c r="T50" s="0" t="n">
        <f aca="false">Tabla3510813153610[[#This Row],[efec]]+Tabla3510813153610[[#This Row],[no_efe]]</f>
        <v>0</v>
      </c>
    </row>
    <row r="51" customFormat="false" ht="13.8" hidden="false" customHeight="false" outlineLevel="0" collapsed="false">
      <c r="A51" s="0" t="s">
        <v>40</v>
      </c>
      <c r="F51" s="0" t="n">
        <f aca="false">Tabla3510813153610[[#This Row],[no_efec_cor]]+Tabla3510813153610[[#This Row],[efec_cor]]</f>
        <v>0</v>
      </c>
      <c r="G51" s="0" t="n">
        <f aca="false">Tabla3510813153610[[#This Row],[no_efec_inc]]+Tabla3510813153610[[#This Row],[efect_inc]]</f>
        <v>0</v>
      </c>
      <c r="H51" s="9" t="e">
        <f aca="false">Tabla3510813153610[[#This Row],[Correctos]]/Tabla3510813153610[[#This Row],[total_sec]]</f>
        <v>#DIV/0!</v>
      </c>
      <c r="I51" s="9" t="e">
        <f aca="false">Tabla3510813153610[[#This Row],[efec_cor]]/Tabla3510813153610[[#This Row],[efec]]</f>
        <v>#DIV/0!</v>
      </c>
      <c r="J51" s="9" t="e">
        <f aca="false">Tabla3510813153610[[#This Row],[efect_inc]]/Tabla3510813153610[[#This Row],[efec]]</f>
        <v>#DIV/0!</v>
      </c>
      <c r="K51" s="9" t="e">
        <f aca="false">Tabla3510813153610[[#This Row],[no_efec_cor]]/Tabla3510813153610[[#This Row],[no_efe]]</f>
        <v>#DIV/0!</v>
      </c>
      <c r="L51" s="9" t="e">
        <f aca="false">Tabla3510813153610[[#This Row],[no_efec_inc]]/Tabla3510813153610[[#This Row],[no_efe]]</f>
        <v>#DIV/0!</v>
      </c>
      <c r="M51" s="9" t="e">
        <f aca="false">(Tabla3510813153610[[#This Row],[% efe_cor]]+Tabla3510813153610[[#This Row],[% no_efe_cor]])/2</f>
        <v>#DIV/0!</v>
      </c>
      <c r="N51" s="10" t="e">
        <f aca="false">(Tabla3510813153610[[#This Row],[% efe_inc]]+Tabla3510813153610[[#This Row],[% no_efect_inc]])/2</f>
        <v>#DIV/0!</v>
      </c>
      <c r="O51" s="11" t="e">
        <f aca="false">Tabla3510813153610[[#This Row],[no_efec_cor]]/(Tabla3510813153610[[#This Row],[efect_inc]]+Tabla3510813153610[[#This Row],[no_efec_cor]])</f>
        <v>#DIV/0!</v>
      </c>
      <c r="P51" s="11" t="e">
        <f aca="false">Tabla3510813153610[[#This Row],[efec_cor]]/(Tabla3510813153610[[#This Row],[efec_cor]]+Tabla3510813153610[[#This Row],[no_efec_inc]])</f>
        <v>#DIV/0!</v>
      </c>
      <c r="Q51" s="11" t="e">
        <f aca="false">(Tabla3510813153610[[#This Row],[PNE]]+Tabla3510813153610[[#This Row],[PE]])/2</f>
        <v>#DIV/0!</v>
      </c>
      <c r="T51" s="0" t="n">
        <f aca="false">Tabla3510813153610[[#This Row],[efec]]+Tabla3510813153610[[#This Row],[no_efe]]</f>
        <v>0</v>
      </c>
    </row>
    <row r="52" customFormat="false" ht="13.8" hidden="false" customHeight="false" outlineLevel="0" collapsed="false">
      <c r="A52" s="0" t="s">
        <v>41</v>
      </c>
      <c r="F52" s="0" t="n">
        <f aca="false">Tabla3510813153610[[#This Row],[no_efec_cor]]+Tabla3510813153610[[#This Row],[efec_cor]]</f>
        <v>0</v>
      </c>
      <c r="G52" s="0" t="n">
        <f aca="false">Tabla3510813153610[[#This Row],[no_efec_inc]]+Tabla3510813153610[[#This Row],[efect_inc]]</f>
        <v>0</v>
      </c>
      <c r="H52" s="9" t="e">
        <f aca="false">Tabla3510813153610[[#This Row],[Correctos]]/Tabla3510813153610[[#This Row],[total_sec]]</f>
        <v>#DIV/0!</v>
      </c>
      <c r="I52" s="9" t="e">
        <f aca="false">Tabla3510813153610[[#This Row],[efec_cor]]/Tabla3510813153610[[#This Row],[efec]]</f>
        <v>#DIV/0!</v>
      </c>
      <c r="J52" s="9" t="e">
        <f aca="false">Tabla3510813153610[[#This Row],[efect_inc]]/Tabla3510813153610[[#This Row],[efec]]</f>
        <v>#DIV/0!</v>
      </c>
      <c r="K52" s="9" t="e">
        <f aca="false">Tabla3510813153610[[#This Row],[no_efec_cor]]/Tabla3510813153610[[#This Row],[no_efe]]</f>
        <v>#DIV/0!</v>
      </c>
      <c r="L52" s="9" t="e">
        <f aca="false">Tabla3510813153610[[#This Row],[no_efec_inc]]/Tabla3510813153610[[#This Row],[no_efe]]</f>
        <v>#DIV/0!</v>
      </c>
      <c r="M52" s="9" t="e">
        <f aca="false">(Tabla3510813153610[[#This Row],[% efe_cor]]+Tabla3510813153610[[#This Row],[% no_efe_cor]])/2</f>
        <v>#DIV/0!</v>
      </c>
      <c r="N52" s="10" t="e">
        <f aca="false">(Tabla3510813153610[[#This Row],[% efe_inc]]+Tabla3510813153610[[#This Row],[% no_efect_inc]])/2</f>
        <v>#DIV/0!</v>
      </c>
      <c r="O52" s="11" t="e">
        <f aca="false">Tabla3510813153610[[#This Row],[no_efec_cor]]/(Tabla3510813153610[[#This Row],[efect_inc]]+Tabla3510813153610[[#This Row],[no_efec_cor]])</f>
        <v>#DIV/0!</v>
      </c>
      <c r="P52" s="11" t="e">
        <f aca="false">Tabla3510813153610[[#This Row],[efec_cor]]/(Tabla3510813153610[[#This Row],[efec_cor]]+Tabla3510813153610[[#This Row],[no_efec_inc]])</f>
        <v>#DIV/0!</v>
      </c>
      <c r="Q52" s="11" t="e">
        <f aca="false">(Tabla3510813153610[[#This Row],[PNE]]+Tabla3510813153610[[#This Row],[PE]])/2</f>
        <v>#DIV/0!</v>
      </c>
      <c r="T52" s="0" t="n">
        <f aca="false">Tabla3510813153610[[#This Row],[efec]]+Tabla3510813153610[[#This Row],[no_efe]]</f>
        <v>0</v>
      </c>
    </row>
    <row r="53" customFormat="false" ht="13.8" hidden="false" customHeight="false" outlineLevel="0" collapsed="false">
      <c r="A53" s="0" t="s">
        <v>42</v>
      </c>
      <c r="F53" s="0" t="n">
        <f aca="false">Tabla3510813153610[[#This Row],[no_efec_cor]]+Tabla3510813153610[[#This Row],[efec_cor]]</f>
        <v>0</v>
      </c>
      <c r="G53" s="0" t="n">
        <f aca="false">Tabla3510813153610[[#This Row],[no_efec_inc]]+Tabla3510813153610[[#This Row],[efect_inc]]</f>
        <v>0</v>
      </c>
      <c r="H53" s="9" t="e">
        <f aca="false">Tabla3510813153610[[#This Row],[Correctos]]/Tabla3510813153610[[#This Row],[total_sec]]</f>
        <v>#DIV/0!</v>
      </c>
      <c r="I53" s="9" t="e">
        <f aca="false">Tabla3510813153610[[#This Row],[efec_cor]]/Tabla3510813153610[[#This Row],[efec]]</f>
        <v>#DIV/0!</v>
      </c>
      <c r="J53" s="9" t="e">
        <f aca="false">Tabla3510813153610[[#This Row],[efect_inc]]/Tabla3510813153610[[#This Row],[efec]]</f>
        <v>#DIV/0!</v>
      </c>
      <c r="K53" s="9" t="e">
        <f aca="false">Tabla3510813153610[[#This Row],[no_efec_cor]]/Tabla3510813153610[[#This Row],[no_efe]]</f>
        <v>#DIV/0!</v>
      </c>
      <c r="L53" s="9" t="e">
        <f aca="false">Tabla3510813153610[[#This Row],[no_efec_inc]]/Tabla3510813153610[[#This Row],[no_efe]]</f>
        <v>#DIV/0!</v>
      </c>
      <c r="M53" s="9" t="e">
        <f aca="false">(Tabla3510813153610[[#This Row],[% efe_cor]]+Tabla3510813153610[[#This Row],[% no_efe_cor]])/2</f>
        <v>#DIV/0!</v>
      </c>
      <c r="N53" s="10" t="e">
        <f aca="false">(Tabla3510813153610[[#This Row],[% efe_inc]]+Tabla3510813153610[[#This Row],[% no_efect_inc]])/2</f>
        <v>#DIV/0!</v>
      </c>
      <c r="O53" s="11" t="e">
        <f aca="false">Tabla3510813153610[[#This Row],[no_efec_cor]]/(Tabla3510813153610[[#This Row],[efect_inc]]+Tabla3510813153610[[#This Row],[no_efec_cor]])</f>
        <v>#DIV/0!</v>
      </c>
      <c r="P53" s="11" t="e">
        <f aca="false">Tabla3510813153610[[#This Row],[efec_cor]]/(Tabla3510813153610[[#This Row],[efec_cor]]+Tabla3510813153610[[#This Row],[no_efec_inc]])</f>
        <v>#DIV/0!</v>
      </c>
      <c r="Q53" s="11" t="e">
        <f aca="false">(Tabla3510813153610[[#This Row],[PNE]]+Tabla3510813153610[[#This Row],[PE]])/2</f>
        <v>#DIV/0!</v>
      </c>
      <c r="T53" s="0" t="n">
        <f aca="false">Tabla3510813153610[[#This Row],[efec]]+Tabla3510813153610[[#This Row],[no_efe]]</f>
        <v>0</v>
      </c>
    </row>
    <row r="54" customFormat="false" ht="13.8" hidden="false" customHeight="false" outlineLevel="0" collapsed="false">
      <c r="A54" s="0" t="s">
        <v>43</v>
      </c>
      <c r="F54" s="0" t="n">
        <f aca="false">Tabla3510813153610[[#This Row],[no_efec_cor]]+Tabla3510813153610[[#This Row],[efec_cor]]</f>
        <v>0</v>
      </c>
      <c r="G54" s="0" t="n">
        <f aca="false">Tabla3510813153610[[#This Row],[no_efec_inc]]+Tabla3510813153610[[#This Row],[efect_inc]]</f>
        <v>0</v>
      </c>
      <c r="H54" s="9" t="e">
        <f aca="false">Tabla3510813153610[[#This Row],[Correctos]]/Tabla3510813153610[[#This Row],[total_sec]]</f>
        <v>#DIV/0!</v>
      </c>
      <c r="I54" s="9" t="e">
        <f aca="false">Tabla3510813153610[[#This Row],[efec_cor]]/Tabla3510813153610[[#This Row],[efec]]</f>
        <v>#DIV/0!</v>
      </c>
      <c r="J54" s="9" t="e">
        <f aca="false">Tabla3510813153610[[#This Row],[efect_inc]]/Tabla3510813153610[[#This Row],[efec]]</f>
        <v>#DIV/0!</v>
      </c>
      <c r="K54" s="9" t="e">
        <f aca="false">Tabla3510813153610[[#This Row],[no_efec_cor]]/Tabla3510813153610[[#This Row],[no_efe]]</f>
        <v>#DIV/0!</v>
      </c>
      <c r="L54" s="9" t="e">
        <f aca="false">Tabla3510813153610[[#This Row],[no_efec_inc]]/Tabla3510813153610[[#This Row],[no_efe]]</f>
        <v>#DIV/0!</v>
      </c>
      <c r="M54" s="9" t="e">
        <f aca="false">(Tabla3510813153610[[#This Row],[% efe_cor]]+Tabla3510813153610[[#This Row],[% no_efe_cor]])/2</f>
        <v>#DIV/0!</v>
      </c>
      <c r="N54" s="10" t="e">
        <f aca="false">(Tabla3510813153610[[#This Row],[% efe_inc]]+Tabla3510813153610[[#This Row],[% no_efect_inc]])/2</f>
        <v>#DIV/0!</v>
      </c>
      <c r="O54" s="11" t="e">
        <f aca="false">Tabla3510813153610[[#This Row],[no_efec_cor]]/(Tabla3510813153610[[#This Row],[efect_inc]]+Tabla3510813153610[[#This Row],[no_efec_cor]])</f>
        <v>#DIV/0!</v>
      </c>
      <c r="P54" s="11" t="e">
        <f aca="false">Tabla3510813153610[[#This Row],[efec_cor]]/(Tabla3510813153610[[#This Row],[efec_cor]]+Tabla3510813153610[[#This Row],[no_efec_inc]])</f>
        <v>#DIV/0!</v>
      </c>
      <c r="Q54" s="11" t="e">
        <f aca="false">(Tabla3510813153610[[#This Row],[PNE]]+Tabla3510813153610[[#This Row],[PE]])/2</f>
        <v>#DIV/0!</v>
      </c>
      <c r="T54" s="0" t="n">
        <f aca="false">Tabla3510813153610[[#This Row],[efec]]+Tabla3510813153610[[#This Row],[no_efe]]</f>
        <v>0</v>
      </c>
    </row>
    <row r="55" customFormat="false" ht="13.8" hidden="false" customHeight="false" outlineLevel="0" collapsed="false">
      <c r="A55" s="0" t="s">
        <v>44</v>
      </c>
      <c r="F55" s="0" t="n">
        <f aca="false">Tabla3510813153610[[#This Row],[no_efec_cor]]+Tabla3510813153610[[#This Row],[efec_cor]]</f>
        <v>0</v>
      </c>
      <c r="G55" s="0" t="n">
        <f aca="false">Tabla3510813153610[[#This Row],[no_efec_inc]]+Tabla3510813153610[[#This Row],[efect_inc]]</f>
        <v>0</v>
      </c>
      <c r="H55" s="9" t="e">
        <f aca="false">Tabla3510813153610[[#This Row],[Correctos]]/Tabla3510813153610[[#This Row],[total_sec]]</f>
        <v>#DIV/0!</v>
      </c>
      <c r="I55" s="9" t="e">
        <f aca="false">Tabla3510813153610[[#This Row],[efec_cor]]/Tabla3510813153610[[#This Row],[efec]]</f>
        <v>#DIV/0!</v>
      </c>
      <c r="J55" s="9" t="e">
        <f aca="false">Tabla3510813153610[[#This Row],[efect_inc]]/Tabla3510813153610[[#This Row],[efec]]</f>
        <v>#DIV/0!</v>
      </c>
      <c r="K55" s="9" t="e">
        <f aca="false">Tabla3510813153610[[#This Row],[no_efec_cor]]/Tabla3510813153610[[#This Row],[no_efe]]</f>
        <v>#DIV/0!</v>
      </c>
      <c r="L55" s="9" t="e">
        <f aca="false">Tabla3510813153610[[#This Row],[no_efec_inc]]/Tabla3510813153610[[#This Row],[no_efe]]</f>
        <v>#DIV/0!</v>
      </c>
      <c r="M55" s="9" t="e">
        <f aca="false">(Tabla3510813153610[[#This Row],[% efe_cor]]+Tabla3510813153610[[#This Row],[% no_efe_cor]])/2</f>
        <v>#DIV/0!</v>
      </c>
      <c r="N55" s="10" t="e">
        <f aca="false">(Tabla3510813153610[[#This Row],[% efe_inc]]+Tabla3510813153610[[#This Row],[% no_efect_inc]])/2</f>
        <v>#DIV/0!</v>
      </c>
      <c r="O55" s="11" t="e">
        <f aca="false">Tabla3510813153610[[#This Row],[no_efec_cor]]/(Tabla3510813153610[[#This Row],[efect_inc]]+Tabla3510813153610[[#This Row],[no_efec_cor]])</f>
        <v>#DIV/0!</v>
      </c>
      <c r="P55" s="11" t="e">
        <f aca="false">Tabla3510813153610[[#This Row],[efec_cor]]/(Tabla3510813153610[[#This Row],[efec_cor]]+Tabla3510813153610[[#This Row],[no_efec_inc]])</f>
        <v>#DIV/0!</v>
      </c>
      <c r="Q55" s="11" t="e">
        <f aca="false">(Tabla3510813153610[[#This Row],[PNE]]+Tabla3510813153610[[#This Row],[PE]])/2</f>
        <v>#DIV/0!</v>
      </c>
      <c r="T55" s="0" t="n">
        <f aca="false">Tabla3510813153610[[#This Row],[efec]]+Tabla3510813153610[[#This Row],[no_efe]]</f>
        <v>0</v>
      </c>
    </row>
    <row r="58" customFormat="false" ht="15" hidden="false" customHeight="false" outlineLevel="0" collapsed="false">
      <c r="A58" s="0" t="s">
        <v>49</v>
      </c>
      <c r="B58" s="0" t="s">
        <v>50</v>
      </c>
    </row>
    <row r="59" customFormat="false" ht="15" hidden="false" customHeight="false" outlineLevel="0" collapsed="false">
      <c r="A59" s="0" t="s">
        <v>51</v>
      </c>
      <c r="B59" s="0" t="s">
        <v>52</v>
      </c>
    </row>
    <row r="60" customFormat="false" ht="15" hidden="false" customHeight="false" outlineLevel="0" collapsed="false">
      <c r="A60" s="0" t="s">
        <v>53</v>
      </c>
      <c r="B60" s="0" t="s">
        <v>54</v>
      </c>
    </row>
    <row r="61" customFormat="false" ht="15" hidden="false" customHeight="false" outlineLevel="0" collapsed="false">
      <c r="A61" s="0" t="s">
        <v>55</v>
      </c>
      <c r="B61" s="0" t="s">
        <v>56</v>
      </c>
    </row>
    <row r="62" customFormat="false" ht="15" hidden="false" customHeight="false" outlineLevel="0" collapsed="false">
      <c r="A62" s="0" t="s">
        <v>57</v>
      </c>
      <c r="B62" s="0" t="s">
        <v>58</v>
      </c>
    </row>
    <row r="64" customFormat="false" ht="15" hidden="false" customHeight="false" outlineLevel="0" collapsed="false">
      <c r="A64" s="15" t="s">
        <v>13</v>
      </c>
      <c r="B64" s="15"/>
      <c r="C64" s="15"/>
      <c r="D64" s="15"/>
      <c r="E64" s="15"/>
      <c r="F64" s="15"/>
      <c r="G64" s="15"/>
      <c r="I64" s="15" t="s">
        <v>22</v>
      </c>
      <c r="J64" s="15"/>
      <c r="K64" s="15"/>
      <c r="L64" s="15"/>
      <c r="M64" s="15"/>
      <c r="N64" s="15"/>
      <c r="O64" s="15"/>
    </row>
    <row r="65" customFormat="false" ht="15" hidden="false" customHeight="false" outlineLevel="0" collapsed="false">
      <c r="A65" s="7" t="s">
        <v>38</v>
      </c>
      <c r="B65" s="7" t="s">
        <v>49</v>
      </c>
      <c r="C65" s="7" t="s">
        <v>51</v>
      </c>
      <c r="D65" s="7" t="s">
        <v>53</v>
      </c>
      <c r="E65" s="7" t="s">
        <v>59</v>
      </c>
      <c r="F65" s="7" t="s">
        <v>57</v>
      </c>
      <c r="G65" s="7" t="s">
        <v>60</v>
      </c>
      <c r="I65" s="7" t="s">
        <v>38</v>
      </c>
      <c r="J65" s="7" t="s">
        <v>49</v>
      </c>
      <c r="K65" s="7" t="s">
        <v>51</v>
      </c>
      <c r="L65" s="7" t="s">
        <v>53</v>
      </c>
      <c r="M65" s="7" t="s">
        <v>59</v>
      </c>
      <c r="N65" s="7" t="s">
        <v>57</v>
      </c>
      <c r="O65" s="7" t="s">
        <v>60</v>
      </c>
    </row>
    <row r="66" customFormat="false" ht="13.8" hidden="false" customHeight="false" outlineLevel="0" collapsed="false">
      <c r="A66" s="0" t="s">
        <v>39</v>
      </c>
      <c r="B66" s="0" t="n">
        <v>64.375</v>
      </c>
      <c r="C66" s="0" t="n">
        <v>756250</v>
      </c>
      <c r="D66" s="0" t="n">
        <v>79.375</v>
      </c>
      <c r="E66" s="0" t="n">
        <v>82.5</v>
      </c>
      <c r="F66" s="0" t="n">
        <v>76.25</v>
      </c>
      <c r="G66" s="0" t="n">
        <f aca="false">AVERAGE(B66:F66)</f>
        <v>151310.5</v>
      </c>
      <c r="I66" s="0" t="s">
        <v>39</v>
      </c>
      <c r="J66" s="0" t="n">
        <v>64.375</v>
      </c>
      <c r="K66" s="0" t="n">
        <v>756250</v>
      </c>
      <c r="L66" s="0" t="n">
        <v>79.375</v>
      </c>
      <c r="M66" s="0" t="n">
        <v>82.5</v>
      </c>
      <c r="N66" s="0" t="n">
        <v>76.25</v>
      </c>
      <c r="O66" s="16" t="n">
        <f aca="false">AVERAGE(J66:N66)</f>
        <v>151310.5</v>
      </c>
    </row>
    <row r="67" customFormat="false" ht="13.8" hidden="false" customHeight="false" outlineLevel="0" collapsed="false">
      <c r="A67" s="0" t="s">
        <v>40</v>
      </c>
      <c r="B67" s="0" t="n">
        <v>57.5269</v>
      </c>
      <c r="C67" s="0" t="n">
        <v>58.6022</v>
      </c>
      <c r="D67" s="0" t="n">
        <v>57.5269</v>
      </c>
      <c r="E67" s="0" t="n">
        <v>67.2043</v>
      </c>
      <c r="F67" s="0" t="n">
        <v>66.6667</v>
      </c>
      <c r="G67" s="0" t="n">
        <f aca="false">AVERAGE(B67:F67)</f>
        <v>61.5054</v>
      </c>
      <c r="I67" s="0" t="s">
        <v>40</v>
      </c>
      <c r="J67" s="0" t="n">
        <v>57.5269</v>
      </c>
      <c r="K67" s="0" t="n">
        <v>58.6022</v>
      </c>
      <c r="L67" s="0" t="n">
        <v>57.5269</v>
      </c>
      <c r="M67" s="0" t="n">
        <v>67.2043</v>
      </c>
      <c r="N67" s="0" t="n">
        <v>66.6667</v>
      </c>
      <c r="O67" s="17" t="n">
        <f aca="false">AVERAGE(J67:N67)</f>
        <v>61.5054</v>
      </c>
    </row>
    <row r="68" customFormat="false" ht="13.8" hidden="false" customHeight="false" outlineLevel="0" collapsed="false">
      <c r="A68" s="0" t="s">
        <v>41</v>
      </c>
      <c r="B68" s="0" t="n">
        <v>57.3034</v>
      </c>
      <c r="C68" s="0" t="n">
        <v>55.618</v>
      </c>
      <c r="D68" s="0" t="n">
        <v>62.9213</v>
      </c>
      <c r="E68" s="0" t="n">
        <v>56.7416</v>
      </c>
      <c r="F68" s="0" t="n">
        <v>61.236</v>
      </c>
      <c r="G68" s="0" t="n">
        <f aca="false">AVERAGE(B68:F68)</f>
        <v>58.76406</v>
      </c>
      <c r="I68" s="0" t="s">
        <v>41</v>
      </c>
      <c r="J68" s="0" t="n">
        <v>57.3034</v>
      </c>
      <c r="K68" s="0" t="n">
        <v>55.618</v>
      </c>
      <c r="L68" s="0" t="n">
        <v>62.9213</v>
      </c>
      <c r="M68" s="0" t="n">
        <v>56.7416</v>
      </c>
      <c r="N68" s="0" t="n">
        <v>61.236</v>
      </c>
      <c r="O68" s="16" t="n">
        <f aca="false">AVERAGE(J68:N68)</f>
        <v>58.76406</v>
      </c>
    </row>
    <row r="69" customFormat="false" ht="13.8" hidden="false" customHeight="false" outlineLevel="0" collapsed="false">
      <c r="A69" s="0" t="s">
        <v>42</v>
      </c>
      <c r="B69" s="0" t="n">
        <v>66.6667</v>
      </c>
      <c r="C69" s="0" t="n">
        <v>70.3704</v>
      </c>
      <c r="D69" s="0" t="n">
        <v>72.2222</v>
      </c>
      <c r="E69" s="0" t="n">
        <v>78.3951</v>
      </c>
      <c r="F69" s="0" t="n">
        <v>75.3086</v>
      </c>
      <c r="G69" s="18" t="n">
        <f aca="false">AVERAGE(B69:F69)</f>
        <v>72.5926</v>
      </c>
      <c r="I69" s="0" t="s">
        <v>42</v>
      </c>
      <c r="J69" s="0" t="n">
        <v>66.6667</v>
      </c>
      <c r="K69" s="0" t="n">
        <v>70.3704</v>
      </c>
      <c r="L69" s="0" t="n">
        <v>72.2222</v>
      </c>
      <c r="M69" s="0" t="n">
        <v>78.3951</v>
      </c>
      <c r="N69" s="0" t="n">
        <v>75.3086</v>
      </c>
      <c r="O69" s="19" t="n">
        <f aca="false">AVERAGE(J69:N69)</f>
        <v>72.5926</v>
      </c>
    </row>
    <row r="70" customFormat="false" ht="13.8" hidden="false" customHeight="false" outlineLevel="0" collapsed="false">
      <c r="A70" s="0" t="s">
        <v>43</v>
      </c>
      <c r="B70" s="0" t="n">
        <v>61.039</v>
      </c>
      <c r="C70" s="0" t="n">
        <v>70.1299</v>
      </c>
      <c r="D70" s="0" t="n">
        <v>77.9221</v>
      </c>
      <c r="E70" s="0" t="n">
        <v>80.5195</v>
      </c>
      <c r="F70" s="0" t="n">
        <v>83.1169</v>
      </c>
      <c r="G70" s="0" t="n">
        <f aca="false">AVERAGE(B70:F70)</f>
        <v>74.54548</v>
      </c>
      <c r="I70" s="0" t="s">
        <v>43</v>
      </c>
      <c r="J70" s="0" t="n">
        <v>61.039</v>
      </c>
      <c r="K70" s="0" t="n">
        <v>70.1299</v>
      </c>
      <c r="L70" s="0" t="n">
        <v>77.9221</v>
      </c>
      <c r="M70" s="0" t="n">
        <v>80.5195</v>
      </c>
      <c r="N70" s="0" t="n">
        <v>83.1169</v>
      </c>
      <c r="O70" s="16" t="n">
        <f aca="false">AVERAGE(J70:N70)</f>
        <v>74.54548</v>
      </c>
    </row>
    <row r="71" customFormat="false" ht="13.8" hidden="false" customHeight="false" outlineLevel="0" collapsed="false">
      <c r="A71" s="0" t="s">
        <v>44</v>
      </c>
      <c r="B71" s="0" t="n">
        <v>66.25</v>
      </c>
      <c r="C71" s="0" t="n">
        <v>66.875</v>
      </c>
      <c r="D71" s="0" t="n">
        <v>73.75</v>
      </c>
      <c r="E71" s="0" t="n">
        <v>80</v>
      </c>
      <c r="F71" s="0" t="n">
        <v>80.625</v>
      </c>
      <c r="G71" s="0" t="n">
        <f aca="false">AVERAGE(B71:F71)</f>
        <v>73.5</v>
      </c>
      <c r="I71" s="0" t="s">
        <v>44</v>
      </c>
      <c r="J71" s="0" t="n">
        <v>66.25</v>
      </c>
      <c r="K71" s="0" t="n">
        <v>66.875</v>
      </c>
      <c r="L71" s="0" t="n">
        <v>73.75</v>
      </c>
      <c r="M71" s="0" t="n">
        <v>80</v>
      </c>
      <c r="N71" s="0" t="n">
        <v>80.625</v>
      </c>
      <c r="O71" s="17" t="n">
        <f aca="false">AVERAGE(J71:N71)</f>
        <v>73.5</v>
      </c>
    </row>
    <row r="72" customFormat="false" ht="15" hidden="false" customHeight="false" outlineLevel="0" collapsed="false">
      <c r="A72" s="0" t="s">
        <v>60</v>
      </c>
      <c r="B72" s="0" t="n">
        <f aca="false">AVERAGE(B66:B71)</f>
        <v>62.1935</v>
      </c>
      <c r="C72" s="0" t="n">
        <f aca="false">AVERAGE(C66:C71)</f>
        <v>126095.265916667</v>
      </c>
      <c r="D72" s="0" t="n">
        <f aca="false">AVERAGE(D66:D71)</f>
        <v>70.6195833333333</v>
      </c>
      <c r="E72" s="0" t="n">
        <f aca="false">AVERAGE(E66:E71)</f>
        <v>74.22675</v>
      </c>
      <c r="F72" s="18" t="n">
        <f aca="false">AVERAGE(F66:F71)</f>
        <v>73.8672</v>
      </c>
      <c r="G72" s="0" t="n">
        <f aca="false">AVERAGE(G66:G71)</f>
        <v>25275.23459</v>
      </c>
      <c r="I72" s="0" t="s">
        <v>60</v>
      </c>
      <c r="J72" s="20" t="n">
        <f aca="false">AVERAGE(J66:J71)</f>
        <v>62.1935</v>
      </c>
      <c r="K72" s="20" t="n">
        <f aca="false">AVERAGE(K66:K71)</f>
        <v>126095.265916667</v>
      </c>
      <c r="L72" s="20" t="n">
        <f aca="false">AVERAGE(L66:L71)</f>
        <v>70.6195833333333</v>
      </c>
      <c r="M72" s="20" t="n">
        <f aca="false">AVERAGE(M66:M71)</f>
        <v>74.22675</v>
      </c>
      <c r="N72" s="21" t="n">
        <f aca="false">AVERAGE(N66:N71)</f>
        <v>73.8672</v>
      </c>
      <c r="O72" s="22" t="n">
        <f aca="false">AVERAGE(O66:O71)</f>
        <v>25275.23459</v>
      </c>
    </row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>
      <c r="A82" s="0" t="s">
        <v>43</v>
      </c>
    </row>
    <row r="83" customFormat="false" ht="13.8" hidden="false" customHeight="false" outlineLevel="0" collapsed="false">
      <c r="A83" s="0" t="s">
        <v>44</v>
      </c>
    </row>
    <row r="84" customFormat="false" ht="13.8" hidden="false" customHeight="false" outlineLevel="0" collapsed="false">
      <c r="A84" s="0" t="s">
        <v>42</v>
      </c>
    </row>
    <row r="85" customFormat="false" ht="13.8" hidden="false" customHeight="false" outlineLevel="0" collapsed="false">
      <c r="A85" s="0" t="s">
        <v>39</v>
      </c>
    </row>
    <row r="86" customFormat="false" ht="13.8" hidden="false" customHeight="false" outlineLevel="0" collapsed="false">
      <c r="A86" s="0" t="s">
        <v>41</v>
      </c>
    </row>
    <row r="87" customFormat="false" ht="13.8" hidden="false" customHeight="false" outlineLevel="0" collapsed="false">
      <c r="A87" s="0" t="s">
        <v>40</v>
      </c>
    </row>
  </sheetData>
  <mergeCells count="16">
    <mergeCell ref="A1:T1"/>
    <mergeCell ref="A3:B3"/>
    <mergeCell ref="A4:B4"/>
    <mergeCell ref="A5:B5"/>
    <mergeCell ref="A7:G7"/>
    <mergeCell ref="A8:T8"/>
    <mergeCell ref="A17:G17"/>
    <mergeCell ref="A18:T18"/>
    <mergeCell ref="A27:G27"/>
    <mergeCell ref="A28:T28"/>
    <mergeCell ref="A37:G37"/>
    <mergeCell ref="A38:T38"/>
    <mergeCell ref="A47:G47"/>
    <mergeCell ref="A48:T48"/>
    <mergeCell ref="A64:G64"/>
    <mergeCell ref="I64:O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3C0B"/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6" activeCellId="0" sqref="A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3.14"/>
    <col collapsed="false" customWidth="true" hidden="false" outlineLevel="0" max="3" min="3" style="0" width="15.85"/>
    <col collapsed="false" customWidth="true" hidden="false" outlineLevel="0" max="4" min="4" style="0" width="14.14"/>
    <col collapsed="false" customWidth="true" hidden="false" outlineLevel="0" max="5" min="5" style="0" width="12.71"/>
    <col collapsed="false" customWidth="true" hidden="false" outlineLevel="0" max="6" min="6" style="0" width="14"/>
    <col collapsed="false" customWidth="true" hidden="false" outlineLevel="0" max="7" min="7" style="0" width="13.71"/>
  </cols>
  <sheetData>
    <row r="1" customFormat="false" ht="19.5" hidden="false" customHeight="false" outlineLevel="0" collapsed="false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customFormat="false" ht="15" hidden="false" customHeight="false" outlineLevel="0" collapsed="false">
      <c r="A3" s="13" t="s">
        <v>5</v>
      </c>
      <c r="B3" s="13"/>
      <c r="C3" s="13"/>
      <c r="D3" s="13"/>
      <c r="E3" s="13"/>
      <c r="F3" s="13"/>
      <c r="G3" s="13"/>
    </row>
    <row r="4" customFormat="false" ht="15.7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.75" hidden="false" customHeight="false" outlineLevel="0" collapsed="false">
      <c r="A5" s="7" t="s">
        <v>38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</row>
    <row r="6" customFormat="false" ht="13.8" hidden="false" customHeight="false" outlineLevel="0" collapsed="false">
      <c r="A6" s="0" t="s">
        <v>39</v>
      </c>
      <c r="B6" s="0" t="n">
        <v>1</v>
      </c>
      <c r="G6" s="0" t="n">
        <f aca="false">Tabla351081315361014[[#This Row],[no_efec_cor]]+Tabla351081315361014[[#This Row],[efec_cor]]</f>
        <v>0</v>
      </c>
      <c r="H6" s="0" t="n">
        <f aca="false">Tabla351081315361014[[#This Row],[no_efec_inc]]+Tabla351081315361014[[#This Row],[efect_inc]]</f>
        <v>0</v>
      </c>
      <c r="I6" s="9" t="e">
        <f aca="false">Tabla351081315361014[[#This Row],[Correctos]]/Tabla351081315361014[[#This Row],[total_sec]]</f>
        <v>#DIV/0!</v>
      </c>
      <c r="J6" s="9" t="e">
        <f aca="false">Tabla351081315361014[[#This Row],[efec_cor]]/Tabla351081315361014[[#This Row],[efec]]</f>
        <v>#DIV/0!</v>
      </c>
      <c r="K6" s="9" t="e">
        <f aca="false">Tabla351081315361014[[#This Row],[efect_inc]]/Tabla351081315361014[[#This Row],[efec]]</f>
        <v>#DIV/0!</v>
      </c>
      <c r="L6" s="9" t="e">
        <f aca="false">Tabla351081315361014[[#This Row],[no_efec_cor]]/Tabla351081315361014[[#This Row],[no_efe]]</f>
        <v>#DIV/0!</v>
      </c>
      <c r="M6" s="9" t="e">
        <f aca="false">Tabla351081315361014[[#This Row],[no_efec_inc]]/Tabla351081315361014[[#This Row],[no_efe]]</f>
        <v>#DIV/0!</v>
      </c>
      <c r="N6" s="9" t="e">
        <f aca="false">(Tabla351081315361014[[#This Row],[% efe_cor]]+Tabla351081315361014[[#This Row],[% no_efe_cor]])/2</f>
        <v>#DIV/0!</v>
      </c>
      <c r="O6" s="10" t="e">
        <f aca="false">(Tabla351081315361014[[#This Row],[% efe_inc]]+Tabla351081315361014[[#This Row],[% no_efect_inc]])/2</f>
        <v>#DIV/0!</v>
      </c>
      <c r="P6" s="11" t="e">
        <f aca="false">Tabla351081315361014[[#This Row],[no_efec_cor]]/(Tabla351081315361014[[#This Row],[efect_inc]]+Tabla351081315361014[[#This Row],[no_efec_cor]])</f>
        <v>#DIV/0!</v>
      </c>
      <c r="Q6" s="11" t="e">
        <f aca="false">Tabla351081315361014[[#This Row],[efec_cor]]/(Tabla351081315361014[[#This Row],[efec_cor]]+Tabla351081315361014[[#This Row],[no_efec_inc]])</f>
        <v>#DIV/0!</v>
      </c>
      <c r="R6" s="11" t="e">
        <f aca="false">(Tabla351081315361014[[#This Row],[PNE]]+Tabla351081315361014[[#This Row],[PE]])/2</f>
        <v>#DIV/0!</v>
      </c>
      <c r="U6" s="0" t="n">
        <f aca="false">Tabla351081315361014[[#This Row],[efec]]+Tabla351081315361014[[#This Row],[no_efe]]</f>
        <v>0</v>
      </c>
    </row>
    <row r="7" customFormat="false" ht="13.8" hidden="false" customHeight="false" outlineLevel="0" collapsed="false">
      <c r="A7" s="0" t="s">
        <v>40</v>
      </c>
      <c r="B7" s="0" t="n">
        <v>2</v>
      </c>
      <c r="G7" s="0" t="n">
        <f aca="false">Tabla351081315361014[[#This Row],[no_efec_cor]]+Tabla351081315361014[[#This Row],[efec_cor]]</f>
        <v>0</v>
      </c>
      <c r="H7" s="0" t="n">
        <f aca="false">Tabla351081315361014[[#This Row],[no_efec_inc]]+Tabla351081315361014[[#This Row],[efect_inc]]</f>
        <v>0</v>
      </c>
      <c r="I7" s="9" t="e">
        <f aca="false">Tabla351081315361014[[#This Row],[Correctos]]/Tabla351081315361014[[#This Row],[total_sec]]</f>
        <v>#DIV/0!</v>
      </c>
      <c r="J7" s="9" t="e">
        <f aca="false">Tabla351081315361014[[#This Row],[efec_cor]]/Tabla351081315361014[[#This Row],[efec]]</f>
        <v>#DIV/0!</v>
      </c>
      <c r="K7" s="9" t="e">
        <f aca="false">Tabla351081315361014[[#This Row],[efect_inc]]/Tabla351081315361014[[#This Row],[efec]]</f>
        <v>#DIV/0!</v>
      </c>
      <c r="L7" s="9" t="e">
        <f aca="false">Tabla351081315361014[[#This Row],[no_efec_cor]]/Tabla351081315361014[[#This Row],[no_efe]]</f>
        <v>#DIV/0!</v>
      </c>
      <c r="M7" s="9" t="e">
        <f aca="false">Tabla351081315361014[[#This Row],[no_efec_inc]]/Tabla351081315361014[[#This Row],[no_efe]]</f>
        <v>#DIV/0!</v>
      </c>
      <c r="N7" s="9" t="e">
        <f aca="false">(Tabla351081315361014[[#This Row],[% efe_cor]]+Tabla351081315361014[[#This Row],[% no_efe_cor]])/2</f>
        <v>#DIV/0!</v>
      </c>
      <c r="O7" s="10" t="e">
        <f aca="false">(Tabla351081315361014[[#This Row],[% efe_inc]]+Tabla351081315361014[[#This Row],[% no_efect_inc]])/2</f>
        <v>#DIV/0!</v>
      </c>
      <c r="P7" s="11" t="e">
        <f aca="false">Tabla351081315361014[[#This Row],[no_efec_cor]]/(Tabla351081315361014[[#This Row],[efect_inc]]+Tabla351081315361014[[#This Row],[no_efec_cor]])</f>
        <v>#DIV/0!</v>
      </c>
      <c r="Q7" s="11" t="e">
        <f aca="false">Tabla351081315361014[[#This Row],[efec_cor]]/(Tabla351081315361014[[#This Row],[efec_cor]]+Tabla351081315361014[[#This Row],[no_efec_inc]])</f>
        <v>#DIV/0!</v>
      </c>
      <c r="R7" s="11" t="e">
        <f aca="false">(Tabla351081315361014[[#This Row],[PNE]]+Tabla351081315361014[[#This Row],[PE]])/2</f>
        <v>#DIV/0!</v>
      </c>
      <c r="U7" s="0" t="n">
        <f aca="false">Tabla351081315361014[[#This Row],[efec]]+Tabla351081315361014[[#This Row],[no_efe]]</f>
        <v>0</v>
      </c>
    </row>
    <row r="8" customFormat="false" ht="13.8" hidden="false" customHeight="false" outlineLevel="0" collapsed="false">
      <c r="A8" s="0" t="s">
        <v>41</v>
      </c>
      <c r="B8" s="0" t="n">
        <v>1</v>
      </c>
      <c r="G8" s="0" t="n">
        <f aca="false">Tabla351081315361014[[#This Row],[no_efec_cor]]+Tabla351081315361014[[#This Row],[efec_cor]]</f>
        <v>0</v>
      </c>
      <c r="H8" s="0" t="n">
        <f aca="false">Tabla351081315361014[[#This Row],[no_efec_inc]]+Tabla351081315361014[[#This Row],[efect_inc]]</f>
        <v>0</v>
      </c>
      <c r="I8" s="9" t="e">
        <f aca="false">Tabla351081315361014[[#This Row],[Correctos]]/Tabla351081315361014[[#This Row],[total_sec]]</f>
        <v>#DIV/0!</v>
      </c>
      <c r="J8" s="9" t="e">
        <f aca="false">Tabla351081315361014[[#This Row],[efec_cor]]/Tabla351081315361014[[#This Row],[efec]]</f>
        <v>#DIV/0!</v>
      </c>
      <c r="K8" s="9" t="e">
        <f aca="false">Tabla351081315361014[[#This Row],[efect_inc]]/Tabla351081315361014[[#This Row],[efec]]</f>
        <v>#DIV/0!</v>
      </c>
      <c r="L8" s="9" t="e">
        <f aca="false">Tabla351081315361014[[#This Row],[no_efec_cor]]/Tabla351081315361014[[#This Row],[no_efe]]</f>
        <v>#DIV/0!</v>
      </c>
      <c r="M8" s="9" t="e">
        <f aca="false">Tabla351081315361014[[#This Row],[no_efec_inc]]/Tabla351081315361014[[#This Row],[no_efe]]</f>
        <v>#DIV/0!</v>
      </c>
      <c r="N8" s="9" t="e">
        <f aca="false">(Tabla351081315361014[[#This Row],[% efe_cor]]+Tabla351081315361014[[#This Row],[% no_efe_cor]])/2</f>
        <v>#DIV/0!</v>
      </c>
      <c r="O8" s="10" t="e">
        <f aca="false">(Tabla351081315361014[[#This Row],[% efe_inc]]+Tabla351081315361014[[#This Row],[% no_efect_inc]])/2</f>
        <v>#DIV/0!</v>
      </c>
      <c r="P8" s="11" t="e">
        <f aca="false">Tabla351081315361014[[#This Row],[no_efec_cor]]/(Tabla351081315361014[[#This Row],[efect_inc]]+Tabla351081315361014[[#This Row],[no_efec_cor]])</f>
        <v>#DIV/0!</v>
      </c>
      <c r="Q8" s="11" t="e">
        <f aca="false">Tabla351081315361014[[#This Row],[efec_cor]]/(Tabla351081315361014[[#This Row],[efec_cor]]+Tabla351081315361014[[#This Row],[no_efec_inc]])</f>
        <v>#DIV/0!</v>
      </c>
      <c r="R8" s="11" t="e">
        <f aca="false">(Tabla351081315361014[[#This Row],[PNE]]+Tabla351081315361014[[#This Row],[PE]])/2</f>
        <v>#DIV/0!</v>
      </c>
      <c r="U8" s="0" t="n">
        <f aca="false">Tabla351081315361014[[#This Row],[efec]]+Tabla351081315361014[[#This Row],[no_efe]]</f>
        <v>0</v>
      </c>
    </row>
    <row r="9" customFormat="false" ht="13.8" hidden="false" customHeight="false" outlineLevel="0" collapsed="false">
      <c r="A9" s="0" t="s">
        <v>42</v>
      </c>
      <c r="B9" s="0" t="n">
        <v>1</v>
      </c>
      <c r="G9" s="0" t="n">
        <f aca="false">Tabla351081315361014[[#This Row],[no_efec_cor]]+Tabla351081315361014[[#This Row],[efec_cor]]</f>
        <v>0</v>
      </c>
      <c r="H9" s="0" t="n">
        <f aca="false">Tabla351081315361014[[#This Row],[no_efec_inc]]+Tabla351081315361014[[#This Row],[efect_inc]]</f>
        <v>0</v>
      </c>
      <c r="I9" s="9" t="e">
        <f aca="false">Tabla351081315361014[[#This Row],[Correctos]]/Tabla351081315361014[[#This Row],[total_sec]]</f>
        <v>#DIV/0!</v>
      </c>
      <c r="J9" s="9" t="e">
        <f aca="false">Tabla351081315361014[[#This Row],[efec_cor]]/Tabla351081315361014[[#This Row],[efec]]</f>
        <v>#DIV/0!</v>
      </c>
      <c r="K9" s="9" t="e">
        <f aca="false">Tabla351081315361014[[#This Row],[efect_inc]]/Tabla351081315361014[[#This Row],[efec]]</f>
        <v>#DIV/0!</v>
      </c>
      <c r="L9" s="9" t="e">
        <f aca="false">Tabla351081315361014[[#This Row],[no_efec_cor]]/Tabla351081315361014[[#This Row],[no_efe]]</f>
        <v>#DIV/0!</v>
      </c>
      <c r="M9" s="9" t="e">
        <f aca="false">Tabla351081315361014[[#This Row],[no_efec_inc]]/Tabla351081315361014[[#This Row],[no_efe]]</f>
        <v>#DIV/0!</v>
      </c>
      <c r="N9" s="9" t="e">
        <f aca="false">(Tabla351081315361014[[#This Row],[% efe_cor]]+Tabla351081315361014[[#This Row],[% no_efe_cor]])/2</f>
        <v>#DIV/0!</v>
      </c>
      <c r="O9" s="10" t="e">
        <f aca="false">(Tabla351081315361014[[#This Row],[% efe_inc]]+Tabla351081315361014[[#This Row],[% no_efect_inc]])/2</f>
        <v>#DIV/0!</v>
      </c>
      <c r="P9" s="11" t="e">
        <f aca="false">Tabla351081315361014[[#This Row],[no_efec_cor]]/(Tabla351081315361014[[#This Row],[efect_inc]]+Tabla351081315361014[[#This Row],[no_efec_cor]])</f>
        <v>#DIV/0!</v>
      </c>
      <c r="Q9" s="11" t="e">
        <f aca="false">Tabla351081315361014[[#This Row],[efec_cor]]/(Tabla351081315361014[[#This Row],[efec_cor]]+Tabla351081315361014[[#This Row],[no_efec_inc]])</f>
        <v>#DIV/0!</v>
      </c>
      <c r="R9" s="11" t="e">
        <f aca="false">(Tabla351081315361014[[#This Row],[PNE]]+Tabla351081315361014[[#This Row],[PE]])/2</f>
        <v>#DIV/0!</v>
      </c>
      <c r="U9" s="0" t="n">
        <f aca="false">Tabla351081315361014[[#This Row],[efec]]+Tabla351081315361014[[#This Row],[no_efe]]</f>
        <v>0</v>
      </c>
    </row>
    <row r="10" customFormat="false" ht="13.8" hidden="false" customHeight="false" outlineLevel="0" collapsed="false">
      <c r="A10" s="0" t="s">
        <v>43</v>
      </c>
      <c r="B10" s="0" t="n">
        <v>3</v>
      </c>
      <c r="G10" s="0" t="n">
        <f aca="false">Tabla351081315361014[[#This Row],[no_efec_cor]]+Tabla351081315361014[[#This Row],[efec_cor]]</f>
        <v>0</v>
      </c>
      <c r="H10" s="0" t="n">
        <f aca="false">Tabla351081315361014[[#This Row],[no_efec_inc]]+Tabla351081315361014[[#This Row],[efect_inc]]</f>
        <v>0</v>
      </c>
      <c r="I10" s="9" t="e">
        <f aca="false">Tabla351081315361014[[#This Row],[Correctos]]/Tabla351081315361014[[#This Row],[total_sec]]</f>
        <v>#DIV/0!</v>
      </c>
      <c r="J10" s="9" t="e">
        <f aca="false">Tabla351081315361014[[#This Row],[efec_cor]]/Tabla351081315361014[[#This Row],[efec]]</f>
        <v>#DIV/0!</v>
      </c>
      <c r="K10" s="9" t="e">
        <f aca="false">Tabla351081315361014[[#This Row],[efect_inc]]/Tabla351081315361014[[#This Row],[efec]]</f>
        <v>#DIV/0!</v>
      </c>
      <c r="L10" s="9" t="e">
        <f aca="false">Tabla351081315361014[[#This Row],[no_efec_cor]]/Tabla351081315361014[[#This Row],[no_efe]]</f>
        <v>#DIV/0!</v>
      </c>
      <c r="M10" s="9" t="e">
        <f aca="false">Tabla351081315361014[[#This Row],[no_efec_inc]]/Tabla351081315361014[[#This Row],[no_efe]]</f>
        <v>#DIV/0!</v>
      </c>
      <c r="N10" s="9" t="e">
        <f aca="false">(Tabla351081315361014[[#This Row],[% efe_cor]]+Tabla351081315361014[[#This Row],[% no_efe_cor]])/2</f>
        <v>#DIV/0!</v>
      </c>
      <c r="O10" s="10" t="e">
        <f aca="false">(Tabla351081315361014[[#This Row],[% efe_inc]]+Tabla351081315361014[[#This Row],[% no_efect_inc]])/2</f>
        <v>#DIV/0!</v>
      </c>
      <c r="P10" s="11" t="e">
        <f aca="false">Tabla351081315361014[[#This Row],[no_efec_cor]]/(Tabla351081315361014[[#This Row],[efect_inc]]+Tabla351081315361014[[#This Row],[no_efec_cor]])</f>
        <v>#DIV/0!</v>
      </c>
      <c r="Q10" s="11" t="e">
        <f aca="false">Tabla351081315361014[[#This Row],[efec_cor]]/(Tabla351081315361014[[#This Row],[efec_cor]]+Tabla351081315361014[[#This Row],[no_efec_inc]])</f>
        <v>#DIV/0!</v>
      </c>
      <c r="R10" s="11" t="e">
        <f aca="false">(Tabla351081315361014[[#This Row],[PNE]]+Tabla351081315361014[[#This Row],[PE]])/2</f>
        <v>#DIV/0!</v>
      </c>
      <c r="U10" s="0" t="n">
        <f aca="false">Tabla351081315361014[[#This Row],[efec]]+Tabla351081315361014[[#This Row],[no_efe]]</f>
        <v>0</v>
      </c>
    </row>
    <row r="11" customFormat="false" ht="13.8" hidden="false" customHeight="false" outlineLevel="0" collapsed="false">
      <c r="A11" s="0" t="s">
        <v>44</v>
      </c>
      <c r="B11" s="0" t="n">
        <v>1</v>
      </c>
      <c r="G11" s="0" t="n">
        <f aca="false">Tabla351081315361014[[#This Row],[no_efec_cor]]+Tabla351081315361014[[#This Row],[efec_cor]]</f>
        <v>0</v>
      </c>
      <c r="H11" s="0" t="n">
        <f aca="false">Tabla351081315361014[[#This Row],[no_efec_inc]]+Tabla351081315361014[[#This Row],[efect_inc]]</f>
        <v>0</v>
      </c>
      <c r="I11" s="9" t="e">
        <f aca="false">Tabla351081315361014[[#This Row],[Correctos]]/Tabla351081315361014[[#This Row],[total_sec]]</f>
        <v>#DIV/0!</v>
      </c>
      <c r="J11" s="9" t="e">
        <f aca="false">Tabla351081315361014[[#This Row],[efec_cor]]/Tabla351081315361014[[#This Row],[efec]]</f>
        <v>#DIV/0!</v>
      </c>
      <c r="K11" s="9" t="e">
        <f aca="false">Tabla351081315361014[[#This Row],[efect_inc]]/Tabla351081315361014[[#This Row],[efec]]</f>
        <v>#DIV/0!</v>
      </c>
      <c r="L11" s="9" t="e">
        <f aca="false">Tabla351081315361014[[#This Row],[no_efec_cor]]/Tabla351081315361014[[#This Row],[no_efe]]</f>
        <v>#DIV/0!</v>
      </c>
      <c r="M11" s="9" t="e">
        <f aca="false">Tabla351081315361014[[#This Row],[no_efec_inc]]/Tabla351081315361014[[#This Row],[no_efe]]</f>
        <v>#DIV/0!</v>
      </c>
      <c r="N11" s="9" t="e">
        <f aca="false">(Tabla351081315361014[[#This Row],[% efe_cor]]+Tabla351081315361014[[#This Row],[% no_efe_cor]])/2</f>
        <v>#DIV/0!</v>
      </c>
      <c r="O11" s="10" t="e">
        <f aca="false">(Tabla351081315361014[[#This Row],[% efe_inc]]+Tabla351081315361014[[#This Row],[% no_efect_inc]])/2</f>
        <v>#DIV/0!</v>
      </c>
      <c r="P11" s="11" t="e">
        <f aca="false">Tabla351081315361014[[#This Row],[no_efec_cor]]/(Tabla351081315361014[[#This Row],[efect_inc]]+Tabla351081315361014[[#This Row],[no_efec_cor]])</f>
        <v>#DIV/0!</v>
      </c>
      <c r="Q11" s="11" t="e">
        <f aca="false">Tabla351081315361014[[#This Row],[efec_cor]]/(Tabla351081315361014[[#This Row],[efec_cor]]+Tabla351081315361014[[#This Row],[no_efec_inc]])</f>
        <v>#DIV/0!</v>
      </c>
      <c r="R11" s="11" t="e">
        <f aca="false">(Tabla351081315361014[[#This Row],[PNE]]+Tabla351081315361014[[#This Row],[PE]])/2</f>
        <v>#DIV/0!</v>
      </c>
      <c r="U11" s="0" t="n">
        <f aca="false">Tabla351081315361014[[#This Row],[efec]]+Tabla351081315361014[[#This Row],[no_efe]]</f>
        <v>0</v>
      </c>
    </row>
    <row r="13" customFormat="false" ht="15" hidden="false" customHeight="false" outlineLevel="0" collapsed="false">
      <c r="A13" s="13" t="s">
        <v>5</v>
      </c>
      <c r="B13" s="13"/>
      <c r="C13" s="13"/>
      <c r="D13" s="13"/>
      <c r="E13" s="13"/>
      <c r="F13" s="13"/>
      <c r="G13" s="13"/>
    </row>
    <row r="14" customFormat="false" ht="15.75" hidden="false" customHeight="false" outlineLevel="0" collapsed="false">
      <c r="A14" s="2" t="s">
        <v>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15.75" hidden="false" customHeight="false" outlineLevel="0" collapsed="false">
      <c r="A15" s="7" t="s">
        <v>38</v>
      </c>
      <c r="B15" s="7" t="s">
        <v>27</v>
      </c>
      <c r="C15" s="7" t="s">
        <v>28</v>
      </c>
      <c r="D15" s="8" t="s">
        <v>7</v>
      </c>
      <c r="E15" s="8" t="s">
        <v>8</v>
      </c>
      <c r="F15" s="8" t="s">
        <v>9</v>
      </c>
      <c r="G15" s="8" t="s">
        <v>10</v>
      </c>
      <c r="H15" s="8" t="s">
        <v>11</v>
      </c>
      <c r="I15" s="8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7" t="s">
        <v>19</v>
      </c>
      <c r="Q15" s="7" t="s">
        <v>20</v>
      </c>
      <c r="R15" s="7" t="s">
        <v>21</v>
      </c>
      <c r="S15" s="7" t="s">
        <v>22</v>
      </c>
      <c r="T15" s="7" t="s">
        <v>23</v>
      </c>
      <c r="U15" s="7" t="s">
        <v>24</v>
      </c>
      <c r="V15" s="7" t="s">
        <v>25</v>
      </c>
    </row>
    <row r="16" customFormat="false" ht="13.8" hidden="false" customHeight="false" outlineLevel="0" collapsed="false">
      <c r="A16" s="0" t="s">
        <v>39</v>
      </c>
      <c r="B16" s="0" t="n">
        <v>3</v>
      </c>
      <c r="C16" s="0" t="n">
        <v>5</v>
      </c>
      <c r="H16" s="0" t="n">
        <f aca="false">Tabla35108131536101415[[#This Row],[no_efec_cor]]+Tabla35108131536101415[[#This Row],[efec_cor]]</f>
        <v>0</v>
      </c>
      <c r="I16" s="0" t="n">
        <f aca="false">Tabla35108131536101415[[#This Row],[no_efec_inc]]+Tabla35108131536101415[[#This Row],[efect_inc]]</f>
        <v>0</v>
      </c>
      <c r="J16" s="9" t="e">
        <f aca="false">Tabla35108131536101415[[#This Row],[Correctos]]/Tabla35108131536101415[[#This Row],[total_sec]]</f>
        <v>#DIV/0!</v>
      </c>
      <c r="K16" s="9" t="e">
        <f aca="false">Tabla35108131536101415[[#This Row],[efec_cor]]/Tabla35108131536101415[[#This Row],[efec]]</f>
        <v>#DIV/0!</v>
      </c>
      <c r="L16" s="9" t="e">
        <f aca="false">Tabla35108131536101415[[#This Row],[efect_inc]]/Tabla35108131536101415[[#This Row],[efec]]</f>
        <v>#DIV/0!</v>
      </c>
      <c r="M16" s="9" t="e">
        <f aca="false">Tabla35108131536101415[[#This Row],[no_efec_cor]]/Tabla35108131536101415[[#This Row],[no_efe]]</f>
        <v>#DIV/0!</v>
      </c>
      <c r="N16" s="9" t="e">
        <f aca="false">Tabla35108131536101415[[#This Row],[no_efec_inc]]/Tabla35108131536101415[[#This Row],[no_efe]]</f>
        <v>#DIV/0!</v>
      </c>
      <c r="O16" s="9" t="e">
        <f aca="false">(Tabla35108131536101415[[#This Row],[% efe_cor]]+Tabla35108131536101415[[#This Row],[% no_efe_cor]])/2</f>
        <v>#DIV/0!</v>
      </c>
      <c r="P16" s="10" t="e">
        <f aca="false">(Tabla35108131536101415[[#This Row],[% efe_inc]]+Tabla35108131536101415[[#This Row],[% no_efect_inc]])/2</f>
        <v>#DIV/0!</v>
      </c>
      <c r="Q16" s="11" t="e">
        <f aca="false">Tabla35108131536101415[[#This Row],[no_efec_cor]]/(Tabla35108131536101415[[#This Row],[efect_inc]]+Tabla35108131536101415[[#This Row],[no_efec_cor]])</f>
        <v>#DIV/0!</v>
      </c>
      <c r="R16" s="11" t="e">
        <f aca="false">Tabla35108131536101415[[#This Row],[efec_cor]]/(Tabla35108131536101415[[#This Row],[efec_cor]]+Tabla35108131536101415[[#This Row],[no_efec_inc]])</f>
        <v>#DIV/0!</v>
      </c>
      <c r="S16" s="11" t="e">
        <f aca="false">(Tabla35108131536101415[[#This Row],[PNE]]+Tabla35108131536101415[[#This Row],[PE]])/2</f>
        <v>#DIV/0!</v>
      </c>
      <c r="V16" s="0" t="n">
        <f aca="false">Tabla35108131536101415[[#This Row],[efec]]+Tabla35108131536101415[[#This Row],[no_efe]]</f>
        <v>0</v>
      </c>
    </row>
    <row r="17" customFormat="false" ht="13.8" hidden="false" customHeight="false" outlineLevel="0" collapsed="false">
      <c r="A17" s="0" t="s">
        <v>40</v>
      </c>
      <c r="B17" s="0" t="n">
        <v>2</v>
      </c>
      <c r="C17" s="0" t="n">
        <v>5</v>
      </c>
      <c r="H17" s="0" t="n">
        <f aca="false">Tabla35108131536101415[[#This Row],[no_efec_cor]]+Tabla35108131536101415[[#This Row],[efec_cor]]</f>
        <v>0</v>
      </c>
      <c r="I17" s="0" t="n">
        <f aca="false">Tabla35108131536101415[[#This Row],[no_efec_inc]]+Tabla35108131536101415[[#This Row],[efect_inc]]</f>
        <v>0</v>
      </c>
      <c r="J17" s="9" t="e">
        <f aca="false">Tabla35108131536101415[[#This Row],[Correctos]]/Tabla35108131536101415[[#This Row],[total_sec]]</f>
        <v>#DIV/0!</v>
      </c>
      <c r="K17" s="9" t="e">
        <f aca="false">Tabla35108131536101415[[#This Row],[efec_cor]]/Tabla35108131536101415[[#This Row],[efec]]</f>
        <v>#DIV/0!</v>
      </c>
      <c r="L17" s="9" t="e">
        <f aca="false">Tabla35108131536101415[[#This Row],[efect_inc]]/Tabla35108131536101415[[#This Row],[efec]]</f>
        <v>#DIV/0!</v>
      </c>
      <c r="M17" s="9" t="e">
        <f aca="false">Tabla35108131536101415[[#This Row],[no_efec_cor]]/Tabla35108131536101415[[#This Row],[no_efe]]</f>
        <v>#DIV/0!</v>
      </c>
      <c r="N17" s="9" t="e">
        <f aca="false">Tabla35108131536101415[[#This Row],[no_efec_inc]]/Tabla35108131536101415[[#This Row],[no_efe]]</f>
        <v>#DIV/0!</v>
      </c>
      <c r="O17" s="9" t="e">
        <f aca="false">(Tabla35108131536101415[[#This Row],[% efe_cor]]+Tabla35108131536101415[[#This Row],[% no_efe_cor]])/2</f>
        <v>#DIV/0!</v>
      </c>
      <c r="P17" s="10" t="e">
        <f aca="false">(Tabla35108131536101415[[#This Row],[% efe_inc]]+Tabla35108131536101415[[#This Row],[% no_efect_inc]])/2</f>
        <v>#DIV/0!</v>
      </c>
      <c r="Q17" s="11" t="e">
        <f aca="false">Tabla35108131536101415[[#This Row],[no_efec_cor]]/(Tabla35108131536101415[[#This Row],[efect_inc]]+Tabla35108131536101415[[#This Row],[no_efec_cor]])</f>
        <v>#DIV/0!</v>
      </c>
      <c r="R17" s="11" t="e">
        <f aca="false">Tabla35108131536101415[[#This Row],[efec_cor]]/(Tabla35108131536101415[[#This Row],[efec_cor]]+Tabla35108131536101415[[#This Row],[no_efec_inc]])</f>
        <v>#DIV/0!</v>
      </c>
      <c r="S17" s="11" t="e">
        <f aca="false">(Tabla35108131536101415[[#This Row],[PNE]]+Tabla35108131536101415[[#This Row],[PE]])/2</f>
        <v>#DIV/0!</v>
      </c>
      <c r="V17" s="0" t="n">
        <f aca="false">Tabla35108131536101415[[#This Row],[efec]]+Tabla35108131536101415[[#This Row],[no_efe]]</f>
        <v>0</v>
      </c>
    </row>
    <row r="18" customFormat="false" ht="13.8" hidden="false" customHeight="false" outlineLevel="0" collapsed="false">
      <c r="A18" s="0" t="s">
        <v>41</v>
      </c>
      <c r="B18" s="0" t="n">
        <v>2</v>
      </c>
      <c r="C18" s="0" t="n">
        <v>5</v>
      </c>
      <c r="H18" s="0" t="n">
        <f aca="false">Tabla35108131536101415[[#This Row],[no_efec_cor]]+Tabla35108131536101415[[#This Row],[efec_cor]]</f>
        <v>0</v>
      </c>
      <c r="I18" s="0" t="n">
        <f aca="false">Tabla35108131536101415[[#This Row],[no_efec_inc]]+Tabla35108131536101415[[#This Row],[efect_inc]]</f>
        <v>0</v>
      </c>
      <c r="J18" s="9" t="e">
        <f aca="false">Tabla35108131536101415[[#This Row],[Correctos]]/Tabla35108131536101415[[#This Row],[total_sec]]</f>
        <v>#DIV/0!</v>
      </c>
      <c r="K18" s="9" t="e">
        <f aca="false">Tabla35108131536101415[[#This Row],[efec_cor]]/Tabla35108131536101415[[#This Row],[efec]]</f>
        <v>#DIV/0!</v>
      </c>
      <c r="L18" s="9" t="e">
        <f aca="false">Tabla35108131536101415[[#This Row],[efect_inc]]/Tabla35108131536101415[[#This Row],[efec]]</f>
        <v>#DIV/0!</v>
      </c>
      <c r="M18" s="9" t="e">
        <f aca="false">Tabla35108131536101415[[#This Row],[no_efec_cor]]/Tabla35108131536101415[[#This Row],[no_efe]]</f>
        <v>#DIV/0!</v>
      </c>
      <c r="N18" s="9" t="e">
        <f aca="false">Tabla35108131536101415[[#This Row],[no_efec_inc]]/Tabla35108131536101415[[#This Row],[no_efe]]</f>
        <v>#DIV/0!</v>
      </c>
      <c r="O18" s="9" t="e">
        <f aca="false">(Tabla35108131536101415[[#This Row],[% efe_cor]]+Tabla35108131536101415[[#This Row],[% no_efe_cor]])/2</f>
        <v>#DIV/0!</v>
      </c>
      <c r="P18" s="10" t="e">
        <f aca="false">(Tabla35108131536101415[[#This Row],[% efe_inc]]+Tabla35108131536101415[[#This Row],[% no_efect_inc]])/2</f>
        <v>#DIV/0!</v>
      </c>
      <c r="Q18" s="11" t="e">
        <f aca="false">Tabla35108131536101415[[#This Row],[no_efec_cor]]/(Tabla35108131536101415[[#This Row],[efect_inc]]+Tabla35108131536101415[[#This Row],[no_efec_cor]])</f>
        <v>#DIV/0!</v>
      </c>
      <c r="R18" s="11" t="e">
        <f aca="false">Tabla35108131536101415[[#This Row],[efec_cor]]/(Tabla35108131536101415[[#This Row],[efec_cor]]+Tabla35108131536101415[[#This Row],[no_efec_inc]])</f>
        <v>#DIV/0!</v>
      </c>
      <c r="S18" s="11" t="e">
        <f aca="false">(Tabla35108131536101415[[#This Row],[PNE]]+Tabla35108131536101415[[#This Row],[PE]])/2</f>
        <v>#DIV/0!</v>
      </c>
      <c r="V18" s="0" t="n">
        <f aca="false">Tabla35108131536101415[[#This Row],[efec]]+Tabla35108131536101415[[#This Row],[no_efe]]</f>
        <v>0</v>
      </c>
    </row>
    <row r="19" customFormat="false" ht="13.8" hidden="false" customHeight="false" outlineLevel="0" collapsed="false">
      <c r="A19" s="0" t="s">
        <v>42</v>
      </c>
      <c r="B19" s="0" t="n">
        <v>5</v>
      </c>
      <c r="C19" s="0" t="n">
        <v>5</v>
      </c>
      <c r="H19" s="0" t="n">
        <f aca="false">Tabla35108131536101415[[#This Row],[no_efec_cor]]+Tabla35108131536101415[[#This Row],[efec_cor]]</f>
        <v>0</v>
      </c>
      <c r="I19" s="0" t="n">
        <f aca="false">Tabla35108131536101415[[#This Row],[no_efec_inc]]+Tabla35108131536101415[[#This Row],[efect_inc]]</f>
        <v>0</v>
      </c>
      <c r="J19" s="9" t="e">
        <f aca="false">Tabla35108131536101415[[#This Row],[Correctos]]/Tabla35108131536101415[[#This Row],[total_sec]]</f>
        <v>#DIV/0!</v>
      </c>
      <c r="K19" s="9" t="e">
        <f aca="false">Tabla35108131536101415[[#This Row],[efec_cor]]/Tabla35108131536101415[[#This Row],[efec]]</f>
        <v>#DIV/0!</v>
      </c>
      <c r="L19" s="9" t="e">
        <f aca="false">Tabla35108131536101415[[#This Row],[efect_inc]]/Tabla35108131536101415[[#This Row],[efec]]</f>
        <v>#DIV/0!</v>
      </c>
      <c r="M19" s="9" t="e">
        <f aca="false">Tabla35108131536101415[[#This Row],[no_efec_cor]]/Tabla35108131536101415[[#This Row],[no_efe]]</f>
        <v>#DIV/0!</v>
      </c>
      <c r="N19" s="9" t="e">
        <f aca="false">Tabla35108131536101415[[#This Row],[no_efec_inc]]/Tabla35108131536101415[[#This Row],[no_efe]]</f>
        <v>#DIV/0!</v>
      </c>
      <c r="O19" s="9" t="e">
        <f aca="false">(Tabla35108131536101415[[#This Row],[% efe_cor]]+Tabla35108131536101415[[#This Row],[% no_efe_cor]])/2</f>
        <v>#DIV/0!</v>
      </c>
      <c r="P19" s="10" t="e">
        <f aca="false">(Tabla35108131536101415[[#This Row],[% efe_inc]]+Tabla35108131536101415[[#This Row],[% no_efect_inc]])/2</f>
        <v>#DIV/0!</v>
      </c>
      <c r="Q19" s="11" t="e">
        <f aca="false">Tabla35108131536101415[[#This Row],[no_efec_cor]]/(Tabla35108131536101415[[#This Row],[efect_inc]]+Tabla35108131536101415[[#This Row],[no_efec_cor]])</f>
        <v>#DIV/0!</v>
      </c>
      <c r="R19" s="11" t="e">
        <f aca="false">Tabla35108131536101415[[#This Row],[efec_cor]]/(Tabla35108131536101415[[#This Row],[efec_cor]]+Tabla35108131536101415[[#This Row],[no_efec_inc]])</f>
        <v>#DIV/0!</v>
      </c>
      <c r="S19" s="11" t="e">
        <f aca="false">(Tabla35108131536101415[[#This Row],[PNE]]+Tabla35108131536101415[[#This Row],[PE]])/2</f>
        <v>#DIV/0!</v>
      </c>
      <c r="V19" s="0" t="n">
        <f aca="false">Tabla35108131536101415[[#This Row],[efec]]+Tabla35108131536101415[[#This Row],[no_efe]]</f>
        <v>0</v>
      </c>
    </row>
    <row r="20" customFormat="false" ht="13.8" hidden="false" customHeight="false" outlineLevel="0" collapsed="false">
      <c r="A20" s="0" t="s">
        <v>43</v>
      </c>
      <c r="B20" s="0" t="n">
        <v>1</v>
      </c>
      <c r="C20" s="0" t="n">
        <v>5</v>
      </c>
      <c r="H20" s="0" t="n">
        <f aca="false">Tabla35108131536101415[[#This Row],[no_efec_cor]]+Tabla35108131536101415[[#This Row],[efec_cor]]</f>
        <v>0</v>
      </c>
      <c r="I20" s="0" t="n">
        <f aca="false">Tabla35108131536101415[[#This Row],[no_efec_inc]]+Tabla35108131536101415[[#This Row],[efect_inc]]</f>
        <v>0</v>
      </c>
      <c r="J20" s="9" t="e">
        <f aca="false">Tabla35108131536101415[[#This Row],[Correctos]]/Tabla35108131536101415[[#This Row],[total_sec]]</f>
        <v>#DIV/0!</v>
      </c>
      <c r="K20" s="9" t="e">
        <f aca="false">Tabla35108131536101415[[#This Row],[efec_cor]]/Tabla35108131536101415[[#This Row],[efec]]</f>
        <v>#DIV/0!</v>
      </c>
      <c r="L20" s="9" t="e">
        <f aca="false">Tabla35108131536101415[[#This Row],[efect_inc]]/Tabla35108131536101415[[#This Row],[efec]]</f>
        <v>#DIV/0!</v>
      </c>
      <c r="M20" s="9" t="e">
        <f aca="false">Tabla35108131536101415[[#This Row],[no_efec_cor]]/Tabla35108131536101415[[#This Row],[no_efe]]</f>
        <v>#DIV/0!</v>
      </c>
      <c r="N20" s="9" t="e">
        <f aca="false">Tabla35108131536101415[[#This Row],[no_efec_inc]]/Tabla35108131536101415[[#This Row],[no_efe]]</f>
        <v>#DIV/0!</v>
      </c>
      <c r="O20" s="9" t="e">
        <f aca="false">(Tabla35108131536101415[[#This Row],[% efe_cor]]+Tabla35108131536101415[[#This Row],[% no_efe_cor]])/2</f>
        <v>#DIV/0!</v>
      </c>
      <c r="P20" s="10" t="e">
        <f aca="false">(Tabla35108131536101415[[#This Row],[% efe_inc]]+Tabla35108131536101415[[#This Row],[% no_efect_inc]])/2</f>
        <v>#DIV/0!</v>
      </c>
      <c r="Q20" s="11" t="e">
        <f aca="false">Tabla35108131536101415[[#This Row],[no_efec_cor]]/(Tabla35108131536101415[[#This Row],[efect_inc]]+Tabla35108131536101415[[#This Row],[no_efec_cor]])</f>
        <v>#DIV/0!</v>
      </c>
      <c r="R20" s="11" t="e">
        <f aca="false">Tabla35108131536101415[[#This Row],[efec_cor]]/(Tabla35108131536101415[[#This Row],[efec_cor]]+Tabla35108131536101415[[#This Row],[no_efec_inc]])</f>
        <v>#DIV/0!</v>
      </c>
      <c r="S20" s="11" t="e">
        <f aca="false">(Tabla35108131536101415[[#This Row],[PNE]]+Tabla35108131536101415[[#This Row],[PE]])/2</f>
        <v>#DIV/0!</v>
      </c>
      <c r="V20" s="0" t="n">
        <f aca="false">Tabla35108131536101415[[#This Row],[efec]]+Tabla35108131536101415[[#This Row],[no_efe]]</f>
        <v>0</v>
      </c>
    </row>
    <row r="21" customFormat="false" ht="13.8" hidden="false" customHeight="false" outlineLevel="0" collapsed="false">
      <c r="A21" s="0" t="s">
        <v>44</v>
      </c>
      <c r="B21" s="0" t="n">
        <v>2</v>
      </c>
      <c r="C21" s="0" t="n">
        <v>5</v>
      </c>
      <c r="H21" s="0" t="n">
        <f aca="false">Tabla35108131536101415[[#This Row],[no_efec_cor]]+Tabla35108131536101415[[#This Row],[efec_cor]]</f>
        <v>0</v>
      </c>
      <c r="I21" s="0" t="n">
        <f aca="false">Tabla35108131536101415[[#This Row],[no_efec_inc]]+Tabla35108131536101415[[#This Row],[efect_inc]]</f>
        <v>0</v>
      </c>
      <c r="J21" s="9" t="e">
        <f aca="false">Tabla35108131536101415[[#This Row],[Correctos]]/Tabla35108131536101415[[#This Row],[total_sec]]</f>
        <v>#DIV/0!</v>
      </c>
      <c r="K21" s="9" t="e">
        <f aca="false">Tabla35108131536101415[[#This Row],[efec_cor]]/Tabla35108131536101415[[#This Row],[efec]]</f>
        <v>#DIV/0!</v>
      </c>
      <c r="L21" s="9" t="e">
        <f aca="false">Tabla35108131536101415[[#This Row],[efect_inc]]/Tabla35108131536101415[[#This Row],[efec]]</f>
        <v>#DIV/0!</v>
      </c>
      <c r="M21" s="9" t="e">
        <f aca="false">Tabla35108131536101415[[#This Row],[no_efec_cor]]/Tabla35108131536101415[[#This Row],[no_efe]]</f>
        <v>#DIV/0!</v>
      </c>
      <c r="N21" s="9" t="e">
        <f aca="false">Tabla35108131536101415[[#This Row],[no_efec_inc]]/Tabla35108131536101415[[#This Row],[no_efe]]</f>
        <v>#DIV/0!</v>
      </c>
      <c r="O21" s="9" t="e">
        <f aca="false">(Tabla35108131536101415[[#This Row],[% efe_cor]]+Tabla35108131536101415[[#This Row],[% no_efe_cor]])/2</f>
        <v>#DIV/0!</v>
      </c>
      <c r="P21" s="10" t="e">
        <f aca="false">(Tabla35108131536101415[[#This Row],[% efe_inc]]+Tabla35108131536101415[[#This Row],[% no_efect_inc]])/2</f>
        <v>#DIV/0!</v>
      </c>
      <c r="Q21" s="11" t="e">
        <f aca="false">Tabla35108131536101415[[#This Row],[no_efec_cor]]/(Tabla35108131536101415[[#This Row],[efect_inc]]+Tabla35108131536101415[[#This Row],[no_efec_cor]])</f>
        <v>#DIV/0!</v>
      </c>
      <c r="R21" s="11" t="e">
        <f aca="false">Tabla35108131536101415[[#This Row],[efec_cor]]/(Tabla35108131536101415[[#This Row],[efec_cor]]+Tabla35108131536101415[[#This Row],[no_efec_inc]])</f>
        <v>#DIV/0!</v>
      </c>
      <c r="S21" s="11" t="e">
        <f aca="false">(Tabla35108131536101415[[#This Row],[PNE]]+Tabla35108131536101415[[#This Row],[PE]])/2</f>
        <v>#DIV/0!</v>
      </c>
      <c r="V21" s="0" t="n">
        <f aca="false">Tabla35108131536101415[[#This Row],[efec]]+Tabla35108131536101415[[#This Row],[no_efe]]</f>
        <v>0</v>
      </c>
    </row>
    <row r="24" customFormat="false" ht="15" hidden="false" customHeight="false" outlineLevel="0" collapsed="false">
      <c r="A24" s="23" t="s">
        <v>63</v>
      </c>
      <c r="B24" s="23"/>
      <c r="C24" s="23"/>
      <c r="D24" s="23"/>
      <c r="E24" s="23"/>
      <c r="F24" s="23"/>
      <c r="G24" s="23"/>
    </row>
    <row r="25" customFormat="false" ht="15" hidden="false" customHeight="false" outlineLevel="0" collapsed="false">
      <c r="A25" s="7" t="s">
        <v>38</v>
      </c>
      <c r="B25" s="7" t="s">
        <v>64</v>
      </c>
      <c r="C25" s="7" t="s">
        <v>65</v>
      </c>
      <c r="D25" s="7" t="s">
        <v>66</v>
      </c>
      <c r="E25" s="7" t="s">
        <v>67</v>
      </c>
      <c r="F25" s="7" t="s">
        <v>68</v>
      </c>
      <c r="G25" s="7" t="s">
        <v>69</v>
      </c>
    </row>
    <row r="26" customFormat="false" ht="13.8" hidden="false" customHeight="false" outlineLevel="0" collapsed="false">
      <c r="A26" s="0" t="s">
        <v>39</v>
      </c>
      <c r="B26" s="9"/>
      <c r="C26" s="9"/>
      <c r="D26" s="9"/>
      <c r="E26" s="9"/>
      <c r="F26" s="9"/>
      <c r="G26" s="9"/>
    </row>
    <row r="27" customFormat="false" ht="13.8" hidden="false" customHeight="false" outlineLevel="0" collapsed="false">
      <c r="A27" s="0" t="s">
        <v>40</v>
      </c>
      <c r="B27" s="9"/>
      <c r="C27" s="9"/>
      <c r="D27" s="9"/>
      <c r="E27" s="9"/>
      <c r="F27" s="9"/>
      <c r="G27" s="9"/>
    </row>
    <row r="28" customFormat="false" ht="13.8" hidden="false" customHeight="false" outlineLevel="0" collapsed="false">
      <c r="A28" s="0" t="s">
        <v>41</v>
      </c>
      <c r="B28" s="9"/>
      <c r="C28" s="9"/>
      <c r="D28" s="9"/>
      <c r="E28" s="9"/>
      <c r="F28" s="9"/>
      <c r="G28" s="9"/>
    </row>
    <row r="29" customFormat="false" ht="13.8" hidden="false" customHeight="false" outlineLevel="0" collapsed="false">
      <c r="A29" s="0" t="s">
        <v>42</v>
      </c>
      <c r="B29" s="9"/>
      <c r="C29" s="9"/>
      <c r="D29" s="9"/>
      <c r="E29" s="9"/>
      <c r="F29" s="9"/>
      <c r="G29" s="9"/>
    </row>
    <row r="30" customFormat="false" ht="13.8" hidden="false" customHeight="false" outlineLevel="0" collapsed="false">
      <c r="A30" s="0" t="s">
        <v>43</v>
      </c>
      <c r="B30" s="9"/>
      <c r="C30" s="9"/>
      <c r="D30" s="9"/>
      <c r="E30" s="9"/>
      <c r="F30" s="9"/>
      <c r="G30" s="9"/>
    </row>
    <row r="31" customFormat="false" ht="13.8" hidden="false" customHeight="false" outlineLevel="0" collapsed="false">
      <c r="A31" s="0" t="s">
        <v>44</v>
      </c>
      <c r="B31" s="9"/>
      <c r="C31" s="9"/>
      <c r="D31" s="9"/>
      <c r="E31" s="9"/>
      <c r="F31" s="9"/>
      <c r="G31" s="9"/>
    </row>
  </sheetData>
  <mergeCells count="6">
    <mergeCell ref="A1:V1"/>
    <mergeCell ref="A3:G3"/>
    <mergeCell ref="A4:U4"/>
    <mergeCell ref="A13:G13"/>
    <mergeCell ref="A14:V14"/>
    <mergeCell ref="A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Ragnarök PC</dc:creator>
  <dc:description/>
  <dc:language>es-MX</dc:language>
  <cp:lastModifiedBy/>
  <dcterms:modified xsi:type="dcterms:W3CDTF">2021-02-13T05:32:38Z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