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8.xml" ContentType="application/vnd.openxmlformats-officedocument.spreadsheetml.table+xml"/>
  <Override PartName="/xl/tables/table14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5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.xml" ContentType="application/vnd.openxmlformats-officedocument.spreadsheetml.table+xml"/>
  <Override PartName="/xl/tables/table22.xml" ContentType="application/vnd.openxmlformats-officedocument.spreadsheetml.table+xml"/>
  <Override PartName="/xl/tables/table19.xml" ContentType="application/vnd.openxmlformats-officedocument.spreadsheetml.table+xml"/>
  <Override PartName="/xl/tables/table21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0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AC" sheetId="1" state="visible" r:id="rId2"/>
    <sheet name="ACC_hidro" sheetId="2" state="visible" r:id="rId3"/>
    <sheet name="ACC_mass" sheetId="3" state="visible" r:id="rId4"/>
    <sheet name="PseAAC_hidro" sheetId="4" state="visible" r:id="rId5"/>
    <sheet name="PseAAC_hidro_mass" sheetId="5" state="visible" r:id="rId6"/>
    <sheet name="PseAAC_mass" sheetId="6" state="visible" r:id="rId7"/>
    <sheet name="Deep_learning" sheetId="7" state="visible" r:id="rId8"/>
    <sheet name="Comparativ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<sst xmlns="http://schemas.openxmlformats.org/spreadsheetml/2006/main" count="564" uniqueCount="70">
  <si>
    <t xml:space="preserve">Composición de aminoácidos (AAC) fusarium_oxysporum_ds2</t>
  </si>
  <si>
    <t xml:space="preserve">k -vecinos más cercanos (KNN)</t>
  </si>
  <si>
    <t xml:space="preserve">N° Efectores</t>
  </si>
  <si>
    <t xml:space="preserve">N° No efectores</t>
  </si>
  <si>
    <t xml:space="preserve">Total</t>
  </si>
  <si>
    <t xml:space="preserve">(no_efec_cor = no efectores correctos, efec_cor = efectores correctos, PNE = Precisión no efectores, PE = Precisión efectores).</t>
  </si>
  <si>
    <t xml:space="preserve">KNN</t>
  </si>
  <si>
    <t xml:space="preserve">no_efec_cor</t>
  </si>
  <si>
    <t xml:space="preserve">no_efec_inc</t>
  </si>
  <si>
    <t xml:space="preserve">efec_cor</t>
  </si>
  <si>
    <t xml:space="preserve">efect_inc</t>
  </si>
  <si>
    <t xml:space="preserve">Correctos</t>
  </si>
  <si>
    <t xml:space="preserve">Incorrectos</t>
  </si>
  <si>
    <t xml:space="preserve">Exactitud</t>
  </si>
  <si>
    <t xml:space="preserve">% efe_cor</t>
  </si>
  <si>
    <t xml:space="preserve">% efe_inc</t>
  </si>
  <si>
    <t xml:space="preserve">% no_efe_cor</t>
  </si>
  <si>
    <t xml:space="preserve">% no_efect_inc</t>
  </si>
  <si>
    <t xml:space="preserve">% corectos</t>
  </si>
  <si>
    <t xml:space="preserve">% incorrectos</t>
  </si>
  <si>
    <t xml:space="preserve">PNE</t>
  </si>
  <si>
    <t xml:space="preserve">PE</t>
  </si>
  <si>
    <t xml:space="preserve">Presición</t>
  </si>
  <si>
    <t xml:space="preserve">efec</t>
  </si>
  <si>
    <t xml:space="preserve">no_efe</t>
  </si>
  <si>
    <t xml:space="preserve">total_sec</t>
  </si>
  <si>
    <t xml:space="preserve">Máquinas de vectores de soporte (SVM)</t>
  </si>
  <si>
    <t xml:space="preserve">costo</t>
  </si>
  <si>
    <t xml:space="preserve">gama</t>
  </si>
  <si>
    <t xml:space="preserve">N° efec</t>
  </si>
  <si>
    <t xml:space="preserve">N° no_efe</t>
  </si>
  <si>
    <t xml:space="preserve">Covarianza de auto cruzamiento (ACC) hidro fusarium_oxysporum_ds2</t>
  </si>
  <si>
    <t xml:space="preserve">Covarianza de auto cruzamiento (ACC) mass fusarium_oxysporum_ds2</t>
  </si>
  <si>
    <t xml:space="preserve">Composición de pseudo aminoácidos (PseAAC) hidro fusarium_oxysporum_ds2</t>
  </si>
  <si>
    <t xml:space="preserve">Composición de pseudo aminoácidos (PseAAC) hidro_mass fusarium_oxysporum_ds2</t>
  </si>
  <si>
    <t xml:space="preserve">Composición de pseudo aminoácidos (PseAAC) mass fusarium_oxysporum_ds2</t>
  </si>
  <si>
    <t xml:space="preserve">Deep learning archaea_ds2</t>
  </si>
  <si>
    <t xml:space="preserve">Modelo [8, 7, 6, 5, 4, 3, 2]</t>
  </si>
  <si>
    <t xml:space="preserve">índice</t>
  </si>
  <si>
    <t xml:space="preserve">AAC</t>
  </si>
  <si>
    <t xml:space="preserve">ACC_hidro</t>
  </si>
  <si>
    <t xml:space="preserve">ACC_mass</t>
  </si>
  <si>
    <t xml:space="preserve">PseAAC_hidro</t>
  </si>
  <si>
    <t xml:space="preserve">PseAAC_hidro_mass</t>
  </si>
  <si>
    <t xml:space="preserve">PseAAC_mass</t>
  </si>
  <si>
    <t xml:space="preserve">Modelo [8, 6, 4, 3, 2]</t>
  </si>
  <si>
    <t xml:space="preserve">Modelo [8, 6, 4, 3]</t>
  </si>
  <si>
    <t xml:space="preserve">Modelo  [8, 6, 4]</t>
  </si>
  <si>
    <t xml:space="preserve">Modelo  [8, 4]</t>
  </si>
  <si>
    <t xml:space="preserve">Modelo 1</t>
  </si>
  <si>
    <t xml:space="preserve">[8, 7, 6, 5, 4, 3, 2]</t>
  </si>
  <si>
    <t xml:space="preserve">Modelo 2</t>
  </si>
  <si>
    <t xml:space="preserve">[8, 6, 4, 3, 2]</t>
  </si>
  <si>
    <t xml:space="preserve">Modelo 3</t>
  </si>
  <si>
    <t xml:space="preserve">[8, 6, 4, 3]</t>
  </si>
  <si>
    <t xml:space="preserve">Modelo 4 </t>
  </si>
  <si>
    <t xml:space="preserve">[8, 6, 4]</t>
  </si>
  <si>
    <t xml:space="preserve">Modelo 5</t>
  </si>
  <si>
    <t xml:space="preserve">[8, 4]</t>
  </si>
  <si>
    <t xml:space="preserve">Modelo 4</t>
  </si>
  <si>
    <t xml:space="preserve">Promedio</t>
  </si>
  <si>
    <t xml:space="preserve">archaea_ds2</t>
  </si>
  <si>
    <t xml:space="preserve">Composición de pseudo aminoácidos (PseAAC)</t>
  </si>
  <si>
    <t xml:space="preserve">Comparativa</t>
  </si>
  <si>
    <t xml:space="preserve">Exact_KNN</t>
  </si>
  <si>
    <t xml:space="preserve">Pres_KNN</t>
  </si>
  <si>
    <t xml:space="preserve">Exact_SVM</t>
  </si>
  <si>
    <t xml:space="preserve">Pres_SVM</t>
  </si>
  <si>
    <t xml:space="preserve">Exact_Deep</t>
  </si>
  <si>
    <t xml:space="preserve">Pres_Deep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</si>
</sst>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.0000%"/>
    <numFmt numFmtId="167" formatCode="0.000"/>
    <numFmt numFmtId="168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i val="true"/>
      <sz val="10"/>
      <color rgb="FF44546A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2"/>
      <color rgb="FF3F3F76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99"/>
        <bgColor rgb="FFFFFF99"/>
      </patternFill>
    </fill>
    <fill>
      <patternFill patternType="solid">
        <fgColor rgb="FFC6EFCE"/>
        <bgColor rgb="FFDAE3F3"/>
      </patternFill>
    </fill>
    <fill>
      <patternFill patternType="solid">
        <fgColor rgb="FF70AD47"/>
        <bgColor rgb="FF548235"/>
      </patternFill>
    </fill>
    <fill>
      <patternFill patternType="solid">
        <fgColor rgb="FF4472C4"/>
        <bgColor rgb="FF44546A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6EFC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thin">
        <color rgb="FF7F7F7F"/>
      </left>
      <right/>
      <top/>
      <bottom/>
      <diagonal/>
    </border>
    <border diagonalUp="false" diagonalDown="false">
      <left/>
      <right/>
      <top style="medium">
        <color rgb="FF8EA9DB"/>
      </top>
      <bottom style="medium">
        <color rgb="FF8EA9DB"/>
      </bottom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3" borderId="2" applyFont="true" applyBorder="tru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  <cellStyle name="Excel Built-in Input" xfId="21"/>
    <cellStyle name="Excel Built-in Good" xfId="22"/>
    <cellStyle name="Excel Built-in Accent6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548235"/>
      <rgbColor rgb="FF800080"/>
      <rgbColor rgb="FF008080"/>
      <rgbColor rgb="FFB2B2B2"/>
      <rgbColor rgb="FF7F7F7F"/>
      <rgbColor rgb="FF8EA9DB"/>
      <rgbColor rgb="FF7030A0"/>
      <rgbColor rgb="FFFFFF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843C0B"/>
      <rgbColor rgb="FF9C5700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013" displayName="Tabla1013" ref="A25:G31" headerRowCount="1" totalsRowCount="0" totalsRowShown="0">
  <autoFilter ref="A25:G31"/>
  <tableColumns count="7">
    <tableColumn id="1" name="índice"/>
    <tableColumn id="2" name="Exact_KNN"/>
    <tableColumn id="3" name="Pres_KNN"/>
    <tableColumn id="4" name="Exact_SVM"/>
    <tableColumn id="5" name="Pres_SVM"/>
    <tableColumn id="6" name="Exact_Deep"/>
    <tableColumn id="7" name="Pres_Deep"/>
  </tableColumns>
</table>
</file>

<file path=xl/tables/table2.xml><?xml version="1.0" encoding="utf-8"?>
<table xmlns="http://schemas.openxmlformats.org/spreadsheetml/2006/main" id="2" name="Tabla1018" displayName="Tabla1018" ref="A65:G72" headerRowCount="1" totalsRowCount="0" totalsRowShown="0">
  <autoFilter ref="A65:G72"/>
  <tableColumns count="7">
    <tableColumn id="1" name="índice"/>
    <tableColumn id="2" name="Modelo 1"/>
    <tableColumn id="3" name="Modelo 2"/>
    <tableColumn id="4" name="Modelo 3"/>
    <tableColumn id="5" name="Modelo 4"/>
    <tableColumn id="6" name="Modelo 5"/>
    <tableColumn id="7" name="Promedio"/>
  </tableColumns>
</table>
</file>

<file path=xl/tables/table3.xml><?xml version="1.0" encoding="utf-8"?>
<table xmlns="http://schemas.openxmlformats.org/spreadsheetml/2006/main" id="3" name="Tabla11" displayName="Tabla11" ref="I65:O72" headerRowCount="1" totalsRowCount="0" totalsRowShown="0">
  <autoFilter ref="I65:O72"/>
  <tableColumns count="7">
    <tableColumn id="1" name="índice"/>
    <tableColumn id="2" name="Modelo 1"/>
    <tableColumn id="3" name="Modelo 2"/>
    <tableColumn id="4" name="Modelo 3"/>
    <tableColumn id="5" name="Modelo 4"/>
    <tableColumn id="6" name="Modelo 5"/>
    <tableColumn id="7" name="Promedio"/>
  </tableColumns>
</table>
</file>

<file path=xl/tables/table4.xml><?xml version="1.0" encoding="utf-8"?>
<table xmlns="http://schemas.openxmlformats.org/spreadsheetml/2006/main" id="4" name="Tabla3510813153" displayName="Tabla3510813153" ref="A9:T15" headerRowCount="1" totalsRowCount="0" totalsRowShown="0">
  <autoFilter ref="A9:T15"/>
  <tableColumns count="20">
    <tableColumn id="1" name="índice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5.xml><?xml version="1.0" encoding="utf-8"?>
<table xmlns="http://schemas.openxmlformats.org/spreadsheetml/2006/main" id="5" name="Tabla35108131532" displayName="Tabla35108131532" ref="A9:T18" headerRowCount="1" totalsRowCount="0" totalsRowShown="0">
  <autoFilter ref="A9:T18"/>
  <tableColumns count="20">
    <tableColumn id="1" name="KNN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6.xml><?xml version="1.0" encoding="utf-8"?>
<table xmlns="http://schemas.openxmlformats.org/spreadsheetml/2006/main" id="6" name="Tabla3510813153212" displayName="Tabla3510813153212" ref="A9:T18" headerRowCount="1" totalsRowCount="0" totalsRowShown="0">
  <autoFilter ref="A9:T18"/>
  <tableColumns count="20">
    <tableColumn id="1" name="KNN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7.xml><?xml version="1.0" encoding="utf-8"?>
<table xmlns="http://schemas.openxmlformats.org/spreadsheetml/2006/main" id="7" name="Tabla3510813153221" displayName="Tabla3510813153221" ref="A9:T18" headerRowCount="1" totalsRowCount="0" totalsRowShown="0">
  <autoFilter ref="A9:T18"/>
  <tableColumns count="20">
    <tableColumn id="1" name="KNN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8.xml><?xml version="1.0" encoding="utf-8"?>
<table xmlns="http://schemas.openxmlformats.org/spreadsheetml/2006/main" id="8" name="Tabla351081315325" displayName="Tabla351081315325" ref="A9:T18" headerRowCount="1" totalsRowCount="0" totalsRowShown="0">
  <autoFilter ref="A9:T18"/>
  <tableColumns count="20">
    <tableColumn id="1" name="KNN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9.xml><?xml version="1.0" encoding="utf-8"?>
<table xmlns="http://schemas.openxmlformats.org/spreadsheetml/2006/main" id="9" name="Tabla351081315327" displayName="Tabla351081315327" ref="A9:T18" headerRowCount="1" totalsRowCount="0" totalsRowShown="0">
  <autoFilter ref="A9:T18"/>
  <tableColumns count="20">
    <tableColumn id="1" name="KNN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10.xml><?xml version="1.0" encoding="utf-8"?>
<table xmlns="http://schemas.openxmlformats.org/spreadsheetml/2006/main" id="10" name="Tabla35108131534" displayName="Tabla35108131534" ref="A26:U40" headerRowCount="1" totalsRowCount="0" totalsRowShown="0">
  <autoFilter ref="A26:U40"/>
  <tableColumns count="21">
    <tableColumn id="1" name="costo"/>
    <tableColumn id="2" name="gama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efec"/>
    <tableColumn id="20" name="no_efe"/>
    <tableColumn id="21" name="total_sec"/>
  </tableColumns>
</table>
</file>

<file path=xl/tables/table11.xml><?xml version="1.0" encoding="utf-8"?>
<table xmlns="http://schemas.openxmlformats.org/spreadsheetml/2006/main" id="11" name="Tabla3510813153413" displayName="Tabla3510813153413" ref="A26:U40" headerRowCount="1" totalsRowCount="0" totalsRowShown="0">
  <autoFilter ref="A26:U40"/>
  <tableColumns count="21">
    <tableColumn id="1" name="costo"/>
    <tableColumn id="2" name="gama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N° efec"/>
    <tableColumn id="20" name="N° no_efe"/>
    <tableColumn id="21" name="total_sec"/>
  </tableColumns>
</table>
</file>

<file path=xl/tables/table12.xml><?xml version="1.0" encoding="utf-8"?>
<table xmlns="http://schemas.openxmlformats.org/spreadsheetml/2006/main" id="12" name="Tabla3510813153420" displayName="Tabla3510813153420" ref="A9:T18" headerRowCount="1" totalsRowCount="0" totalsRowShown="0">
  <autoFilter ref="A9:T18"/>
  <tableColumns count="20">
    <tableColumn id="1" name="KNN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13.xml><?xml version="1.0" encoding="utf-8"?>
<table xmlns="http://schemas.openxmlformats.org/spreadsheetml/2006/main" id="13" name="Tabla3510813153423" displayName="Tabla3510813153423" ref="A25:U39" headerRowCount="1" totalsRowCount="0" totalsRowShown="0">
  <autoFilter ref="A25:U39"/>
  <tableColumns count="21">
    <tableColumn id="1" name="costo"/>
    <tableColumn id="2" name="gama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efec"/>
    <tableColumn id="20" name="no_efe"/>
    <tableColumn id="21" name="total_sec"/>
  </tableColumns>
</table>
</file>

<file path=xl/tables/table14.xml><?xml version="1.0" encoding="utf-8"?>
<table xmlns="http://schemas.openxmlformats.org/spreadsheetml/2006/main" id="14" name="Tabla3510813153424" displayName="Tabla3510813153424" ref="A25:U39" headerRowCount="1" totalsRowCount="0" totalsRowShown="0">
  <autoFilter ref="A25:U39"/>
  <tableColumns count="21">
    <tableColumn id="1" name="costo"/>
    <tableColumn id="2" name="gama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efec"/>
    <tableColumn id="20" name="no_efe"/>
    <tableColumn id="21" name="total_sec"/>
  </tableColumns>
</table>
</file>

<file path=xl/tables/table15.xml><?xml version="1.0" encoding="utf-8"?>
<table xmlns="http://schemas.openxmlformats.org/spreadsheetml/2006/main" id="15" name="Tabla3510813153425" displayName="Tabla3510813153425" ref="A25:U39" headerRowCount="1" totalsRowCount="0" totalsRowShown="0">
  <autoFilter ref="A25:U39"/>
  <tableColumns count="21">
    <tableColumn id="1" name="costo"/>
    <tableColumn id="2" name="gama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efec"/>
    <tableColumn id="20" name="no_efe"/>
    <tableColumn id="21" name="total_sec"/>
  </tableColumns>
</table>
</file>

<file path=xl/tables/table16.xml><?xml version="1.0" encoding="utf-8"?>
<table xmlns="http://schemas.openxmlformats.org/spreadsheetml/2006/main" id="16" name="Tabla3510813153426" displayName="Tabla3510813153426" ref="A25:U39" headerRowCount="1" totalsRowCount="0" totalsRowShown="0">
  <autoFilter ref="A25:U39"/>
  <tableColumns count="21">
    <tableColumn id="1" name="costo"/>
    <tableColumn id="2" name="gama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efec"/>
    <tableColumn id="20" name="no_efe"/>
    <tableColumn id="21" name="total_sec"/>
  </tableColumns>
</table>
</file>

<file path=xl/tables/table17.xml><?xml version="1.0" encoding="utf-8"?>
<table xmlns="http://schemas.openxmlformats.org/spreadsheetml/2006/main" id="17" name="Tabla35108131536" displayName="Tabla35108131536" ref="A19:T25" headerRowCount="1" totalsRowCount="0" totalsRowShown="0">
  <autoFilter ref="A19:T25"/>
  <tableColumns count="20">
    <tableColumn id="1" name="índice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18.xml><?xml version="1.0" encoding="utf-8"?>
<table xmlns="http://schemas.openxmlformats.org/spreadsheetml/2006/main" id="18" name="Tabla3510813153610" displayName="Tabla3510813153610" ref="A49:T55" headerRowCount="1" totalsRowCount="0" totalsRowShown="0">
  <autoFilter ref="A49:T55"/>
  <tableColumns count="20">
    <tableColumn id="1" name="índice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19.xml><?xml version="1.0" encoding="utf-8"?>
<table xmlns="http://schemas.openxmlformats.org/spreadsheetml/2006/main" id="19" name="Tabla351081315361014" displayName="Tabla351081315361014" ref="A5:U11" headerRowCount="1" totalsRowCount="0" totalsRowShown="0">
  <autoFilter ref="A5:U11"/>
  <tableColumns count="21">
    <tableColumn id="1" name="índice"/>
    <tableColumn id="2" name="KNN"/>
    <tableColumn id="3" name="no_efec_cor"/>
    <tableColumn id="4" name="no_efec_inc"/>
    <tableColumn id="5" name="efec_cor"/>
    <tableColumn id="6" name="efect_inc"/>
    <tableColumn id="7" name="Correctos"/>
    <tableColumn id="8" name="Incorrectos"/>
    <tableColumn id="9" name="Exactitud"/>
    <tableColumn id="10" name="% efe_cor"/>
    <tableColumn id="11" name="% efe_inc"/>
    <tableColumn id="12" name="% no_efe_cor"/>
    <tableColumn id="13" name="% no_efect_inc"/>
    <tableColumn id="14" name="% corectos"/>
    <tableColumn id="15" name="% incorrectos"/>
    <tableColumn id="16" name="PNE"/>
    <tableColumn id="17" name="PE"/>
    <tableColumn id="18" name="Presición"/>
    <tableColumn id="19" name="efec"/>
    <tableColumn id="20" name="no_efe"/>
    <tableColumn id="21" name="total_sec"/>
  </tableColumns>
</table>
</file>

<file path=xl/tables/table20.xml><?xml version="1.0" encoding="utf-8"?>
<table xmlns="http://schemas.openxmlformats.org/spreadsheetml/2006/main" id="20" name="Tabla35108131536101415" displayName="Tabla35108131536101415" ref="A15:V21" headerRowCount="1" totalsRowCount="0" totalsRowShown="0">
  <autoFilter ref="A15:V21"/>
  <tableColumns count="22">
    <tableColumn id="1" name="índice"/>
    <tableColumn id="2" name="costo"/>
    <tableColumn id="3" name="gama"/>
    <tableColumn id="4" name="no_efec_cor"/>
    <tableColumn id="5" name="no_efec_inc"/>
    <tableColumn id="6" name="efec_cor"/>
    <tableColumn id="7" name="efect_inc"/>
    <tableColumn id="8" name="Correctos"/>
    <tableColumn id="9" name="Incorrectos"/>
    <tableColumn id="10" name="Exactitud"/>
    <tableColumn id="11" name="% efe_cor"/>
    <tableColumn id="12" name="% efe_inc"/>
    <tableColumn id="13" name="% no_efe_cor"/>
    <tableColumn id="14" name="% no_efect_inc"/>
    <tableColumn id="15" name="% corectos"/>
    <tableColumn id="16" name="% incorrectos"/>
    <tableColumn id="17" name="PNE"/>
    <tableColumn id="18" name="PE"/>
    <tableColumn id="19" name="Presición"/>
    <tableColumn id="20" name="efec"/>
    <tableColumn id="21" name="no_efe"/>
    <tableColumn id="22" name="total_sec"/>
  </tableColumns>
</table>
</file>

<file path=xl/tables/table21.xml><?xml version="1.0" encoding="utf-8"?>
<table xmlns="http://schemas.openxmlformats.org/spreadsheetml/2006/main" id="21" name="Tabla351081315368" displayName="Tabla351081315368" ref="A29:T35" headerRowCount="1" totalsRowCount="0" totalsRowShown="0">
  <autoFilter ref="A29:T35"/>
  <tableColumns count="20">
    <tableColumn id="1" name="índice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tables/table22.xml><?xml version="1.0" encoding="utf-8"?>
<table xmlns="http://schemas.openxmlformats.org/spreadsheetml/2006/main" id="22" name="Tabla351081315369" displayName="Tabla351081315369" ref="A39:T45" headerRowCount="1" totalsRowCount="0" totalsRowShown="0">
  <autoFilter ref="A39:T45"/>
  <tableColumns count="20">
    <tableColumn id="1" name="índice"/>
    <tableColumn id="2" name="no_efec_cor"/>
    <tableColumn id="3" name="no_efec_inc"/>
    <tableColumn id="4" name="efec_cor"/>
    <tableColumn id="5" name="efect_inc"/>
    <tableColumn id="6" name="Correctos"/>
    <tableColumn id="7" name="Incorrectos"/>
    <tableColumn id="8" name="Exactitud"/>
    <tableColumn id="9" name="% efe_cor"/>
    <tableColumn id="10" name="% efe_inc"/>
    <tableColumn id="11" name="% no_efe_cor"/>
    <tableColumn id="12" name="% no_efect_inc"/>
    <tableColumn id="13" name="% corectos"/>
    <tableColumn id="14" name="% incorrectos"/>
    <tableColumn id="15" name="PNE"/>
    <tableColumn id="16" name="PE"/>
    <tableColumn id="17" name="Presición"/>
    <tableColumn id="18" name="efec"/>
    <tableColumn id="19" name="no_efe"/>
    <tableColumn id="20" name="total_se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1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16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table" Target="../tables/table15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10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table" Target="../tables/table1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Relationship Id="rId4" Type="http://schemas.openxmlformats.org/officeDocument/2006/relationships/table" Target="../tables/table17.xml"/><Relationship Id="rId5" Type="http://schemas.openxmlformats.org/officeDocument/2006/relationships/table" Target="../tables/table18.xml"/><Relationship Id="rId6" Type="http://schemas.openxmlformats.org/officeDocument/2006/relationships/table" Target="../tables/table21.xml"/><Relationship Id="rId7" Type="http://schemas.openxmlformats.org/officeDocument/2006/relationships/table" Target="../tables/table2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19.xml"/><Relationship Id="rId3" Type="http://schemas.openxmlformats.org/officeDocument/2006/relationships/table" Target="../tables/table2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48235"/>
    <pageSetUpPr fitToPage="false"/>
  </sheetPr>
  <dimension ref="A1:U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ColWidth="10.54296875" defaultRowHeight="15" zeroHeight="false" outlineLevelRow="0" outlineLevelCol="0"/>
  <sheetData>
    <row r="1" customFormat="false" ht="19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customFormat="false" ht="15" hidden="false" customHeight="false" outlineLevel="0" collapsed="false">
      <c r="A4" s="3" t="s">
        <v>2</v>
      </c>
      <c r="B4" s="3"/>
      <c r="C4" s="4" t="n">
        <v>864</v>
      </c>
    </row>
    <row r="5" customFormat="false" ht="15" hidden="false" customHeight="false" outlineLevel="0" collapsed="false">
      <c r="A5" s="3" t="s">
        <v>3</v>
      </c>
      <c r="B5" s="3"/>
      <c r="C5" s="4" t="n">
        <v>844</v>
      </c>
    </row>
    <row r="6" customFormat="false" ht="15" hidden="false" customHeight="false" outlineLevel="0" collapsed="false">
      <c r="A6" s="3" t="s">
        <v>4</v>
      </c>
      <c r="B6" s="3"/>
      <c r="C6" s="4" t="n">
        <f aca="false">SUM(C4:C5)</f>
        <v>1708</v>
      </c>
    </row>
    <row r="8" customFormat="false" ht="15.75" hidden="false" customHeight="false" outlineLevel="0" collapsed="false">
      <c r="A8" s="5" t="s">
        <v>5</v>
      </c>
      <c r="B8" s="5"/>
      <c r="C8" s="5"/>
      <c r="D8" s="5"/>
      <c r="E8" s="5"/>
      <c r="F8" s="5"/>
      <c r="G8" s="5"/>
      <c r="H8" s="5"/>
      <c r="I8" s="5"/>
      <c r="J8" s="6"/>
      <c r="K8" s="6"/>
    </row>
    <row r="9" customFormat="false" ht="15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n">
        <v>1</v>
      </c>
      <c r="B10" s="0" t="n">
        <v>412</v>
      </c>
      <c r="C10" s="0" t="n">
        <v>432</v>
      </c>
      <c r="D10" s="0" t="n">
        <v>442</v>
      </c>
      <c r="E10" s="0" t="n">
        <v>422</v>
      </c>
      <c r="F10" s="0" t="n">
        <f aca="false">Tabla3510813153212[[#This Row],[no_efec_cor]]+Tabla3510813153212[[#This Row],[efec_cor]]</f>
        <v>854</v>
      </c>
      <c r="G10" s="0" t="n">
        <f aca="false">Tabla3510813153212[[#This Row],[no_efec_inc]]+Tabla3510813153212[[#This Row],[efect_inc]]</f>
        <v>854</v>
      </c>
      <c r="H10" s="9" t="n">
        <f aca="false">Tabla3510813153212[[#This Row],[Correctos]]/Tabla3510813153212[[#This Row],[total_sec]]</f>
        <v>0.5</v>
      </c>
      <c r="I10" s="9" t="n">
        <f aca="false">Tabla3510813153212[[#This Row],[efec_cor]]/Tabla3510813153212[[#This Row],[efec]]</f>
        <v>0.511574074074074</v>
      </c>
      <c r="J10" s="9" t="n">
        <f aca="false">Tabla3510813153212[[#This Row],[efect_inc]]/Tabla3510813153212[[#This Row],[efec]]</f>
        <v>0.488425925925926</v>
      </c>
      <c r="K10" s="9" t="n">
        <f aca="false">Tabla3510813153212[[#This Row],[no_efec_cor]]/Tabla3510813153212[[#This Row],[no_efe]]</f>
        <v>0.488151658767773</v>
      </c>
      <c r="L10" s="9" t="n">
        <f aca="false">Tabla3510813153212[[#This Row],[no_efec_inc]]/Tabla3510813153212[[#This Row],[no_efe]]</f>
        <v>0.511848341232227</v>
      </c>
      <c r="M10" s="9" t="n">
        <f aca="false">(Tabla3510813153212[[#This Row],[% efe_cor]]+Tabla3510813153212[[#This Row],[% no_efe_cor]])/2</f>
        <v>0.499862866420923</v>
      </c>
      <c r="N10" s="10" t="n">
        <f aca="false">(Tabla3510813153212[[#This Row],[% efe_inc]]+Tabla3510813153212[[#This Row],[% no_efect_inc]])/2</f>
        <v>0.500137133579077</v>
      </c>
      <c r="O10" s="11" t="n">
        <f aca="false">Tabla3510813153212[[#This Row],[no_efec_cor]]/(Tabla3510813153212[[#This Row],[efect_inc]]+Tabla3510813153212[[#This Row],[no_efec_cor]])</f>
        <v>0.49400479616307</v>
      </c>
      <c r="P10" s="11" t="n">
        <f aca="false">Tabla3510813153212[[#This Row],[efec_cor]]/(Tabla3510813153212[[#This Row],[efec_cor]]+Tabla3510813153212[[#This Row],[no_efec_inc]])</f>
        <v>0.505720823798627</v>
      </c>
      <c r="Q10" s="11" t="n">
        <f aca="false">(Tabla3510813153212[[#This Row],[PNE]]+Tabla3510813153212[[#This Row],[PE]])/2</f>
        <v>0.499862809980848</v>
      </c>
      <c r="R10" s="0" t="n">
        <v>864</v>
      </c>
      <c r="S10" s="0" t="n">
        <v>844</v>
      </c>
      <c r="T10" s="0" t="n">
        <f aca="false">Tabla3510813153212[[#This Row],[efec]]+Tabla3510813153212[[#This Row],[no_efe]]</f>
        <v>1708</v>
      </c>
    </row>
    <row r="11" customFormat="false" ht="13.8" hidden="false" customHeight="false" outlineLevel="0" collapsed="false">
      <c r="A11" s="0" t="n">
        <v>5</v>
      </c>
      <c r="B11" s="0" t="n">
        <v>439</v>
      </c>
      <c r="C11" s="0" t="n">
        <v>405</v>
      </c>
      <c r="D11" s="0" t="n">
        <v>453</v>
      </c>
      <c r="E11" s="0" t="n">
        <v>411</v>
      </c>
      <c r="F11" s="0" t="n">
        <f aca="false">Tabla3510813153212[[#This Row],[no_efec_cor]]+Tabla3510813153212[[#This Row],[efec_cor]]</f>
        <v>892</v>
      </c>
      <c r="G11" s="0" t="n">
        <f aca="false">Tabla3510813153212[[#This Row],[no_efec_inc]]+Tabla3510813153212[[#This Row],[efect_inc]]</f>
        <v>816</v>
      </c>
      <c r="H11" s="9" t="n">
        <f aca="false">Tabla3510813153212[[#This Row],[Correctos]]/Tabla3510813153212[[#This Row],[total_sec]]</f>
        <v>0.522248243559719</v>
      </c>
      <c r="I11" s="9" t="n">
        <f aca="false">Tabla3510813153212[[#This Row],[efec_cor]]/Tabla3510813153212[[#This Row],[efec]]</f>
        <v>0.524305555555556</v>
      </c>
      <c r="J11" s="9" t="n">
        <f aca="false">Tabla3510813153212[[#This Row],[efect_inc]]/Tabla3510813153212[[#This Row],[efec]]</f>
        <v>0.475694444444444</v>
      </c>
      <c r="K11" s="9" t="n">
        <f aca="false">Tabla3510813153212[[#This Row],[no_efec_cor]]/Tabla3510813153212[[#This Row],[no_efe]]</f>
        <v>0.520142180094787</v>
      </c>
      <c r="L11" s="9" t="n">
        <f aca="false">Tabla3510813153212[[#This Row],[no_efec_inc]]/Tabla3510813153212[[#This Row],[no_efe]]</f>
        <v>0.479857819905213</v>
      </c>
      <c r="M11" s="9" t="n">
        <f aca="false">(Tabla3510813153212[[#This Row],[% efe_cor]]+Tabla3510813153212[[#This Row],[% no_efe_cor]])/2</f>
        <v>0.522223867825171</v>
      </c>
      <c r="N11" s="10" t="n">
        <f aca="false">(Tabla3510813153212[[#This Row],[% efe_inc]]+Tabla3510813153212[[#This Row],[% no_efect_inc]])/2</f>
        <v>0.477776132174829</v>
      </c>
      <c r="O11" s="11" t="n">
        <f aca="false">Tabla3510813153212[[#This Row],[no_efec_cor]]/(Tabla3510813153212[[#This Row],[efect_inc]]+Tabla3510813153212[[#This Row],[no_efec_cor]])</f>
        <v>0.516470588235294</v>
      </c>
      <c r="P11" s="11" t="n">
        <f aca="false">Tabla3510813153212[[#This Row],[efec_cor]]/(Tabla3510813153212[[#This Row],[efec_cor]]+Tabla3510813153212[[#This Row],[no_efec_inc]])</f>
        <v>0.527972027972028</v>
      </c>
      <c r="Q11" s="11" t="n">
        <f aca="false">(Tabla3510813153212[[#This Row],[PNE]]+Tabla3510813153212[[#This Row],[PE]])/2</f>
        <v>0.522221308103661</v>
      </c>
      <c r="R11" s="0" t="n">
        <v>864</v>
      </c>
      <c r="S11" s="0" t="n">
        <v>844</v>
      </c>
      <c r="T11" s="0" t="n">
        <f aca="false">Tabla3510813153212[[#This Row],[efec]]+Tabla3510813153212[[#This Row],[no_efe]]</f>
        <v>1708</v>
      </c>
    </row>
    <row r="12" customFormat="false" ht="13.8" hidden="false" customHeight="false" outlineLevel="0" collapsed="false">
      <c r="A12" s="0" t="n">
        <v>10</v>
      </c>
      <c r="B12" s="0" t="n">
        <v>339</v>
      </c>
      <c r="C12" s="0" t="n">
        <v>505</v>
      </c>
      <c r="D12" s="0" t="n">
        <v>537</v>
      </c>
      <c r="E12" s="0" t="n">
        <v>327</v>
      </c>
      <c r="F12" s="0" t="n">
        <f aca="false">Tabla3510813153212[[#This Row],[no_efec_cor]]+Tabla3510813153212[[#This Row],[efec_cor]]</f>
        <v>876</v>
      </c>
      <c r="G12" s="0" t="n">
        <f aca="false">Tabla3510813153212[[#This Row],[no_efec_inc]]+Tabla3510813153212[[#This Row],[efect_inc]]</f>
        <v>832</v>
      </c>
      <c r="H12" s="9" t="n">
        <f aca="false">Tabla3510813153212[[#This Row],[Correctos]]/Tabla3510813153212[[#This Row],[total_sec]]</f>
        <v>0.51288056206089</v>
      </c>
      <c r="I12" s="9" t="n">
        <f aca="false">Tabla3510813153212[[#This Row],[efec_cor]]/Tabla3510813153212[[#This Row],[efec]]</f>
        <v>0.621527777777778</v>
      </c>
      <c r="J12" s="9" t="n">
        <f aca="false">Tabla3510813153212[[#This Row],[efect_inc]]/Tabla3510813153212[[#This Row],[efec]]</f>
        <v>0.378472222222222</v>
      </c>
      <c r="K12" s="9" t="n">
        <f aca="false">Tabla3510813153212[[#This Row],[no_efec_cor]]/Tabla3510813153212[[#This Row],[no_efe]]</f>
        <v>0.401658767772512</v>
      </c>
      <c r="L12" s="9" t="n">
        <f aca="false">Tabla3510813153212[[#This Row],[no_efec_inc]]/Tabla3510813153212[[#This Row],[no_efe]]</f>
        <v>0.598341232227488</v>
      </c>
      <c r="M12" s="9" t="n">
        <f aca="false">(Tabla3510813153212[[#This Row],[% efe_cor]]+Tabla3510813153212[[#This Row],[% no_efe_cor]])/2</f>
        <v>0.511593272775145</v>
      </c>
      <c r="N12" s="10" t="n">
        <f aca="false">(Tabla3510813153212[[#This Row],[% efe_inc]]+Tabla3510813153212[[#This Row],[% no_efect_inc]])/2</f>
        <v>0.488406727224855</v>
      </c>
      <c r="O12" s="11" t="n">
        <f aca="false">Tabla3510813153212[[#This Row],[no_efec_cor]]/(Tabla3510813153212[[#This Row],[efect_inc]]+Tabla3510813153212[[#This Row],[no_efec_cor]])</f>
        <v>0.509009009009009</v>
      </c>
      <c r="P12" s="11" t="n">
        <f aca="false">Tabla3510813153212[[#This Row],[efec_cor]]/(Tabla3510813153212[[#This Row],[efec_cor]]+Tabla3510813153212[[#This Row],[no_efec_inc]])</f>
        <v>0.515355086372361</v>
      </c>
      <c r="Q12" s="11" t="n">
        <f aca="false">(Tabla3510813153212[[#This Row],[PNE]]+Tabla3510813153212[[#This Row],[PE]])/2</f>
        <v>0.512182047690685</v>
      </c>
      <c r="R12" s="0" t="n">
        <v>864</v>
      </c>
      <c r="S12" s="0" t="n">
        <v>844</v>
      </c>
      <c r="T12" s="0" t="n">
        <f aca="false">Tabla3510813153212[[#This Row],[efec]]+Tabla3510813153212[[#This Row],[no_efe]]</f>
        <v>1708</v>
      </c>
    </row>
    <row r="13" customFormat="false" ht="13.8" hidden="false" customHeight="false" outlineLevel="0" collapsed="false">
      <c r="A13" s="0" t="n">
        <v>15</v>
      </c>
      <c r="B13" s="0" t="n">
        <v>467</v>
      </c>
      <c r="C13" s="0" t="n">
        <v>377</v>
      </c>
      <c r="D13" s="0" t="n">
        <v>443</v>
      </c>
      <c r="E13" s="0" t="n">
        <v>421</v>
      </c>
      <c r="F13" s="0" t="n">
        <f aca="false">Tabla3510813153212[[#This Row],[no_efec_cor]]+Tabla3510813153212[[#This Row],[efec_cor]]</f>
        <v>910</v>
      </c>
      <c r="G13" s="0" t="n">
        <f aca="false">Tabla3510813153212[[#This Row],[no_efec_inc]]+Tabla3510813153212[[#This Row],[efect_inc]]</f>
        <v>798</v>
      </c>
      <c r="H13" s="9" t="n">
        <f aca="false">Tabla3510813153212[[#This Row],[Correctos]]/Tabla3510813153212[[#This Row],[total_sec]]</f>
        <v>0.532786885245902</v>
      </c>
      <c r="I13" s="9" t="n">
        <f aca="false">Tabla3510813153212[[#This Row],[efec_cor]]/Tabla3510813153212[[#This Row],[efec]]</f>
        <v>0.512731481481482</v>
      </c>
      <c r="J13" s="9" t="n">
        <f aca="false">Tabla3510813153212[[#This Row],[efect_inc]]/Tabla3510813153212[[#This Row],[efec]]</f>
        <v>0.487268518518519</v>
      </c>
      <c r="K13" s="9" t="n">
        <f aca="false">Tabla3510813153212[[#This Row],[no_efec_cor]]/Tabla3510813153212[[#This Row],[no_efe]]</f>
        <v>0.553317535545024</v>
      </c>
      <c r="L13" s="9" t="n">
        <f aca="false">Tabla3510813153212[[#This Row],[no_efec_inc]]/Tabla3510813153212[[#This Row],[no_efe]]</f>
        <v>0.446682464454976</v>
      </c>
      <c r="M13" s="9" t="n">
        <f aca="false">(Tabla3510813153212[[#This Row],[% efe_cor]]+Tabla3510813153212[[#This Row],[% no_efe_cor]])/2</f>
        <v>0.533024508513253</v>
      </c>
      <c r="N13" s="10" t="n">
        <f aca="false">(Tabla3510813153212[[#This Row],[% efe_inc]]+Tabla3510813153212[[#This Row],[% no_efect_inc]])/2</f>
        <v>0.466975491486747</v>
      </c>
      <c r="O13" s="11" t="n">
        <f aca="false">Tabla3510813153212[[#This Row],[no_efec_cor]]/(Tabla3510813153212[[#This Row],[efect_inc]]+Tabla3510813153212[[#This Row],[no_efec_cor]])</f>
        <v>0.525900900900901</v>
      </c>
      <c r="P13" s="11" t="n">
        <f aca="false">Tabla3510813153212[[#This Row],[efec_cor]]/(Tabla3510813153212[[#This Row],[efec_cor]]+Tabla3510813153212[[#This Row],[no_efec_inc]])</f>
        <v>0.540243902439024</v>
      </c>
      <c r="Q13" s="11" t="n">
        <f aca="false">(Tabla3510813153212[[#This Row],[PNE]]+Tabla3510813153212[[#This Row],[PE]])/2</f>
        <v>0.533072401669963</v>
      </c>
      <c r="R13" s="0" t="n">
        <v>864</v>
      </c>
      <c r="S13" s="0" t="n">
        <v>844</v>
      </c>
      <c r="T13" s="0" t="n">
        <f aca="false">Tabla3510813153212[[#This Row],[efec]]+Tabla3510813153212[[#This Row],[no_efe]]</f>
        <v>1708</v>
      </c>
    </row>
    <row r="14" customFormat="false" ht="13.8" hidden="false" customHeight="false" outlineLevel="0" collapsed="false">
      <c r="A14" s="0" t="n">
        <v>20</v>
      </c>
      <c r="B14" s="0" t="n">
        <v>364</v>
      </c>
      <c r="C14" s="0" t="n">
        <v>480</v>
      </c>
      <c r="D14" s="0" t="n">
        <v>520</v>
      </c>
      <c r="E14" s="0" t="n">
        <v>344</v>
      </c>
      <c r="F14" s="0" t="n">
        <f aca="false">Tabla3510813153212[[#This Row],[no_efec_cor]]+Tabla3510813153212[[#This Row],[efec_cor]]</f>
        <v>884</v>
      </c>
      <c r="G14" s="0" t="n">
        <f aca="false">Tabla3510813153212[[#This Row],[no_efec_inc]]+Tabla3510813153212[[#This Row],[efect_inc]]</f>
        <v>824</v>
      </c>
      <c r="H14" s="9" t="n">
        <f aca="false">Tabla3510813153212[[#This Row],[Correctos]]/Tabla3510813153212[[#This Row],[total_sec]]</f>
        <v>0.517564402810304</v>
      </c>
      <c r="I14" s="9" t="n">
        <f aca="false">Tabla3510813153212[[#This Row],[efec_cor]]/Tabla3510813153212[[#This Row],[efec]]</f>
        <v>0.601851851851852</v>
      </c>
      <c r="J14" s="9" t="n">
        <f aca="false">Tabla3510813153212[[#This Row],[efect_inc]]/Tabla3510813153212[[#This Row],[efec]]</f>
        <v>0.398148148148148</v>
      </c>
      <c r="K14" s="9" t="n">
        <f aca="false">Tabla3510813153212[[#This Row],[no_efec_cor]]/Tabla3510813153212[[#This Row],[no_efe]]</f>
        <v>0.431279620853081</v>
      </c>
      <c r="L14" s="9" t="n">
        <f aca="false">Tabla3510813153212[[#This Row],[no_efec_inc]]/Tabla3510813153212[[#This Row],[no_efe]]</f>
        <v>0.568720379146919</v>
      </c>
      <c r="M14" s="9" t="n">
        <f aca="false">(Tabla3510813153212[[#This Row],[% efe_cor]]+Tabla3510813153212[[#This Row],[% no_efe_cor]])/2</f>
        <v>0.516565736352466</v>
      </c>
      <c r="N14" s="10" t="n">
        <f aca="false">(Tabla3510813153212[[#This Row],[% efe_inc]]+Tabla3510813153212[[#This Row],[% no_efect_inc]])/2</f>
        <v>0.483434263647534</v>
      </c>
      <c r="O14" s="11" t="n">
        <f aca="false">Tabla3510813153212[[#This Row],[no_efec_cor]]/(Tabla3510813153212[[#This Row],[efect_inc]]+Tabla3510813153212[[#This Row],[no_efec_cor]])</f>
        <v>0.514124293785311</v>
      </c>
      <c r="P14" s="11" t="n">
        <f aca="false">Tabla3510813153212[[#This Row],[efec_cor]]/(Tabla3510813153212[[#This Row],[efec_cor]]+Tabla3510813153212[[#This Row],[no_efec_inc]])</f>
        <v>0.52</v>
      </c>
      <c r="Q14" s="11" t="n">
        <f aca="false">(Tabla3510813153212[[#This Row],[PNE]]+Tabla3510813153212[[#This Row],[PE]])/2</f>
        <v>0.517062146892655</v>
      </c>
      <c r="R14" s="0" t="n">
        <v>864</v>
      </c>
      <c r="S14" s="0" t="n">
        <v>844</v>
      </c>
      <c r="T14" s="0" t="n">
        <f aca="false">Tabla3510813153212[[#This Row],[efec]]+Tabla3510813153212[[#This Row],[no_efe]]</f>
        <v>1708</v>
      </c>
    </row>
    <row r="15" customFormat="false" ht="13.8" hidden="false" customHeight="false" outlineLevel="0" collapsed="false">
      <c r="A15" s="0" t="n">
        <v>25</v>
      </c>
      <c r="B15" s="0" t="n">
        <v>437</v>
      </c>
      <c r="C15" s="0" t="n">
        <v>407</v>
      </c>
      <c r="D15" s="0" t="n">
        <v>459</v>
      </c>
      <c r="E15" s="0" t="n">
        <v>405</v>
      </c>
      <c r="F15" s="0" t="n">
        <f aca="false">Tabla3510813153212[[#This Row],[no_efec_cor]]+Tabla3510813153212[[#This Row],[efec_cor]]</f>
        <v>896</v>
      </c>
      <c r="G15" s="0" t="n">
        <f aca="false">Tabla3510813153212[[#This Row],[no_efec_inc]]+Tabla3510813153212[[#This Row],[efect_inc]]</f>
        <v>812</v>
      </c>
      <c r="H15" s="9" t="n">
        <f aca="false">Tabla3510813153212[[#This Row],[Correctos]]/Tabla3510813153212[[#This Row],[total_sec]]</f>
        <v>0.524590163934426</v>
      </c>
      <c r="I15" s="9" t="n">
        <f aca="false">Tabla3510813153212[[#This Row],[efec_cor]]/Tabla3510813153212[[#This Row],[efec]]</f>
        <v>0.53125</v>
      </c>
      <c r="J15" s="9" t="n">
        <f aca="false">Tabla3510813153212[[#This Row],[efect_inc]]/Tabla3510813153212[[#This Row],[efec]]</f>
        <v>0.46875</v>
      </c>
      <c r="K15" s="9" t="n">
        <f aca="false">Tabla3510813153212[[#This Row],[no_efec_cor]]/Tabla3510813153212[[#This Row],[no_efe]]</f>
        <v>0.517772511848341</v>
      </c>
      <c r="L15" s="9" t="n">
        <f aca="false">Tabla3510813153212[[#This Row],[no_efec_inc]]/Tabla3510813153212[[#This Row],[no_efe]]</f>
        <v>0.482227488151659</v>
      </c>
      <c r="M15" s="9" t="n">
        <f aca="false">(Tabla3510813153212[[#This Row],[% efe_cor]]+Tabla3510813153212[[#This Row],[% no_efe_cor]])/2</f>
        <v>0.524511255924171</v>
      </c>
      <c r="N15" s="10" t="n">
        <f aca="false">(Tabla3510813153212[[#This Row],[% efe_inc]]+Tabla3510813153212[[#This Row],[% no_efect_inc]])/2</f>
        <v>0.475488744075829</v>
      </c>
      <c r="O15" s="11" t="n">
        <f aca="false">Tabla3510813153212[[#This Row],[no_efec_cor]]/(Tabla3510813153212[[#This Row],[efect_inc]]+Tabla3510813153212[[#This Row],[no_efec_cor]])</f>
        <v>0.519002375296912</v>
      </c>
      <c r="P15" s="11" t="n">
        <f aca="false">Tabla3510813153212[[#This Row],[efec_cor]]/(Tabla3510813153212[[#This Row],[efec_cor]]+Tabla3510813153212[[#This Row],[no_efec_inc]])</f>
        <v>0.530023094688222</v>
      </c>
      <c r="Q15" s="11" t="n">
        <f aca="false">(Tabla3510813153212[[#This Row],[PNE]]+Tabla3510813153212[[#This Row],[PE]])/2</f>
        <v>0.524512734992567</v>
      </c>
      <c r="R15" s="0" t="n">
        <v>864</v>
      </c>
      <c r="S15" s="0" t="n">
        <v>844</v>
      </c>
      <c r="T15" s="0" t="n">
        <f aca="false">Tabla3510813153212[[#This Row],[efec]]+Tabla3510813153212[[#This Row],[no_efe]]</f>
        <v>1708</v>
      </c>
    </row>
    <row r="16" customFormat="false" ht="13.8" hidden="false" customHeight="false" outlineLevel="0" collapsed="false">
      <c r="A16" s="0" t="n">
        <v>30</v>
      </c>
      <c r="B16" s="0" t="n">
        <v>388</v>
      </c>
      <c r="C16" s="0" t="n">
        <v>456</v>
      </c>
      <c r="D16" s="0" t="n">
        <v>515</v>
      </c>
      <c r="E16" s="0" t="n">
        <v>349</v>
      </c>
      <c r="F16" s="0" t="n">
        <f aca="false">Tabla3510813153212[[#This Row],[no_efec_cor]]+Tabla3510813153212[[#This Row],[efec_cor]]</f>
        <v>903</v>
      </c>
      <c r="G16" s="0" t="n">
        <f aca="false">Tabla3510813153212[[#This Row],[no_efec_inc]]+Tabla3510813153212[[#This Row],[efect_inc]]</f>
        <v>805</v>
      </c>
      <c r="H16" s="9" t="n">
        <f aca="false">Tabla3510813153212[[#This Row],[Correctos]]/Tabla3510813153212[[#This Row],[total_sec]]</f>
        <v>0.528688524590164</v>
      </c>
      <c r="I16" s="9" t="n">
        <f aca="false">Tabla3510813153212[[#This Row],[efec_cor]]/Tabla3510813153212[[#This Row],[efec]]</f>
        <v>0.596064814814815</v>
      </c>
      <c r="J16" s="9" t="n">
        <f aca="false">Tabla3510813153212[[#This Row],[efect_inc]]/Tabla3510813153212[[#This Row],[efec]]</f>
        <v>0.403935185185185</v>
      </c>
      <c r="K16" s="9" t="n">
        <f aca="false">Tabla3510813153212[[#This Row],[no_efec_cor]]/Tabla3510813153212[[#This Row],[no_efe]]</f>
        <v>0.459715639810427</v>
      </c>
      <c r="L16" s="9" t="n">
        <f aca="false">Tabla3510813153212[[#This Row],[no_efec_inc]]/Tabla3510813153212[[#This Row],[no_efe]]</f>
        <v>0.540284360189574</v>
      </c>
      <c r="M16" s="9" t="n">
        <f aca="false">(Tabla3510813153212[[#This Row],[% efe_cor]]+Tabla3510813153212[[#This Row],[% no_efe_cor]])/2</f>
        <v>0.527890227312621</v>
      </c>
      <c r="N16" s="10" t="n">
        <f aca="false">(Tabla3510813153212[[#This Row],[% efe_inc]]+Tabla3510813153212[[#This Row],[% no_efect_inc]])/2</f>
        <v>0.472109772687379</v>
      </c>
      <c r="O16" s="11" t="n">
        <f aca="false">Tabla3510813153212[[#This Row],[no_efec_cor]]/(Tabla3510813153212[[#This Row],[efect_inc]]+Tabla3510813153212[[#This Row],[no_efec_cor]])</f>
        <v>0.526458616010855</v>
      </c>
      <c r="P16" s="11" t="n">
        <f aca="false">Tabla3510813153212[[#This Row],[efec_cor]]/(Tabla3510813153212[[#This Row],[efec_cor]]+Tabla3510813153212[[#This Row],[no_efec_inc]])</f>
        <v>0.53038105046344</v>
      </c>
      <c r="Q16" s="11" t="n">
        <f aca="false">(Tabla3510813153212[[#This Row],[PNE]]+Tabla3510813153212[[#This Row],[PE]])/2</f>
        <v>0.528419833237147</v>
      </c>
      <c r="R16" s="0" t="n">
        <v>864</v>
      </c>
      <c r="S16" s="0" t="n">
        <v>844</v>
      </c>
      <c r="T16" s="0" t="n">
        <f aca="false">Tabla3510813153212[[#This Row],[efec]]+Tabla3510813153212[[#This Row],[no_efe]]</f>
        <v>1708</v>
      </c>
    </row>
    <row r="17" customFormat="false" ht="13.8" hidden="false" customHeight="false" outlineLevel="0" collapsed="false">
      <c r="A17" s="0" t="n">
        <v>35</v>
      </c>
      <c r="B17" s="0" t="n">
        <v>451</v>
      </c>
      <c r="C17" s="0" t="n">
        <v>393</v>
      </c>
      <c r="D17" s="0" t="n">
        <v>463</v>
      </c>
      <c r="E17" s="0" t="n">
        <v>401</v>
      </c>
      <c r="F17" s="0" t="n">
        <f aca="false">Tabla3510813153212[[#This Row],[no_efec_cor]]+Tabla3510813153212[[#This Row],[efec_cor]]</f>
        <v>914</v>
      </c>
      <c r="G17" s="0" t="n">
        <f aca="false">Tabla3510813153212[[#This Row],[no_efec_inc]]+Tabla3510813153212[[#This Row],[efect_inc]]</f>
        <v>794</v>
      </c>
      <c r="H17" s="9" t="n">
        <f aca="false">Tabla3510813153212[[#This Row],[Correctos]]/Tabla3510813153212[[#This Row],[total_sec]]</f>
        <v>0.535128805620609</v>
      </c>
      <c r="I17" s="9" t="n">
        <f aca="false">Tabla3510813153212[[#This Row],[efec_cor]]/Tabla3510813153212[[#This Row],[efec]]</f>
        <v>0.53587962962963</v>
      </c>
      <c r="J17" s="9" t="n">
        <f aca="false">Tabla3510813153212[[#This Row],[efect_inc]]/Tabla3510813153212[[#This Row],[efec]]</f>
        <v>0.46412037037037</v>
      </c>
      <c r="K17" s="9" t="n">
        <f aca="false">Tabla3510813153212[[#This Row],[no_efec_cor]]/Tabla3510813153212[[#This Row],[no_efe]]</f>
        <v>0.53436018957346</v>
      </c>
      <c r="L17" s="9" t="n">
        <f aca="false">Tabla3510813153212[[#This Row],[no_efec_inc]]/Tabla3510813153212[[#This Row],[no_efe]]</f>
        <v>0.46563981042654</v>
      </c>
      <c r="M17" s="9" t="n">
        <f aca="false">(Tabla3510813153212[[#This Row],[% efe_cor]]+Tabla3510813153212[[#This Row],[% no_efe_cor]])/2</f>
        <v>0.535119909601545</v>
      </c>
      <c r="N17" s="10" t="n">
        <f aca="false">(Tabla3510813153212[[#This Row],[% efe_inc]]+Tabla3510813153212[[#This Row],[% no_efect_inc]])/2</f>
        <v>0.464880090398455</v>
      </c>
      <c r="O17" s="11" t="n">
        <f aca="false">Tabla3510813153212[[#This Row],[no_efec_cor]]/(Tabla3510813153212[[#This Row],[efect_inc]]+Tabla3510813153212[[#This Row],[no_efec_cor]])</f>
        <v>0.529342723004695</v>
      </c>
      <c r="P17" s="11" t="n">
        <f aca="false">Tabla3510813153212[[#This Row],[efec_cor]]/(Tabla3510813153212[[#This Row],[efec_cor]]+Tabla3510813153212[[#This Row],[no_efec_inc]])</f>
        <v>0.54088785046729</v>
      </c>
      <c r="Q17" s="11" t="n">
        <f aca="false">(Tabla3510813153212[[#This Row],[PNE]]+Tabla3510813153212[[#This Row],[PE]])/2</f>
        <v>0.535115286735992</v>
      </c>
      <c r="R17" s="0" t="n">
        <v>864</v>
      </c>
      <c r="S17" s="0" t="n">
        <v>844</v>
      </c>
      <c r="T17" s="0" t="n">
        <f aca="false">Tabla3510813153212[[#This Row],[efec]]+Tabla3510813153212[[#This Row],[no_efe]]</f>
        <v>1708</v>
      </c>
    </row>
    <row r="18" customFormat="false" ht="13.8" hidden="false" customHeight="false" outlineLevel="0" collapsed="false">
      <c r="A18" s="0" t="n">
        <v>39</v>
      </c>
      <c r="B18" s="0" t="n">
        <v>455</v>
      </c>
      <c r="C18" s="0" t="n">
        <v>389</v>
      </c>
      <c r="D18" s="0" t="n">
        <v>462</v>
      </c>
      <c r="E18" s="0" t="n">
        <v>402</v>
      </c>
      <c r="F18" s="0" t="n">
        <f aca="false">Tabla3510813153212[[#This Row],[no_efec_cor]]+Tabla3510813153212[[#This Row],[efec_cor]]</f>
        <v>917</v>
      </c>
      <c r="G18" s="0" t="n">
        <f aca="false">Tabla3510813153212[[#This Row],[no_efec_inc]]+Tabla3510813153212[[#This Row],[efect_inc]]</f>
        <v>791</v>
      </c>
      <c r="H18" s="9" t="n">
        <f aca="false">Tabla3510813153212[[#This Row],[Correctos]]/Tabla3510813153212[[#This Row],[total_sec]]</f>
        <v>0.536885245901639</v>
      </c>
      <c r="I18" s="9" t="n">
        <f aca="false">Tabla3510813153212[[#This Row],[efec_cor]]/Tabla3510813153212[[#This Row],[efec]]</f>
        <v>0.534722222222222</v>
      </c>
      <c r="J18" s="9" t="n">
        <f aca="false">Tabla3510813153212[[#This Row],[efect_inc]]/Tabla3510813153212[[#This Row],[efec]]</f>
        <v>0.465277777777778</v>
      </c>
      <c r="K18" s="9" t="n">
        <f aca="false">Tabla3510813153212[[#This Row],[no_efec_cor]]/Tabla3510813153212[[#This Row],[no_efe]]</f>
        <v>0.539099526066351</v>
      </c>
      <c r="L18" s="9" t="n">
        <f aca="false">Tabla3510813153212[[#This Row],[no_efec_inc]]/Tabla3510813153212[[#This Row],[no_efe]]</f>
        <v>0.460900473933649</v>
      </c>
      <c r="M18" s="9" t="n">
        <f aca="false">(Tabla3510813153212[[#This Row],[% efe_cor]]+Tabla3510813153212[[#This Row],[% no_efe_cor]])/2</f>
        <v>0.536910874144287</v>
      </c>
      <c r="N18" s="10" t="n">
        <f aca="false">(Tabla3510813153212[[#This Row],[% efe_inc]]+Tabla3510813153212[[#This Row],[% no_efect_inc]])/2</f>
        <v>0.463089125855714</v>
      </c>
      <c r="O18" s="11" t="n">
        <f aca="false">Tabla3510813153212[[#This Row],[no_efec_cor]]/(Tabla3510813153212[[#This Row],[efect_inc]]+Tabla3510813153212[[#This Row],[no_efec_cor]])</f>
        <v>0.530921820303384</v>
      </c>
      <c r="P18" s="11" t="n">
        <f aca="false">Tabla3510813153212[[#This Row],[efec_cor]]/(Tabla3510813153212[[#This Row],[efec_cor]]+Tabla3510813153212[[#This Row],[no_efec_inc]])</f>
        <v>0.54289071680376</v>
      </c>
      <c r="Q18" s="11" t="n">
        <f aca="false">(Tabla3510813153212[[#This Row],[PNE]]+Tabla3510813153212[[#This Row],[PE]])/2</f>
        <v>0.536906268553572</v>
      </c>
      <c r="R18" s="0" t="n">
        <v>864</v>
      </c>
      <c r="S18" s="0" t="n">
        <v>844</v>
      </c>
      <c r="T18" s="0" t="n">
        <f aca="false">Tabla3510813153212[[#This Row],[efec]]+Tabla3510813153212[[#This Row],[no_efe]]</f>
        <v>1708</v>
      </c>
    </row>
    <row r="21" customFormat="false" ht="19.5" hidden="false" customHeight="false" outlineLevel="0" collapsed="false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5" hidden="false" customHeight="false" outlineLevel="0" collapsed="false">
      <c r="A22" s="2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4" customFormat="false" ht="15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customFormat="false" ht="15.75" hidden="false" customHeight="false" outlineLevel="0" collapsed="false">
      <c r="A25" s="5" t="s">
        <v>5</v>
      </c>
      <c r="B25" s="5"/>
      <c r="C25" s="5"/>
      <c r="D25" s="5"/>
      <c r="E25" s="5"/>
      <c r="F25" s="5"/>
      <c r="G25" s="5"/>
      <c r="H25" s="5"/>
      <c r="I25" s="5"/>
      <c r="J25" s="6"/>
      <c r="K25" s="6"/>
    </row>
    <row r="26" customFormat="false" ht="15.75" hidden="false" customHeight="false" outlineLevel="0" collapsed="false">
      <c r="A26" s="7" t="s">
        <v>27</v>
      </c>
      <c r="B26" s="7" t="s">
        <v>28</v>
      </c>
      <c r="C26" s="8" t="s">
        <v>7</v>
      </c>
      <c r="D26" s="8" t="s">
        <v>8</v>
      </c>
      <c r="E26" s="8" t="s">
        <v>9</v>
      </c>
      <c r="F26" s="8" t="s">
        <v>10</v>
      </c>
      <c r="G26" s="8" t="s">
        <v>11</v>
      </c>
      <c r="H26" s="8" t="s">
        <v>12</v>
      </c>
      <c r="I26" s="7" t="s">
        <v>13</v>
      </c>
      <c r="J26" s="7" t="s">
        <v>14</v>
      </c>
      <c r="K26" s="7" t="s">
        <v>15</v>
      </c>
      <c r="L26" s="7" t="s">
        <v>16</v>
      </c>
      <c r="M26" s="7" t="s">
        <v>17</v>
      </c>
      <c r="N26" s="7" t="s">
        <v>18</v>
      </c>
      <c r="O26" s="7" t="s">
        <v>19</v>
      </c>
      <c r="P26" s="7" t="s">
        <v>20</v>
      </c>
      <c r="Q26" s="7" t="s">
        <v>21</v>
      </c>
      <c r="R26" s="7" t="s">
        <v>22</v>
      </c>
      <c r="S26" s="7" t="s">
        <v>29</v>
      </c>
      <c r="T26" s="7" t="s">
        <v>30</v>
      </c>
      <c r="U26" s="7" t="s">
        <v>25</v>
      </c>
    </row>
    <row r="27" customFormat="false" ht="13.8" hidden="false" customHeight="false" outlineLevel="0" collapsed="false">
      <c r="A27" s="0" t="n">
        <v>1</v>
      </c>
      <c r="B27" s="0" t="n">
        <v>0</v>
      </c>
      <c r="C27" s="0" t="n">
        <v>397</v>
      </c>
      <c r="D27" s="0" t="n">
        <v>447</v>
      </c>
      <c r="E27" s="0" t="n">
        <v>529</v>
      </c>
      <c r="F27" s="0" t="n">
        <v>335</v>
      </c>
      <c r="G27" s="0" t="n">
        <f aca="false">Tabla3510813153413[[#This Row],[no_efec_cor]]+Tabla3510813153413[[#This Row],[efec_cor]]</f>
        <v>926</v>
      </c>
      <c r="H27" s="0" t="n">
        <f aca="false">Tabla3510813153413[[#This Row],[no_efec_inc]]+Tabla3510813153413[[#This Row],[efect_inc]]</f>
        <v>782</v>
      </c>
      <c r="I27" s="9" t="n">
        <f aca="false">Tabla3510813153413[[#This Row],[Correctos]]/Tabla3510813153413[[#This Row],[total_sec]]</f>
        <v>0.542154566744731</v>
      </c>
      <c r="J27" s="9" t="n">
        <f aca="false">Tabla3510813153413[[#This Row],[efec_cor]]/Tabla3510813153413[[#This Row],[N° efec]]</f>
        <v>0.612268518518518</v>
      </c>
      <c r="K27" s="9" t="n">
        <f aca="false">Tabla3510813153413[[#This Row],[efect_inc]]/Tabla3510813153413[[#This Row],[N° efec]]</f>
        <v>0.387731481481481</v>
      </c>
      <c r="L27" s="9" t="n">
        <f aca="false">Tabla3510813153413[[#This Row],[no_efec_cor]]/Tabla3510813153413[[#This Row],[N° no_efe]]</f>
        <v>0.470379146919431</v>
      </c>
      <c r="M27" s="9" t="n">
        <f aca="false">Tabla3510813153413[[#This Row],[no_efec_inc]]/Tabla3510813153413[[#This Row],[N° no_efe]]</f>
        <v>0.529620853080569</v>
      </c>
      <c r="N27" s="9" t="n">
        <f aca="false">(Tabla3510813153413[[#This Row],[% efe_cor]]+Tabla3510813153413[[#This Row],[% no_efe_cor]])/2</f>
        <v>0.541323832718975</v>
      </c>
      <c r="O27" s="10" t="n">
        <f aca="false">(Tabla3510813153413[[#This Row],[% efe_inc]]+Tabla3510813153413[[#This Row],[% no_efect_inc]])/2</f>
        <v>0.458676167281025</v>
      </c>
      <c r="P27" s="11" t="n">
        <f aca="false">Tabla3510813153413[[#This Row],[no_efec_cor]]/(Tabla3510813153413[[#This Row],[efect_inc]]+Tabla3510813153413[[#This Row],[no_efec_cor]])</f>
        <v>0.542349726775956</v>
      </c>
      <c r="Q27" s="11" t="n">
        <f aca="false">Tabla3510813153413[[#This Row],[efec_cor]]/(Tabla3510813153413[[#This Row],[efec_cor]]+Tabla3510813153413[[#This Row],[no_efec_inc]])</f>
        <v>0.542008196721311</v>
      </c>
      <c r="R27" s="11" t="n">
        <f aca="false">(Tabla3510813153413[[#This Row],[PNE]]+Tabla3510813153413[[#This Row],[PE]])/2</f>
        <v>0.542178961748634</v>
      </c>
      <c r="S27" s="0" t="n">
        <v>864</v>
      </c>
      <c r="T27" s="0" t="n">
        <v>844</v>
      </c>
      <c r="U27" s="0" t="n">
        <f aca="false">Tabla3510813153413[[#This Row],[N° efec]]+Tabla3510813153413[[#This Row],[N° no_efe]]</f>
        <v>1708</v>
      </c>
    </row>
    <row r="28" customFormat="false" ht="13.8" hidden="false" customHeight="false" outlineLevel="0" collapsed="false">
      <c r="A28" s="0" t="n">
        <v>1</v>
      </c>
      <c r="B28" s="0" t="n">
        <v>0.1</v>
      </c>
      <c r="C28" s="0" t="n">
        <v>412</v>
      </c>
      <c r="D28" s="0" t="n">
        <v>432</v>
      </c>
      <c r="E28" s="0" t="n">
        <v>509</v>
      </c>
      <c r="F28" s="0" t="n">
        <v>355</v>
      </c>
      <c r="G28" s="0" t="n">
        <f aca="false">Tabla3510813153413[[#This Row],[no_efec_cor]]+Tabla3510813153413[[#This Row],[efec_cor]]</f>
        <v>921</v>
      </c>
      <c r="H28" s="0" t="n">
        <f aca="false">Tabla3510813153413[[#This Row],[no_efec_inc]]+Tabla3510813153413[[#This Row],[efect_inc]]</f>
        <v>787</v>
      </c>
      <c r="I28" s="9" t="n">
        <f aca="false">Tabla3510813153413[[#This Row],[Correctos]]/Tabla3510813153413[[#This Row],[total_sec]]</f>
        <v>0.539227166276347</v>
      </c>
      <c r="J28" s="9" t="n">
        <f aca="false">Tabla3510813153413[[#This Row],[efec_cor]]/Tabla3510813153413[[#This Row],[N° efec]]</f>
        <v>0.58912037037037</v>
      </c>
      <c r="K28" s="9" t="n">
        <f aca="false">Tabla3510813153413[[#This Row],[efect_inc]]/Tabla3510813153413[[#This Row],[N° efec]]</f>
        <v>0.41087962962963</v>
      </c>
      <c r="L28" s="9" t="n">
        <f aca="false">Tabla3510813153413[[#This Row],[no_efec_cor]]/Tabla3510813153413[[#This Row],[N° no_efe]]</f>
        <v>0.488151658767773</v>
      </c>
      <c r="M28" s="9" t="n">
        <f aca="false">Tabla3510813153413[[#This Row],[no_efec_inc]]/Tabla3510813153413[[#This Row],[N° no_efe]]</f>
        <v>0.511848341232227</v>
      </c>
      <c r="N28" s="9" t="n">
        <f aca="false">(Tabla3510813153413[[#This Row],[% efe_cor]]+Tabla3510813153413[[#This Row],[% no_efe_cor]])/2</f>
        <v>0.538636014569071</v>
      </c>
      <c r="O28" s="10" t="n">
        <f aca="false">(Tabla3510813153413[[#This Row],[% efe_inc]]+Tabla3510813153413[[#This Row],[% no_efect_inc]])/2</f>
        <v>0.461363985430929</v>
      </c>
      <c r="P28" s="11" t="n">
        <f aca="false">Tabla3510813153413[[#This Row],[no_efec_cor]]/(Tabla3510813153413[[#This Row],[efect_inc]]+Tabla3510813153413[[#This Row],[no_efec_cor]])</f>
        <v>0.537157757496741</v>
      </c>
      <c r="Q28" s="11" t="n">
        <f aca="false">Tabla3510813153413[[#This Row],[efec_cor]]/(Tabla3510813153413[[#This Row],[efec_cor]]+Tabla3510813153413[[#This Row],[no_efec_inc]])</f>
        <v>0.540913921360255</v>
      </c>
      <c r="R28" s="11" t="n">
        <f aca="false">(Tabla3510813153413[[#This Row],[PNE]]+Tabla3510813153413[[#This Row],[PE]])/2</f>
        <v>0.539035839428498</v>
      </c>
      <c r="S28" s="0" t="n">
        <v>864</v>
      </c>
      <c r="T28" s="0" t="n">
        <v>844</v>
      </c>
      <c r="U28" s="0" t="n">
        <f aca="false">Tabla3510813153413[[#This Row],[N° efec]]+Tabla3510813153413[[#This Row],[N° no_efe]]</f>
        <v>1708</v>
      </c>
    </row>
    <row r="29" customFormat="false" ht="13.8" hidden="false" customHeight="false" outlineLevel="0" collapsed="false">
      <c r="A29" s="0" t="n">
        <v>1</v>
      </c>
      <c r="B29" s="0" t="n">
        <v>0.5</v>
      </c>
      <c r="C29" s="0" t="n">
        <v>406</v>
      </c>
      <c r="D29" s="0" t="n">
        <v>438</v>
      </c>
      <c r="E29" s="0" t="n">
        <v>515</v>
      </c>
      <c r="F29" s="0" t="n">
        <v>349</v>
      </c>
      <c r="G29" s="0" t="n">
        <f aca="false">Tabla3510813153413[[#This Row],[no_efec_cor]]+Tabla3510813153413[[#This Row],[efec_cor]]</f>
        <v>921</v>
      </c>
      <c r="H29" s="0" t="n">
        <f aca="false">Tabla3510813153413[[#This Row],[no_efec_inc]]+Tabla3510813153413[[#This Row],[efect_inc]]</f>
        <v>787</v>
      </c>
      <c r="I29" s="9" t="n">
        <f aca="false">Tabla3510813153413[[#This Row],[Correctos]]/Tabla3510813153413[[#This Row],[total_sec]]</f>
        <v>0.539227166276347</v>
      </c>
      <c r="J29" s="9" t="n">
        <f aca="false">Tabla3510813153413[[#This Row],[efec_cor]]/Tabla3510813153413[[#This Row],[N° efec]]</f>
        <v>0.596064814814815</v>
      </c>
      <c r="K29" s="9" t="n">
        <f aca="false">Tabla3510813153413[[#This Row],[efect_inc]]/Tabla3510813153413[[#This Row],[N° efec]]</f>
        <v>0.403935185185185</v>
      </c>
      <c r="L29" s="9" t="n">
        <f aca="false">Tabla3510813153413[[#This Row],[no_efec_cor]]/Tabla3510813153413[[#This Row],[N° no_efe]]</f>
        <v>0.481042654028436</v>
      </c>
      <c r="M29" s="9" t="n">
        <f aca="false">Tabla3510813153413[[#This Row],[no_efec_inc]]/Tabla3510813153413[[#This Row],[N° no_efe]]</f>
        <v>0.518957345971564</v>
      </c>
      <c r="N29" s="9" t="n">
        <f aca="false">(Tabla3510813153413[[#This Row],[% efe_cor]]+Tabla3510813153413[[#This Row],[% no_efe_cor]])/2</f>
        <v>0.538553734421625</v>
      </c>
      <c r="O29" s="10" t="n">
        <f aca="false">(Tabla3510813153413[[#This Row],[% efe_inc]]+Tabla3510813153413[[#This Row],[% no_efect_inc]])/2</f>
        <v>0.461446265578375</v>
      </c>
      <c r="P29" s="11" t="n">
        <f aca="false">Tabla3510813153413[[#This Row],[no_efec_cor]]/(Tabla3510813153413[[#This Row],[efect_inc]]+Tabla3510813153413[[#This Row],[no_efec_cor]])</f>
        <v>0.537748344370861</v>
      </c>
      <c r="Q29" s="11" t="n">
        <f aca="false">Tabla3510813153413[[#This Row],[efec_cor]]/(Tabla3510813153413[[#This Row],[efec_cor]]+Tabla3510813153413[[#This Row],[no_efec_inc]])</f>
        <v>0.540398740818468</v>
      </c>
      <c r="R29" s="11" t="n">
        <f aca="false">(Tabla3510813153413[[#This Row],[PNE]]+Tabla3510813153413[[#This Row],[PE]])/2</f>
        <v>0.539073542594664</v>
      </c>
      <c r="S29" s="0" t="n">
        <v>864</v>
      </c>
      <c r="T29" s="0" t="n">
        <v>844</v>
      </c>
      <c r="U29" s="0" t="n">
        <f aca="false">Tabla3510813153413[[#This Row],[N° efec]]+Tabla3510813153413[[#This Row],[N° no_efe]]</f>
        <v>1708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422</v>
      </c>
      <c r="D30" s="0" t="n">
        <v>422</v>
      </c>
      <c r="E30" s="0" t="n">
        <v>505</v>
      </c>
      <c r="F30" s="0" t="n">
        <v>359</v>
      </c>
      <c r="G30" s="0" t="n">
        <f aca="false">Tabla3510813153413[[#This Row],[no_efec_cor]]+Tabla3510813153413[[#This Row],[efec_cor]]</f>
        <v>927</v>
      </c>
      <c r="H30" s="0" t="n">
        <f aca="false">Tabla3510813153413[[#This Row],[no_efec_inc]]+Tabla3510813153413[[#This Row],[efect_inc]]</f>
        <v>781</v>
      </c>
      <c r="I30" s="9" t="n">
        <f aca="false">Tabla3510813153413[[#This Row],[Correctos]]/Tabla3510813153413[[#This Row],[total_sec]]</f>
        <v>0.542740046838407</v>
      </c>
      <c r="J30" s="9" t="n">
        <f aca="false">Tabla3510813153413[[#This Row],[efec_cor]]/Tabla3510813153413[[#This Row],[N° efec]]</f>
        <v>0.584490740740741</v>
      </c>
      <c r="K30" s="9" t="n">
        <f aca="false">Tabla3510813153413[[#This Row],[efect_inc]]/Tabla3510813153413[[#This Row],[N° efec]]</f>
        <v>0.415509259259259</v>
      </c>
      <c r="L30" s="9" t="n">
        <f aca="false">Tabla3510813153413[[#This Row],[no_efec_cor]]/Tabla3510813153413[[#This Row],[N° no_efe]]</f>
        <v>0.5</v>
      </c>
      <c r="M30" s="9" t="n">
        <f aca="false">Tabla3510813153413[[#This Row],[no_efec_inc]]/Tabla3510813153413[[#This Row],[N° no_efe]]</f>
        <v>0.5</v>
      </c>
      <c r="N30" s="9" t="n">
        <f aca="false">(Tabla3510813153413[[#This Row],[% efe_cor]]+Tabla3510813153413[[#This Row],[% no_efe_cor]])/2</f>
        <v>0.54224537037037</v>
      </c>
      <c r="O30" s="10" t="n">
        <f aca="false">(Tabla3510813153413[[#This Row],[% efe_inc]]+Tabla3510813153413[[#This Row],[% no_efect_inc]])/2</f>
        <v>0.45775462962963</v>
      </c>
      <c r="P30" s="11" t="n">
        <f aca="false">Tabla3510813153413[[#This Row],[no_efec_cor]]/(Tabla3510813153413[[#This Row],[efect_inc]]+Tabla3510813153413[[#This Row],[no_efec_cor]])</f>
        <v>0.54033290653009</v>
      </c>
      <c r="Q30" s="11" t="n">
        <f aca="false">Tabla3510813153413[[#This Row],[efec_cor]]/(Tabla3510813153413[[#This Row],[efec_cor]]+Tabla3510813153413[[#This Row],[no_efec_inc]])</f>
        <v>0.544768069039914</v>
      </c>
      <c r="R30" s="11" t="n">
        <f aca="false">(Tabla3510813153413[[#This Row],[PNE]]+Tabla3510813153413[[#This Row],[PE]])/2</f>
        <v>0.542550487785002</v>
      </c>
      <c r="S30" s="0" t="n">
        <v>864</v>
      </c>
      <c r="T30" s="0" t="n">
        <v>844</v>
      </c>
      <c r="U30" s="0" t="n">
        <f aca="false">Tabla3510813153413[[#This Row],[N° efec]]+Tabla3510813153413[[#This Row],[N° no_efe]]</f>
        <v>1708</v>
      </c>
    </row>
    <row r="31" customFormat="false" ht="13.8" hidden="false" customHeight="false" outlineLevel="0" collapsed="false">
      <c r="A31" s="0" t="n">
        <v>1</v>
      </c>
      <c r="B31" s="0" t="n">
        <v>2</v>
      </c>
      <c r="C31" s="0" t="n">
        <v>442</v>
      </c>
      <c r="D31" s="0" t="n">
        <v>402</v>
      </c>
      <c r="E31" s="0" t="n">
        <v>478</v>
      </c>
      <c r="F31" s="0" t="n">
        <v>389</v>
      </c>
      <c r="G31" s="0" t="n">
        <f aca="false">Tabla3510813153413[[#This Row],[no_efec_cor]]+Tabla3510813153413[[#This Row],[efec_cor]]</f>
        <v>920</v>
      </c>
      <c r="H31" s="0" t="n">
        <f aca="false">Tabla3510813153413[[#This Row],[no_efec_inc]]+Tabla3510813153413[[#This Row],[efect_inc]]</f>
        <v>791</v>
      </c>
      <c r="I31" s="9" t="n">
        <f aca="false">Tabla3510813153413[[#This Row],[Correctos]]/Tabla3510813153413[[#This Row],[total_sec]]</f>
        <v>0.53864168618267</v>
      </c>
      <c r="J31" s="9" t="n">
        <f aca="false">Tabla3510813153413[[#This Row],[efec_cor]]/Tabla3510813153413[[#This Row],[N° efec]]</f>
        <v>0.553240740740741</v>
      </c>
      <c r="K31" s="9" t="n">
        <f aca="false">Tabla3510813153413[[#This Row],[efect_inc]]/Tabla3510813153413[[#This Row],[N° efec]]</f>
        <v>0.450231481481481</v>
      </c>
      <c r="L31" s="9" t="n">
        <f aca="false">Tabla3510813153413[[#This Row],[no_efec_cor]]/Tabla3510813153413[[#This Row],[N° no_efe]]</f>
        <v>0.523696682464455</v>
      </c>
      <c r="M31" s="9" t="n">
        <f aca="false">Tabla3510813153413[[#This Row],[no_efec_inc]]/Tabla3510813153413[[#This Row],[N° no_efe]]</f>
        <v>0.476303317535545</v>
      </c>
      <c r="N31" s="9" t="n">
        <f aca="false">(Tabla3510813153413[[#This Row],[% efe_cor]]+Tabla3510813153413[[#This Row],[% no_efe_cor]])/2</f>
        <v>0.538468711602598</v>
      </c>
      <c r="O31" s="10" t="n">
        <f aca="false">(Tabla3510813153413[[#This Row],[% efe_inc]]+Tabla3510813153413[[#This Row],[% no_efect_inc]])/2</f>
        <v>0.463267399508513</v>
      </c>
      <c r="P31" s="11" t="n">
        <f aca="false">Tabla3510813153413[[#This Row],[no_efec_cor]]/(Tabla3510813153413[[#This Row],[efect_inc]]+Tabla3510813153413[[#This Row],[no_efec_cor]])</f>
        <v>0.531889290012034</v>
      </c>
      <c r="Q31" s="11" t="n">
        <f aca="false">Tabla3510813153413[[#This Row],[efec_cor]]/(Tabla3510813153413[[#This Row],[efec_cor]]+Tabla3510813153413[[#This Row],[no_efec_inc]])</f>
        <v>0.543181818181818</v>
      </c>
      <c r="R31" s="11" t="n">
        <f aca="false">(Tabla3510813153413[[#This Row],[PNE]]+Tabla3510813153413[[#This Row],[PE]])/2</f>
        <v>0.537535554096926</v>
      </c>
      <c r="S31" s="0" t="n">
        <v>864</v>
      </c>
      <c r="T31" s="0" t="n">
        <v>844</v>
      </c>
      <c r="U31" s="0" t="n">
        <f aca="false">Tabla3510813153413[[#This Row],[N° efec]]+Tabla3510813153413[[#This Row],[N° no_efe]]</f>
        <v>1708</v>
      </c>
    </row>
    <row r="32" customFormat="false" ht="13.8" hidden="false" customHeight="false" outlineLevel="0" collapsed="false">
      <c r="A32" s="0" t="n">
        <v>1</v>
      </c>
      <c r="B32" s="0" t="n">
        <v>3</v>
      </c>
      <c r="C32" s="0" t="n">
        <v>441</v>
      </c>
      <c r="D32" s="0" t="n">
        <v>403</v>
      </c>
      <c r="E32" s="0" t="n">
        <v>475</v>
      </c>
      <c r="F32" s="0" t="n">
        <v>389</v>
      </c>
      <c r="G32" s="0" t="n">
        <f aca="false">Tabla3510813153413[[#This Row],[no_efec_cor]]+Tabla3510813153413[[#This Row],[efec_cor]]</f>
        <v>916</v>
      </c>
      <c r="H32" s="0" t="n">
        <f aca="false">Tabla3510813153413[[#This Row],[no_efec_inc]]+Tabla3510813153413[[#This Row],[efect_inc]]</f>
        <v>792</v>
      </c>
      <c r="I32" s="9" t="n">
        <f aca="false">Tabla3510813153413[[#This Row],[Correctos]]/Tabla3510813153413[[#This Row],[total_sec]]</f>
        <v>0.536299765807963</v>
      </c>
      <c r="J32" s="9" t="n">
        <f aca="false">Tabla3510813153413[[#This Row],[efec_cor]]/Tabla3510813153413[[#This Row],[N° efec]]</f>
        <v>0.549768518518518</v>
      </c>
      <c r="K32" s="9" t="n">
        <f aca="false">Tabla3510813153413[[#This Row],[efect_inc]]/Tabla3510813153413[[#This Row],[N° efec]]</f>
        <v>0.450231481481481</v>
      </c>
      <c r="L32" s="9" t="n">
        <f aca="false">Tabla3510813153413[[#This Row],[no_efec_cor]]/Tabla3510813153413[[#This Row],[N° no_efe]]</f>
        <v>0.522511848341232</v>
      </c>
      <c r="M32" s="9" t="n">
        <f aca="false">Tabla3510813153413[[#This Row],[no_efec_inc]]/Tabla3510813153413[[#This Row],[N° no_efe]]</f>
        <v>0.477488151658768</v>
      </c>
      <c r="N32" s="9" t="n">
        <f aca="false">(Tabla3510813153413[[#This Row],[% efe_cor]]+Tabla3510813153413[[#This Row],[% no_efe_cor]])/2</f>
        <v>0.536140183429875</v>
      </c>
      <c r="O32" s="10" t="n">
        <f aca="false">(Tabla3510813153413[[#This Row],[% efe_inc]]+Tabla3510813153413[[#This Row],[% no_efect_inc]])/2</f>
        <v>0.463859816570125</v>
      </c>
      <c r="P32" s="11" t="n">
        <f aca="false">Tabla3510813153413[[#This Row],[no_efec_cor]]/(Tabla3510813153413[[#This Row],[efect_inc]]+Tabla3510813153413[[#This Row],[no_efec_cor]])</f>
        <v>0.531325301204819</v>
      </c>
      <c r="Q32" s="11" t="n">
        <f aca="false">Tabla3510813153413[[#This Row],[efec_cor]]/(Tabla3510813153413[[#This Row],[efec_cor]]+Tabla3510813153413[[#This Row],[no_efec_inc]])</f>
        <v>0.541002277904328</v>
      </c>
      <c r="R32" s="11" t="n">
        <f aca="false">(Tabla3510813153413[[#This Row],[PNE]]+Tabla3510813153413[[#This Row],[PE]])/2</f>
        <v>0.536163789554574</v>
      </c>
      <c r="S32" s="0" t="n">
        <v>864</v>
      </c>
      <c r="T32" s="0" t="n">
        <v>844</v>
      </c>
      <c r="U32" s="0" t="n">
        <f aca="false">Tabla3510813153413[[#This Row],[N° efec]]+Tabla3510813153413[[#This Row],[N° no_efe]]</f>
        <v>1708</v>
      </c>
    </row>
    <row r="33" customFormat="false" ht="13.8" hidden="false" customHeight="false" outlineLevel="0" collapsed="false">
      <c r="A33" s="0" t="n">
        <v>1</v>
      </c>
      <c r="B33" s="0" t="n">
        <v>5</v>
      </c>
      <c r="C33" s="0" t="n">
        <v>423</v>
      </c>
      <c r="D33" s="0" t="n">
        <v>421</v>
      </c>
      <c r="E33" s="0" t="n">
        <v>480</v>
      </c>
      <c r="F33" s="0" t="n">
        <v>384</v>
      </c>
      <c r="G33" s="0" t="n">
        <f aca="false">Tabla3510813153413[[#This Row],[no_efec_cor]]+Tabla3510813153413[[#This Row],[efec_cor]]</f>
        <v>903</v>
      </c>
      <c r="H33" s="0" t="n">
        <f aca="false">Tabla3510813153413[[#This Row],[no_efec_inc]]+Tabla3510813153413[[#This Row],[efect_inc]]</f>
        <v>805</v>
      </c>
      <c r="I33" s="9" t="n">
        <f aca="false">Tabla3510813153413[[#This Row],[Correctos]]/Tabla3510813153413[[#This Row],[total_sec]]</f>
        <v>0.528688524590164</v>
      </c>
      <c r="J33" s="9" t="n">
        <f aca="false">Tabla3510813153413[[#This Row],[efec_cor]]/Tabla3510813153413[[#This Row],[N° efec]]</f>
        <v>0.555555555555556</v>
      </c>
      <c r="K33" s="9" t="n">
        <f aca="false">Tabla3510813153413[[#This Row],[efect_inc]]/Tabla3510813153413[[#This Row],[N° efec]]</f>
        <v>0.444444444444444</v>
      </c>
      <c r="L33" s="9" t="n">
        <f aca="false">Tabla3510813153413[[#This Row],[no_efec_cor]]/Tabla3510813153413[[#This Row],[N° no_efe]]</f>
        <v>0.501184834123223</v>
      </c>
      <c r="M33" s="9" t="n">
        <f aca="false">Tabla3510813153413[[#This Row],[no_efec_inc]]/Tabla3510813153413[[#This Row],[N° no_efe]]</f>
        <v>0.498815165876777</v>
      </c>
      <c r="N33" s="9" t="n">
        <f aca="false">(Tabla3510813153413[[#This Row],[% efe_cor]]+Tabla3510813153413[[#This Row],[% no_efe_cor]])/2</f>
        <v>0.528370194839389</v>
      </c>
      <c r="O33" s="10" t="n">
        <f aca="false">(Tabla3510813153413[[#This Row],[% efe_inc]]+Tabla3510813153413[[#This Row],[% no_efect_inc]])/2</f>
        <v>0.471629805160611</v>
      </c>
      <c r="P33" s="11" t="n">
        <f aca="false">Tabla3510813153413[[#This Row],[no_efec_cor]]/(Tabla3510813153413[[#This Row],[efect_inc]]+Tabla3510813153413[[#This Row],[no_efec_cor]])</f>
        <v>0.524163568773234</v>
      </c>
      <c r="Q33" s="11" t="n">
        <f aca="false">Tabla3510813153413[[#This Row],[efec_cor]]/(Tabla3510813153413[[#This Row],[efec_cor]]+Tabla3510813153413[[#This Row],[no_efec_inc]])</f>
        <v>0.532741398446171</v>
      </c>
      <c r="R33" s="11" t="n">
        <f aca="false">(Tabla3510813153413[[#This Row],[PNE]]+Tabla3510813153413[[#This Row],[PE]])/2</f>
        <v>0.528452483609703</v>
      </c>
      <c r="S33" s="0" t="n">
        <v>864</v>
      </c>
      <c r="T33" s="0" t="n">
        <v>844</v>
      </c>
      <c r="U33" s="0" t="n">
        <f aca="false">Tabla3510813153413[[#This Row],[N° efec]]+Tabla3510813153413[[#This Row],[N° no_efe]]</f>
        <v>1708</v>
      </c>
    </row>
    <row r="34" customFormat="false" ht="13.8" hidden="false" customHeight="false" outlineLevel="0" collapsed="false">
      <c r="A34" s="0" t="n">
        <v>2</v>
      </c>
      <c r="B34" s="0" t="n">
        <v>0.5</v>
      </c>
      <c r="C34" s="0" t="n">
        <v>406</v>
      </c>
      <c r="D34" s="0" t="n">
        <v>438</v>
      </c>
      <c r="E34" s="0" t="n">
        <v>517</v>
      </c>
      <c r="F34" s="0" t="n">
        <v>347</v>
      </c>
      <c r="G34" s="0" t="n">
        <f aca="false">Tabla3510813153413[[#This Row],[no_efec_cor]]+Tabla3510813153413[[#This Row],[efec_cor]]</f>
        <v>923</v>
      </c>
      <c r="H34" s="0" t="n">
        <f aca="false">Tabla3510813153413[[#This Row],[no_efec_inc]]+Tabla3510813153413[[#This Row],[efect_inc]]</f>
        <v>785</v>
      </c>
      <c r="I34" s="9" t="n">
        <f aca="false">Tabla3510813153413[[#This Row],[Correctos]]/Tabla3510813153413[[#This Row],[total_sec]]</f>
        <v>0.5403981264637</v>
      </c>
      <c r="J34" s="9" t="n">
        <f aca="false">Tabla3510813153413[[#This Row],[efec_cor]]/Tabla3510813153413[[#This Row],[N° efec]]</f>
        <v>0.59837962962963</v>
      </c>
      <c r="K34" s="9" t="n">
        <f aca="false">Tabla3510813153413[[#This Row],[efect_inc]]/Tabla3510813153413[[#This Row],[N° efec]]</f>
        <v>0.40162037037037</v>
      </c>
      <c r="L34" s="9" t="n">
        <f aca="false">Tabla3510813153413[[#This Row],[no_efec_cor]]/Tabla3510813153413[[#This Row],[N° no_efe]]</f>
        <v>0.481042654028436</v>
      </c>
      <c r="M34" s="9" t="n">
        <f aca="false">Tabla3510813153413[[#This Row],[no_efec_inc]]/Tabla3510813153413[[#This Row],[N° no_efe]]</f>
        <v>0.518957345971564</v>
      </c>
      <c r="N34" s="9" t="n">
        <f aca="false">(Tabla3510813153413[[#This Row],[% efe_cor]]+Tabla3510813153413[[#This Row],[% no_efe_cor]])/2</f>
        <v>0.539711141829033</v>
      </c>
      <c r="O34" s="10" t="n">
        <f aca="false">(Tabla3510813153413[[#This Row],[% efe_inc]]+Tabla3510813153413[[#This Row],[% no_efect_inc]])/2</f>
        <v>0.460288858170967</v>
      </c>
      <c r="P34" s="11" t="n">
        <f aca="false">Tabla3510813153413[[#This Row],[no_efec_cor]]/(Tabla3510813153413[[#This Row],[efect_inc]]+Tabla3510813153413[[#This Row],[no_efec_cor]])</f>
        <v>0.539176626826029</v>
      </c>
      <c r="Q34" s="11" t="n">
        <f aca="false">Tabla3510813153413[[#This Row],[efec_cor]]/(Tabla3510813153413[[#This Row],[efec_cor]]+Tabla3510813153413[[#This Row],[no_efec_inc]])</f>
        <v>0.541361256544503</v>
      </c>
      <c r="R34" s="11" t="n">
        <f aca="false">(Tabla3510813153413[[#This Row],[PNE]]+Tabla3510813153413[[#This Row],[PE]])/2</f>
        <v>0.540268941685266</v>
      </c>
      <c r="S34" s="0" t="n">
        <v>864</v>
      </c>
      <c r="T34" s="0" t="n">
        <v>844</v>
      </c>
      <c r="U34" s="0" t="n">
        <f aca="false">Tabla3510813153413[[#This Row],[N° efec]]+Tabla3510813153413[[#This Row],[N° no_efe]]</f>
        <v>1708</v>
      </c>
    </row>
    <row r="35" customFormat="false" ht="13.8" hidden="false" customHeight="false" outlineLevel="0" collapsed="false">
      <c r="A35" s="0" t="n">
        <v>3</v>
      </c>
      <c r="B35" s="0" t="n">
        <v>0.5</v>
      </c>
      <c r="C35" s="0" t="n">
        <v>418</v>
      </c>
      <c r="D35" s="0" t="n">
        <v>426</v>
      </c>
      <c r="E35" s="0" t="n">
        <v>500</v>
      </c>
      <c r="F35" s="0" t="n">
        <v>364</v>
      </c>
      <c r="G35" s="0" t="n">
        <f aca="false">Tabla3510813153413[[#This Row],[no_efec_cor]]+Tabla3510813153413[[#This Row],[efec_cor]]</f>
        <v>918</v>
      </c>
      <c r="H35" s="0" t="n">
        <f aca="false">Tabla3510813153413[[#This Row],[no_efec_inc]]+Tabla3510813153413[[#This Row],[efect_inc]]</f>
        <v>790</v>
      </c>
      <c r="I35" s="9" t="n">
        <f aca="false">Tabla3510813153413[[#This Row],[Correctos]]/Tabla3510813153413[[#This Row],[total_sec]]</f>
        <v>0.537470725995316</v>
      </c>
      <c r="J35" s="9" t="n">
        <f aca="false">Tabla3510813153413[[#This Row],[efec_cor]]/Tabla3510813153413[[#This Row],[N° efec]]</f>
        <v>0.578703703703704</v>
      </c>
      <c r="K35" s="9" t="n">
        <f aca="false">Tabla3510813153413[[#This Row],[efect_inc]]/Tabla3510813153413[[#This Row],[N° efec]]</f>
        <v>0.421296296296296</v>
      </c>
      <c r="L35" s="9" t="n">
        <f aca="false">Tabla3510813153413[[#This Row],[no_efec_cor]]/Tabla3510813153413[[#This Row],[N° no_efe]]</f>
        <v>0.495260663507109</v>
      </c>
      <c r="M35" s="9" t="n">
        <f aca="false">Tabla3510813153413[[#This Row],[no_efec_inc]]/Tabla3510813153413[[#This Row],[N° no_efe]]</f>
        <v>0.504739336492891</v>
      </c>
      <c r="N35" s="9" t="n">
        <f aca="false">(Tabla3510813153413[[#This Row],[% efe_cor]]+Tabla3510813153413[[#This Row],[% no_efe_cor]])/2</f>
        <v>0.536982183605406</v>
      </c>
      <c r="O35" s="10" t="n">
        <f aca="false">(Tabla3510813153413[[#This Row],[% efe_inc]]+Tabla3510813153413[[#This Row],[% no_efect_inc]])/2</f>
        <v>0.463017816394594</v>
      </c>
      <c r="P35" s="11" t="n">
        <f aca="false">Tabla3510813153413[[#This Row],[no_efec_cor]]/(Tabla3510813153413[[#This Row],[efect_inc]]+Tabla3510813153413[[#This Row],[no_efec_cor]])</f>
        <v>0.534526854219949</v>
      </c>
      <c r="Q35" s="11" t="n">
        <f aca="false">Tabla3510813153413[[#This Row],[efec_cor]]/(Tabla3510813153413[[#This Row],[efec_cor]]+Tabla3510813153413[[#This Row],[no_efec_inc]])</f>
        <v>0.539956803455724</v>
      </c>
      <c r="R35" s="11" t="n">
        <f aca="false">(Tabla3510813153413[[#This Row],[PNE]]+Tabla3510813153413[[#This Row],[PE]])/2</f>
        <v>0.537241828837836</v>
      </c>
      <c r="S35" s="0" t="n">
        <v>864</v>
      </c>
      <c r="T35" s="0" t="n">
        <v>844</v>
      </c>
      <c r="U35" s="0" t="n">
        <f aca="false">Tabla3510813153413[[#This Row],[N° efec]]+Tabla3510813153413[[#This Row],[N° no_efe]]</f>
        <v>1708</v>
      </c>
    </row>
    <row r="36" customFormat="false" ht="13.8" hidden="false" customHeight="false" outlineLevel="0" collapsed="false">
      <c r="A36" s="0" t="n">
        <v>5</v>
      </c>
      <c r="B36" s="0" t="n">
        <v>0.5</v>
      </c>
      <c r="C36" s="0" t="n">
        <v>424</v>
      </c>
      <c r="D36" s="0" t="n">
        <v>420</v>
      </c>
      <c r="E36" s="0" t="n">
        <v>492</v>
      </c>
      <c r="F36" s="0" t="n">
        <v>372</v>
      </c>
      <c r="G36" s="0" t="n">
        <f aca="false">Tabla3510813153413[[#This Row],[no_efec_cor]]+Tabla3510813153413[[#This Row],[efec_cor]]</f>
        <v>916</v>
      </c>
      <c r="H36" s="0" t="n">
        <f aca="false">Tabla3510813153413[[#This Row],[no_efec_inc]]+Tabla3510813153413[[#This Row],[efect_inc]]</f>
        <v>792</v>
      </c>
      <c r="I36" s="9" t="n">
        <f aca="false">Tabla3510813153413[[#This Row],[Correctos]]/Tabla3510813153413[[#This Row],[total_sec]]</f>
        <v>0.536299765807963</v>
      </c>
      <c r="J36" s="9" t="n">
        <f aca="false">Tabla3510813153413[[#This Row],[efec_cor]]/Tabla3510813153413[[#This Row],[N° efec]]</f>
        <v>0.569444444444444</v>
      </c>
      <c r="K36" s="9" t="n">
        <f aca="false">Tabla3510813153413[[#This Row],[efect_inc]]/Tabla3510813153413[[#This Row],[N° efec]]</f>
        <v>0.430555555555556</v>
      </c>
      <c r="L36" s="9" t="n">
        <f aca="false">Tabla3510813153413[[#This Row],[no_efec_cor]]/Tabla3510813153413[[#This Row],[N° no_efe]]</f>
        <v>0.502369668246445</v>
      </c>
      <c r="M36" s="9" t="n">
        <f aca="false">Tabla3510813153413[[#This Row],[no_efec_inc]]/Tabla3510813153413[[#This Row],[N° no_efe]]</f>
        <v>0.497630331753554</v>
      </c>
      <c r="N36" s="9" t="n">
        <f aca="false">(Tabla3510813153413[[#This Row],[% efe_cor]]+Tabla3510813153413[[#This Row],[% no_efe_cor]])/2</f>
        <v>0.535907056345445</v>
      </c>
      <c r="O36" s="10" t="n">
        <f aca="false">(Tabla3510813153413[[#This Row],[% efe_inc]]+Tabla3510813153413[[#This Row],[% no_efect_inc]])/2</f>
        <v>0.464092943654555</v>
      </c>
      <c r="P36" s="11" t="n">
        <f aca="false">Tabla3510813153413[[#This Row],[no_efec_cor]]/(Tabla3510813153413[[#This Row],[efect_inc]]+Tabla3510813153413[[#This Row],[no_efec_cor]])</f>
        <v>0.532663316582915</v>
      </c>
      <c r="Q36" s="11" t="n">
        <f aca="false">Tabla3510813153413[[#This Row],[efec_cor]]/(Tabla3510813153413[[#This Row],[efec_cor]]+Tabla3510813153413[[#This Row],[no_efec_inc]])</f>
        <v>0.539473684210526</v>
      </c>
      <c r="R36" s="11" t="n">
        <f aca="false">(Tabla3510813153413[[#This Row],[PNE]]+Tabla3510813153413[[#This Row],[PE]])/2</f>
        <v>0.53606850039672</v>
      </c>
      <c r="S36" s="0" t="n">
        <v>864</v>
      </c>
      <c r="T36" s="0" t="n">
        <v>844</v>
      </c>
      <c r="U36" s="0" t="n">
        <f aca="false">Tabla3510813153413[[#This Row],[N° efec]]+Tabla3510813153413[[#This Row],[N° no_efe]]</f>
        <v>1708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n">
        <v>443</v>
      </c>
      <c r="D37" s="0" t="n">
        <v>401</v>
      </c>
      <c r="E37" s="0" t="n">
        <v>478</v>
      </c>
      <c r="F37" s="0" t="n">
        <v>386</v>
      </c>
      <c r="G37" s="0" t="n">
        <f aca="false">Tabla3510813153413[[#This Row],[no_efec_cor]]+Tabla3510813153413[[#This Row],[efec_cor]]</f>
        <v>921</v>
      </c>
      <c r="H37" s="0" t="n">
        <f aca="false">Tabla3510813153413[[#This Row],[no_efec_inc]]+Tabla3510813153413[[#This Row],[efect_inc]]</f>
        <v>787</v>
      </c>
      <c r="I37" s="9" t="n">
        <f aca="false">Tabla3510813153413[[#This Row],[Correctos]]/Tabla3510813153413[[#This Row],[total_sec]]</f>
        <v>0.539227166276347</v>
      </c>
      <c r="J37" s="9" t="n">
        <f aca="false">Tabla3510813153413[[#This Row],[efec_cor]]/Tabla3510813153413[[#This Row],[N° efec]]</f>
        <v>0.553240740740741</v>
      </c>
      <c r="K37" s="9" t="n">
        <f aca="false">Tabla3510813153413[[#This Row],[efect_inc]]/Tabla3510813153413[[#This Row],[N° efec]]</f>
        <v>0.446759259259259</v>
      </c>
      <c r="L37" s="9" t="n">
        <f aca="false">Tabla3510813153413[[#This Row],[no_efec_cor]]/Tabla3510813153413[[#This Row],[N° no_efe]]</f>
        <v>0.524881516587678</v>
      </c>
      <c r="M37" s="9" t="n">
        <f aca="false">Tabla3510813153413[[#This Row],[no_efec_inc]]/Tabla3510813153413[[#This Row],[N° no_efe]]</f>
        <v>0.475118483412322</v>
      </c>
      <c r="N37" s="9" t="n">
        <f aca="false">(Tabla3510813153413[[#This Row],[% efe_cor]]+Tabla3510813153413[[#This Row],[% no_efe_cor]])/2</f>
        <v>0.539061128664209</v>
      </c>
      <c r="O37" s="10" t="n">
        <f aca="false">(Tabla3510813153413[[#This Row],[% efe_inc]]+Tabla3510813153413[[#This Row],[% no_efect_inc]])/2</f>
        <v>0.460938871335791</v>
      </c>
      <c r="P37" s="11" t="n">
        <f aca="false">Tabla3510813153413[[#This Row],[no_efec_cor]]/(Tabla3510813153413[[#This Row],[efect_inc]]+Tabla3510813153413[[#This Row],[no_efec_cor]])</f>
        <v>0.53437876960193</v>
      </c>
      <c r="Q37" s="11" t="n">
        <f aca="false">Tabla3510813153413[[#This Row],[efec_cor]]/(Tabla3510813153413[[#This Row],[efec_cor]]+Tabla3510813153413[[#This Row],[no_efec_inc]])</f>
        <v>0.543799772468714</v>
      </c>
      <c r="R37" s="11" t="n">
        <f aca="false">(Tabla3510813153413[[#This Row],[PNE]]+Tabla3510813153413[[#This Row],[PE]])/2</f>
        <v>0.539089271035322</v>
      </c>
      <c r="S37" s="0" t="n">
        <v>864</v>
      </c>
      <c r="T37" s="0" t="n">
        <v>844</v>
      </c>
      <c r="U37" s="0" t="n">
        <f aca="false">Tabla3510813153413[[#This Row],[N° efec]]+Tabla3510813153413[[#This Row],[N° no_efe]]</f>
        <v>1708</v>
      </c>
    </row>
    <row r="38" customFormat="false" ht="13.8" hidden="false" customHeight="false" outlineLevel="0" collapsed="false">
      <c r="A38" s="0" t="n">
        <v>0.5</v>
      </c>
      <c r="B38" s="0" t="n">
        <v>1</v>
      </c>
      <c r="C38" s="0" t="n">
        <v>429</v>
      </c>
      <c r="D38" s="0" t="n">
        <v>415</v>
      </c>
      <c r="E38" s="0" t="n">
        <v>506</v>
      </c>
      <c r="F38" s="0" t="n">
        <v>358</v>
      </c>
      <c r="G38" s="0" t="n">
        <f aca="false">Tabla3510813153413[[#This Row],[no_efec_cor]]+Tabla3510813153413[[#This Row],[efec_cor]]</f>
        <v>935</v>
      </c>
      <c r="H38" s="0" t="n">
        <f aca="false">Tabla3510813153413[[#This Row],[no_efec_inc]]+Tabla3510813153413[[#This Row],[efect_inc]]</f>
        <v>773</v>
      </c>
      <c r="I38" s="9" t="n">
        <f aca="false">Tabla3510813153413[[#This Row],[Correctos]]/Tabla3510813153413[[#This Row],[total_sec]]</f>
        <v>0.547423887587822</v>
      </c>
      <c r="J38" s="9" t="n">
        <f aca="false">Tabla3510813153413[[#This Row],[efec_cor]]/Tabla3510813153413[[#This Row],[N° efec]]</f>
        <v>0.585648148148148</v>
      </c>
      <c r="K38" s="9" t="n">
        <f aca="false">Tabla3510813153413[[#This Row],[efect_inc]]/Tabla3510813153413[[#This Row],[N° efec]]</f>
        <v>0.414351851851852</v>
      </c>
      <c r="L38" s="9" t="n">
        <f aca="false">Tabla3510813153413[[#This Row],[no_efec_cor]]/Tabla3510813153413[[#This Row],[N° no_efe]]</f>
        <v>0.508293838862559</v>
      </c>
      <c r="M38" s="9" t="n">
        <f aca="false">Tabla3510813153413[[#This Row],[no_efec_inc]]/Tabla3510813153413[[#This Row],[N° no_efe]]</f>
        <v>0.491706161137441</v>
      </c>
      <c r="N38" s="9" t="n">
        <f aca="false">(Tabla3510813153413[[#This Row],[% efe_cor]]+Tabla3510813153413[[#This Row],[% no_efe_cor]])/2</f>
        <v>0.546970993505354</v>
      </c>
      <c r="O38" s="10" t="n">
        <f aca="false">(Tabla3510813153413[[#This Row],[% efe_inc]]+Tabla3510813153413[[#This Row],[% no_efect_inc]])/2</f>
        <v>0.453029006494646</v>
      </c>
      <c r="P38" s="11" t="n">
        <f aca="false">Tabla3510813153413[[#This Row],[no_efec_cor]]/(Tabla3510813153413[[#This Row],[efect_inc]]+Tabla3510813153413[[#This Row],[no_efec_cor]])</f>
        <v>0.545108005082592</v>
      </c>
      <c r="Q38" s="11" t="n">
        <f aca="false">Tabla3510813153413[[#This Row],[efec_cor]]/(Tabla3510813153413[[#This Row],[efec_cor]]+Tabla3510813153413[[#This Row],[no_efec_inc]])</f>
        <v>0.549402823018458</v>
      </c>
      <c r="R38" s="11" t="n">
        <f aca="false">(Tabla3510813153413[[#This Row],[PNE]]+Tabla3510813153413[[#This Row],[PE]])/2</f>
        <v>0.547255414050525</v>
      </c>
      <c r="S38" s="0" t="n">
        <v>864</v>
      </c>
      <c r="T38" s="0" t="n">
        <v>844</v>
      </c>
      <c r="U38" s="0" t="n">
        <f aca="false">Tabla3510813153413[[#This Row],[N° efec]]+Tabla3510813153413[[#This Row],[N° no_efe]]</f>
        <v>1708</v>
      </c>
    </row>
    <row r="39" customFormat="false" ht="13.8" hidden="false" customHeight="false" outlineLevel="0" collapsed="false">
      <c r="A39" s="0" t="n">
        <v>0.1</v>
      </c>
      <c r="B39" s="0" t="n">
        <v>1</v>
      </c>
      <c r="C39" s="0" t="n">
        <v>387</v>
      </c>
      <c r="D39" s="0" t="n">
        <v>457</v>
      </c>
      <c r="E39" s="0" t="n">
        <v>542</v>
      </c>
      <c r="F39" s="0" t="n">
        <v>322</v>
      </c>
      <c r="G39" s="0" t="n">
        <f aca="false">Tabla3510813153413[[#This Row],[no_efec_cor]]+Tabla3510813153413[[#This Row],[efec_cor]]</f>
        <v>929</v>
      </c>
      <c r="H39" s="0" t="n">
        <f aca="false">Tabla3510813153413[[#This Row],[no_efec_inc]]+Tabla3510813153413[[#This Row],[efect_inc]]</f>
        <v>779</v>
      </c>
      <c r="I39" s="9" t="n">
        <f aca="false">Tabla3510813153413[[#This Row],[Correctos]]/Tabla3510813153413[[#This Row],[total_sec]]</f>
        <v>0.543911007025761</v>
      </c>
      <c r="J39" s="9" t="n">
        <f aca="false">Tabla3510813153413[[#This Row],[efec_cor]]/Tabla3510813153413[[#This Row],[N° efec]]</f>
        <v>0.627314814814815</v>
      </c>
      <c r="K39" s="9" t="n">
        <f aca="false">Tabla3510813153413[[#This Row],[efect_inc]]/Tabla3510813153413[[#This Row],[N° efec]]</f>
        <v>0.372685185185185</v>
      </c>
      <c r="L39" s="9" t="n">
        <f aca="false">Tabla3510813153413[[#This Row],[no_efec_cor]]/Tabla3510813153413[[#This Row],[N° no_efe]]</f>
        <v>0.458530805687204</v>
      </c>
      <c r="M39" s="9" t="n">
        <f aca="false">Tabla3510813153413[[#This Row],[no_efec_inc]]/Tabla3510813153413[[#This Row],[N° no_efe]]</f>
        <v>0.541469194312796</v>
      </c>
      <c r="N39" s="9" t="n">
        <f aca="false">(Tabla3510813153413[[#This Row],[% efe_cor]]+Tabla3510813153413[[#This Row],[% no_efe_cor]])/2</f>
        <v>0.542922810251009</v>
      </c>
      <c r="O39" s="10" t="n">
        <f aca="false">(Tabla3510813153413[[#This Row],[% efe_inc]]+Tabla3510813153413[[#This Row],[% no_efect_inc]])/2</f>
        <v>0.457077189748991</v>
      </c>
      <c r="P39" s="11" t="n">
        <f aca="false">Tabla3510813153413[[#This Row],[no_efec_cor]]/(Tabla3510813153413[[#This Row],[efect_inc]]+Tabla3510813153413[[#This Row],[no_efec_cor]])</f>
        <v>0.545839210155148</v>
      </c>
      <c r="Q39" s="11" t="n">
        <f aca="false">Tabla3510813153413[[#This Row],[efec_cor]]/(Tabla3510813153413[[#This Row],[efec_cor]]+Tabla3510813153413[[#This Row],[no_efec_inc]])</f>
        <v>0.542542542542543</v>
      </c>
      <c r="R39" s="11" t="n">
        <f aca="false">(Tabla3510813153413[[#This Row],[PNE]]+Tabla3510813153413[[#This Row],[PE]])/2</f>
        <v>0.544190876348845</v>
      </c>
      <c r="S39" s="0" t="n">
        <v>864</v>
      </c>
      <c r="T39" s="0" t="n">
        <v>844</v>
      </c>
      <c r="U39" s="0" t="n">
        <f aca="false">Tabla3510813153413[[#This Row],[N° efec]]+Tabla3510813153413[[#This Row],[N° no_efe]]</f>
        <v>1708</v>
      </c>
    </row>
    <row r="40" customFormat="false" ht="13.8" hidden="false" customHeight="false" outlineLevel="0" collapsed="false">
      <c r="A40" s="0" t="n">
        <v>0.5</v>
      </c>
      <c r="B40" s="0" t="n">
        <v>0.5</v>
      </c>
      <c r="C40" s="0" t="n">
        <v>412</v>
      </c>
      <c r="D40" s="0" t="n">
        <v>432</v>
      </c>
      <c r="E40" s="0" t="n">
        <v>512</v>
      </c>
      <c r="F40" s="0" t="n">
        <v>352</v>
      </c>
      <c r="G40" s="0" t="n">
        <f aca="false">Tabla3510813153413[[#This Row],[no_efec_cor]]+Tabla3510813153413[[#This Row],[efec_cor]]</f>
        <v>924</v>
      </c>
      <c r="H40" s="0" t="n">
        <f aca="false">Tabla3510813153413[[#This Row],[no_efec_inc]]+Tabla3510813153413[[#This Row],[efect_inc]]</f>
        <v>784</v>
      </c>
      <c r="I40" s="9" t="n">
        <f aca="false">Tabla3510813153413[[#This Row],[Correctos]]/Tabla3510813153413[[#This Row],[total_sec]]</f>
        <v>0.540983606557377</v>
      </c>
      <c r="J40" s="9" t="n">
        <f aca="false">Tabla3510813153413[[#This Row],[efec_cor]]/Tabla3510813153413[[#This Row],[N° efec]]</f>
        <v>0.592592592592593</v>
      </c>
      <c r="K40" s="9" t="n">
        <f aca="false">Tabla3510813153413[[#This Row],[efect_inc]]/Tabla3510813153413[[#This Row],[N° efec]]</f>
        <v>0.407407407407407</v>
      </c>
      <c r="L40" s="9" t="n">
        <f aca="false">Tabla3510813153413[[#This Row],[no_efec_cor]]/Tabla3510813153413[[#This Row],[N° no_efe]]</f>
        <v>0.488151658767773</v>
      </c>
      <c r="M40" s="9" t="n">
        <f aca="false">Tabla3510813153413[[#This Row],[no_efec_inc]]/Tabla3510813153413[[#This Row],[N° no_efe]]</f>
        <v>0.511848341232227</v>
      </c>
      <c r="N40" s="9" t="n">
        <f aca="false">(Tabla3510813153413[[#This Row],[% efe_cor]]+Tabla3510813153413[[#This Row],[% no_efe_cor]])/2</f>
        <v>0.540372125680183</v>
      </c>
      <c r="O40" s="10" t="n">
        <f aca="false">(Tabla3510813153413[[#This Row],[% efe_inc]]+Tabla3510813153413[[#This Row],[% no_efect_inc]])/2</f>
        <v>0.459627874319817</v>
      </c>
      <c r="P40" s="11" t="n">
        <f aca="false">Tabla3510813153413[[#This Row],[no_efec_cor]]/(Tabla3510813153413[[#This Row],[efect_inc]]+Tabla3510813153413[[#This Row],[no_efec_cor]])</f>
        <v>0.539267015706806</v>
      </c>
      <c r="Q40" s="11" t="n">
        <f aca="false">Tabla3510813153413[[#This Row],[efec_cor]]/(Tabla3510813153413[[#This Row],[efec_cor]]+Tabla3510813153413[[#This Row],[no_efec_inc]])</f>
        <v>0.542372881355932</v>
      </c>
      <c r="R40" s="11" t="n">
        <f aca="false">(Tabla3510813153413[[#This Row],[PNE]]+Tabla3510813153413[[#This Row],[PE]])/2</f>
        <v>0.540819948531369</v>
      </c>
      <c r="S40" s="0" t="n">
        <v>864</v>
      </c>
      <c r="T40" s="0" t="n">
        <v>844</v>
      </c>
      <c r="U40" s="0" t="n">
        <f aca="false">Tabla3510813153413[[#This Row],[N° efec]]+Tabla3510813153413[[#This Row],[N° no_efe]]</f>
        <v>1708</v>
      </c>
    </row>
  </sheetData>
  <mergeCells count="9">
    <mergeCell ref="A1:U1"/>
    <mergeCell ref="A2:U2"/>
    <mergeCell ref="A4:B4"/>
    <mergeCell ref="A5:B5"/>
    <mergeCell ref="A6:B6"/>
    <mergeCell ref="A8:I8"/>
    <mergeCell ref="A21:U21"/>
    <mergeCell ref="A22:U22"/>
    <mergeCell ref="A25:I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U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0.54296875" defaultRowHeight="15" zeroHeight="false" outlineLevelRow="0" outlineLevelCol="0"/>
  <sheetData>
    <row r="1" customFormat="false" ht="19.5" hidden="false" customHeight="false" outlineLevel="0" collapsed="false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customFormat="false" ht="15" hidden="false" customHeight="false" outlineLevel="0" collapsed="false">
      <c r="A4" s="3" t="s">
        <v>2</v>
      </c>
      <c r="B4" s="3"/>
      <c r="C4" s="4" t="n">
        <v>917</v>
      </c>
    </row>
    <row r="5" customFormat="false" ht="15" hidden="false" customHeight="false" outlineLevel="0" collapsed="false">
      <c r="A5" s="3" t="s">
        <v>3</v>
      </c>
      <c r="B5" s="3"/>
      <c r="C5" s="4" t="n">
        <v>909</v>
      </c>
    </row>
    <row r="6" customFormat="false" ht="15" hidden="false" customHeight="false" outlineLevel="0" collapsed="false">
      <c r="A6" s="3" t="s">
        <v>4</v>
      </c>
      <c r="B6" s="3"/>
      <c r="C6" s="4" t="n">
        <f aca="false">SUM(C4:C5)</f>
        <v>1826</v>
      </c>
    </row>
    <row r="8" customFormat="false" ht="15.75" hidden="false" customHeight="false" outlineLevel="0" collapsed="false">
      <c r="A8" s="5" t="s">
        <v>5</v>
      </c>
      <c r="B8" s="5"/>
      <c r="C8" s="5"/>
      <c r="D8" s="5"/>
      <c r="E8" s="5"/>
      <c r="F8" s="5"/>
      <c r="G8" s="5"/>
      <c r="H8" s="5"/>
      <c r="I8" s="5"/>
    </row>
    <row r="9" customFormat="false" ht="15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n">
        <v>1</v>
      </c>
      <c r="B10" s="0" t="n">
        <v>453</v>
      </c>
      <c r="C10" s="0" t="n">
        <v>456</v>
      </c>
      <c r="D10" s="0" t="n">
        <v>451</v>
      </c>
      <c r="E10" s="0" t="n">
        <v>466</v>
      </c>
      <c r="F10" s="0" t="n">
        <f aca="false">Tabla3510813153221[[#This Row],[no_efec_cor]]+Tabla3510813153221[[#This Row],[efec_cor]]</f>
        <v>904</v>
      </c>
      <c r="G10" s="0" t="n">
        <f aca="false">Tabla3510813153221[[#This Row],[no_efec_inc]]+Tabla3510813153221[[#This Row],[efect_inc]]</f>
        <v>922</v>
      </c>
      <c r="H10" s="9" t="n">
        <f aca="false">Tabla3510813153221[[#This Row],[Correctos]]/Tabla3510813153221[[#This Row],[total_sec]]</f>
        <v>0.495071193866375</v>
      </c>
      <c r="I10" s="9" t="n">
        <f aca="false">Tabla3510813153221[[#This Row],[efec_cor]]/Tabla3510813153221[[#This Row],[efec]]</f>
        <v>0.491821155943293</v>
      </c>
      <c r="J10" s="9" t="n">
        <f aca="false">Tabla3510813153221[[#This Row],[efect_inc]]/Tabla3510813153221[[#This Row],[efec]]</f>
        <v>0.508178844056707</v>
      </c>
      <c r="K10" s="9" t="n">
        <f aca="false">Tabla3510813153221[[#This Row],[no_efec_cor]]/Tabla3510813153221[[#This Row],[no_efe]]</f>
        <v>0.498349834983498</v>
      </c>
      <c r="L10" s="9" t="n">
        <f aca="false">Tabla3510813153221[[#This Row],[no_efec_inc]]/Tabla3510813153221[[#This Row],[no_efe]]</f>
        <v>0.501650165016502</v>
      </c>
      <c r="M10" s="9" t="n">
        <f aca="false">(Tabla3510813153221[[#This Row],[% efe_cor]]+Tabla3510813153221[[#This Row],[% no_efe_cor]])/2</f>
        <v>0.495085495463396</v>
      </c>
      <c r="N10" s="10" t="n">
        <f aca="false">(Tabla3510813153221[[#This Row],[% efe_inc]]+Tabla3510813153221[[#This Row],[% no_efect_inc]])/2</f>
        <v>0.504914504536604</v>
      </c>
      <c r="O10" s="11" t="n">
        <f aca="false">Tabla3510813153221[[#This Row],[no_efec_cor]]/(Tabla3510813153221[[#This Row],[efect_inc]]+Tabla3510813153221[[#This Row],[no_efec_cor]])</f>
        <v>0.492927094668118</v>
      </c>
      <c r="P10" s="11" t="n">
        <f aca="false">Tabla3510813153221[[#This Row],[efec_cor]]/(Tabla3510813153221[[#This Row],[efec_cor]]+Tabla3510813153221[[#This Row],[no_efec_inc]])</f>
        <v>0.497243660418964</v>
      </c>
      <c r="Q10" s="11" t="n">
        <f aca="false">(Tabla3510813153221[[#This Row],[PNE]]+Tabla3510813153221[[#This Row],[PE]])/2</f>
        <v>0.495085377543541</v>
      </c>
      <c r="R10" s="0" t="n">
        <v>917</v>
      </c>
      <c r="S10" s="0" t="n">
        <v>909</v>
      </c>
      <c r="T10" s="0" t="n">
        <f aca="false">Tabla3510813153221[[#This Row],[efec]]+Tabla3510813153221[[#This Row],[no_efe]]</f>
        <v>1826</v>
      </c>
    </row>
    <row r="11" customFormat="false" ht="13.8" hidden="false" customHeight="false" outlineLevel="0" collapsed="false">
      <c r="A11" s="0" t="n">
        <v>5</v>
      </c>
      <c r="B11" s="0" t="n">
        <v>444</v>
      </c>
      <c r="C11" s="0" t="n">
        <v>465</v>
      </c>
      <c r="D11" s="0" t="n">
        <v>469</v>
      </c>
      <c r="E11" s="0" t="n">
        <v>448</v>
      </c>
      <c r="F11" s="0" t="n">
        <f aca="false">Tabla3510813153221[[#This Row],[no_efec_cor]]+Tabla3510813153221[[#This Row],[efec_cor]]</f>
        <v>913</v>
      </c>
      <c r="G11" s="0" t="n">
        <f aca="false">Tabla3510813153221[[#This Row],[no_efec_inc]]+Tabla3510813153221[[#This Row],[efect_inc]]</f>
        <v>913</v>
      </c>
      <c r="H11" s="9" t="n">
        <f aca="false">Tabla3510813153221[[#This Row],[Correctos]]/Tabla3510813153221[[#This Row],[total_sec]]</f>
        <v>0.5</v>
      </c>
      <c r="I11" s="9" t="n">
        <f aca="false">Tabla3510813153221[[#This Row],[efec_cor]]/Tabla3510813153221[[#This Row],[efec]]</f>
        <v>0.511450381679389</v>
      </c>
      <c r="J11" s="9" t="n">
        <f aca="false">Tabla3510813153221[[#This Row],[efect_inc]]/Tabla3510813153221[[#This Row],[efec]]</f>
        <v>0.488549618320611</v>
      </c>
      <c r="K11" s="9" t="n">
        <f aca="false">Tabla3510813153221[[#This Row],[no_efec_cor]]/Tabla3510813153221[[#This Row],[no_efe]]</f>
        <v>0.488448844884488</v>
      </c>
      <c r="L11" s="9" t="n">
        <f aca="false">Tabla3510813153221[[#This Row],[no_efec_inc]]/Tabla3510813153221[[#This Row],[no_efe]]</f>
        <v>0.511551155115512</v>
      </c>
      <c r="M11" s="9" t="n">
        <f aca="false">(Tabla3510813153221[[#This Row],[% efe_cor]]+Tabla3510813153221[[#This Row],[% no_efe_cor]])/2</f>
        <v>0.499949613281939</v>
      </c>
      <c r="N11" s="10" t="n">
        <f aca="false">(Tabla3510813153221[[#This Row],[% efe_inc]]+Tabla3510813153221[[#This Row],[% no_efect_inc]])/2</f>
        <v>0.500050386718061</v>
      </c>
      <c r="O11" s="11" t="n">
        <f aca="false">Tabla3510813153221[[#This Row],[no_efec_cor]]/(Tabla3510813153221[[#This Row],[efect_inc]]+Tabla3510813153221[[#This Row],[no_efec_cor]])</f>
        <v>0.497757847533632</v>
      </c>
      <c r="P11" s="11" t="n">
        <f aca="false">Tabla3510813153221[[#This Row],[efec_cor]]/(Tabla3510813153221[[#This Row],[efec_cor]]+Tabla3510813153221[[#This Row],[no_efec_inc]])</f>
        <v>0.502141327623126</v>
      </c>
      <c r="Q11" s="11" t="n">
        <f aca="false">(Tabla3510813153221[[#This Row],[PNE]]+Tabla3510813153221[[#This Row],[PE]])/2</f>
        <v>0.499949587578379</v>
      </c>
      <c r="R11" s="0" t="n">
        <v>917</v>
      </c>
      <c r="S11" s="0" t="n">
        <v>909</v>
      </c>
      <c r="T11" s="0" t="n">
        <f aca="false">Tabla3510813153221[[#This Row],[efec]]+Tabla3510813153221[[#This Row],[no_efe]]</f>
        <v>1826</v>
      </c>
    </row>
    <row r="12" customFormat="false" ht="13.8" hidden="false" customHeight="false" outlineLevel="0" collapsed="false">
      <c r="A12" s="0" t="n">
        <v>10</v>
      </c>
      <c r="B12" s="0" t="n">
        <v>357</v>
      </c>
      <c r="C12" s="0" t="n">
        <v>552</v>
      </c>
      <c r="D12" s="0" t="n">
        <v>598</v>
      </c>
      <c r="E12" s="0" t="n">
        <v>319</v>
      </c>
      <c r="F12" s="0" t="n">
        <f aca="false">Tabla3510813153221[[#This Row],[no_efec_cor]]+Tabla3510813153221[[#This Row],[efec_cor]]</f>
        <v>955</v>
      </c>
      <c r="G12" s="0" t="n">
        <f aca="false">Tabla3510813153221[[#This Row],[no_efec_inc]]+Tabla3510813153221[[#This Row],[efect_inc]]</f>
        <v>871</v>
      </c>
      <c r="H12" s="9" t="n">
        <f aca="false">Tabla3510813153221[[#This Row],[Correctos]]/Tabla3510813153221[[#This Row],[total_sec]]</f>
        <v>0.523001095290252</v>
      </c>
      <c r="I12" s="9" t="n">
        <f aca="false">Tabla3510813153221[[#This Row],[efec_cor]]/Tabla3510813153221[[#This Row],[efec]]</f>
        <v>0.652126499454744</v>
      </c>
      <c r="J12" s="9" t="n">
        <f aca="false">Tabla3510813153221[[#This Row],[efect_inc]]/Tabla3510813153221[[#This Row],[efec]]</f>
        <v>0.347873500545256</v>
      </c>
      <c r="K12" s="9" t="n">
        <f aca="false">Tabla3510813153221[[#This Row],[no_efec_cor]]/Tabla3510813153221[[#This Row],[no_efe]]</f>
        <v>0.392739273927393</v>
      </c>
      <c r="L12" s="9" t="n">
        <f aca="false">Tabla3510813153221[[#This Row],[no_efec_inc]]/Tabla3510813153221[[#This Row],[no_efe]]</f>
        <v>0.607260726072607</v>
      </c>
      <c r="M12" s="9" t="n">
        <f aca="false">(Tabla3510813153221[[#This Row],[% efe_cor]]+Tabla3510813153221[[#This Row],[% no_efe_cor]])/2</f>
        <v>0.522432886691068</v>
      </c>
      <c r="N12" s="10" t="n">
        <f aca="false">(Tabla3510813153221[[#This Row],[% efe_inc]]+Tabla3510813153221[[#This Row],[% no_efect_inc]])/2</f>
        <v>0.477567113308932</v>
      </c>
      <c r="O12" s="11" t="n">
        <f aca="false">Tabla3510813153221[[#This Row],[no_efec_cor]]/(Tabla3510813153221[[#This Row],[efect_inc]]+Tabla3510813153221[[#This Row],[no_efec_cor]])</f>
        <v>0.52810650887574</v>
      </c>
      <c r="P12" s="11" t="n">
        <f aca="false">Tabla3510813153221[[#This Row],[efec_cor]]/(Tabla3510813153221[[#This Row],[efec_cor]]+Tabla3510813153221[[#This Row],[no_efec_inc]])</f>
        <v>0.52</v>
      </c>
      <c r="Q12" s="11" t="n">
        <f aca="false">(Tabla3510813153221[[#This Row],[PNE]]+Tabla3510813153221[[#This Row],[PE]])/2</f>
        <v>0.52405325443787</v>
      </c>
      <c r="R12" s="0" t="n">
        <v>917</v>
      </c>
      <c r="S12" s="0" t="n">
        <v>909</v>
      </c>
      <c r="T12" s="0" t="n">
        <f aca="false">Tabla3510813153221[[#This Row],[efec]]+Tabla3510813153221[[#This Row],[no_efe]]</f>
        <v>1826</v>
      </c>
    </row>
    <row r="13" customFormat="false" ht="13.8" hidden="false" customHeight="false" outlineLevel="0" collapsed="false">
      <c r="A13" s="0" t="n">
        <v>15</v>
      </c>
      <c r="B13" s="0" t="n">
        <v>464</v>
      </c>
      <c r="C13" s="0" t="n">
        <v>445</v>
      </c>
      <c r="D13" s="0" t="n">
        <v>484</v>
      </c>
      <c r="E13" s="0" t="n">
        <v>433</v>
      </c>
      <c r="F13" s="0" t="n">
        <f aca="false">Tabla3510813153221[[#This Row],[no_efec_cor]]+Tabla3510813153221[[#This Row],[efec_cor]]</f>
        <v>948</v>
      </c>
      <c r="G13" s="0" t="n">
        <f aca="false">Tabla3510813153221[[#This Row],[no_efec_inc]]+Tabla3510813153221[[#This Row],[efect_inc]]</f>
        <v>878</v>
      </c>
      <c r="H13" s="9" t="n">
        <f aca="false">Tabla3510813153221[[#This Row],[Correctos]]/Tabla3510813153221[[#This Row],[total_sec]]</f>
        <v>0.519167579408543</v>
      </c>
      <c r="I13" s="9" t="n">
        <f aca="false">Tabla3510813153221[[#This Row],[efec_cor]]/Tabla3510813153221[[#This Row],[efec]]</f>
        <v>0.527808069792803</v>
      </c>
      <c r="J13" s="9" t="n">
        <f aca="false">Tabla3510813153221[[#This Row],[efect_inc]]/Tabla3510813153221[[#This Row],[efec]]</f>
        <v>0.472191930207197</v>
      </c>
      <c r="K13" s="9" t="n">
        <f aca="false">Tabla3510813153221[[#This Row],[no_efec_cor]]/Tabla3510813153221[[#This Row],[no_efe]]</f>
        <v>0.51045104510451</v>
      </c>
      <c r="L13" s="9" t="n">
        <f aca="false">Tabla3510813153221[[#This Row],[no_efec_inc]]/Tabla3510813153221[[#This Row],[no_efe]]</f>
        <v>0.48954895489549</v>
      </c>
      <c r="M13" s="9" t="n">
        <f aca="false">(Tabla3510813153221[[#This Row],[% efe_cor]]+Tabla3510813153221[[#This Row],[% no_efe_cor]])/2</f>
        <v>0.519129557448657</v>
      </c>
      <c r="N13" s="10" t="n">
        <f aca="false">(Tabla3510813153221[[#This Row],[% efe_inc]]+Tabla3510813153221[[#This Row],[% no_efect_inc]])/2</f>
        <v>0.480870442551344</v>
      </c>
      <c r="O13" s="11" t="n">
        <f aca="false">Tabla3510813153221[[#This Row],[no_efec_cor]]/(Tabla3510813153221[[#This Row],[efect_inc]]+Tabla3510813153221[[#This Row],[no_efec_cor]])</f>
        <v>0.517279821627648</v>
      </c>
      <c r="P13" s="11" t="n">
        <f aca="false">Tabla3510813153221[[#This Row],[efec_cor]]/(Tabla3510813153221[[#This Row],[efec_cor]]+Tabla3510813153221[[#This Row],[no_efec_inc]])</f>
        <v>0.520990312163617</v>
      </c>
      <c r="Q13" s="11" t="n">
        <f aca="false">(Tabla3510813153221[[#This Row],[PNE]]+Tabla3510813153221[[#This Row],[PE]])/2</f>
        <v>0.519135066895632</v>
      </c>
      <c r="R13" s="0" t="n">
        <v>917</v>
      </c>
      <c r="S13" s="0" t="n">
        <v>909</v>
      </c>
      <c r="T13" s="0" t="n">
        <f aca="false">Tabla3510813153221[[#This Row],[efec]]+Tabla3510813153221[[#This Row],[no_efe]]</f>
        <v>1826</v>
      </c>
    </row>
    <row r="14" customFormat="false" ht="13.8" hidden="false" customHeight="false" outlineLevel="0" collapsed="false">
      <c r="A14" s="0" t="n">
        <v>20</v>
      </c>
      <c r="B14" s="0" t="n">
        <v>384</v>
      </c>
      <c r="C14" s="0" t="n">
        <v>525</v>
      </c>
      <c r="D14" s="0" t="n">
        <v>568</v>
      </c>
      <c r="E14" s="0" t="n">
        <v>349</v>
      </c>
      <c r="F14" s="0" t="n">
        <f aca="false">Tabla3510813153221[[#This Row],[no_efec_cor]]+Tabla3510813153221[[#This Row],[efec_cor]]</f>
        <v>952</v>
      </c>
      <c r="G14" s="0" t="n">
        <f aca="false">Tabla3510813153221[[#This Row],[no_efec_inc]]+Tabla3510813153221[[#This Row],[efect_inc]]</f>
        <v>874</v>
      </c>
      <c r="H14" s="9" t="n">
        <f aca="false">Tabla3510813153221[[#This Row],[Correctos]]/Tabla3510813153221[[#This Row],[total_sec]]</f>
        <v>0.521358159912377</v>
      </c>
      <c r="I14" s="9" t="n">
        <f aca="false">Tabla3510813153221[[#This Row],[efec_cor]]/Tabla3510813153221[[#This Row],[efec]]</f>
        <v>0.619411123227917</v>
      </c>
      <c r="J14" s="9" t="n">
        <f aca="false">Tabla3510813153221[[#This Row],[efect_inc]]/Tabla3510813153221[[#This Row],[efec]]</f>
        <v>0.380588876772083</v>
      </c>
      <c r="K14" s="9" t="n">
        <f aca="false">Tabla3510813153221[[#This Row],[no_efec_cor]]/Tabla3510813153221[[#This Row],[no_efe]]</f>
        <v>0.422442244224422</v>
      </c>
      <c r="L14" s="9" t="n">
        <f aca="false">Tabla3510813153221[[#This Row],[no_efec_inc]]/Tabla3510813153221[[#This Row],[no_efe]]</f>
        <v>0.577557755775578</v>
      </c>
      <c r="M14" s="9" t="n">
        <f aca="false">(Tabla3510813153221[[#This Row],[% efe_cor]]+Tabla3510813153221[[#This Row],[% no_efe_cor]])/2</f>
        <v>0.52092668372617</v>
      </c>
      <c r="N14" s="10" t="n">
        <f aca="false">(Tabla3510813153221[[#This Row],[% efe_inc]]+Tabla3510813153221[[#This Row],[% no_efect_inc]])/2</f>
        <v>0.47907331627383</v>
      </c>
      <c r="O14" s="11" t="n">
        <f aca="false">Tabla3510813153221[[#This Row],[no_efec_cor]]/(Tabla3510813153221[[#This Row],[efect_inc]]+Tabla3510813153221[[#This Row],[no_efec_cor]])</f>
        <v>0.52387448840382</v>
      </c>
      <c r="P14" s="11" t="n">
        <f aca="false">Tabla3510813153221[[#This Row],[efec_cor]]/(Tabla3510813153221[[#This Row],[efec_cor]]+Tabla3510813153221[[#This Row],[no_efec_inc]])</f>
        <v>0.519670631290027</v>
      </c>
      <c r="Q14" s="11" t="n">
        <f aca="false">(Tabla3510813153221[[#This Row],[PNE]]+Tabla3510813153221[[#This Row],[PE]])/2</f>
        <v>0.521772559846924</v>
      </c>
      <c r="R14" s="0" t="n">
        <v>917</v>
      </c>
      <c r="S14" s="0" t="n">
        <v>909</v>
      </c>
      <c r="T14" s="0" t="n">
        <f aca="false">Tabla3510813153221[[#This Row],[efec]]+Tabla3510813153221[[#This Row],[no_efe]]</f>
        <v>1826</v>
      </c>
    </row>
    <row r="15" customFormat="false" ht="13.8" hidden="false" customHeight="false" outlineLevel="0" collapsed="false">
      <c r="A15" s="0" t="n">
        <v>25</v>
      </c>
      <c r="B15" s="0" t="n">
        <v>463</v>
      </c>
      <c r="C15" s="0" t="n">
        <v>446</v>
      </c>
      <c r="D15" s="0" t="n">
        <v>498</v>
      </c>
      <c r="E15" s="0" t="n">
        <v>419</v>
      </c>
      <c r="F15" s="0" t="n">
        <f aca="false">Tabla3510813153221[[#This Row],[no_efec_cor]]+Tabla3510813153221[[#This Row],[efec_cor]]</f>
        <v>961</v>
      </c>
      <c r="G15" s="0" t="n">
        <f aca="false">Tabla3510813153221[[#This Row],[no_efec_inc]]+Tabla3510813153221[[#This Row],[efect_inc]]</f>
        <v>865</v>
      </c>
      <c r="H15" s="9" t="n">
        <f aca="false">Tabla3510813153221[[#This Row],[Correctos]]/Tabla3510813153221[[#This Row],[total_sec]]</f>
        <v>0.526286966046002</v>
      </c>
      <c r="I15" s="9" t="n">
        <f aca="false">Tabla3510813153221[[#This Row],[efec_cor]]/Tabla3510813153221[[#This Row],[efec]]</f>
        <v>0.543075245365322</v>
      </c>
      <c r="J15" s="9" t="n">
        <f aca="false">Tabla3510813153221[[#This Row],[efect_inc]]/Tabla3510813153221[[#This Row],[efec]]</f>
        <v>0.456924754634678</v>
      </c>
      <c r="K15" s="9" t="n">
        <f aca="false">Tabla3510813153221[[#This Row],[no_efec_cor]]/Tabla3510813153221[[#This Row],[no_efe]]</f>
        <v>0.509350935093509</v>
      </c>
      <c r="L15" s="9" t="n">
        <f aca="false">Tabla3510813153221[[#This Row],[no_efec_inc]]/Tabla3510813153221[[#This Row],[no_efe]]</f>
        <v>0.490649064906491</v>
      </c>
      <c r="M15" s="9" t="n">
        <f aca="false">(Tabla3510813153221[[#This Row],[% efe_cor]]+Tabla3510813153221[[#This Row],[% no_efe_cor]])/2</f>
        <v>0.526213090229416</v>
      </c>
      <c r="N15" s="10" t="n">
        <f aca="false">(Tabla3510813153221[[#This Row],[% efe_inc]]+Tabla3510813153221[[#This Row],[% no_efect_inc]])/2</f>
        <v>0.473786909770584</v>
      </c>
      <c r="O15" s="11" t="n">
        <f aca="false">Tabla3510813153221[[#This Row],[no_efec_cor]]/(Tabla3510813153221[[#This Row],[efect_inc]]+Tabla3510813153221[[#This Row],[no_efec_cor]])</f>
        <v>0.524943310657596</v>
      </c>
      <c r="P15" s="11" t="n">
        <f aca="false">Tabla3510813153221[[#This Row],[efec_cor]]/(Tabla3510813153221[[#This Row],[efec_cor]]+Tabla3510813153221[[#This Row],[no_efec_inc]])</f>
        <v>0.527542372881356</v>
      </c>
      <c r="Q15" s="11" t="n">
        <f aca="false">(Tabla3510813153221[[#This Row],[PNE]]+Tabla3510813153221[[#This Row],[PE]])/2</f>
        <v>0.526242841769476</v>
      </c>
      <c r="R15" s="0" t="n">
        <v>917</v>
      </c>
      <c r="S15" s="0" t="n">
        <v>909</v>
      </c>
      <c r="T15" s="0" t="n">
        <f aca="false">Tabla3510813153221[[#This Row],[efec]]+Tabla3510813153221[[#This Row],[no_efe]]</f>
        <v>1826</v>
      </c>
    </row>
    <row r="16" customFormat="false" ht="13.8" hidden="false" customHeight="false" outlineLevel="0" collapsed="false">
      <c r="A16" s="0" t="n">
        <v>30</v>
      </c>
      <c r="B16" s="0" t="n">
        <v>381</v>
      </c>
      <c r="C16" s="0" t="n">
        <v>528</v>
      </c>
      <c r="D16" s="0" t="n">
        <v>563</v>
      </c>
      <c r="E16" s="0" t="n">
        <v>354</v>
      </c>
      <c r="F16" s="0" t="n">
        <f aca="false">Tabla3510813153221[[#This Row],[no_efec_cor]]+Tabla3510813153221[[#This Row],[efec_cor]]</f>
        <v>944</v>
      </c>
      <c r="G16" s="0" t="n">
        <f aca="false">Tabla3510813153221[[#This Row],[no_efec_inc]]+Tabla3510813153221[[#This Row],[efect_inc]]</f>
        <v>882</v>
      </c>
      <c r="H16" s="9" t="n">
        <f aca="false">Tabla3510813153221[[#This Row],[Correctos]]/Tabla3510813153221[[#This Row],[total_sec]]</f>
        <v>0.51697699890471</v>
      </c>
      <c r="I16" s="9" t="n">
        <f aca="false">Tabla3510813153221[[#This Row],[efec_cor]]/Tabla3510813153221[[#This Row],[efec]]</f>
        <v>0.613958560523446</v>
      </c>
      <c r="J16" s="9" t="n">
        <f aca="false">Tabla3510813153221[[#This Row],[efect_inc]]/Tabla3510813153221[[#This Row],[efec]]</f>
        <v>0.386041439476554</v>
      </c>
      <c r="K16" s="9" t="n">
        <f aca="false">Tabla3510813153221[[#This Row],[no_efec_cor]]/Tabla3510813153221[[#This Row],[no_efe]]</f>
        <v>0.419141914191419</v>
      </c>
      <c r="L16" s="9" t="n">
        <f aca="false">Tabla3510813153221[[#This Row],[no_efec_inc]]/Tabla3510813153221[[#This Row],[no_efe]]</f>
        <v>0.580858085808581</v>
      </c>
      <c r="M16" s="9" t="n">
        <f aca="false">(Tabla3510813153221[[#This Row],[% efe_cor]]+Tabla3510813153221[[#This Row],[% no_efe_cor]])/2</f>
        <v>0.516550237357433</v>
      </c>
      <c r="N16" s="10" t="n">
        <f aca="false">(Tabla3510813153221[[#This Row],[% efe_inc]]+Tabla3510813153221[[#This Row],[% no_efect_inc]])/2</f>
        <v>0.483449762642567</v>
      </c>
      <c r="O16" s="11" t="n">
        <f aca="false">Tabla3510813153221[[#This Row],[no_efec_cor]]/(Tabla3510813153221[[#This Row],[efect_inc]]+Tabla3510813153221[[#This Row],[no_efec_cor]])</f>
        <v>0.518367346938776</v>
      </c>
      <c r="P16" s="11" t="n">
        <f aca="false">Tabla3510813153221[[#This Row],[efec_cor]]/(Tabla3510813153221[[#This Row],[efec_cor]]+Tabla3510813153221[[#This Row],[no_efec_inc]])</f>
        <v>0.516040329972502</v>
      </c>
      <c r="Q16" s="11" t="n">
        <f aca="false">(Tabla3510813153221[[#This Row],[PNE]]+Tabla3510813153221[[#This Row],[PE]])/2</f>
        <v>0.517203838455639</v>
      </c>
      <c r="R16" s="0" t="n">
        <v>917</v>
      </c>
      <c r="S16" s="0" t="n">
        <v>909</v>
      </c>
      <c r="T16" s="0" t="n">
        <f aca="false">Tabla3510813153221[[#This Row],[efec]]+Tabla3510813153221[[#This Row],[no_efe]]</f>
        <v>1826</v>
      </c>
    </row>
    <row r="17" customFormat="false" ht="13.8" hidden="false" customHeight="false" outlineLevel="0" collapsed="false">
      <c r="A17" s="0" t="n">
        <v>35</v>
      </c>
      <c r="B17" s="0" t="n">
        <v>442</v>
      </c>
      <c r="C17" s="0" t="n">
        <v>467</v>
      </c>
      <c r="D17" s="0" t="n">
        <v>488</v>
      </c>
      <c r="E17" s="0" t="n">
        <v>429</v>
      </c>
      <c r="F17" s="0" t="n">
        <f aca="false">Tabla3510813153221[[#This Row],[no_efec_cor]]+Tabla3510813153221[[#This Row],[efec_cor]]</f>
        <v>930</v>
      </c>
      <c r="G17" s="0" t="n">
        <f aca="false">Tabla3510813153221[[#This Row],[no_efec_inc]]+Tabla3510813153221[[#This Row],[efect_inc]]</f>
        <v>896</v>
      </c>
      <c r="H17" s="9" t="n">
        <f aca="false">Tabla3510813153221[[#This Row],[Correctos]]/Tabla3510813153221[[#This Row],[total_sec]]</f>
        <v>0.509309967141292</v>
      </c>
      <c r="I17" s="9" t="n">
        <f aca="false">Tabla3510813153221[[#This Row],[efec_cor]]/Tabla3510813153221[[#This Row],[efec]]</f>
        <v>0.53217011995638</v>
      </c>
      <c r="J17" s="9" t="n">
        <f aca="false">Tabla3510813153221[[#This Row],[efect_inc]]/Tabla3510813153221[[#This Row],[efec]]</f>
        <v>0.467829880043621</v>
      </c>
      <c r="K17" s="9" t="n">
        <f aca="false">Tabla3510813153221[[#This Row],[no_efec_cor]]/Tabla3510813153221[[#This Row],[no_efe]]</f>
        <v>0.486248624862486</v>
      </c>
      <c r="L17" s="9" t="n">
        <f aca="false">Tabla3510813153221[[#This Row],[no_efec_inc]]/Tabla3510813153221[[#This Row],[no_efe]]</f>
        <v>0.513751375137514</v>
      </c>
      <c r="M17" s="9" t="n">
        <f aca="false">(Tabla3510813153221[[#This Row],[% efe_cor]]+Tabla3510813153221[[#This Row],[% no_efe_cor]])/2</f>
        <v>0.509209372409433</v>
      </c>
      <c r="N17" s="10" t="n">
        <f aca="false">(Tabla3510813153221[[#This Row],[% efe_inc]]+Tabla3510813153221[[#This Row],[% no_efect_inc]])/2</f>
        <v>0.490790627590567</v>
      </c>
      <c r="O17" s="11" t="n">
        <f aca="false">Tabla3510813153221[[#This Row],[no_efec_cor]]/(Tabla3510813153221[[#This Row],[efect_inc]]+Tabla3510813153221[[#This Row],[no_efec_cor]])</f>
        <v>0.507462686567164</v>
      </c>
      <c r="P17" s="11" t="n">
        <f aca="false">Tabla3510813153221[[#This Row],[efec_cor]]/(Tabla3510813153221[[#This Row],[efec_cor]]+Tabla3510813153221[[#This Row],[no_efec_inc]])</f>
        <v>0.510994764397906</v>
      </c>
      <c r="Q17" s="11" t="n">
        <f aca="false">(Tabla3510813153221[[#This Row],[PNE]]+Tabla3510813153221[[#This Row],[PE]])/2</f>
        <v>0.509228725482535</v>
      </c>
      <c r="R17" s="0" t="n">
        <v>917</v>
      </c>
      <c r="S17" s="0" t="n">
        <v>909</v>
      </c>
      <c r="T17" s="0" t="n">
        <f aca="false">Tabla3510813153221[[#This Row],[efec]]+Tabla3510813153221[[#This Row],[no_efe]]</f>
        <v>1826</v>
      </c>
    </row>
    <row r="18" customFormat="false" ht="13.8" hidden="false" customHeight="false" outlineLevel="0" collapsed="false">
      <c r="A18" s="0" t="n">
        <v>39</v>
      </c>
      <c r="B18" s="0" t="n">
        <v>428</v>
      </c>
      <c r="C18" s="0" t="n">
        <v>481</v>
      </c>
      <c r="D18" s="0" t="n">
        <v>498</v>
      </c>
      <c r="E18" s="0" t="n">
        <v>419</v>
      </c>
      <c r="F18" s="0" t="n">
        <f aca="false">Tabla3510813153221[[#This Row],[no_efec_cor]]+Tabla3510813153221[[#This Row],[efec_cor]]</f>
        <v>926</v>
      </c>
      <c r="G18" s="0" t="n">
        <f aca="false">Tabla3510813153221[[#This Row],[no_efec_inc]]+Tabla3510813153221[[#This Row],[efect_inc]]</f>
        <v>900</v>
      </c>
      <c r="H18" s="9" t="n">
        <f aca="false">Tabla3510813153221[[#This Row],[Correctos]]/Tabla3510813153221[[#This Row],[total_sec]]</f>
        <v>0.507119386637459</v>
      </c>
      <c r="I18" s="9" t="n">
        <f aca="false">Tabla3510813153221[[#This Row],[efec_cor]]/Tabla3510813153221[[#This Row],[efec]]</f>
        <v>0.543075245365322</v>
      </c>
      <c r="J18" s="9" t="n">
        <f aca="false">Tabla3510813153221[[#This Row],[efect_inc]]/Tabla3510813153221[[#This Row],[efec]]</f>
        <v>0.456924754634678</v>
      </c>
      <c r="K18" s="9" t="n">
        <f aca="false">Tabla3510813153221[[#This Row],[no_efec_cor]]/Tabla3510813153221[[#This Row],[no_efe]]</f>
        <v>0.470847084708471</v>
      </c>
      <c r="L18" s="9" t="n">
        <f aca="false">Tabla3510813153221[[#This Row],[no_efec_inc]]/Tabla3510813153221[[#This Row],[no_efe]]</f>
        <v>0.529152915291529</v>
      </c>
      <c r="M18" s="9" t="n">
        <f aca="false">(Tabla3510813153221[[#This Row],[% efe_cor]]+Tabla3510813153221[[#This Row],[% no_efe_cor]])/2</f>
        <v>0.506961165036896</v>
      </c>
      <c r="N18" s="10" t="n">
        <f aca="false">(Tabla3510813153221[[#This Row],[% efe_inc]]+Tabla3510813153221[[#This Row],[% no_efect_inc]])/2</f>
        <v>0.493038834963104</v>
      </c>
      <c r="O18" s="11" t="n">
        <f aca="false">Tabla3510813153221[[#This Row],[no_efec_cor]]/(Tabla3510813153221[[#This Row],[efect_inc]]+Tabla3510813153221[[#This Row],[no_efec_cor]])</f>
        <v>0.505312868949233</v>
      </c>
      <c r="P18" s="11" t="n">
        <f aca="false">Tabla3510813153221[[#This Row],[efec_cor]]/(Tabla3510813153221[[#This Row],[efec_cor]]+Tabla3510813153221[[#This Row],[no_efec_inc]])</f>
        <v>0.508682328907048</v>
      </c>
      <c r="Q18" s="11" t="n">
        <f aca="false">(Tabla3510813153221[[#This Row],[PNE]]+Tabla3510813153221[[#This Row],[PE]])/2</f>
        <v>0.50699759892814</v>
      </c>
      <c r="R18" s="0" t="n">
        <v>917</v>
      </c>
      <c r="S18" s="0" t="n">
        <v>909</v>
      </c>
      <c r="T18" s="0" t="n">
        <f aca="false">Tabla3510813153221[[#This Row],[efec]]+Tabla3510813153221[[#This Row],[no_efe]]</f>
        <v>1826</v>
      </c>
    </row>
    <row r="20" customFormat="false" ht="19.5" hidden="false" customHeight="false" outlineLevel="0" collapsed="false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4" customFormat="false" ht="15.75" hidden="false" customHeight="false" outlineLevel="0" collapsed="false">
      <c r="A24" s="5" t="s">
        <v>5</v>
      </c>
      <c r="B24" s="5"/>
      <c r="C24" s="5"/>
      <c r="D24" s="5"/>
      <c r="E24" s="5"/>
      <c r="F24" s="5"/>
      <c r="G24" s="5"/>
      <c r="H24" s="5"/>
      <c r="I24" s="5"/>
    </row>
    <row r="25" customFormat="false" ht="15.75" hidden="false" customHeight="false" outlineLevel="0" collapsed="false">
      <c r="A25" s="7" t="s">
        <v>27</v>
      </c>
      <c r="B25" s="7" t="s">
        <v>28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7" t="s">
        <v>13</v>
      </c>
      <c r="J25" s="7" t="s">
        <v>14</v>
      </c>
      <c r="K25" s="7" t="s">
        <v>15</v>
      </c>
      <c r="L25" s="7" t="s">
        <v>16</v>
      </c>
      <c r="M25" s="7" t="s">
        <v>17</v>
      </c>
      <c r="N25" s="7" t="s">
        <v>18</v>
      </c>
      <c r="O25" s="7" t="s">
        <v>19</v>
      </c>
      <c r="P25" s="7" t="s">
        <v>20</v>
      </c>
      <c r="Q25" s="7" t="s">
        <v>21</v>
      </c>
      <c r="R25" s="7" t="s">
        <v>22</v>
      </c>
      <c r="S25" s="7" t="s">
        <v>23</v>
      </c>
      <c r="T25" s="7" t="s">
        <v>24</v>
      </c>
      <c r="U25" s="7" t="s">
        <v>25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401</v>
      </c>
      <c r="D26" s="0" t="n">
        <v>508</v>
      </c>
      <c r="E26" s="0" t="n">
        <v>502</v>
      </c>
      <c r="F26" s="0" t="n">
        <v>415</v>
      </c>
      <c r="G26" s="0" t="n">
        <f aca="false">Tabla3510813153426[[#This Row],[no_efec_cor]]+Tabla3510813153426[[#This Row],[efec_cor]]</f>
        <v>903</v>
      </c>
      <c r="H26" s="0" t="n">
        <f aca="false">Tabla3510813153426[[#This Row],[no_efec_inc]]+Tabla3510813153426[[#This Row],[efect_inc]]</f>
        <v>923</v>
      </c>
      <c r="I26" s="9" t="n">
        <f aca="false">Tabla3510813153426[[#This Row],[Correctos]]/Tabla3510813153426[[#This Row],[total_sec]]</f>
        <v>0.494523548740416</v>
      </c>
      <c r="J26" s="9" t="n">
        <f aca="false">Tabla3510813153426[[#This Row],[efec_cor]]/Tabla3510813153426[[#This Row],[efec]]</f>
        <v>0.547437295528899</v>
      </c>
      <c r="K26" s="9" t="n">
        <f aca="false">Tabla3510813153426[[#This Row],[efect_inc]]/Tabla3510813153426[[#This Row],[efec]]</f>
        <v>0.452562704471101</v>
      </c>
      <c r="L26" s="9" t="n">
        <f aca="false">Tabla3510813153426[[#This Row],[no_efec_cor]]/Tabla3510813153426[[#This Row],[no_efe]]</f>
        <v>0.441144114411441</v>
      </c>
      <c r="M26" s="9" t="n">
        <f aca="false">Tabla3510813153426[[#This Row],[no_efec_inc]]/Tabla3510813153426[[#This Row],[no_efe]]</f>
        <v>0.558855885588559</v>
      </c>
      <c r="N26" s="9" t="n">
        <f aca="false">(Tabla3510813153426[[#This Row],[% efe_cor]]+Tabla3510813153426[[#This Row],[% no_efe_cor]])/2</f>
        <v>0.49429070497017</v>
      </c>
      <c r="O26" s="10" t="n">
        <f aca="false">(Tabla3510813153426[[#This Row],[% efe_inc]]+Tabla3510813153426[[#This Row],[% no_efect_inc]])/2</f>
        <v>0.50570929502983</v>
      </c>
      <c r="P26" s="11" t="n">
        <f aca="false">Tabla3510813153426[[#This Row],[no_efec_cor]]/(Tabla3510813153426[[#This Row],[efect_inc]]+Tabla3510813153426[[#This Row],[no_efec_cor]])</f>
        <v>0.491421568627451</v>
      </c>
      <c r="Q26" s="11" t="n">
        <f aca="false">Tabla3510813153426[[#This Row],[efec_cor]]/(Tabla3510813153426[[#This Row],[efec_cor]]+Tabla3510813153426[[#This Row],[no_efec_inc]])</f>
        <v>0.497029702970297</v>
      </c>
      <c r="R26" s="11" t="n">
        <f aca="false">(Tabla3510813153426[[#This Row],[PNE]]+Tabla3510813153426[[#This Row],[PE]])/2</f>
        <v>0.494225635798874</v>
      </c>
      <c r="S26" s="0" t="n">
        <v>917</v>
      </c>
      <c r="T26" s="0" t="n">
        <v>909</v>
      </c>
      <c r="U26" s="0" t="n">
        <f aca="false">Tabla3510813153426[[#This Row],[efec]]+Tabla3510813153426[[#This Row],[no_efe]]</f>
        <v>1826</v>
      </c>
    </row>
    <row r="27" customFormat="false" ht="13.8" hidden="false" customHeight="false" outlineLevel="0" collapsed="false">
      <c r="A27" s="0" t="n">
        <v>1</v>
      </c>
      <c r="B27" s="0" t="n">
        <v>0.1</v>
      </c>
      <c r="C27" s="0" t="n">
        <v>421</v>
      </c>
      <c r="D27" s="0" t="n">
        <v>488</v>
      </c>
      <c r="E27" s="0" t="n">
        <v>491</v>
      </c>
      <c r="F27" s="0" t="n">
        <v>426</v>
      </c>
      <c r="G27" s="0" t="n">
        <f aca="false">Tabla3510813153426[[#This Row],[no_efec_cor]]+Tabla3510813153426[[#This Row],[efec_cor]]</f>
        <v>912</v>
      </c>
      <c r="H27" s="0" t="n">
        <f aca="false">Tabla3510813153426[[#This Row],[no_efec_inc]]+Tabla3510813153426[[#This Row],[efect_inc]]</f>
        <v>914</v>
      </c>
      <c r="I27" s="9" t="n">
        <f aca="false">Tabla3510813153426[[#This Row],[Correctos]]/Tabla3510813153426[[#This Row],[total_sec]]</f>
        <v>0.499452354874042</v>
      </c>
      <c r="J27" s="9" t="n">
        <f aca="false">Tabla3510813153426[[#This Row],[efec_cor]]/Tabla3510813153426[[#This Row],[efec]]</f>
        <v>0.535441657579062</v>
      </c>
      <c r="K27" s="9" t="n">
        <f aca="false">Tabla3510813153426[[#This Row],[efect_inc]]/Tabla3510813153426[[#This Row],[efec]]</f>
        <v>0.464558342420938</v>
      </c>
      <c r="L27" s="9" t="n">
        <f aca="false">Tabla3510813153426[[#This Row],[no_efec_cor]]/Tabla3510813153426[[#This Row],[no_efe]]</f>
        <v>0.463146314631463</v>
      </c>
      <c r="M27" s="9" t="n">
        <f aca="false">Tabla3510813153426[[#This Row],[no_efec_inc]]/Tabla3510813153426[[#This Row],[no_efe]]</f>
        <v>0.536853685368537</v>
      </c>
      <c r="N27" s="9" t="n">
        <f aca="false">(Tabla3510813153426[[#This Row],[% efe_cor]]+Tabla3510813153426[[#This Row],[% no_efe_cor]])/2</f>
        <v>0.499293986105263</v>
      </c>
      <c r="O27" s="10" t="n">
        <f aca="false">(Tabla3510813153426[[#This Row],[% efe_inc]]+Tabla3510813153426[[#This Row],[% no_efect_inc]])/2</f>
        <v>0.500706013894737</v>
      </c>
      <c r="P27" s="11" t="n">
        <f aca="false">Tabla3510813153426[[#This Row],[no_efec_cor]]/(Tabla3510813153426[[#This Row],[efect_inc]]+Tabla3510813153426[[#This Row],[no_efec_cor]])</f>
        <v>0.497048406139315</v>
      </c>
      <c r="Q27" s="11" t="n">
        <f aca="false">Tabla3510813153426[[#This Row],[efec_cor]]/(Tabla3510813153426[[#This Row],[efec_cor]]+Tabla3510813153426[[#This Row],[no_efec_inc]])</f>
        <v>0.501532175689479</v>
      </c>
      <c r="R27" s="11" t="n">
        <f aca="false">(Tabla3510813153426[[#This Row],[PNE]]+Tabla3510813153426[[#This Row],[PE]])/2</f>
        <v>0.499290290914397</v>
      </c>
      <c r="S27" s="0" t="n">
        <v>917</v>
      </c>
      <c r="T27" s="0" t="n">
        <v>909</v>
      </c>
      <c r="U27" s="0" t="n">
        <f aca="false">Tabla3510813153426[[#This Row],[efec]]+Tabla3510813153426[[#This Row],[no_efe]]</f>
        <v>1826</v>
      </c>
    </row>
    <row r="28" customFormat="false" ht="13.8" hidden="false" customHeight="false" outlineLevel="0" collapsed="false">
      <c r="A28" s="0" t="n">
        <v>1</v>
      </c>
      <c r="B28" s="0" t="n">
        <v>0.5</v>
      </c>
      <c r="C28" s="0" t="n">
        <v>355</v>
      </c>
      <c r="D28" s="0" t="n">
        <v>554</v>
      </c>
      <c r="E28" s="0" t="n">
        <v>558</v>
      </c>
      <c r="F28" s="0" t="n">
        <v>359</v>
      </c>
      <c r="G28" s="0" t="n">
        <f aca="false">Tabla3510813153426[[#This Row],[no_efec_cor]]+Tabla3510813153426[[#This Row],[efec_cor]]</f>
        <v>913</v>
      </c>
      <c r="H28" s="0" t="n">
        <f aca="false">Tabla3510813153426[[#This Row],[no_efec_inc]]+Tabla3510813153426[[#This Row],[efect_inc]]</f>
        <v>913</v>
      </c>
      <c r="I28" s="9" t="n">
        <f aca="false">Tabla3510813153426[[#This Row],[Correctos]]/Tabla3510813153426[[#This Row],[total_sec]]</f>
        <v>0.5</v>
      </c>
      <c r="J28" s="9" t="n">
        <f aca="false">Tabla3510813153426[[#This Row],[efec_cor]]/Tabla3510813153426[[#This Row],[efec]]</f>
        <v>0.608505997818975</v>
      </c>
      <c r="K28" s="9" t="n">
        <f aca="false">Tabla3510813153426[[#This Row],[efect_inc]]/Tabla3510813153426[[#This Row],[efec]]</f>
        <v>0.391494002181025</v>
      </c>
      <c r="L28" s="9" t="n">
        <f aca="false">Tabla3510813153426[[#This Row],[no_efec_cor]]/Tabla3510813153426[[#This Row],[no_efe]]</f>
        <v>0.390539053905391</v>
      </c>
      <c r="M28" s="9" t="n">
        <f aca="false">Tabla3510813153426[[#This Row],[no_efec_inc]]/Tabla3510813153426[[#This Row],[no_efe]]</f>
        <v>0.609460946094609</v>
      </c>
      <c r="N28" s="9" t="n">
        <f aca="false">(Tabla3510813153426[[#This Row],[% efe_cor]]+Tabla3510813153426[[#This Row],[% no_efe_cor]])/2</f>
        <v>0.499522525862183</v>
      </c>
      <c r="O28" s="10" t="n">
        <f aca="false">(Tabla3510813153426[[#This Row],[% efe_inc]]+Tabla3510813153426[[#This Row],[% no_efect_inc]])/2</f>
        <v>0.500477474137817</v>
      </c>
      <c r="P28" s="11" t="n">
        <f aca="false">Tabla3510813153426[[#This Row],[no_efec_cor]]/(Tabla3510813153426[[#This Row],[efect_inc]]+Tabla3510813153426[[#This Row],[no_efec_cor]])</f>
        <v>0.497198879551821</v>
      </c>
      <c r="Q28" s="11" t="n">
        <f aca="false">Tabla3510813153426[[#This Row],[efec_cor]]/(Tabla3510813153426[[#This Row],[efec_cor]]+Tabla3510813153426[[#This Row],[no_efec_inc]])</f>
        <v>0.501798561151079</v>
      </c>
      <c r="R28" s="11" t="n">
        <f aca="false">(Tabla3510813153426[[#This Row],[PNE]]+Tabla3510813153426[[#This Row],[PE]])/2</f>
        <v>0.49949872035145</v>
      </c>
      <c r="S28" s="0" t="n">
        <v>917</v>
      </c>
      <c r="T28" s="0" t="n">
        <v>909</v>
      </c>
      <c r="U28" s="0" t="n">
        <f aca="false">Tabla3510813153426[[#This Row],[efec]]+Tabla3510813153426[[#This Row],[no_efe]]</f>
        <v>1826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391</v>
      </c>
      <c r="D29" s="0" t="n">
        <v>518</v>
      </c>
      <c r="E29" s="0" t="n">
        <v>549</v>
      </c>
      <c r="F29" s="0" t="n">
        <v>368</v>
      </c>
      <c r="G29" s="0" t="n">
        <f aca="false">Tabla3510813153426[[#This Row],[no_efec_cor]]+Tabla3510813153426[[#This Row],[efec_cor]]</f>
        <v>940</v>
      </c>
      <c r="H29" s="0" t="n">
        <f aca="false">Tabla3510813153426[[#This Row],[no_efec_inc]]+Tabla3510813153426[[#This Row],[efect_inc]]</f>
        <v>886</v>
      </c>
      <c r="I29" s="9" t="n">
        <f aca="false">Tabla3510813153426[[#This Row],[Correctos]]/Tabla3510813153426[[#This Row],[total_sec]]</f>
        <v>0.514786418400876</v>
      </c>
      <c r="J29" s="9" t="n">
        <f aca="false">Tabla3510813153426[[#This Row],[efec_cor]]/Tabla3510813153426[[#This Row],[efec]]</f>
        <v>0.598691384950927</v>
      </c>
      <c r="K29" s="9" t="n">
        <f aca="false">Tabla3510813153426[[#This Row],[efect_inc]]/Tabla3510813153426[[#This Row],[efec]]</f>
        <v>0.401308615049073</v>
      </c>
      <c r="L29" s="9" t="n">
        <f aca="false">Tabla3510813153426[[#This Row],[no_efec_cor]]/Tabla3510813153426[[#This Row],[no_efe]]</f>
        <v>0.43014301430143</v>
      </c>
      <c r="M29" s="9" t="n">
        <f aca="false">Tabla3510813153426[[#This Row],[no_efec_inc]]/Tabla3510813153426[[#This Row],[no_efe]]</f>
        <v>0.56985698569857</v>
      </c>
      <c r="N29" s="9" t="n">
        <f aca="false">(Tabla3510813153426[[#This Row],[% efe_cor]]+Tabla3510813153426[[#This Row],[% no_efe_cor]])/2</f>
        <v>0.514417199626178</v>
      </c>
      <c r="O29" s="10" t="n">
        <f aca="false">(Tabla3510813153426[[#This Row],[% efe_inc]]+Tabla3510813153426[[#This Row],[% no_efect_inc]])/2</f>
        <v>0.485582800373822</v>
      </c>
      <c r="P29" s="11" t="n">
        <f aca="false">Tabla3510813153426[[#This Row],[no_efec_cor]]/(Tabla3510813153426[[#This Row],[efect_inc]]+Tabla3510813153426[[#This Row],[no_efec_cor]])</f>
        <v>0.515151515151515</v>
      </c>
      <c r="Q29" s="11" t="n">
        <f aca="false">Tabla3510813153426[[#This Row],[efec_cor]]/(Tabla3510813153426[[#This Row],[efec_cor]]+Tabla3510813153426[[#This Row],[no_efec_inc]])</f>
        <v>0.514526710402999</v>
      </c>
      <c r="R29" s="11" t="n">
        <f aca="false">(Tabla3510813153426[[#This Row],[PNE]]+Tabla3510813153426[[#This Row],[PE]])/2</f>
        <v>0.514839112777257</v>
      </c>
      <c r="S29" s="0" t="n">
        <v>917</v>
      </c>
      <c r="T29" s="0" t="n">
        <v>909</v>
      </c>
      <c r="U29" s="0" t="n">
        <f aca="false">Tabla3510813153426[[#This Row],[efec]]+Tabla3510813153426[[#This Row],[no_efe]]</f>
        <v>1826</v>
      </c>
    </row>
    <row r="30" customFormat="false" ht="13.8" hidden="false" customHeight="false" outlineLevel="0" collapsed="false">
      <c r="A30" s="0" t="n">
        <v>1</v>
      </c>
      <c r="B30" s="0" t="n">
        <v>2</v>
      </c>
      <c r="C30" s="0" t="n">
        <v>446</v>
      </c>
      <c r="D30" s="0" t="n">
        <v>463</v>
      </c>
      <c r="E30" s="0" t="n">
        <v>496</v>
      </c>
      <c r="F30" s="0" t="n">
        <v>421</v>
      </c>
      <c r="G30" s="0" t="n">
        <f aca="false">Tabla3510813153426[[#This Row],[no_efec_cor]]+Tabla3510813153426[[#This Row],[efec_cor]]</f>
        <v>942</v>
      </c>
      <c r="H30" s="0" t="n">
        <f aca="false">Tabla3510813153426[[#This Row],[no_efec_inc]]+Tabla3510813153426[[#This Row],[efect_inc]]</f>
        <v>884</v>
      </c>
      <c r="I30" s="9" t="n">
        <f aca="false">Tabla3510813153426[[#This Row],[Correctos]]/Tabla3510813153426[[#This Row],[total_sec]]</f>
        <v>0.515881708652793</v>
      </c>
      <c r="J30" s="9" t="n">
        <f aca="false">Tabla3510813153426[[#This Row],[efec_cor]]/Tabla3510813153426[[#This Row],[efec]]</f>
        <v>0.540894220283533</v>
      </c>
      <c r="K30" s="9" t="n">
        <f aca="false">Tabla3510813153426[[#This Row],[efect_inc]]/Tabla3510813153426[[#This Row],[efec]]</f>
        <v>0.459105779716467</v>
      </c>
      <c r="L30" s="9" t="n">
        <f aca="false">Tabla3510813153426[[#This Row],[no_efec_cor]]/Tabla3510813153426[[#This Row],[no_efe]]</f>
        <v>0.490649064906491</v>
      </c>
      <c r="M30" s="9" t="n">
        <f aca="false">Tabla3510813153426[[#This Row],[no_efec_inc]]/Tabla3510813153426[[#This Row],[no_efe]]</f>
        <v>0.509350935093509</v>
      </c>
      <c r="N30" s="9" t="n">
        <f aca="false">(Tabla3510813153426[[#This Row],[% efe_cor]]+Tabla3510813153426[[#This Row],[% no_efe_cor]])/2</f>
        <v>0.515771642595012</v>
      </c>
      <c r="O30" s="10" t="n">
        <f aca="false">(Tabla3510813153426[[#This Row],[% efe_inc]]+Tabla3510813153426[[#This Row],[% no_efect_inc]])/2</f>
        <v>0.484228357404988</v>
      </c>
      <c r="P30" s="11" t="n">
        <f aca="false">Tabla3510813153426[[#This Row],[no_efec_cor]]/(Tabla3510813153426[[#This Row],[efect_inc]]+Tabla3510813153426[[#This Row],[no_efec_cor]])</f>
        <v>0.51441753171857</v>
      </c>
      <c r="Q30" s="11" t="n">
        <f aca="false">Tabla3510813153426[[#This Row],[efec_cor]]/(Tabla3510813153426[[#This Row],[efec_cor]]+Tabla3510813153426[[#This Row],[no_efec_inc]])</f>
        <v>0.517205422314911</v>
      </c>
      <c r="R30" s="11" t="n">
        <f aca="false">(Tabla3510813153426[[#This Row],[PNE]]+Tabla3510813153426[[#This Row],[PE]])/2</f>
        <v>0.515811477016741</v>
      </c>
      <c r="S30" s="0" t="n">
        <v>917</v>
      </c>
      <c r="T30" s="0" t="n">
        <v>909</v>
      </c>
      <c r="U30" s="0" t="n">
        <f aca="false">Tabla3510813153426[[#This Row],[efec]]+Tabla3510813153426[[#This Row],[no_efe]]</f>
        <v>1826</v>
      </c>
    </row>
    <row r="31" customFormat="false" ht="13.8" hidden="false" customHeight="false" outlineLevel="0" collapsed="false">
      <c r="A31" s="0" t="n">
        <v>1</v>
      </c>
      <c r="B31" s="0" t="n">
        <v>3</v>
      </c>
      <c r="C31" s="0" t="n">
        <v>461</v>
      </c>
      <c r="D31" s="0" t="n">
        <v>448</v>
      </c>
      <c r="E31" s="0" t="n">
        <v>480</v>
      </c>
      <c r="F31" s="0" t="n">
        <v>437</v>
      </c>
      <c r="G31" s="0" t="n">
        <f aca="false">Tabla3510813153426[[#This Row],[no_efec_cor]]+Tabla3510813153426[[#This Row],[efec_cor]]</f>
        <v>941</v>
      </c>
      <c r="H31" s="0" t="n">
        <f aca="false">Tabla3510813153426[[#This Row],[no_efec_inc]]+Tabla3510813153426[[#This Row],[efect_inc]]</f>
        <v>885</v>
      </c>
      <c r="I31" s="9" t="n">
        <f aca="false">Tabla3510813153426[[#This Row],[Correctos]]/Tabla3510813153426[[#This Row],[total_sec]]</f>
        <v>0.515334063526835</v>
      </c>
      <c r="J31" s="9" t="n">
        <f aca="false">Tabla3510813153426[[#This Row],[efec_cor]]/Tabla3510813153426[[#This Row],[efec]]</f>
        <v>0.523446019629226</v>
      </c>
      <c r="K31" s="9" t="n">
        <f aca="false">Tabla3510813153426[[#This Row],[efect_inc]]/Tabla3510813153426[[#This Row],[efec]]</f>
        <v>0.476553980370774</v>
      </c>
      <c r="L31" s="9" t="n">
        <f aca="false">Tabla3510813153426[[#This Row],[no_efec_cor]]/Tabla3510813153426[[#This Row],[no_efe]]</f>
        <v>0.507150715071507</v>
      </c>
      <c r="M31" s="9" t="n">
        <f aca="false">Tabla3510813153426[[#This Row],[no_efec_inc]]/Tabla3510813153426[[#This Row],[no_efe]]</f>
        <v>0.492849284928493</v>
      </c>
      <c r="N31" s="9" t="n">
        <f aca="false">(Tabla3510813153426[[#This Row],[% efe_cor]]+Tabla3510813153426[[#This Row],[% no_efe_cor]])/2</f>
        <v>0.515298367350366</v>
      </c>
      <c r="O31" s="10" t="n">
        <f aca="false">(Tabla3510813153426[[#This Row],[% efe_inc]]+Tabla3510813153426[[#This Row],[% no_efect_inc]])/2</f>
        <v>0.484701632649634</v>
      </c>
      <c r="P31" s="11" t="n">
        <f aca="false">Tabla3510813153426[[#This Row],[no_efec_cor]]/(Tabla3510813153426[[#This Row],[efect_inc]]+Tabla3510813153426[[#This Row],[no_efec_cor]])</f>
        <v>0.513363028953229</v>
      </c>
      <c r="Q31" s="11" t="n">
        <f aca="false">Tabla3510813153426[[#This Row],[efec_cor]]/(Tabla3510813153426[[#This Row],[efec_cor]]+Tabla3510813153426[[#This Row],[no_efec_inc]])</f>
        <v>0.517241379310345</v>
      </c>
      <c r="R31" s="11" t="n">
        <f aca="false">(Tabla3510813153426[[#This Row],[PNE]]+Tabla3510813153426[[#This Row],[PE]])/2</f>
        <v>0.515302204131787</v>
      </c>
      <c r="S31" s="0" t="n">
        <v>917</v>
      </c>
      <c r="T31" s="0" t="n">
        <v>909</v>
      </c>
      <c r="U31" s="0" t="n">
        <f aca="false">Tabla3510813153426[[#This Row],[efec]]+Tabla3510813153426[[#This Row],[no_efe]]</f>
        <v>1826</v>
      </c>
    </row>
    <row r="32" customFormat="false" ht="13.8" hidden="false" customHeight="false" outlineLevel="0" collapsed="false">
      <c r="A32" s="0" t="n">
        <v>1</v>
      </c>
      <c r="B32" s="0" t="n">
        <v>5</v>
      </c>
      <c r="C32" s="0" t="n">
        <v>479</v>
      </c>
      <c r="D32" s="0" t="n">
        <v>430</v>
      </c>
      <c r="E32" s="0" t="n">
        <v>460</v>
      </c>
      <c r="F32" s="0" t="n">
        <v>457</v>
      </c>
      <c r="G32" s="0" t="n">
        <f aca="false">Tabla3510813153426[[#This Row],[no_efec_cor]]+Tabla3510813153426[[#This Row],[efec_cor]]</f>
        <v>939</v>
      </c>
      <c r="H32" s="0" t="n">
        <f aca="false">Tabla3510813153426[[#This Row],[no_efec_inc]]+Tabla3510813153426[[#This Row],[efect_inc]]</f>
        <v>887</v>
      </c>
      <c r="I32" s="9" t="n">
        <f aca="false">Tabla3510813153426[[#This Row],[Correctos]]/Tabla3510813153426[[#This Row],[total_sec]]</f>
        <v>0.514238773274918</v>
      </c>
      <c r="J32" s="9" t="n">
        <f aca="false">Tabla3510813153426[[#This Row],[efec_cor]]/Tabla3510813153426[[#This Row],[efec]]</f>
        <v>0.501635768811341</v>
      </c>
      <c r="K32" s="9" t="n">
        <f aca="false">Tabla3510813153426[[#This Row],[efect_inc]]/Tabla3510813153426[[#This Row],[efec]]</f>
        <v>0.498364231188659</v>
      </c>
      <c r="L32" s="9" t="n">
        <f aca="false">Tabla3510813153426[[#This Row],[no_efec_cor]]/Tabla3510813153426[[#This Row],[no_efe]]</f>
        <v>0.526952695269527</v>
      </c>
      <c r="M32" s="9" t="n">
        <f aca="false">Tabla3510813153426[[#This Row],[no_efec_inc]]/Tabla3510813153426[[#This Row],[no_efe]]</f>
        <v>0.473047304730473</v>
      </c>
      <c r="N32" s="9" t="n">
        <f aca="false">(Tabla3510813153426[[#This Row],[% efe_cor]]+Tabla3510813153426[[#This Row],[% no_efe_cor]])/2</f>
        <v>0.514294232040434</v>
      </c>
      <c r="O32" s="10" t="n">
        <f aca="false">(Tabla3510813153426[[#This Row],[% efe_inc]]+Tabla3510813153426[[#This Row],[% no_efect_inc]])/2</f>
        <v>0.485705767959566</v>
      </c>
      <c r="P32" s="11" t="n">
        <f aca="false">Tabla3510813153426[[#This Row],[no_efec_cor]]/(Tabla3510813153426[[#This Row],[efect_inc]]+Tabla3510813153426[[#This Row],[no_efec_cor]])</f>
        <v>0.511752136752137</v>
      </c>
      <c r="Q32" s="11" t="n">
        <f aca="false">Tabla3510813153426[[#This Row],[efec_cor]]/(Tabla3510813153426[[#This Row],[efec_cor]]+Tabla3510813153426[[#This Row],[no_efec_inc]])</f>
        <v>0.51685393258427</v>
      </c>
      <c r="R32" s="11" t="n">
        <f aca="false">(Tabla3510813153426[[#This Row],[PNE]]+Tabla3510813153426[[#This Row],[PE]])/2</f>
        <v>0.514303034668203</v>
      </c>
      <c r="S32" s="0" t="n">
        <v>917</v>
      </c>
      <c r="T32" s="0" t="n">
        <v>909</v>
      </c>
      <c r="U32" s="0" t="n">
        <f aca="false">Tabla3510813153426[[#This Row],[efec]]+Tabla3510813153426[[#This Row],[no_efe]]</f>
        <v>1826</v>
      </c>
    </row>
    <row r="33" customFormat="false" ht="13.8" hidden="false" customHeight="false" outlineLevel="0" collapsed="false">
      <c r="A33" s="0" t="n">
        <v>2</v>
      </c>
      <c r="B33" s="0" t="n">
        <v>0.5</v>
      </c>
      <c r="C33" s="0" t="n">
        <v>335</v>
      </c>
      <c r="D33" s="0" t="n">
        <v>574</v>
      </c>
      <c r="E33" s="0" t="n">
        <v>591</v>
      </c>
      <c r="F33" s="0" t="n">
        <v>326</v>
      </c>
      <c r="G33" s="0" t="n">
        <f aca="false">Tabla3510813153426[[#This Row],[no_efec_cor]]+Tabla3510813153426[[#This Row],[efec_cor]]</f>
        <v>926</v>
      </c>
      <c r="H33" s="0" t="n">
        <f aca="false">Tabla3510813153426[[#This Row],[no_efec_inc]]+Tabla3510813153426[[#This Row],[efect_inc]]</f>
        <v>900</v>
      </c>
      <c r="I33" s="9" t="n">
        <f aca="false">Tabla3510813153426[[#This Row],[Correctos]]/Tabla3510813153426[[#This Row],[total_sec]]</f>
        <v>0.507119386637459</v>
      </c>
      <c r="J33" s="9" t="n">
        <f aca="false">Tabla3510813153426[[#This Row],[efec_cor]]/Tabla3510813153426[[#This Row],[efec]]</f>
        <v>0.644492911668484</v>
      </c>
      <c r="K33" s="9" t="n">
        <f aca="false">Tabla3510813153426[[#This Row],[efect_inc]]/Tabla3510813153426[[#This Row],[efec]]</f>
        <v>0.355507088331516</v>
      </c>
      <c r="L33" s="9" t="n">
        <f aca="false">Tabla3510813153426[[#This Row],[no_efec_cor]]/Tabla3510813153426[[#This Row],[no_efe]]</f>
        <v>0.368536853685368</v>
      </c>
      <c r="M33" s="9" t="n">
        <f aca="false">Tabla3510813153426[[#This Row],[no_efec_inc]]/Tabla3510813153426[[#This Row],[no_efe]]</f>
        <v>0.631463146314631</v>
      </c>
      <c r="N33" s="9" t="n">
        <f aca="false">(Tabla3510813153426[[#This Row],[% efe_cor]]+Tabla3510813153426[[#This Row],[% no_efe_cor]])/2</f>
        <v>0.506514882676926</v>
      </c>
      <c r="O33" s="10" t="n">
        <f aca="false">(Tabla3510813153426[[#This Row],[% efe_inc]]+Tabla3510813153426[[#This Row],[% no_efect_inc]])/2</f>
        <v>0.493485117323074</v>
      </c>
      <c r="P33" s="11" t="n">
        <f aca="false">Tabla3510813153426[[#This Row],[no_efec_cor]]/(Tabla3510813153426[[#This Row],[efect_inc]]+Tabla3510813153426[[#This Row],[no_efec_cor]])</f>
        <v>0.506807866868381</v>
      </c>
      <c r="Q33" s="11" t="n">
        <f aca="false">Tabla3510813153426[[#This Row],[efec_cor]]/(Tabla3510813153426[[#This Row],[efec_cor]]+Tabla3510813153426[[#This Row],[no_efec_inc]])</f>
        <v>0.507296137339056</v>
      </c>
      <c r="R33" s="11" t="n">
        <f aca="false">(Tabla3510813153426[[#This Row],[PNE]]+Tabla3510813153426[[#This Row],[PE]])/2</f>
        <v>0.507052002103718</v>
      </c>
      <c r="S33" s="0" t="n">
        <v>917</v>
      </c>
      <c r="T33" s="0" t="n">
        <v>909</v>
      </c>
      <c r="U33" s="0" t="n">
        <f aca="false">Tabla3510813153426[[#This Row],[efec]]+Tabla3510813153426[[#This Row],[no_efe]]</f>
        <v>1826</v>
      </c>
    </row>
    <row r="34" customFormat="false" ht="13.8" hidden="false" customHeight="false" outlineLevel="0" collapsed="false">
      <c r="A34" s="0" t="n">
        <v>3</v>
      </c>
      <c r="B34" s="0" t="n">
        <v>0.5</v>
      </c>
      <c r="C34" s="0" t="n">
        <v>340</v>
      </c>
      <c r="D34" s="0" t="n">
        <v>569</v>
      </c>
      <c r="E34" s="0" t="n">
        <v>599</v>
      </c>
      <c r="F34" s="0" t="n">
        <v>318</v>
      </c>
      <c r="G34" s="0" t="n">
        <f aca="false">Tabla3510813153426[[#This Row],[no_efec_cor]]+Tabla3510813153426[[#This Row],[efec_cor]]</f>
        <v>939</v>
      </c>
      <c r="H34" s="0" t="n">
        <f aca="false">Tabla3510813153426[[#This Row],[no_efec_inc]]+Tabla3510813153426[[#This Row],[efect_inc]]</f>
        <v>887</v>
      </c>
      <c r="I34" s="9" t="n">
        <f aca="false">Tabla3510813153426[[#This Row],[Correctos]]/Tabla3510813153426[[#This Row],[total_sec]]</f>
        <v>0.514238773274918</v>
      </c>
      <c r="J34" s="9" t="n">
        <f aca="false">Tabla3510813153426[[#This Row],[efec_cor]]/Tabla3510813153426[[#This Row],[efec]]</f>
        <v>0.653217011995638</v>
      </c>
      <c r="K34" s="9" t="n">
        <f aca="false">Tabla3510813153426[[#This Row],[efect_inc]]/Tabla3510813153426[[#This Row],[efec]]</f>
        <v>0.346782988004362</v>
      </c>
      <c r="L34" s="9" t="n">
        <f aca="false">Tabla3510813153426[[#This Row],[no_efec_cor]]/Tabla3510813153426[[#This Row],[no_efe]]</f>
        <v>0.374037403740374</v>
      </c>
      <c r="M34" s="9" t="n">
        <f aca="false">Tabla3510813153426[[#This Row],[no_efec_inc]]/Tabla3510813153426[[#This Row],[no_efe]]</f>
        <v>0.625962596259626</v>
      </c>
      <c r="N34" s="9" t="n">
        <f aca="false">(Tabla3510813153426[[#This Row],[% efe_cor]]+Tabla3510813153426[[#This Row],[% no_efe_cor]])/2</f>
        <v>0.513627207868006</v>
      </c>
      <c r="O34" s="10" t="n">
        <f aca="false">(Tabla3510813153426[[#This Row],[% efe_inc]]+Tabla3510813153426[[#This Row],[% no_efect_inc]])/2</f>
        <v>0.486372792131994</v>
      </c>
      <c r="P34" s="11" t="n">
        <f aca="false">Tabla3510813153426[[#This Row],[no_efec_cor]]/(Tabla3510813153426[[#This Row],[efect_inc]]+Tabla3510813153426[[#This Row],[no_efec_cor]])</f>
        <v>0.516717325227964</v>
      </c>
      <c r="Q34" s="11" t="n">
        <f aca="false">Tabla3510813153426[[#This Row],[efec_cor]]/(Tabla3510813153426[[#This Row],[efec_cor]]+Tabla3510813153426[[#This Row],[no_efec_inc]])</f>
        <v>0.512842465753425</v>
      </c>
      <c r="R34" s="11" t="n">
        <f aca="false">(Tabla3510813153426[[#This Row],[PNE]]+Tabla3510813153426[[#This Row],[PE]])/2</f>
        <v>0.514779895490694</v>
      </c>
      <c r="S34" s="0" t="n">
        <v>917</v>
      </c>
      <c r="T34" s="0" t="n">
        <v>909</v>
      </c>
      <c r="U34" s="0" t="n">
        <f aca="false">Tabla3510813153426[[#This Row],[efec]]+Tabla3510813153426[[#This Row],[no_efe]]</f>
        <v>1826</v>
      </c>
    </row>
    <row r="35" customFormat="false" ht="13.8" hidden="false" customHeight="false" outlineLevel="0" collapsed="false">
      <c r="A35" s="0" t="n">
        <v>5</v>
      </c>
      <c r="B35" s="0" t="n">
        <v>0.5</v>
      </c>
      <c r="C35" s="0" t="n">
        <v>353</v>
      </c>
      <c r="D35" s="0" t="n">
        <v>556</v>
      </c>
      <c r="E35" s="0" t="n">
        <v>583</v>
      </c>
      <c r="F35" s="0" t="n">
        <v>334</v>
      </c>
      <c r="G35" s="0" t="n">
        <f aca="false">Tabla3510813153426[[#This Row],[no_efec_cor]]+Tabla3510813153426[[#This Row],[efec_cor]]</f>
        <v>936</v>
      </c>
      <c r="H35" s="0" t="n">
        <f aca="false">Tabla3510813153426[[#This Row],[no_efec_inc]]+Tabla3510813153426[[#This Row],[efect_inc]]</f>
        <v>890</v>
      </c>
      <c r="I35" s="9" t="n">
        <f aca="false">Tabla3510813153426[[#This Row],[Correctos]]/Tabla3510813153426[[#This Row],[total_sec]]</f>
        <v>0.512595837897043</v>
      </c>
      <c r="J35" s="9" t="n">
        <f aca="false">Tabla3510813153426[[#This Row],[efec_cor]]/Tabla3510813153426[[#This Row],[efec]]</f>
        <v>0.63576881134133</v>
      </c>
      <c r="K35" s="9" t="n">
        <f aca="false">Tabla3510813153426[[#This Row],[efect_inc]]/Tabla3510813153426[[#This Row],[efec]]</f>
        <v>0.36423118865867</v>
      </c>
      <c r="L35" s="9" t="n">
        <f aca="false">Tabla3510813153426[[#This Row],[no_efec_cor]]/Tabla3510813153426[[#This Row],[no_efe]]</f>
        <v>0.388338833883388</v>
      </c>
      <c r="M35" s="9" t="n">
        <f aca="false">Tabla3510813153426[[#This Row],[no_efec_inc]]/Tabla3510813153426[[#This Row],[no_efe]]</f>
        <v>0.611661166116612</v>
      </c>
      <c r="N35" s="9" t="n">
        <f aca="false">(Tabla3510813153426[[#This Row],[% efe_cor]]+Tabla3510813153426[[#This Row],[% no_efe_cor]])/2</f>
        <v>0.512053822612359</v>
      </c>
      <c r="O35" s="10" t="n">
        <f aca="false">(Tabla3510813153426[[#This Row],[% efe_inc]]+Tabla3510813153426[[#This Row],[% no_efect_inc]])/2</f>
        <v>0.487946177387641</v>
      </c>
      <c r="P35" s="11" t="n">
        <f aca="false">Tabla3510813153426[[#This Row],[no_efec_cor]]/(Tabla3510813153426[[#This Row],[efect_inc]]+Tabla3510813153426[[#This Row],[no_efec_cor]])</f>
        <v>0.513828238719068</v>
      </c>
      <c r="Q35" s="11" t="n">
        <f aca="false">Tabla3510813153426[[#This Row],[efec_cor]]/(Tabla3510813153426[[#This Row],[efec_cor]]+Tabla3510813153426[[#This Row],[no_efec_inc]])</f>
        <v>0.511852502194908</v>
      </c>
      <c r="R35" s="11" t="n">
        <f aca="false">(Tabla3510813153426[[#This Row],[PNE]]+Tabla3510813153426[[#This Row],[PE]])/2</f>
        <v>0.512840370456988</v>
      </c>
      <c r="S35" s="0" t="n">
        <v>917</v>
      </c>
      <c r="T35" s="0" t="n">
        <v>909</v>
      </c>
      <c r="U35" s="0" t="n">
        <f aca="false">Tabla3510813153426[[#This Row],[efec]]+Tabla3510813153426[[#This Row],[no_efe]]</f>
        <v>1826</v>
      </c>
    </row>
    <row r="36" customFormat="false" ht="13.8" hidden="false" customHeight="false" outlineLevel="0" collapsed="false">
      <c r="A36" s="0" t="n">
        <v>5</v>
      </c>
      <c r="B36" s="0" t="n">
        <v>1</v>
      </c>
      <c r="C36" s="0" t="n">
        <v>412</v>
      </c>
      <c r="D36" s="0" t="n">
        <v>497</v>
      </c>
      <c r="E36" s="0" t="n">
        <v>513</v>
      </c>
      <c r="F36" s="0" t="n">
        <v>404</v>
      </c>
      <c r="G36" s="0" t="n">
        <f aca="false">Tabla3510813153426[[#This Row],[no_efec_cor]]+Tabla3510813153426[[#This Row],[efec_cor]]</f>
        <v>925</v>
      </c>
      <c r="H36" s="0" t="n">
        <f aca="false">Tabla3510813153426[[#This Row],[no_efec_inc]]+Tabla3510813153426[[#This Row],[efect_inc]]</f>
        <v>901</v>
      </c>
      <c r="I36" s="9" t="n">
        <f aca="false">Tabla3510813153426[[#This Row],[Correctos]]/Tabla3510813153426[[#This Row],[total_sec]]</f>
        <v>0.506571741511501</v>
      </c>
      <c r="J36" s="9" t="n">
        <f aca="false">Tabla3510813153426[[#This Row],[efec_cor]]/Tabla3510813153426[[#This Row],[efec]]</f>
        <v>0.559432933478735</v>
      </c>
      <c r="K36" s="9" t="n">
        <f aca="false">Tabla3510813153426[[#This Row],[efect_inc]]/Tabla3510813153426[[#This Row],[efec]]</f>
        <v>0.440567066521265</v>
      </c>
      <c r="L36" s="9" t="n">
        <f aca="false">Tabla3510813153426[[#This Row],[no_efec_cor]]/Tabla3510813153426[[#This Row],[no_efe]]</f>
        <v>0.453245324532453</v>
      </c>
      <c r="M36" s="9" t="n">
        <f aca="false">Tabla3510813153426[[#This Row],[no_efec_inc]]/Tabla3510813153426[[#This Row],[no_efe]]</f>
        <v>0.546754675467547</v>
      </c>
      <c r="N36" s="9" t="n">
        <f aca="false">(Tabla3510813153426[[#This Row],[% efe_cor]]+Tabla3510813153426[[#This Row],[% no_efe_cor]])/2</f>
        <v>0.506339129005594</v>
      </c>
      <c r="O36" s="10" t="n">
        <f aca="false">(Tabla3510813153426[[#This Row],[% efe_inc]]+Tabla3510813153426[[#This Row],[% no_efect_inc]])/2</f>
        <v>0.493660870994406</v>
      </c>
      <c r="P36" s="11" t="n">
        <f aca="false">Tabla3510813153426[[#This Row],[no_efec_cor]]/(Tabla3510813153426[[#This Row],[efect_inc]]+Tabla3510813153426[[#This Row],[no_efec_cor]])</f>
        <v>0.504901960784314</v>
      </c>
      <c r="Q36" s="11" t="n">
        <f aca="false">Tabla3510813153426[[#This Row],[efec_cor]]/(Tabla3510813153426[[#This Row],[efec_cor]]+Tabla3510813153426[[#This Row],[no_efec_inc]])</f>
        <v>0.507920792079208</v>
      </c>
      <c r="R36" s="11" t="n">
        <f aca="false">(Tabla3510813153426[[#This Row],[PNE]]+Tabla3510813153426[[#This Row],[PE]])/2</f>
        <v>0.506411376431761</v>
      </c>
      <c r="S36" s="0" t="n">
        <v>917</v>
      </c>
      <c r="T36" s="0" t="n">
        <v>909</v>
      </c>
      <c r="U36" s="0" t="n">
        <f aca="false">Tabla3510813153426[[#This Row],[efec]]+Tabla3510813153426[[#This Row],[no_efe]]</f>
        <v>1826</v>
      </c>
    </row>
    <row r="37" customFormat="false" ht="13.8" hidden="false" customHeight="false" outlineLevel="0" collapsed="false">
      <c r="A37" s="0" t="n">
        <v>0.5</v>
      </c>
      <c r="B37" s="0" t="n">
        <v>1</v>
      </c>
      <c r="C37" s="0" t="n">
        <v>373</v>
      </c>
      <c r="D37" s="0" t="n">
        <v>536</v>
      </c>
      <c r="E37" s="0" t="n">
        <v>549</v>
      </c>
      <c r="F37" s="0" t="n">
        <v>368</v>
      </c>
      <c r="G37" s="0" t="n">
        <f aca="false">Tabla3510813153426[[#This Row],[no_efec_cor]]+Tabla3510813153426[[#This Row],[efec_cor]]</f>
        <v>922</v>
      </c>
      <c r="H37" s="0" t="n">
        <f aca="false">Tabla3510813153426[[#This Row],[no_efec_inc]]+Tabla3510813153426[[#This Row],[efect_inc]]</f>
        <v>904</v>
      </c>
      <c r="I37" s="9" t="n">
        <f aca="false">Tabla3510813153426[[#This Row],[Correctos]]/Tabla3510813153426[[#This Row],[total_sec]]</f>
        <v>0.504928806133625</v>
      </c>
      <c r="J37" s="9" t="n">
        <f aca="false">Tabla3510813153426[[#This Row],[efec_cor]]/Tabla3510813153426[[#This Row],[efec]]</f>
        <v>0.598691384950927</v>
      </c>
      <c r="K37" s="9" t="n">
        <f aca="false">Tabla3510813153426[[#This Row],[efect_inc]]/Tabla3510813153426[[#This Row],[efec]]</f>
        <v>0.401308615049073</v>
      </c>
      <c r="L37" s="9" t="n">
        <f aca="false">Tabla3510813153426[[#This Row],[no_efec_cor]]/Tabla3510813153426[[#This Row],[no_efe]]</f>
        <v>0.41034103410341</v>
      </c>
      <c r="M37" s="9" t="n">
        <f aca="false">Tabla3510813153426[[#This Row],[no_efec_inc]]/Tabla3510813153426[[#This Row],[no_efe]]</f>
        <v>0.58965896589659</v>
      </c>
      <c r="N37" s="9" t="n">
        <f aca="false">(Tabla3510813153426[[#This Row],[% efe_cor]]+Tabla3510813153426[[#This Row],[% no_efe_cor]])/2</f>
        <v>0.504516209527169</v>
      </c>
      <c r="O37" s="10" t="n">
        <f aca="false">(Tabla3510813153426[[#This Row],[% efe_inc]]+Tabla3510813153426[[#This Row],[% no_efect_inc]])/2</f>
        <v>0.495483790472831</v>
      </c>
      <c r="P37" s="11" t="n">
        <f aca="false">Tabla3510813153426[[#This Row],[no_efec_cor]]/(Tabla3510813153426[[#This Row],[efect_inc]]+Tabla3510813153426[[#This Row],[no_efec_cor]])</f>
        <v>0.503373819163293</v>
      </c>
      <c r="Q37" s="11" t="n">
        <f aca="false">Tabla3510813153426[[#This Row],[efec_cor]]/(Tabla3510813153426[[#This Row],[efec_cor]]+Tabla3510813153426[[#This Row],[no_efec_inc]])</f>
        <v>0.505990783410138</v>
      </c>
      <c r="R37" s="11" t="n">
        <f aca="false">(Tabla3510813153426[[#This Row],[PNE]]+Tabla3510813153426[[#This Row],[PE]])/2</f>
        <v>0.504682301286716</v>
      </c>
      <c r="S37" s="0" t="n">
        <v>917</v>
      </c>
      <c r="T37" s="0" t="n">
        <v>909</v>
      </c>
      <c r="U37" s="0" t="n">
        <f aca="false">Tabla3510813153426[[#This Row],[efec]]+Tabla3510813153426[[#This Row],[no_efe]]</f>
        <v>1826</v>
      </c>
    </row>
    <row r="38" customFormat="false" ht="13.8" hidden="false" customHeight="false" outlineLevel="0" collapsed="false">
      <c r="A38" s="0" t="n">
        <v>0.1</v>
      </c>
      <c r="B38" s="0" t="n">
        <v>1</v>
      </c>
      <c r="C38" s="0" t="n">
        <v>314</v>
      </c>
      <c r="D38" s="0" t="n">
        <v>595</v>
      </c>
      <c r="E38" s="0" t="n">
        <v>586</v>
      </c>
      <c r="F38" s="0" t="n">
        <v>331</v>
      </c>
      <c r="G38" s="0" t="n">
        <f aca="false">Tabla3510813153426[[#This Row],[no_efec_cor]]+Tabla3510813153426[[#This Row],[efec_cor]]</f>
        <v>900</v>
      </c>
      <c r="H38" s="0" t="n">
        <f aca="false">Tabla3510813153426[[#This Row],[no_efec_inc]]+Tabla3510813153426[[#This Row],[efect_inc]]</f>
        <v>926</v>
      </c>
      <c r="I38" s="9" t="n">
        <f aca="false">Tabla3510813153426[[#This Row],[Correctos]]/Tabla3510813153426[[#This Row],[total_sec]]</f>
        <v>0.492880613362541</v>
      </c>
      <c r="J38" s="9" t="n">
        <f aca="false">Tabla3510813153426[[#This Row],[efec_cor]]/Tabla3510813153426[[#This Row],[efec]]</f>
        <v>0.639040348964013</v>
      </c>
      <c r="K38" s="9" t="n">
        <f aca="false">Tabla3510813153426[[#This Row],[efect_inc]]/Tabla3510813153426[[#This Row],[efec]]</f>
        <v>0.360959651035987</v>
      </c>
      <c r="L38" s="9" t="n">
        <f aca="false">Tabla3510813153426[[#This Row],[no_efec_cor]]/Tabla3510813153426[[#This Row],[no_efe]]</f>
        <v>0.345434543454345</v>
      </c>
      <c r="M38" s="9" t="n">
        <f aca="false">Tabla3510813153426[[#This Row],[no_efec_inc]]/Tabla3510813153426[[#This Row],[no_efe]]</f>
        <v>0.654565456545655</v>
      </c>
      <c r="N38" s="9" t="n">
        <f aca="false">(Tabla3510813153426[[#This Row],[% efe_cor]]+Tabla3510813153426[[#This Row],[% no_efe_cor]])/2</f>
        <v>0.492237446209179</v>
      </c>
      <c r="O38" s="10" t="n">
        <f aca="false">(Tabla3510813153426[[#This Row],[% efe_inc]]+Tabla3510813153426[[#This Row],[% no_efect_inc]])/2</f>
        <v>0.507762553790821</v>
      </c>
      <c r="P38" s="11" t="n">
        <f aca="false">Tabla3510813153426[[#This Row],[no_efec_cor]]/(Tabla3510813153426[[#This Row],[efect_inc]]+Tabla3510813153426[[#This Row],[no_efec_cor]])</f>
        <v>0.486821705426357</v>
      </c>
      <c r="Q38" s="11" t="n">
        <f aca="false">Tabla3510813153426[[#This Row],[efec_cor]]/(Tabla3510813153426[[#This Row],[efec_cor]]+Tabla3510813153426[[#This Row],[no_efec_inc]])</f>
        <v>0.49618966977138</v>
      </c>
      <c r="R38" s="11" t="n">
        <f aca="false">(Tabla3510813153426[[#This Row],[PNE]]+Tabla3510813153426[[#This Row],[PE]])/2</f>
        <v>0.491505687598868</v>
      </c>
      <c r="S38" s="0" t="n">
        <v>917</v>
      </c>
      <c r="T38" s="0" t="n">
        <v>909</v>
      </c>
      <c r="U38" s="0" t="n">
        <f aca="false">Tabla3510813153426[[#This Row],[efec]]+Tabla3510813153426[[#This Row],[no_efe]]</f>
        <v>1826</v>
      </c>
    </row>
    <row r="39" customFormat="false" ht="13.8" hidden="false" customHeight="false" outlineLevel="0" collapsed="false">
      <c r="A39" s="0" t="n">
        <v>0.5</v>
      </c>
      <c r="B39" s="0" t="n">
        <v>0.5</v>
      </c>
      <c r="C39" s="0" t="n">
        <v>383</v>
      </c>
      <c r="D39" s="0" t="n">
        <v>526</v>
      </c>
      <c r="E39" s="0" t="n">
        <v>539</v>
      </c>
      <c r="F39" s="0" t="n">
        <v>378</v>
      </c>
      <c r="G39" s="0" t="n">
        <f aca="false">Tabla3510813153426[[#This Row],[no_efec_cor]]+Tabla3510813153426[[#This Row],[efec_cor]]</f>
        <v>922</v>
      </c>
      <c r="H39" s="0" t="n">
        <f aca="false">Tabla3510813153426[[#This Row],[no_efec_inc]]+Tabla3510813153426[[#This Row],[efect_inc]]</f>
        <v>904</v>
      </c>
      <c r="I39" s="9" t="n">
        <f aca="false">Tabla3510813153426[[#This Row],[Correctos]]/Tabla3510813153426[[#This Row],[total_sec]]</f>
        <v>0.504928806133625</v>
      </c>
      <c r="J39" s="9" t="n">
        <f aca="false">Tabla3510813153426[[#This Row],[efec_cor]]/Tabla3510813153426[[#This Row],[efec]]</f>
        <v>0.587786259541985</v>
      </c>
      <c r="K39" s="9" t="n">
        <f aca="false">Tabla3510813153426[[#This Row],[efect_inc]]/Tabla3510813153426[[#This Row],[efec]]</f>
        <v>0.412213740458015</v>
      </c>
      <c r="L39" s="9" t="n">
        <f aca="false">Tabla3510813153426[[#This Row],[no_efec_cor]]/Tabla3510813153426[[#This Row],[no_efe]]</f>
        <v>0.421342134213421</v>
      </c>
      <c r="M39" s="9" t="n">
        <f aca="false">Tabla3510813153426[[#This Row],[no_efec_inc]]/Tabla3510813153426[[#This Row],[no_efe]]</f>
        <v>0.578657865786579</v>
      </c>
      <c r="N39" s="9" t="n">
        <f aca="false">(Tabla3510813153426[[#This Row],[% efe_cor]]+Tabla3510813153426[[#This Row],[% no_efe_cor]])/2</f>
        <v>0.504564196877703</v>
      </c>
      <c r="O39" s="10" t="n">
        <f aca="false">(Tabla3510813153426[[#This Row],[% efe_inc]]+Tabla3510813153426[[#This Row],[% no_efect_inc]])/2</f>
        <v>0.495435803122297</v>
      </c>
      <c r="P39" s="11" t="n">
        <f aca="false">Tabla3510813153426[[#This Row],[no_efec_cor]]/(Tabla3510813153426[[#This Row],[efect_inc]]+Tabla3510813153426[[#This Row],[no_efec_cor]])</f>
        <v>0.503285151116951</v>
      </c>
      <c r="Q39" s="11" t="n">
        <f aca="false">Tabla3510813153426[[#This Row],[efec_cor]]/(Tabla3510813153426[[#This Row],[efec_cor]]+Tabla3510813153426[[#This Row],[no_efec_inc]])</f>
        <v>0.506103286384976</v>
      </c>
      <c r="R39" s="11" t="n">
        <f aca="false">(Tabla3510813153426[[#This Row],[PNE]]+Tabla3510813153426[[#This Row],[PE]])/2</f>
        <v>0.504694218750964</v>
      </c>
      <c r="S39" s="0" t="n">
        <v>917</v>
      </c>
      <c r="T39" s="0" t="n">
        <v>909</v>
      </c>
      <c r="U39" s="0" t="n">
        <f aca="false">Tabla3510813153426[[#This Row],[efec]]+Tabla3510813153426[[#This Row],[no_efe]]</f>
        <v>1826</v>
      </c>
    </row>
  </sheetData>
  <mergeCells count="9">
    <mergeCell ref="A1:U1"/>
    <mergeCell ref="A2:U2"/>
    <mergeCell ref="A4:B4"/>
    <mergeCell ref="A5:B5"/>
    <mergeCell ref="A6:B6"/>
    <mergeCell ref="A8:I8"/>
    <mergeCell ref="A20:U20"/>
    <mergeCell ref="A21:U21"/>
    <mergeCell ref="A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U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0.54296875" defaultRowHeight="15" zeroHeight="false" outlineLevelRow="0" outlineLevelCol="0"/>
  <sheetData>
    <row r="1" customFormat="false" ht="19.5" hidden="false" customHeight="false" outlineLevel="0" collapsed="false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customFormat="false" ht="15" hidden="false" customHeight="false" outlineLevel="0" collapsed="false">
      <c r="A4" s="3" t="s">
        <v>2</v>
      </c>
      <c r="B4" s="3"/>
      <c r="C4" s="4" t="n">
        <v>918</v>
      </c>
    </row>
    <row r="5" customFormat="false" ht="15" hidden="false" customHeight="false" outlineLevel="0" collapsed="false">
      <c r="A5" s="3" t="s">
        <v>3</v>
      </c>
      <c r="B5" s="3"/>
      <c r="C5" s="4" t="n">
        <v>920</v>
      </c>
    </row>
    <row r="6" customFormat="false" ht="15" hidden="false" customHeight="false" outlineLevel="0" collapsed="false">
      <c r="A6" s="3" t="s">
        <v>4</v>
      </c>
      <c r="B6" s="3"/>
      <c r="C6" s="4" t="n">
        <f aca="false">SUM(C4:C5)</f>
        <v>1838</v>
      </c>
    </row>
    <row r="8" customFormat="false" ht="15.75" hidden="false" customHeight="false" outlineLevel="0" collapsed="false">
      <c r="A8" s="5" t="s">
        <v>5</v>
      </c>
      <c r="B8" s="5"/>
      <c r="C8" s="5"/>
      <c r="D8" s="5"/>
      <c r="E8" s="5"/>
      <c r="F8" s="5"/>
      <c r="G8" s="5"/>
      <c r="H8" s="5"/>
      <c r="I8" s="5"/>
    </row>
    <row r="9" customFormat="false" ht="15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n">
        <v>1</v>
      </c>
      <c r="B10" s="0" t="n">
        <v>422</v>
      </c>
      <c r="C10" s="0" t="n">
        <v>498</v>
      </c>
      <c r="D10" s="0" t="n">
        <v>465</v>
      </c>
      <c r="E10" s="0" t="n">
        <v>453</v>
      </c>
      <c r="F10" s="0" t="n">
        <f aca="false">Tabla3510813153420[[#This Row],[no_efec_cor]]+Tabla3510813153420[[#This Row],[efec_cor]]</f>
        <v>887</v>
      </c>
      <c r="G10" s="0" t="n">
        <f aca="false">Tabla3510813153420[[#This Row],[no_efec_inc]]+Tabla3510813153420[[#This Row],[efect_inc]]</f>
        <v>951</v>
      </c>
      <c r="H10" s="9" t="n">
        <f aca="false">Tabla3510813153420[[#This Row],[Correctos]]/Tabla3510813153420[[#This Row],[total_sec]]</f>
        <v>0.482589771490751</v>
      </c>
      <c r="I10" s="9" t="n">
        <f aca="false">Tabla3510813153420[[#This Row],[efec_cor]]/Tabla3510813153420[[#This Row],[efec]]</f>
        <v>0.506535947712418</v>
      </c>
      <c r="J10" s="9" t="n">
        <f aca="false">Tabla3510813153420[[#This Row],[efect_inc]]/Tabla3510813153420[[#This Row],[efec]]</f>
        <v>0.493464052287582</v>
      </c>
      <c r="K10" s="9" t="n">
        <f aca="false">Tabla3510813153420[[#This Row],[no_efec_cor]]/Tabla3510813153420[[#This Row],[no_efe]]</f>
        <v>0.458695652173913</v>
      </c>
      <c r="L10" s="9" t="n">
        <f aca="false">Tabla3510813153420[[#This Row],[no_efec_inc]]/Tabla3510813153420[[#This Row],[no_efe]]</f>
        <v>0.541304347826087</v>
      </c>
      <c r="M10" s="9" t="n">
        <f aca="false">(Tabla3510813153420[[#This Row],[% efe_cor]]+Tabla3510813153420[[#This Row],[% no_efe_cor]])/2</f>
        <v>0.482615799943166</v>
      </c>
      <c r="N10" s="10" t="n">
        <f aca="false">(Tabla3510813153420[[#This Row],[% efe_inc]]+Tabla3510813153420[[#This Row],[% no_efect_inc]])/2</f>
        <v>0.517384200056834</v>
      </c>
      <c r="O10" s="11" t="n">
        <f aca="false">Tabla3510813153420[[#This Row],[no_efec_cor]]/(Tabla3510813153420[[#This Row],[efect_inc]]+Tabla3510813153420[[#This Row],[no_efec_cor]])</f>
        <v>0.482285714285714</v>
      </c>
      <c r="P10" s="11" t="n">
        <f aca="false">Tabla3510813153420[[#This Row],[efec_cor]]/(Tabla3510813153420[[#This Row],[efec_cor]]+Tabla3510813153420[[#This Row],[no_efec_inc]])</f>
        <v>0.482866043613707</v>
      </c>
      <c r="Q10" s="11" t="n">
        <f aca="false">(Tabla3510813153420[[#This Row],[PNE]]+Tabla3510813153420[[#This Row],[PE]])/2</f>
        <v>0.482575878949711</v>
      </c>
      <c r="R10" s="0" t="n">
        <v>918</v>
      </c>
      <c r="S10" s="0" t="n">
        <v>920</v>
      </c>
      <c r="T10" s="0" t="n">
        <f aca="false">Tabla3510813153420[[#This Row],[efec]]+Tabla3510813153420[[#This Row],[no_efe]]</f>
        <v>1838</v>
      </c>
    </row>
    <row r="11" customFormat="false" ht="13.8" hidden="false" customHeight="false" outlineLevel="0" collapsed="false">
      <c r="A11" s="0" t="n">
        <v>5</v>
      </c>
      <c r="B11" s="0" t="n">
        <v>462</v>
      </c>
      <c r="C11" s="0" t="n">
        <v>458</v>
      </c>
      <c r="D11" s="0" t="n">
        <v>481</v>
      </c>
      <c r="E11" s="0" t="n">
        <v>437</v>
      </c>
      <c r="F11" s="0" t="n">
        <f aca="false">Tabla3510813153420[[#This Row],[no_efec_cor]]+Tabla3510813153420[[#This Row],[efec_cor]]</f>
        <v>943</v>
      </c>
      <c r="G11" s="0" t="n">
        <f aca="false">Tabla3510813153420[[#This Row],[no_efec_inc]]+Tabla3510813153420[[#This Row],[efect_inc]]</f>
        <v>895</v>
      </c>
      <c r="H11" s="9" t="n">
        <f aca="false">Tabla3510813153420[[#This Row],[Correctos]]/Tabla3510813153420[[#This Row],[total_sec]]</f>
        <v>0.513057671381937</v>
      </c>
      <c r="I11" s="9" t="n">
        <f aca="false">Tabla3510813153420[[#This Row],[efec_cor]]/Tabla3510813153420[[#This Row],[efec]]</f>
        <v>0.5239651416122</v>
      </c>
      <c r="J11" s="9" t="n">
        <f aca="false">Tabla3510813153420[[#This Row],[efect_inc]]/Tabla3510813153420[[#This Row],[efec]]</f>
        <v>0.4760348583878</v>
      </c>
      <c r="K11" s="9" t="n">
        <f aca="false">Tabla3510813153420[[#This Row],[no_efec_cor]]/Tabla3510813153420[[#This Row],[no_efe]]</f>
        <v>0.502173913043478</v>
      </c>
      <c r="L11" s="9" t="n">
        <f aca="false">Tabla3510813153420[[#This Row],[no_efec_inc]]/Tabla3510813153420[[#This Row],[no_efe]]</f>
        <v>0.497826086956522</v>
      </c>
      <c r="M11" s="9" t="n">
        <f aca="false">(Tabla3510813153420[[#This Row],[% efe_cor]]+Tabla3510813153420[[#This Row],[% no_efe_cor]])/2</f>
        <v>0.513069527327839</v>
      </c>
      <c r="N11" s="10" t="n">
        <f aca="false">(Tabla3510813153420[[#This Row],[% efe_inc]]+Tabla3510813153420[[#This Row],[% no_efect_inc]])/2</f>
        <v>0.486930472672161</v>
      </c>
      <c r="O11" s="11" t="n">
        <f aca="false">Tabla3510813153420[[#This Row],[no_efec_cor]]/(Tabla3510813153420[[#This Row],[efect_inc]]+Tabla3510813153420[[#This Row],[no_efec_cor]])</f>
        <v>0.513904338153504</v>
      </c>
      <c r="P11" s="11" t="n">
        <f aca="false">Tabla3510813153420[[#This Row],[efec_cor]]/(Tabla3510813153420[[#This Row],[efec_cor]]+Tabla3510813153420[[#This Row],[no_efec_inc]])</f>
        <v>0.512247071352503</v>
      </c>
      <c r="Q11" s="11" t="n">
        <f aca="false">(Tabla3510813153420[[#This Row],[PNE]]+Tabla3510813153420[[#This Row],[PE]])/2</f>
        <v>0.513075704753003</v>
      </c>
      <c r="R11" s="0" t="n">
        <v>918</v>
      </c>
      <c r="S11" s="0" t="n">
        <v>920</v>
      </c>
      <c r="T11" s="0" t="n">
        <f aca="false">Tabla3510813153420[[#This Row],[efec]]+Tabla3510813153420[[#This Row],[no_efe]]</f>
        <v>1838</v>
      </c>
    </row>
    <row r="12" customFormat="false" ht="13.8" hidden="false" customHeight="false" outlineLevel="0" collapsed="false">
      <c r="A12" s="0" t="n">
        <v>10</v>
      </c>
      <c r="B12" s="0" t="n">
        <v>384</v>
      </c>
      <c r="C12" s="0" t="n">
        <v>536</v>
      </c>
      <c r="D12" s="0" t="n">
        <v>598</v>
      </c>
      <c r="E12" s="0" t="n">
        <v>320</v>
      </c>
      <c r="F12" s="0" t="n">
        <f aca="false">Tabla3510813153420[[#This Row],[no_efec_cor]]+Tabla3510813153420[[#This Row],[efec_cor]]</f>
        <v>982</v>
      </c>
      <c r="G12" s="0" t="n">
        <f aca="false">Tabla3510813153420[[#This Row],[no_efec_inc]]+Tabla3510813153420[[#This Row],[efect_inc]]</f>
        <v>856</v>
      </c>
      <c r="H12" s="9" t="n">
        <f aca="false">Tabla3510813153420[[#This Row],[Correctos]]/Tabla3510813153420[[#This Row],[total_sec]]</f>
        <v>0.534276387377584</v>
      </c>
      <c r="I12" s="9" t="n">
        <f aca="false">Tabla3510813153420[[#This Row],[efec_cor]]/Tabla3510813153420[[#This Row],[efec]]</f>
        <v>0.651416122004357</v>
      </c>
      <c r="J12" s="9" t="n">
        <f aca="false">Tabla3510813153420[[#This Row],[efect_inc]]/Tabla3510813153420[[#This Row],[efec]]</f>
        <v>0.348583877995643</v>
      </c>
      <c r="K12" s="9" t="n">
        <f aca="false">Tabla3510813153420[[#This Row],[no_efec_cor]]/Tabla3510813153420[[#This Row],[no_efe]]</f>
        <v>0.417391304347826</v>
      </c>
      <c r="L12" s="9" t="n">
        <f aca="false">Tabla3510813153420[[#This Row],[no_efec_inc]]/Tabla3510813153420[[#This Row],[no_efe]]</f>
        <v>0.582608695652174</v>
      </c>
      <c r="M12" s="9" t="n">
        <f aca="false">(Tabla3510813153420[[#This Row],[% efe_cor]]+Tabla3510813153420[[#This Row],[% no_efe_cor]])/2</f>
        <v>0.534403713176092</v>
      </c>
      <c r="N12" s="10" t="n">
        <f aca="false">(Tabla3510813153420[[#This Row],[% efe_inc]]+Tabla3510813153420[[#This Row],[% no_efect_inc]])/2</f>
        <v>0.465596286823908</v>
      </c>
      <c r="O12" s="11" t="n">
        <f aca="false">Tabla3510813153420[[#This Row],[no_efec_cor]]/(Tabla3510813153420[[#This Row],[efect_inc]]+Tabla3510813153420[[#This Row],[no_efec_cor]])</f>
        <v>0.545454545454545</v>
      </c>
      <c r="P12" s="11" t="n">
        <f aca="false">Tabla3510813153420[[#This Row],[efec_cor]]/(Tabla3510813153420[[#This Row],[efec_cor]]+Tabla3510813153420[[#This Row],[no_efec_inc]])</f>
        <v>0.527336860670194</v>
      </c>
      <c r="Q12" s="11" t="n">
        <f aca="false">(Tabla3510813153420[[#This Row],[PNE]]+Tabla3510813153420[[#This Row],[PE]])/2</f>
        <v>0.53639570306237</v>
      </c>
      <c r="R12" s="0" t="n">
        <v>918</v>
      </c>
      <c r="S12" s="0" t="n">
        <v>920</v>
      </c>
      <c r="T12" s="0" t="n">
        <f aca="false">Tabla3510813153420[[#This Row],[efec]]+Tabla3510813153420[[#This Row],[no_efe]]</f>
        <v>1838</v>
      </c>
    </row>
    <row r="13" customFormat="false" ht="13.8" hidden="false" customHeight="false" outlineLevel="0" collapsed="false">
      <c r="A13" s="0" t="n">
        <v>15</v>
      </c>
      <c r="B13" s="0" t="n">
        <v>452</v>
      </c>
      <c r="C13" s="0" t="n">
        <v>468</v>
      </c>
      <c r="D13" s="0" t="n">
        <v>473</v>
      </c>
      <c r="E13" s="0" t="n">
        <v>445</v>
      </c>
      <c r="F13" s="0" t="n">
        <f aca="false">Tabla3510813153420[[#This Row],[no_efec_cor]]+Tabla3510813153420[[#This Row],[efec_cor]]</f>
        <v>925</v>
      </c>
      <c r="G13" s="0" t="n">
        <f aca="false">Tabla3510813153420[[#This Row],[no_efec_inc]]+Tabla3510813153420[[#This Row],[efect_inc]]</f>
        <v>913</v>
      </c>
      <c r="H13" s="9" t="n">
        <f aca="false">Tabla3510813153420[[#This Row],[Correctos]]/Tabla3510813153420[[#This Row],[total_sec]]</f>
        <v>0.503264417845484</v>
      </c>
      <c r="I13" s="9" t="n">
        <f aca="false">Tabla3510813153420[[#This Row],[efec_cor]]/Tabla3510813153420[[#This Row],[efec]]</f>
        <v>0.515250544662309</v>
      </c>
      <c r="J13" s="9" t="n">
        <f aca="false">Tabla3510813153420[[#This Row],[efect_inc]]/Tabla3510813153420[[#This Row],[efec]]</f>
        <v>0.484749455337691</v>
      </c>
      <c r="K13" s="9" t="n">
        <f aca="false">Tabla3510813153420[[#This Row],[no_efec_cor]]/Tabla3510813153420[[#This Row],[no_efe]]</f>
        <v>0.491304347826087</v>
      </c>
      <c r="L13" s="9" t="n">
        <f aca="false">Tabla3510813153420[[#This Row],[no_efec_inc]]/Tabla3510813153420[[#This Row],[no_efe]]</f>
        <v>0.508695652173913</v>
      </c>
      <c r="M13" s="9" t="n">
        <f aca="false">(Tabla3510813153420[[#This Row],[% efe_cor]]+Tabla3510813153420[[#This Row],[% no_efe_cor]])/2</f>
        <v>0.503277446244198</v>
      </c>
      <c r="N13" s="10" t="n">
        <f aca="false">(Tabla3510813153420[[#This Row],[% efe_inc]]+Tabla3510813153420[[#This Row],[% no_efect_inc]])/2</f>
        <v>0.496722553755802</v>
      </c>
      <c r="O13" s="11" t="n">
        <f aca="false">Tabla3510813153420[[#This Row],[no_efec_cor]]/(Tabla3510813153420[[#This Row],[efect_inc]]+Tabla3510813153420[[#This Row],[no_efec_cor]])</f>
        <v>0.503901895206243</v>
      </c>
      <c r="P13" s="11" t="n">
        <f aca="false">Tabla3510813153420[[#This Row],[efec_cor]]/(Tabla3510813153420[[#This Row],[efec_cor]]+Tabla3510813153420[[#This Row],[no_efec_inc]])</f>
        <v>0.502656748140276</v>
      </c>
      <c r="Q13" s="11" t="n">
        <f aca="false">(Tabla3510813153420[[#This Row],[PNE]]+Tabla3510813153420[[#This Row],[PE]])/2</f>
        <v>0.50327932167326</v>
      </c>
      <c r="R13" s="0" t="n">
        <v>918</v>
      </c>
      <c r="S13" s="0" t="n">
        <v>920</v>
      </c>
      <c r="T13" s="0" t="n">
        <f aca="false">Tabla3510813153420[[#This Row],[efec]]+Tabla3510813153420[[#This Row],[no_efe]]</f>
        <v>1838</v>
      </c>
    </row>
    <row r="14" customFormat="false" ht="13.8" hidden="false" customHeight="false" outlineLevel="0" collapsed="false">
      <c r="A14" s="0" t="n">
        <v>20</v>
      </c>
      <c r="B14" s="0" t="n">
        <v>375</v>
      </c>
      <c r="C14" s="0" t="n">
        <v>545</v>
      </c>
      <c r="D14" s="0" t="n">
        <v>564</v>
      </c>
      <c r="E14" s="0" t="n">
        <v>354</v>
      </c>
      <c r="F14" s="0" t="n">
        <f aca="false">Tabla3510813153420[[#This Row],[no_efec_cor]]+Tabla3510813153420[[#This Row],[efec_cor]]</f>
        <v>939</v>
      </c>
      <c r="G14" s="0" t="n">
        <f aca="false">Tabla3510813153420[[#This Row],[no_efec_inc]]+Tabla3510813153420[[#This Row],[efect_inc]]</f>
        <v>899</v>
      </c>
      <c r="H14" s="9" t="n">
        <f aca="false">Tabla3510813153420[[#This Row],[Correctos]]/Tabla3510813153420[[#This Row],[total_sec]]</f>
        <v>0.510881392818281</v>
      </c>
      <c r="I14" s="9" t="n">
        <f aca="false">Tabla3510813153420[[#This Row],[efec_cor]]/Tabla3510813153420[[#This Row],[efec]]</f>
        <v>0.61437908496732</v>
      </c>
      <c r="J14" s="9" t="n">
        <f aca="false">Tabla3510813153420[[#This Row],[efect_inc]]/Tabla3510813153420[[#This Row],[efec]]</f>
        <v>0.38562091503268</v>
      </c>
      <c r="K14" s="9" t="n">
        <f aca="false">Tabla3510813153420[[#This Row],[no_efec_cor]]/Tabla3510813153420[[#This Row],[no_efe]]</f>
        <v>0.407608695652174</v>
      </c>
      <c r="L14" s="9" t="n">
        <f aca="false">Tabla3510813153420[[#This Row],[no_efec_inc]]/Tabla3510813153420[[#This Row],[no_efe]]</f>
        <v>0.592391304347826</v>
      </c>
      <c r="M14" s="9" t="n">
        <f aca="false">(Tabla3510813153420[[#This Row],[% efe_cor]]+Tabla3510813153420[[#This Row],[% no_efe_cor]])/2</f>
        <v>0.510993890309747</v>
      </c>
      <c r="N14" s="10" t="n">
        <f aca="false">(Tabla3510813153420[[#This Row],[% efe_inc]]+Tabla3510813153420[[#This Row],[% no_efect_inc]])/2</f>
        <v>0.489006109690253</v>
      </c>
      <c r="O14" s="11" t="n">
        <f aca="false">Tabla3510813153420[[#This Row],[no_efec_cor]]/(Tabla3510813153420[[#This Row],[efect_inc]]+Tabla3510813153420[[#This Row],[no_efec_cor]])</f>
        <v>0.51440329218107</v>
      </c>
      <c r="P14" s="11" t="n">
        <f aca="false">Tabla3510813153420[[#This Row],[efec_cor]]/(Tabla3510813153420[[#This Row],[efec_cor]]+Tabla3510813153420[[#This Row],[no_efec_inc]])</f>
        <v>0.508566275924256</v>
      </c>
      <c r="Q14" s="11" t="n">
        <f aca="false">(Tabla3510813153420[[#This Row],[PNE]]+Tabla3510813153420[[#This Row],[PE]])/2</f>
        <v>0.511484784052663</v>
      </c>
      <c r="R14" s="0" t="n">
        <v>918</v>
      </c>
      <c r="S14" s="0" t="n">
        <v>920</v>
      </c>
      <c r="T14" s="0" t="n">
        <f aca="false">Tabla3510813153420[[#This Row],[efec]]+Tabla3510813153420[[#This Row],[no_efe]]</f>
        <v>1838</v>
      </c>
    </row>
    <row r="15" customFormat="false" ht="13.8" hidden="false" customHeight="false" outlineLevel="0" collapsed="false">
      <c r="A15" s="0" t="n">
        <v>25</v>
      </c>
      <c r="B15" s="0" t="n">
        <v>458</v>
      </c>
      <c r="C15" s="0" t="n">
        <v>462</v>
      </c>
      <c r="D15" s="0" t="n">
        <v>493</v>
      </c>
      <c r="E15" s="0" t="n">
        <v>425</v>
      </c>
      <c r="F15" s="0" t="n">
        <f aca="false">Tabla3510813153420[[#This Row],[no_efec_cor]]+Tabla3510813153420[[#This Row],[efec_cor]]</f>
        <v>951</v>
      </c>
      <c r="G15" s="0" t="n">
        <f aca="false">Tabla3510813153420[[#This Row],[no_efec_inc]]+Tabla3510813153420[[#This Row],[efect_inc]]</f>
        <v>887</v>
      </c>
      <c r="H15" s="9" t="n">
        <f aca="false">Tabla3510813153420[[#This Row],[Correctos]]/Tabla3510813153420[[#This Row],[total_sec]]</f>
        <v>0.517410228509249</v>
      </c>
      <c r="I15" s="9" t="n">
        <f aca="false">Tabla3510813153420[[#This Row],[efec_cor]]/Tabla3510813153420[[#This Row],[efec]]</f>
        <v>0.537037037037037</v>
      </c>
      <c r="J15" s="9" t="n">
        <f aca="false">Tabla3510813153420[[#This Row],[efect_inc]]/Tabla3510813153420[[#This Row],[efec]]</f>
        <v>0.462962962962963</v>
      </c>
      <c r="K15" s="9" t="n">
        <f aca="false">Tabla3510813153420[[#This Row],[no_efec_cor]]/Tabla3510813153420[[#This Row],[no_efe]]</f>
        <v>0.497826086956522</v>
      </c>
      <c r="L15" s="9" t="n">
        <f aca="false">Tabla3510813153420[[#This Row],[no_efec_inc]]/Tabla3510813153420[[#This Row],[no_efe]]</f>
        <v>0.502173913043478</v>
      </c>
      <c r="M15" s="9" t="n">
        <f aca="false">(Tabla3510813153420[[#This Row],[% efe_cor]]+Tabla3510813153420[[#This Row],[% no_efe_cor]])/2</f>
        <v>0.517431561996779</v>
      </c>
      <c r="N15" s="10" t="n">
        <f aca="false">(Tabla3510813153420[[#This Row],[% efe_inc]]+Tabla3510813153420[[#This Row],[% no_efect_inc]])/2</f>
        <v>0.482568438003221</v>
      </c>
      <c r="O15" s="11" t="n">
        <f aca="false">Tabla3510813153420[[#This Row],[no_efec_cor]]/(Tabla3510813153420[[#This Row],[efect_inc]]+Tabla3510813153420[[#This Row],[no_efec_cor]])</f>
        <v>0.518686296715742</v>
      </c>
      <c r="P15" s="11" t="n">
        <f aca="false">Tabla3510813153420[[#This Row],[efec_cor]]/(Tabla3510813153420[[#This Row],[efec_cor]]+Tabla3510813153420[[#This Row],[no_efec_inc]])</f>
        <v>0.516230366492147</v>
      </c>
      <c r="Q15" s="11" t="n">
        <f aca="false">(Tabla3510813153420[[#This Row],[PNE]]+Tabla3510813153420[[#This Row],[PE]])/2</f>
        <v>0.517458331603944</v>
      </c>
      <c r="R15" s="0" t="n">
        <v>918</v>
      </c>
      <c r="S15" s="0" t="n">
        <v>920</v>
      </c>
      <c r="T15" s="0" t="n">
        <f aca="false">Tabla3510813153420[[#This Row],[efec]]+Tabla3510813153420[[#This Row],[no_efe]]</f>
        <v>1838</v>
      </c>
    </row>
    <row r="16" customFormat="false" ht="13.8" hidden="false" customHeight="false" outlineLevel="0" collapsed="false">
      <c r="A16" s="0" t="n">
        <v>30</v>
      </c>
      <c r="B16" s="0" t="n">
        <v>402</v>
      </c>
      <c r="C16" s="0" t="n">
        <v>518</v>
      </c>
      <c r="D16" s="0" t="n">
        <v>547</v>
      </c>
      <c r="E16" s="0" t="n">
        <v>371</v>
      </c>
      <c r="F16" s="0" t="n">
        <f aca="false">Tabla3510813153420[[#This Row],[no_efec_cor]]+Tabla3510813153420[[#This Row],[efec_cor]]</f>
        <v>949</v>
      </c>
      <c r="G16" s="0" t="n">
        <f aca="false">Tabla3510813153420[[#This Row],[no_efec_inc]]+Tabla3510813153420[[#This Row],[efect_inc]]</f>
        <v>889</v>
      </c>
      <c r="H16" s="9" t="n">
        <f aca="false">Tabla3510813153420[[#This Row],[Correctos]]/Tabla3510813153420[[#This Row],[total_sec]]</f>
        <v>0.516322089227421</v>
      </c>
      <c r="I16" s="9" t="n">
        <f aca="false">Tabla3510813153420[[#This Row],[efec_cor]]/Tabla3510813153420[[#This Row],[efec]]</f>
        <v>0.595860566448802</v>
      </c>
      <c r="J16" s="9" t="n">
        <f aca="false">Tabla3510813153420[[#This Row],[efect_inc]]/Tabla3510813153420[[#This Row],[efec]]</f>
        <v>0.404139433551198</v>
      </c>
      <c r="K16" s="9" t="n">
        <f aca="false">Tabla3510813153420[[#This Row],[no_efec_cor]]/Tabla3510813153420[[#This Row],[no_efe]]</f>
        <v>0.43695652173913</v>
      </c>
      <c r="L16" s="9" t="n">
        <f aca="false">Tabla3510813153420[[#This Row],[no_efec_inc]]/Tabla3510813153420[[#This Row],[no_efe]]</f>
        <v>0.56304347826087</v>
      </c>
      <c r="M16" s="9" t="n">
        <f aca="false">(Tabla3510813153420[[#This Row],[% efe_cor]]+Tabla3510813153420[[#This Row],[% no_efe_cor]])/2</f>
        <v>0.516408544093966</v>
      </c>
      <c r="N16" s="10" t="n">
        <f aca="false">(Tabla3510813153420[[#This Row],[% efe_inc]]+Tabla3510813153420[[#This Row],[% no_efect_inc]])/2</f>
        <v>0.483591455906034</v>
      </c>
      <c r="O16" s="11" t="n">
        <f aca="false">Tabla3510813153420[[#This Row],[no_efec_cor]]/(Tabla3510813153420[[#This Row],[efect_inc]]+Tabla3510813153420[[#This Row],[no_efec_cor]])</f>
        <v>0.520051746442432</v>
      </c>
      <c r="P16" s="11" t="n">
        <f aca="false">Tabla3510813153420[[#This Row],[efec_cor]]/(Tabla3510813153420[[#This Row],[efec_cor]]+Tabla3510813153420[[#This Row],[no_efec_inc]])</f>
        <v>0.513615023474178</v>
      </c>
      <c r="Q16" s="11" t="n">
        <f aca="false">(Tabla3510813153420[[#This Row],[PNE]]+Tabla3510813153420[[#This Row],[PE]])/2</f>
        <v>0.516833384958305</v>
      </c>
      <c r="R16" s="0" t="n">
        <v>918</v>
      </c>
      <c r="S16" s="0" t="n">
        <v>920</v>
      </c>
      <c r="T16" s="0" t="n">
        <f aca="false">Tabla3510813153420[[#This Row],[efec]]+Tabla3510813153420[[#This Row],[no_efe]]</f>
        <v>1838</v>
      </c>
    </row>
    <row r="17" customFormat="false" ht="13.8" hidden="false" customHeight="false" outlineLevel="0" collapsed="false">
      <c r="A17" s="0" t="n">
        <v>35</v>
      </c>
      <c r="B17" s="0" t="n">
        <v>458</v>
      </c>
      <c r="C17" s="0" t="n">
        <v>462</v>
      </c>
      <c r="D17" s="0" t="n">
        <v>482</v>
      </c>
      <c r="E17" s="0" t="n">
        <v>436</v>
      </c>
      <c r="F17" s="0" t="n">
        <f aca="false">Tabla3510813153420[[#This Row],[no_efec_cor]]+Tabla3510813153420[[#This Row],[efec_cor]]</f>
        <v>940</v>
      </c>
      <c r="G17" s="0" t="n">
        <f aca="false">Tabla3510813153420[[#This Row],[no_efec_inc]]+Tabla3510813153420[[#This Row],[efect_inc]]</f>
        <v>898</v>
      </c>
      <c r="H17" s="9" t="n">
        <f aca="false">Tabla3510813153420[[#This Row],[Correctos]]/Tabla3510813153420[[#This Row],[total_sec]]</f>
        <v>0.511425462459195</v>
      </c>
      <c r="I17" s="9" t="n">
        <f aca="false">Tabla3510813153420[[#This Row],[efec_cor]]/Tabla3510813153420[[#This Row],[efec]]</f>
        <v>0.525054466230937</v>
      </c>
      <c r="J17" s="9" t="n">
        <f aca="false">Tabla3510813153420[[#This Row],[efect_inc]]/Tabla3510813153420[[#This Row],[efec]]</f>
        <v>0.474945533769063</v>
      </c>
      <c r="K17" s="9" t="n">
        <f aca="false">Tabla3510813153420[[#This Row],[no_efec_cor]]/Tabla3510813153420[[#This Row],[no_efe]]</f>
        <v>0.497826086956522</v>
      </c>
      <c r="L17" s="9" t="n">
        <f aca="false">Tabla3510813153420[[#This Row],[no_efec_inc]]/Tabla3510813153420[[#This Row],[no_efe]]</f>
        <v>0.502173913043478</v>
      </c>
      <c r="M17" s="9" t="n">
        <f aca="false">(Tabla3510813153420[[#This Row],[% efe_cor]]+Tabla3510813153420[[#This Row],[% no_efe_cor]])/2</f>
        <v>0.511440276593729</v>
      </c>
      <c r="N17" s="10" t="n">
        <f aca="false">(Tabla3510813153420[[#This Row],[% efe_inc]]+Tabla3510813153420[[#This Row],[% no_efect_inc]])/2</f>
        <v>0.488559723406271</v>
      </c>
      <c r="O17" s="11" t="n">
        <f aca="false">Tabla3510813153420[[#This Row],[no_efec_cor]]/(Tabla3510813153420[[#This Row],[efect_inc]]+Tabla3510813153420[[#This Row],[no_efec_cor]])</f>
        <v>0.512304250559284</v>
      </c>
      <c r="P17" s="11" t="n">
        <f aca="false">Tabla3510813153420[[#This Row],[efec_cor]]/(Tabla3510813153420[[#This Row],[efec_cor]]+Tabla3510813153420[[#This Row],[no_efec_inc]])</f>
        <v>0.510593220338983</v>
      </c>
      <c r="Q17" s="11" t="n">
        <f aca="false">(Tabla3510813153420[[#This Row],[PNE]]+Tabla3510813153420[[#This Row],[PE]])/2</f>
        <v>0.511448735449133</v>
      </c>
      <c r="R17" s="0" t="n">
        <v>918</v>
      </c>
      <c r="S17" s="0" t="n">
        <v>920</v>
      </c>
      <c r="T17" s="0" t="n">
        <f aca="false">Tabla3510813153420[[#This Row],[efec]]+Tabla3510813153420[[#This Row],[no_efe]]</f>
        <v>1838</v>
      </c>
    </row>
    <row r="18" customFormat="false" ht="13.8" hidden="false" customHeight="false" outlineLevel="0" collapsed="false">
      <c r="A18" s="0" t="n">
        <v>39</v>
      </c>
      <c r="B18" s="0" t="n">
        <v>450</v>
      </c>
      <c r="C18" s="0" t="n">
        <v>470</v>
      </c>
      <c r="D18" s="0" t="n">
        <v>485</v>
      </c>
      <c r="E18" s="0" t="n">
        <v>433</v>
      </c>
      <c r="F18" s="0" t="n">
        <f aca="false">Tabla3510813153420[[#This Row],[no_efec_cor]]+Tabla3510813153420[[#This Row],[efec_cor]]</f>
        <v>935</v>
      </c>
      <c r="G18" s="0" t="n">
        <f aca="false">Tabla3510813153420[[#This Row],[no_efec_inc]]+Tabla3510813153420[[#This Row],[efect_inc]]</f>
        <v>903</v>
      </c>
      <c r="H18" s="9" t="n">
        <f aca="false">Tabla3510813153420[[#This Row],[Correctos]]/Tabla3510813153420[[#This Row],[total_sec]]</f>
        <v>0.508705114254625</v>
      </c>
      <c r="I18" s="9" t="n">
        <f aca="false">Tabla3510813153420[[#This Row],[efec_cor]]/Tabla3510813153420[[#This Row],[efec]]</f>
        <v>0.528322440087146</v>
      </c>
      <c r="J18" s="9" t="n">
        <f aca="false">Tabla3510813153420[[#This Row],[efect_inc]]/Tabla3510813153420[[#This Row],[efec]]</f>
        <v>0.471677559912854</v>
      </c>
      <c r="K18" s="9" t="n">
        <f aca="false">Tabla3510813153420[[#This Row],[no_efec_cor]]/Tabla3510813153420[[#This Row],[no_efe]]</f>
        <v>0.489130434782609</v>
      </c>
      <c r="L18" s="9" t="n">
        <f aca="false">Tabla3510813153420[[#This Row],[no_efec_inc]]/Tabla3510813153420[[#This Row],[no_efe]]</f>
        <v>0.510869565217391</v>
      </c>
      <c r="M18" s="9" t="n">
        <f aca="false">(Tabla3510813153420[[#This Row],[% efe_cor]]+Tabla3510813153420[[#This Row],[% no_efe_cor]])/2</f>
        <v>0.508726437434877</v>
      </c>
      <c r="N18" s="10" t="n">
        <f aca="false">(Tabla3510813153420[[#This Row],[% efe_inc]]+Tabla3510813153420[[#This Row],[% no_efect_inc]])/2</f>
        <v>0.491273562565123</v>
      </c>
      <c r="O18" s="11" t="n">
        <f aca="false">Tabla3510813153420[[#This Row],[no_efec_cor]]/(Tabla3510813153420[[#This Row],[efect_inc]]+Tabla3510813153420[[#This Row],[no_efec_cor]])</f>
        <v>0.509626274065685</v>
      </c>
      <c r="P18" s="11" t="n">
        <f aca="false">Tabla3510813153420[[#This Row],[efec_cor]]/(Tabla3510813153420[[#This Row],[efec_cor]]+Tabla3510813153420[[#This Row],[no_efec_inc]])</f>
        <v>0.507853403141361</v>
      </c>
      <c r="Q18" s="11" t="n">
        <f aca="false">(Tabla3510813153420[[#This Row],[PNE]]+Tabla3510813153420[[#This Row],[PE]])/2</f>
        <v>0.508739838603523</v>
      </c>
      <c r="R18" s="0" t="n">
        <v>918</v>
      </c>
      <c r="S18" s="0" t="n">
        <v>920</v>
      </c>
      <c r="T18" s="0" t="n">
        <f aca="false">Tabla3510813153420[[#This Row],[efec]]+Tabla3510813153420[[#This Row],[no_efe]]</f>
        <v>1838</v>
      </c>
    </row>
    <row r="20" customFormat="false" ht="19.5" hidden="false" customHeight="false" outlineLevel="0" collapsed="false">
      <c r="A20" s="1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4" customFormat="false" ht="15.75" hidden="false" customHeight="false" outlineLevel="0" collapsed="false">
      <c r="A24" s="5" t="s">
        <v>5</v>
      </c>
      <c r="B24" s="5"/>
      <c r="C24" s="5"/>
      <c r="D24" s="5"/>
      <c r="E24" s="5"/>
      <c r="F24" s="5"/>
      <c r="G24" s="5"/>
      <c r="H24" s="5"/>
      <c r="I24" s="5"/>
      <c r="J24" s="9"/>
      <c r="K24" s="9"/>
      <c r="L24" s="9"/>
      <c r="M24" s="9"/>
      <c r="N24" s="10"/>
      <c r="O24" s="11"/>
      <c r="P24" s="11"/>
      <c r="Q24" s="11"/>
    </row>
    <row r="25" customFormat="false" ht="15.75" hidden="false" customHeight="false" outlineLevel="0" collapsed="false">
      <c r="A25" s="7" t="s">
        <v>27</v>
      </c>
      <c r="B25" s="7" t="s">
        <v>28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7" t="s">
        <v>13</v>
      </c>
      <c r="J25" s="7" t="s">
        <v>14</v>
      </c>
      <c r="K25" s="7" t="s">
        <v>15</v>
      </c>
      <c r="L25" s="7" t="s">
        <v>16</v>
      </c>
      <c r="M25" s="7" t="s">
        <v>17</v>
      </c>
      <c r="N25" s="7" t="s">
        <v>18</v>
      </c>
      <c r="O25" s="7" t="s">
        <v>19</v>
      </c>
      <c r="P25" s="7" t="s">
        <v>20</v>
      </c>
      <c r="Q25" s="7" t="s">
        <v>21</v>
      </c>
      <c r="R25" s="7" t="s">
        <v>22</v>
      </c>
      <c r="S25" s="7" t="s">
        <v>23</v>
      </c>
      <c r="T25" s="7" t="s">
        <v>24</v>
      </c>
      <c r="U25" s="7" t="s">
        <v>25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436</v>
      </c>
      <c r="D26" s="0" t="n">
        <v>484</v>
      </c>
      <c r="E26" s="0" t="n">
        <v>478</v>
      </c>
      <c r="F26" s="0" t="n">
        <v>440</v>
      </c>
      <c r="G26" s="0" t="n">
        <f aca="false">Tabla3510813153425[[#This Row],[no_efec_cor]]+Tabla3510813153425[[#This Row],[efec_cor]]</f>
        <v>914</v>
      </c>
      <c r="H26" s="0" t="n">
        <f aca="false">Tabla3510813153425[[#This Row],[no_efec_inc]]+Tabla3510813153425[[#This Row],[efect_inc]]</f>
        <v>924</v>
      </c>
      <c r="I26" s="9" t="n">
        <f aca="false">Tabla3510813153425[[#This Row],[Correctos]]/Tabla3510813153425[[#This Row],[total_sec]]</f>
        <v>0.49727965179543</v>
      </c>
      <c r="J26" s="9" t="n">
        <f aca="false">Tabla3510813153425[[#This Row],[efec_cor]]/Tabla3510813153425[[#This Row],[efec]]</f>
        <v>0.520697167755991</v>
      </c>
      <c r="K26" s="9" t="n">
        <f aca="false">Tabla3510813153425[[#This Row],[efect_inc]]/Tabla3510813153425[[#This Row],[efec]]</f>
        <v>0.479302832244009</v>
      </c>
      <c r="L26" s="9" t="n">
        <f aca="false">Tabla3510813153425[[#This Row],[no_efec_cor]]/Tabla3510813153425[[#This Row],[no_efe]]</f>
        <v>0.473913043478261</v>
      </c>
      <c r="M26" s="9" t="n">
        <f aca="false">Tabla3510813153425[[#This Row],[no_efec_inc]]/Tabla3510813153425[[#This Row],[no_efe]]</f>
        <v>0.526086956521739</v>
      </c>
      <c r="N26" s="9" t="n">
        <f aca="false">(Tabla3510813153425[[#This Row],[% efe_cor]]+Tabla3510813153425[[#This Row],[% no_efe_cor]])/2</f>
        <v>0.497305105617126</v>
      </c>
      <c r="O26" s="10" t="n">
        <f aca="false">(Tabla3510813153425[[#This Row],[% efe_inc]]+Tabla3510813153425[[#This Row],[% no_efect_inc]])/2</f>
        <v>0.502694894382874</v>
      </c>
      <c r="P26" s="11" t="n">
        <f aca="false">Tabla3510813153425[[#This Row],[no_efec_cor]]/(Tabla3510813153425[[#This Row],[efect_inc]]+Tabla3510813153425[[#This Row],[no_efec_cor]])</f>
        <v>0.497716894977169</v>
      </c>
      <c r="Q26" s="11" t="n">
        <f aca="false">Tabla3510813153425[[#This Row],[efec_cor]]/(Tabla3510813153425[[#This Row],[efec_cor]]+Tabla3510813153425[[#This Row],[no_efec_inc]])</f>
        <v>0.496881496881497</v>
      </c>
      <c r="R26" s="11" t="n">
        <f aca="false">(Tabla3510813153425[[#This Row],[PNE]]+Tabla3510813153425[[#This Row],[PE]])/2</f>
        <v>0.497299195929333</v>
      </c>
      <c r="S26" s="0" t="n">
        <v>918</v>
      </c>
      <c r="T26" s="0" t="n">
        <v>920</v>
      </c>
      <c r="U26" s="0" t="n">
        <f aca="false">Tabla3510813153425[[#This Row],[efec]]+Tabla3510813153425[[#This Row],[no_efe]]</f>
        <v>1838</v>
      </c>
    </row>
    <row r="27" customFormat="false" ht="13.8" hidden="false" customHeight="false" outlineLevel="0" collapsed="false">
      <c r="A27" s="0" t="n">
        <v>1</v>
      </c>
      <c r="B27" s="0" t="n">
        <v>0.1</v>
      </c>
      <c r="C27" s="0" t="n">
        <v>447</v>
      </c>
      <c r="D27" s="0" t="n">
        <v>473</v>
      </c>
      <c r="E27" s="0" t="n">
        <v>473</v>
      </c>
      <c r="F27" s="0" t="n">
        <v>445</v>
      </c>
      <c r="G27" s="0" t="n">
        <f aca="false">Tabla3510813153425[[#This Row],[no_efec_cor]]+Tabla3510813153425[[#This Row],[efec_cor]]</f>
        <v>920</v>
      </c>
      <c r="H27" s="0" t="n">
        <f aca="false">Tabla3510813153425[[#This Row],[no_efec_inc]]+Tabla3510813153425[[#This Row],[efect_inc]]</f>
        <v>918</v>
      </c>
      <c r="I27" s="9" t="n">
        <f aca="false">Tabla3510813153425[[#This Row],[Correctos]]/Tabla3510813153425[[#This Row],[total_sec]]</f>
        <v>0.500544069640914</v>
      </c>
      <c r="J27" s="9" t="n">
        <f aca="false">Tabla3510813153425[[#This Row],[efec_cor]]/Tabla3510813153425[[#This Row],[efec]]</f>
        <v>0.515250544662309</v>
      </c>
      <c r="K27" s="9" t="n">
        <f aca="false">Tabla3510813153425[[#This Row],[efect_inc]]/Tabla3510813153425[[#This Row],[efec]]</f>
        <v>0.484749455337691</v>
      </c>
      <c r="L27" s="9" t="n">
        <f aca="false">Tabla3510813153425[[#This Row],[no_efec_cor]]/Tabla3510813153425[[#This Row],[no_efe]]</f>
        <v>0.485869565217391</v>
      </c>
      <c r="M27" s="9" t="n">
        <f aca="false">Tabla3510813153425[[#This Row],[no_efec_inc]]/Tabla3510813153425[[#This Row],[no_efe]]</f>
        <v>0.514130434782609</v>
      </c>
      <c r="N27" s="9" t="n">
        <f aca="false">(Tabla3510813153425[[#This Row],[% efe_cor]]+Tabla3510813153425[[#This Row],[% no_efe_cor]])/2</f>
        <v>0.50056005493985</v>
      </c>
      <c r="O27" s="10" t="n">
        <f aca="false">(Tabla3510813153425[[#This Row],[% efe_inc]]+Tabla3510813153425[[#This Row],[% no_efect_inc]])/2</f>
        <v>0.49943994506015</v>
      </c>
      <c r="P27" s="11" t="n">
        <f aca="false">Tabla3510813153425[[#This Row],[no_efec_cor]]/(Tabla3510813153425[[#This Row],[efect_inc]]+Tabla3510813153425[[#This Row],[no_efec_cor]])</f>
        <v>0.501121076233184</v>
      </c>
      <c r="Q27" s="11" t="n">
        <f aca="false">Tabla3510813153425[[#This Row],[efec_cor]]/(Tabla3510813153425[[#This Row],[efec_cor]]+Tabla3510813153425[[#This Row],[no_efec_inc]])</f>
        <v>0.5</v>
      </c>
      <c r="R27" s="11" t="n">
        <f aca="false">(Tabla3510813153425[[#This Row],[PNE]]+Tabla3510813153425[[#This Row],[PE]])/2</f>
        <v>0.500560538116592</v>
      </c>
      <c r="S27" s="0" t="n">
        <v>918</v>
      </c>
      <c r="T27" s="0" t="n">
        <v>920</v>
      </c>
      <c r="U27" s="0" t="n">
        <f aca="false">Tabla3510813153425[[#This Row],[efec]]+Tabla3510813153425[[#This Row],[no_efe]]</f>
        <v>1838</v>
      </c>
    </row>
    <row r="28" customFormat="false" ht="13.8" hidden="false" customHeight="false" outlineLevel="0" collapsed="false">
      <c r="A28" s="0" t="n">
        <v>1</v>
      </c>
      <c r="B28" s="0" t="n">
        <v>0.5</v>
      </c>
      <c r="C28" s="0" t="n">
        <v>441</v>
      </c>
      <c r="D28" s="0" t="n">
        <v>479</v>
      </c>
      <c r="E28" s="0" t="n">
        <v>497</v>
      </c>
      <c r="F28" s="0" t="n">
        <v>421</v>
      </c>
      <c r="G28" s="0" t="n">
        <f aca="false">Tabla3510813153425[[#This Row],[no_efec_cor]]+Tabla3510813153425[[#This Row],[efec_cor]]</f>
        <v>938</v>
      </c>
      <c r="H28" s="0" t="n">
        <f aca="false">Tabla3510813153425[[#This Row],[no_efec_inc]]+Tabla3510813153425[[#This Row],[efect_inc]]</f>
        <v>900</v>
      </c>
      <c r="I28" s="9" t="n">
        <f aca="false">Tabla3510813153425[[#This Row],[Correctos]]/Tabla3510813153425[[#This Row],[total_sec]]</f>
        <v>0.510337323177367</v>
      </c>
      <c r="J28" s="9" t="n">
        <f aca="false">Tabla3510813153425[[#This Row],[efec_cor]]/Tabla3510813153425[[#This Row],[efec]]</f>
        <v>0.541394335511983</v>
      </c>
      <c r="K28" s="9" t="n">
        <f aca="false">Tabla3510813153425[[#This Row],[efect_inc]]/Tabla3510813153425[[#This Row],[efec]]</f>
        <v>0.458605664488017</v>
      </c>
      <c r="L28" s="9" t="n">
        <f aca="false">Tabla3510813153425[[#This Row],[no_efec_cor]]/Tabla3510813153425[[#This Row],[no_efe]]</f>
        <v>0.479347826086957</v>
      </c>
      <c r="M28" s="9" t="n">
        <f aca="false">Tabla3510813153425[[#This Row],[no_efec_inc]]/Tabla3510813153425[[#This Row],[no_efe]]</f>
        <v>0.520652173913043</v>
      </c>
      <c r="N28" s="9" t="n">
        <f aca="false">(Tabla3510813153425[[#This Row],[% efe_cor]]+Tabla3510813153425[[#This Row],[% no_efe_cor]])/2</f>
        <v>0.51037108079947</v>
      </c>
      <c r="O28" s="10" t="n">
        <f aca="false">(Tabla3510813153425[[#This Row],[% efe_inc]]+Tabla3510813153425[[#This Row],[% no_efect_inc]])/2</f>
        <v>0.48962891920053</v>
      </c>
      <c r="P28" s="11" t="n">
        <f aca="false">Tabla3510813153425[[#This Row],[no_efec_cor]]/(Tabla3510813153425[[#This Row],[efect_inc]]+Tabla3510813153425[[#This Row],[no_efec_cor]])</f>
        <v>0.511600928074246</v>
      </c>
      <c r="Q28" s="11" t="n">
        <f aca="false">Tabla3510813153425[[#This Row],[efec_cor]]/(Tabla3510813153425[[#This Row],[efec_cor]]+Tabla3510813153425[[#This Row],[no_efec_inc]])</f>
        <v>0.50922131147541</v>
      </c>
      <c r="R28" s="11" t="n">
        <f aca="false">(Tabla3510813153425[[#This Row],[PNE]]+Tabla3510813153425[[#This Row],[PE]])/2</f>
        <v>0.510411119774828</v>
      </c>
      <c r="S28" s="0" t="n">
        <v>918</v>
      </c>
      <c r="T28" s="0" t="n">
        <v>920</v>
      </c>
      <c r="U28" s="0" t="n">
        <f aca="false">Tabla3510813153425[[#This Row],[efec]]+Tabla3510813153425[[#This Row],[no_efe]]</f>
        <v>1838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485</v>
      </c>
      <c r="D29" s="0" t="n">
        <v>435</v>
      </c>
      <c r="E29" s="0" t="n">
        <v>468</v>
      </c>
      <c r="F29" s="0" t="n">
        <v>450</v>
      </c>
      <c r="G29" s="0" t="n">
        <f aca="false">Tabla3510813153425[[#This Row],[no_efec_cor]]+Tabla3510813153425[[#This Row],[efec_cor]]</f>
        <v>953</v>
      </c>
      <c r="H29" s="0" t="n">
        <f aca="false">Tabla3510813153425[[#This Row],[no_efec_inc]]+Tabla3510813153425[[#This Row],[efect_inc]]</f>
        <v>885</v>
      </c>
      <c r="I29" s="9" t="n">
        <f aca="false">Tabla3510813153425[[#This Row],[Correctos]]/Tabla3510813153425[[#This Row],[total_sec]]</f>
        <v>0.518498367791077</v>
      </c>
      <c r="J29" s="9" t="n">
        <f aca="false">Tabla3510813153425[[#This Row],[efec_cor]]/Tabla3510813153425[[#This Row],[efec]]</f>
        <v>0.509803921568627</v>
      </c>
      <c r="K29" s="9" t="n">
        <f aca="false">Tabla3510813153425[[#This Row],[efect_inc]]/Tabla3510813153425[[#This Row],[efec]]</f>
        <v>0.490196078431373</v>
      </c>
      <c r="L29" s="9" t="n">
        <f aca="false">Tabla3510813153425[[#This Row],[no_efec_cor]]/Tabla3510813153425[[#This Row],[no_efe]]</f>
        <v>0.527173913043478</v>
      </c>
      <c r="M29" s="9" t="n">
        <f aca="false">Tabla3510813153425[[#This Row],[no_efec_inc]]/Tabla3510813153425[[#This Row],[no_efe]]</f>
        <v>0.472826086956522</v>
      </c>
      <c r="N29" s="9" t="n">
        <f aca="false">(Tabla3510813153425[[#This Row],[% efe_cor]]+Tabla3510813153425[[#This Row],[% no_efe_cor]])/2</f>
        <v>0.518488917306053</v>
      </c>
      <c r="O29" s="10" t="n">
        <f aca="false">(Tabla3510813153425[[#This Row],[% efe_inc]]+Tabla3510813153425[[#This Row],[% no_efect_inc]])/2</f>
        <v>0.481511082693947</v>
      </c>
      <c r="P29" s="11" t="n">
        <f aca="false">Tabla3510813153425[[#This Row],[no_efec_cor]]/(Tabla3510813153425[[#This Row],[efect_inc]]+Tabla3510813153425[[#This Row],[no_efec_cor]])</f>
        <v>0.518716577540107</v>
      </c>
      <c r="Q29" s="11" t="n">
        <f aca="false">Tabla3510813153425[[#This Row],[efec_cor]]/(Tabla3510813153425[[#This Row],[efec_cor]]+Tabla3510813153425[[#This Row],[no_efec_inc]])</f>
        <v>0.518272425249169</v>
      </c>
      <c r="R29" s="11" t="n">
        <f aca="false">(Tabla3510813153425[[#This Row],[PNE]]+Tabla3510813153425[[#This Row],[PE]])/2</f>
        <v>0.518494501394638</v>
      </c>
      <c r="S29" s="0" t="n">
        <v>918</v>
      </c>
      <c r="T29" s="0" t="n">
        <v>920</v>
      </c>
      <c r="U29" s="0" t="n">
        <f aca="false">Tabla3510813153425[[#This Row],[efec]]+Tabla3510813153425[[#This Row],[no_efe]]</f>
        <v>1838</v>
      </c>
    </row>
    <row r="30" customFormat="false" ht="13.8" hidden="false" customHeight="false" outlineLevel="0" collapsed="false">
      <c r="A30" s="0" t="n">
        <v>1</v>
      </c>
      <c r="B30" s="0" t="n">
        <v>2</v>
      </c>
      <c r="C30" s="0" t="n">
        <v>493</v>
      </c>
      <c r="D30" s="0" t="n">
        <v>427</v>
      </c>
      <c r="E30" s="0" t="n">
        <v>469</v>
      </c>
      <c r="F30" s="0" t="n">
        <v>449</v>
      </c>
      <c r="G30" s="0" t="n">
        <f aca="false">Tabla3510813153425[[#This Row],[no_efec_cor]]+Tabla3510813153425[[#This Row],[efec_cor]]</f>
        <v>962</v>
      </c>
      <c r="H30" s="0" t="n">
        <f aca="false">Tabla3510813153425[[#This Row],[no_efec_inc]]+Tabla3510813153425[[#This Row],[efect_inc]]</f>
        <v>876</v>
      </c>
      <c r="I30" s="9" t="n">
        <f aca="false">Tabla3510813153425[[#This Row],[Correctos]]/Tabla3510813153425[[#This Row],[total_sec]]</f>
        <v>0.523394994559304</v>
      </c>
      <c r="J30" s="9" t="n">
        <f aca="false">Tabla3510813153425[[#This Row],[efec_cor]]/Tabla3510813153425[[#This Row],[efec]]</f>
        <v>0.510893246187364</v>
      </c>
      <c r="K30" s="9" t="n">
        <f aca="false">Tabla3510813153425[[#This Row],[efect_inc]]/Tabla3510813153425[[#This Row],[efec]]</f>
        <v>0.489106753812636</v>
      </c>
      <c r="L30" s="9" t="n">
        <f aca="false">Tabla3510813153425[[#This Row],[no_efec_cor]]/Tabla3510813153425[[#This Row],[no_efe]]</f>
        <v>0.535869565217391</v>
      </c>
      <c r="M30" s="9" t="n">
        <f aca="false">Tabla3510813153425[[#This Row],[no_efec_inc]]/Tabla3510813153425[[#This Row],[no_efe]]</f>
        <v>0.464130434782609</v>
      </c>
      <c r="N30" s="9" t="n">
        <f aca="false">(Tabla3510813153425[[#This Row],[% efe_cor]]+Tabla3510813153425[[#This Row],[% no_efe_cor]])/2</f>
        <v>0.523381405702378</v>
      </c>
      <c r="O30" s="10" t="n">
        <f aca="false">(Tabla3510813153425[[#This Row],[% efe_inc]]+Tabla3510813153425[[#This Row],[% no_efect_inc]])/2</f>
        <v>0.476618594297622</v>
      </c>
      <c r="P30" s="11" t="n">
        <f aca="false">Tabla3510813153425[[#This Row],[no_efec_cor]]/(Tabla3510813153425[[#This Row],[efect_inc]]+Tabla3510813153425[[#This Row],[no_efec_cor]])</f>
        <v>0.523354564755839</v>
      </c>
      <c r="Q30" s="11" t="n">
        <f aca="false">Tabla3510813153425[[#This Row],[efec_cor]]/(Tabla3510813153425[[#This Row],[efec_cor]]+Tabla3510813153425[[#This Row],[no_efec_inc]])</f>
        <v>0.5234375</v>
      </c>
      <c r="R30" s="11" t="n">
        <f aca="false">(Tabla3510813153425[[#This Row],[PNE]]+Tabla3510813153425[[#This Row],[PE]])/2</f>
        <v>0.523396032377919</v>
      </c>
      <c r="S30" s="0" t="n">
        <v>918</v>
      </c>
      <c r="T30" s="0" t="n">
        <v>920</v>
      </c>
      <c r="U30" s="0" t="n">
        <f aca="false">Tabla3510813153425[[#This Row],[efec]]+Tabla3510813153425[[#This Row],[no_efe]]</f>
        <v>1838</v>
      </c>
    </row>
    <row r="31" customFormat="false" ht="13.8" hidden="false" customHeight="false" outlineLevel="0" collapsed="false">
      <c r="A31" s="0" t="n">
        <v>1</v>
      </c>
      <c r="B31" s="0" t="n">
        <v>3</v>
      </c>
      <c r="C31" s="0" t="n">
        <v>503</v>
      </c>
      <c r="D31" s="0" t="n">
        <v>417</v>
      </c>
      <c r="E31" s="0" t="n">
        <v>466</v>
      </c>
      <c r="F31" s="0" t="n">
        <v>452</v>
      </c>
      <c r="G31" s="0" t="n">
        <f aca="false">Tabla3510813153425[[#This Row],[no_efec_cor]]+Tabla3510813153425[[#This Row],[efec_cor]]</f>
        <v>969</v>
      </c>
      <c r="H31" s="0" t="n">
        <f aca="false">Tabla3510813153425[[#This Row],[no_efec_inc]]+Tabla3510813153425[[#This Row],[efect_inc]]</f>
        <v>869</v>
      </c>
      <c r="I31" s="9" t="n">
        <f aca="false">Tabla3510813153425[[#This Row],[Correctos]]/Tabla3510813153425[[#This Row],[total_sec]]</f>
        <v>0.527203482045702</v>
      </c>
      <c r="J31" s="9" t="n">
        <f aca="false">Tabla3510813153425[[#This Row],[efec_cor]]/Tabla3510813153425[[#This Row],[efec]]</f>
        <v>0.507625272331155</v>
      </c>
      <c r="K31" s="9" t="n">
        <f aca="false">Tabla3510813153425[[#This Row],[efect_inc]]/Tabla3510813153425[[#This Row],[efec]]</f>
        <v>0.492374727668845</v>
      </c>
      <c r="L31" s="9" t="n">
        <f aca="false">Tabla3510813153425[[#This Row],[no_efec_cor]]/Tabla3510813153425[[#This Row],[no_efe]]</f>
        <v>0.546739130434783</v>
      </c>
      <c r="M31" s="9" t="n">
        <f aca="false">Tabla3510813153425[[#This Row],[no_efec_inc]]/Tabla3510813153425[[#This Row],[no_efe]]</f>
        <v>0.453260869565217</v>
      </c>
      <c r="N31" s="9" t="n">
        <f aca="false">(Tabla3510813153425[[#This Row],[% efe_cor]]+Tabla3510813153425[[#This Row],[% no_efe_cor]])/2</f>
        <v>0.527182201382969</v>
      </c>
      <c r="O31" s="10" t="n">
        <f aca="false">(Tabla3510813153425[[#This Row],[% efe_inc]]+Tabla3510813153425[[#This Row],[% no_efect_inc]])/2</f>
        <v>0.472817798617031</v>
      </c>
      <c r="P31" s="11" t="n">
        <f aca="false">Tabla3510813153425[[#This Row],[no_efec_cor]]/(Tabla3510813153425[[#This Row],[efect_inc]]+Tabla3510813153425[[#This Row],[no_efec_cor]])</f>
        <v>0.526701570680628</v>
      </c>
      <c r="Q31" s="11" t="n">
        <f aca="false">Tabla3510813153425[[#This Row],[efec_cor]]/(Tabla3510813153425[[#This Row],[efec_cor]]+Tabla3510813153425[[#This Row],[no_efec_inc]])</f>
        <v>0.527746319365798</v>
      </c>
      <c r="R31" s="11" t="n">
        <f aca="false">(Tabla3510813153425[[#This Row],[PNE]]+Tabla3510813153425[[#This Row],[PE]])/2</f>
        <v>0.527223945023213</v>
      </c>
      <c r="S31" s="0" t="n">
        <v>918</v>
      </c>
      <c r="T31" s="0" t="n">
        <v>920</v>
      </c>
      <c r="U31" s="0" t="n">
        <f aca="false">Tabla3510813153425[[#This Row],[efec]]+Tabla3510813153425[[#This Row],[no_efe]]</f>
        <v>1838</v>
      </c>
    </row>
    <row r="32" customFormat="false" ht="13.8" hidden="false" customHeight="false" outlineLevel="0" collapsed="false">
      <c r="A32" s="0" t="n">
        <v>1</v>
      </c>
      <c r="B32" s="0" t="n">
        <v>5</v>
      </c>
      <c r="C32" s="0" t="n">
        <v>513</v>
      </c>
      <c r="D32" s="0" t="n">
        <v>407</v>
      </c>
      <c r="E32" s="0" t="n">
        <v>456</v>
      </c>
      <c r="F32" s="0" t="n">
        <v>462</v>
      </c>
      <c r="G32" s="0" t="n">
        <f aca="false">Tabla3510813153425[[#This Row],[no_efec_cor]]+Tabla3510813153425[[#This Row],[efec_cor]]</f>
        <v>969</v>
      </c>
      <c r="H32" s="0" t="n">
        <f aca="false">Tabla3510813153425[[#This Row],[no_efec_inc]]+Tabla3510813153425[[#This Row],[efect_inc]]</f>
        <v>869</v>
      </c>
      <c r="I32" s="9" t="n">
        <f aca="false">Tabla3510813153425[[#This Row],[Correctos]]/Tabla3510813153425[[#This Row],[total_sec]]</f>
        <v>0.527203482045702</v>
      </c>
      <c r="J32" s="9" t="n">
        <f aca="false">Tabla3510813153425[[#This Row],[efec_cor]]/Tabla3510813153425[[#This Row],[efec]]</f>
        <v>0.496732026143791</v>
      </c>
      <c r="K32" s="9" t="n">
        <f aca="false">Tabla3510813153425[[#This Row],[efect_inc]]/Tabla3510813153425[[#This Row],[efec]]</f>
        <v>0.503267973856209</v>
      </c>
      <c r="L32" s="9" t="n">
        <f aca="false">Tabla3510813153425[[#This Row],[no_efec_cor]]/Tabla3510813153425[[#This Row],[no_efe]]</f>
        <v>0.557608695652174</v>
      </c>
      <c r="M32" s="9" t="n">
        <f aca="false">Tabla3510813153425[[#This Row],[no_efec_inc]]/Tabla3510813153425[[#This Row],[no_efe]]</f>
        <v>0.442391304347826</v>
      </c>
      <c r="N32" s="9" t="n">
        <f aca="false">(Tabla3510813153425[[#This Row],[% efe_cor]]+Tabla3510813153425[[#This Row],[% no_efe_cor]])/2</f>
        <v>0.527170360897982</v>
      </c>
      <c r="O32" s="10" t="n">
        <f aca="false">(Tabla3510813153425[[#This Row],[% efe_inc]]+Tabla3510813153425[[#This Row],[% no_efect_inc]])/2</f>
        <v>0.472829639102018</v>
      </c>
      <c r="P32" s="11" t="n">
        <f aca="false">Tabla3510813153425[[#This Row],[no_efec_cor]]/(Tabla3510813153425[[#This Row],[efect_inc]]+Tabla3510813153425[[#This Row],[no_efec_cor]])</f>
        <v>0.526153846153846</v>
      </c>
      <c r="Q32" s="11" t="n">
        <f aca="false">Tabla3510813153425[[#This Row],[efec_cor]]/(Tabla3510813153425[[#This Row],[efec_cor]]+Tabla3510813153425[[#This Row],[no_efec_inc]])</f>
        <v>0.528389339513326</v>
      </c>
      <c r="R32" s="11" t="n">
        <f aca="false">(Tabla3510813153425[[#This Row],[PNE]]+Tabla3510813153425[[#This Row],[PE]])/2</f>
        <v>0.527271592833586</v>
      </c>
      <c r="S32" s="0" t="n">
        <v>918</v>
      </c>
      <c r="T32" s="0" t="n">
        <v>920</v>
      </c>
      <c r="U32" s="0" t="n">
        <f aca="false">Tabla3510813153425[[#This Row],[efec]]+Tabla3510813153425[[#This Row],[no_efe]]</f>
        <v>1838</v>
      </c>
    </row>
    <row r="33" customFormat="false" ht="13.8" hidden="false" customHeight="false" outlineLevel="0" collapsed="false">
      <c r="A33" s="0" t="n">
        <v>2</v>
      </c>
      <c r="B33" s="0" t="n">
        <v>0.5</v>
      </c>
      <c r="C33" s="0" t="n">
        <v>474</v>
      </c>
      <c r="D33" s="0" t="n">
        <v>446</v>
      </c>
      <c r="E33" s="0" t="n">
        <v>497</v>
      </c>
      <c r="F33" s="0" t="n">
        <v>421</v>
      </c>
      <c r="G33" s="0" t="n">
        <f aca="false">Tabla3510813153425[[#This Row],[no_efec_cor]]+Tabla3510813153425[[#This Row],[efec_cor]]</f>
        <v>971</v>
      </c>
      <c r="H33" s="0" t="n">
        <f aca="false">Tabla3510813153425[[#This Row],[no_efec_inc]]+Tabla3510813153425[[#This Row],[efect_inc]]</f>
        <v>867</v>
      </c>
      <c r="I33" s="9" t="n">
        <f aca="false">Tabla3510813153425[[#This Row],[Correctos]]/Tabla3510813153425[[#This Row],[total_sec]]</f>
        <v>0.52829162132753</v>
      </c>
      <c r="J33" s="9" t="n">
        <f aca="false">Tabla3510813153425[[#This Row],[efec_cor]]/Tabla3510813153425[[#This Row],[efec]]</f>
        <v>0.541394335511983</v>
      </c>
      <c r="K33" s="9" t="n">
        <f aca="false">Tabla3510813153425[[#This Row],[efect_inc]]/Tabla3510813153425[[#This Row],[efec]]</f>
        <v>0.458605664488017</v>
      </c>
      <c r="L33" s="9" t="n">
        <f aca="false">Tabla3510813153425[[#This Row],[no_efec_cor]]/Tabla3510813153425[[#This Row],[no_efe]]</f>
        <v>0.515217391304348</v>
      </c>
      <c r="M33" s="9" t="n">
        <f aca="false">Tabla3510813153425[[#This Row],[no_efec_inc]]/Tabla3510813153425[[#This Row],[no_efe]]</f>
        <v>0.484782608695652</v>
      </c>
      <c r="N33" s="9" t="n">
        <f aca="false">(Tabla3510813153425[[#This Row],[% efe_cor]]+Tabla3510813153425[[#This Row],[% no_efe_cor]])/2</f>
        <v>0.528305863408165</v>
      </c>
      <c r="O33" s="10" t="n">
        <f aca="false">(Tabla3510813153425[[#This Row],[% efe_inc]]+Tabla3510813153425[[#This Row],[% no_efect_inc]])/2</f>
        <v>0.471694136591835</v>
      </c>
      <c r="P33" s="11" t="n">
        <f aca="false">Tabla3510813153425[[#This Row],[no_efec_cor]]/(Tabla3510813153425[[#This Row],[efect_inc]]+Tabla3510813153425[[#This Row],[no_efec_cor]])</f>
        <v>0.529608938547486</v>
      </c>
      <c r="Q33" s="11" t="n">
        <f aca="false">Tabla3510813153425[[#This Row],[efec_cor]]/(Tabla3510813153425[[#This Row],[efec_cor]]+Tabla3510813153425[[#This Row],[no_efec_inc]])</f>
        <v>0.527041357370095</v>
      </c>
      <c r="R33" s="11" t="n">
        <f aca="false">(Tabla3510813153425[[#This Row],[PNE]]+Tabla3510813153425[[#This Row],[PE]])/2</f>
        <v>0.528325147958791</v>
      </c>
      <c r="S33" s="0" t="n">
        <v>918</v>
      </c>
      <c r="T33" s="0" t="n">
        <v>920</v>
      </c>
      <c r="U33" s="0" t="n">
        <f aca="false">Tabla3510813153425[[#This Row],[efec]]+Tabla3510813153425[[#This Row],[no_efe]]</f>
        <v>1838</v>
      </c>
    </row>
    <row r="34" customFormat="false" ht="13.8" hidden="false" customHeight="false" outlineLevel="0" collapsed="false">
      <c r="A34" s="0" t="n">
        <v>3</v>
      </c>
      <c r="B34" s="0" t="n">
        <v>0.5</v>
      </c>
      <c r="C34" s="0" t="n">
        <v>475</v>
      </c>
      <c r="D34" s="0" t="n">
        <v>445</v>
      </c>
      <c r="E34" s="0" t="n">
        <v>489</v>
      </c>
      <c r="F34" s="0" t="n">
        <v>429</v>
      </c>
      <c r="G34" s="0" t="n">
        <f aca="false">Tabla3510813153425[[#This Row],[no_efec_cor]]+Tabla3510813153425[[#This Row],[efec_cor]]</f>
        <v>964</v>
      </c>
      <c r="H34" s="0" t="n">
        <f aca="false">Tabla3510813153425[[#This Row],[no_efec_inc]]+Tabla3510813153425[[#This Row],[efect_inc]]</f>
        <v>874</v>
      </c>
      <c r="I34" s="9" t="n">
        <f aca="false">Tabla3510813153425[[#This Row],[Correctos]]/Tabla3510813153425[[#This Row],[total_sec]]</f>
        <v>0.524483133841132</v>
      </c>
      <c r="J34" s="9" t="n">
        <f aca="false">Tabla3510813153425[[#This Row],[efec_cor]]/Tabla3510813153425[[#This Row],[efec]]</f>
        <v>0.532679738562092</v>
      </c>
      <c r="K34" s="9" t="n">
        <f aca="false">Tabla3510813153425[[#This Row],[efect_inc]]/Tabla3510813153425[[#This Row],[efec]]</f>
        <v>0.467320261437908</v>
      </c>
      <c r="L34" s="9" t="n">
        <f aca="false">Tabla3510813153425[[#This Row],[no_efec_cor]]/Tabla3510813153425[[#This Row],[no_efe]]</f>
        <v>0.516304347826087</v>
      </c>
      <c r="M34" s="9" t="n">
        <f aca="false">Tabla3510813153425[[#This Row],[no_efec_inc]]/Tabla3510813153425[[#This Row],[no_efe]]</f>
        <v>0.483695652173913</v>
      </c>
      <c r="N34" s="9" t="n">
        <f aca="false">(Tabla3510813153425[[#This Row],[% efe_cor]]+Tabla3510813153425[[#This Row],[% no_efe_cor]])/2</f>
        <v>0.524492043194089</v>
      </c>
      <c r="O34" s="10" t="n">
        <f aca="false">(Tabla3510813153425[[#This Row],[% efe_inc]]+Tabla3510813153425[[#This Row],[% no_efect_inc]])/2</f>
        <v>0.475507956805911</v>
      </c>
      <c r="P34" s="11" t="n">
        <f aca="false">Tabla3510813153425[[#This Row],[no_efec_cor]]/(Tabla3510813153425[[#This Row],[efect_inc]]+Tabla3510813153425[[#This Row],[no_efec_cor]])</f>
        <v>0.525442477876106</v>
      </c>
      <c r="Q34" s="11" t="n">
        <f aca="false">Tabla3510813153425[[#This Row],[efec_cor]]/(Tabla3510813153425[[#This Row],[efec_cor]]+Tabla3510813153425[[#This Row],[no_efec_inc]])</f>
        <v>0.52355460385439</v>
      </c>
      <c r="R34" s="11" t="n">
        <f aca="false">(Tabla3510813153425[[#This Row],[PNE]]+Tabla3510813153425[[#This Row],[PE]])/2</f>
        <v>0.524498540865248</v>
      </c>
      <c r="S34" s="0" t="n">
        <v>918</v>
      </c>
      <c r="T34" s="0" t="n">
        <v>920</v>
      </c>
      <c r="U34" s="0" t="n">
        <f aca="false">Tabla3510813153425[[#This Row],[efec]]+Tabla3510813153425[[#This Row],[no_efe]]</f>
        <v>1838</v>
      </c>
    </row>
    <row r="35" customFormat="false" ht="13.8" hidden="false" customHeight="false" outlineLevel="0" collapsed="false">
      <c r="A35" s="0" t="n">
        <v>5</v>
      </c>
      <c r="B35" s="0" t="n">
        <v>0.5</v>
      </c>
      <c r="C35" s="0" t="n">
        <v>462</v>
      </c>
      <c r="D35" s="0" t="n">
        <v>458</v>
      </c>
      <c r="E35" s="0" t="n">
        <v>497</v>
      </c>
      <c r="F35" s="0" t="n">
        <v>421</v>
      </c>
      <c r="G35" s="0" t="n">
        <f aca="false">Tabla3510813153425[[#This Row],[no_efec_cor]]+Tabla3510813153425[[#This Row],[efec_cor]]</f>
        <v>959</v>
      </c>
      <c r="H35" s="0" t="n">
        <f aca="false">Tabla3510813153425[[#This Row],[no_efec_inc]]+Tabla3510813153425[[#This Row],[efect_inc]]</f>
        <v>879</v>
      </c>
      <c r="I35" s="9" t="n">
        <f aca="false">Tabla3510813153425[[#This Row],[Correctos]]/Tabla3510813153425[[#This Row],[total_sec]]</f>
        <v>0.521762785636562</v>
      </c>
      <c r="J35" s="9" t="n">
        <f aca="false">Tabla3510813153425[[#This Row],[efec_cor]]/Tabla3510813153425[[#This Row],[efec]]</f>
        <v>0.541394335511983</v>
      </c>
      <c r="K35" s="9" t="n">
        <f aca="false">Tabla3510813153425[[#This Row],[efect_inc]]/Tabla3510813153425[[#This Row],[efec]]</f>
        <v>0.458605664488017</v>
      </c>
      <c r="L35" s="9" t="n">
        <f aca="false">Tabla3510813153425[[#This Row],[no_efec_cor]]/Tabla3510813153425[[#This Row],[no_efe]]</f>
        <v>0.502173913043478</v>
      </c>
      <c r="M35" s="9" t="n">
        <f aca="false">Tabla3510813153425[[#This Row],[no_efec_inc]]/Tabla3510813153425[[#This Row],[no_efe]]</f>
        <v>0.497826086956522</v>
      </c>
      <c r="N35" s="9" t="n">
        <f aca="false">(Tabla3510813153425[[#This Row],[% efe_cor]]+Tabla3510813153425[[#This Row],[% no_efe_cor]])/2</f>
        <v>0.52178412427773</v>
      </c>
      <c r="O35" s="10" t="n">
        <f aca="false">(Tabla3510813153425[[#This Row],[% efe_inc]]+Tabla3510813153425[[#This Row],[% no_efect_inc]])/2</f>
        <v>0.47821587572227</v>
      </c>
      <c r="P35" s="11" t="n">
        <f aca="false">Tabla3510813153425[[#This Row],[no_efec_cor]]/(Tabla3510813153425[[#This Row],[efect_inc]]+Tabla3510813153425[[#This Row],[no_efec_cor]])</f>
        <v>0.52321630804077</v>
      </c>
      <c r="Q35" s="11" t="n">
        <f aca="false">Tabla3510813153425[[#This Row],[efec_cor]]/(Tabla3510813153425[[#This Row],[efec_cor]]+Tabla3510813153425[[#This Row],[no_efec_inc]])</f>
        <v>0.520418848167539</v>
      </c>
      <c r="R35" s="11" t="n">
        <f aca="false">(Tabla3510813153425[[#This Row],[PNE]]+Tabla3510813153425[[#This Row],[PE]])/2</f>
        <v>0.521817578104155</v>
      </c>
      <c r="S35" s="0" t="n">
        <v>918</v>
      </c>
      <c r="T35" s="0" t="n">
        <v>920</v>
      </c>
      <c r="U35" s="0" t="n">
        <f aca="false">Tabla3510813153425[[#This Row],[efec]]+Tabla3510813153425[[#This Row],[no_efe]]</f>
        <v>1838</v>
      </c>
    </row>
    <row r="36" customFormat="false" ht="13.8" hidden="false" customHeight="false" outlineLevel="0" collapsed="false">
      <c r="A36" s="0" t="n">
        <v>5</v>
      </c>
      <c r="B36" s="0" t="n">
        <v>1</v>
      </c>
      <c r="C36" s="0" t="n">
        <v>461</v>
      </c>
      <c r="D36" s="0" t="n">
        <v>459</v>
      </c>
      <c r="E36" s="0" t="n">
        <v>487</v>
      </c>
      <c r="F36" s="0" t="n">
        <v>431</v>
      </c>
      <c r="G36" s="0" t="n">
        <f aca="false">Tabla3510813153425[[#This Row],[no_efec_cor]]+Tabla3510813153425[[#This Row],[efec_cor]]</f>
        <v>948</v>
      </c>
      <c r="H36" s="0" t="n">
        <f aca="false">Tabla3510813153425[[#This Row],[no_efec_inc]]+Tabla3510813153425[[#This Row],[efect_inc]]</f>
        <v>890</v>
      </c>
      <c r="I36" s="9" t="n">
        <f aca="false">Tabla3510813153425[[#This Row],[Correctos]]/Tabla3510813153425[[#This Row],[total_sec]]</f>
        <v>0.515778019586507</v>
      </c>
      <c r="J36" s="9" t="n">
        <f aca="false">Tabla3510813153425[[#This Row],[efec_cor]]/Tabla3510813153425[[#This Row],[efec]]</f>
        <v>0.530501089324619</v>
      </c>
      <c r="K36" s="9" t="n">
        <f aca="false">Tabla3510813153425[[#This Row],[efect_inc]]/Tabla3510813153425[[#This Row],[efec]]</f>
        <v>0.469498910675381</v>
      </c>
      <c r="L36" s="9" t="n">
        <f aca="false">Tabla3510813153425[[#This Row],[no_efec_cor]]/Tabla3510813153425[[#This Row],[no_efe]]</f>
        <v>0.501086956521739</v>
      </c>
      <c r="M36" s="9" t="n">
        <f aca="false">Tabla3510813153425[[#This Row],[no_efec_inc]]/Tabla3510813153425[[#This Row],[no_efe]]</f>
        <v>0.498913043478261</v>
      </c>
      <c r="N36" s="9" t="n">
        <f aca="false">(Tabla3510813153425[[#This Row],[% efe_cor]]+Tabla3510813153425[[#This Row],[% no_efe_cor]])/2</f>
        <v>0.515794022923179</v>
      </c>
      <c r="O36" s="10" t="n">
        <f aca="false">(Tabla3510813153425[[#This Row],[% efe_inc]]+Tabla3510813153425[[#This Row],[% no_efect_inc]])/2</f>
        <v>0.484205977076821</v>
      </c>
      <c r="P36" s="11" t="n">
        <f aca="false">Tabla3510813153425[[#This Row],[no_efec_cor]]/(Tabla3510813153425[[#This Row],[efect_inc]]+Tabla3510813153425[[#This Row],[no_efec_cor]])</f>
        <v>0.516816143497758</v>
      </c>
      <c r="Q36" s="11" t="n">
        <f aca="false">Tabla3510813153425[[#This Row],[efec_cor]]/(Tabla3510813153425[[#This Row],[efec_cor]]+Tabla3510813153425[[#This Row],[no_efec_inc]])</f>
        <v>0.514799154334038</v>
      </c>
      <c r="R36" s="11" t="n">
        <f aca="false">(Tabla3510813153425[[#This Row],[PNE]]+Tabla3510813153425[[#This Row],[PE]])/2</f>
        <v>0.515807648915898</v>
      </c>
      <c r="S36" s="0" t="n">
        <v>918</v>
      </c>
      <c r="T36" s="0" t="n">
        <v>920</v>
      </c>
      <c r="U36" s="0" t="n">
        <f aca="false">Tabla3510813153425[[#This Row],[efec]]+Tabla3510813153425[[#This Row],[no_efe]]</f>
        <v>1838</v>
      </c>
    </row>
    <row r="37" customFormat="false" ht="13.8" hidden="false" customHeight="false" outlineLevel="0" collapsed="false">
      <c r="A37" s="0" t="n">
        <v>0.5</v>
      </c>
      <c r="B37" s="0" t="n">
        <v>1</v>
      </c>
      <c r="C37" s="0" t="n">
        <v>473</v>
      </c>
      <c r="D37" s="0" t="n">
        <v>447</v>
      </c>
      <c r="E37" s="0" t="n">
        <v>475</v>
      </c>
      <c r="F37" s="0" t="n">
        <v>443</v>
      </c>
      <c r="G37" s="0" t="n">
        <f aca="false">Tabla3510813153425[[#This Row],[no_efec_cor]]+Tabla3510813153425[[#This Row],[efec_cor]]</f>
        <v>948</v>
      </c>
      <c r="H37" s="0" t="n">
        <f aca="false">Tabla3510813153425[[#This Row],[no_efec_inc]]+Tabla3510813153425[[#This Row],[efect_inc]]</f>
        <v>890</v>
      </c>
      <c r="I37" s="9" t="n">
        <f aca="false">Tabla3510813153425[[#This Row],[Correctos]]/Tabla3510813153425[[#This Row],[total_sec]]</f>
        <v>0.515778019586507</v>
      </c>
      <c r="J37" s="9" t="n">
        <f aca="false">Tabla3510813153425[[#This Row],[efec_cor]]/Tabla3510813153425[[#This Row],[efec]]</f>
        <v>0.517429193899782</v>
      </c>
      <c r="K37" s="9" t="n">
        <f aca="false">Tabla3510813153425[[#This Row],[efect_inc]]/Tabla3510813153425[[#This Row],[efec]]</f>
        <v>0.482570806100218</v>
      </c>
      <c r="L37" s="9" t="n">
        <f aca="false">Tabla3510813153425[[#This Row],[no_efec_cor]]/Tabla3510813153425[[#This Row],[no_efe]]</f>
        <v>0.514130434782609</v>
      </c>
      <c r="M37" s="9" t="n">
        <f aca="false">Tabla3510813153425[[#This Row],[no_efec_inc]]/Tabla3510813153425[[#This Row],[no_efe]]</f>
        <v>0.485869565217391</v>
      </c>
      <c r="N37" s="9" t="n">
        <f aca="false">(Tabla3510813153425[[#This Row],[% efe_cor]]+Tabla3510813153425[[#This Row],[% no_efe_cor]])/2</f>
        <v>0.515779814341195</v>
      </c>
      <c r="O37" s="10" t="n">
        <f aca="false">(Tabla3510813153425[[#This Row],[% efe_inc]]+Tabla3510813153425[[#This Row],[% no_efect_inc]])/2</f>
        <v>0.484220185658805</v>
      </c>
      <c r="P37" s="11" t="n">
        <f aca="false">Tabla3510813153425[[#This Row],[no_efec_cor]]/(Tabla3510813153425[[#This Row],[efect_inc]]+Tabla3510813153425[[#This Row],[no_efec_cor]])</f>
        <v>0.516375545851528</v>
      </c>
      <c r="Q37" s="11" t="n">
        <f aca="false">Tabla3510813153425[[#This Row],[efec_cor]]/(Tabla3510813153425[[#This Row],[efec_cor]]+Tabla3510813153425[[#This Row],[no_efec_inc]])</f>
        <v>0.515184381778742</v>
      </c>
      <c r="R37" s="11" t="n">
        <f aca="false">(Tabla3510813153425[[#This Row],[PNE]]+Tabla3510813153425[[#This Row],[PE]])/2</f>
        <v>0.515779963815135</v>
      </c>
      <c r="S37" s="0" t="n">
        <v>918</v>
      </c>
      <c r="T37" s="0" t="n">
        <v>920</v>
      </c>
      <c r="U37" s="0" t="n">
        <f aca="false">Tabla3510813153425[[#This Row],[efec]]+Tabla3510813153425[[#This Row],[no_efe]]</f>
        <v>1838</v>
      </c>
    </row>
    <row r="38" customFormat="false" ht="13.8" hidden="false" customHeight="false" outlineLevel="0" collapsed="false">
      <c r="A38" s="0" t="n">
        <v>0.1</v>
      </c>
      <c r="B38" s="0" t="n">
        <v>1</v>
      </c>
      <c r="C38" s="0" t="n">
        <v>550</v>
      </c>
      <c r="D38" s="0" t="n">
        <v>370</v>
      </c>
      <c r="E38" s="0" t="n">
        <v>376</v>
      </c>
      <c r="F38" s="0" t="n">
        <v>542</v>
      </c>
      <c r="G38" s="0" t="n">
        <f aca="false">Tabla3510813153425[[#This Row],[no_efec_cor]]+Tabla3510813153425[[#This Row],[efec_cor]]</f>
        <v>926</v>
      </c>
      <c r="H38" s="0" t="n">
        <f aca="false">Tabla3510813153425[[#This Row],[no_efec_inc]]+Tabla3510813153425[[#This Row],[efect_inc]]</f>
        <v>912</v>
      </c>
      <c r="I38" s="9" t="n">
        <f aca="false">Tabla3510813153425[[#This Row],[Correctos]]/Tabla3510813153425[[#This Row],[total_sec]]</f>
        <v>0.503808487486398</v>
      </c>
      <c r="J38" s="9" t="n">
        <f aca="false">Tabla3510813153425[[#This Row],[efec_cor]]/Tabla3510813153425[[#This Row],[efec]]</f>
        <v>0.40958605664488</v>
      </c>
      <c r="K38" s="9" t="n">
        <f aca="false">Tabla3510813153425[[#This Row],[efect_inc]]/Tabla3510813153425[[#This Row],[efec]]</f>
        <v>0.59041394335512</v>
      </c>
      <c r="L38" s="9" t="n">
        <f aca="false">Tabla3510813153425[[#This Row],[no_efec_cor]]/Tabla3510813153425[[#This Row],[no_efe]]</f>
        <v>0.597826086956522</v>
      </c>
      <c r="M38" s="9" t="n">
        <f aca="false">Tabla3510813153425[[#This Row],[no_efec_inc]]/Tabla3510813153425[[#This Row],[no_efe]]</f>
        <v>0.402173913043478</v>
      </c>
      <c r="N38" s="9" t="n">
        <f aca="false">(Tabla3510813153425[[#This Row],[% efe_cor]]+Tabla3510813153425[[#This Row],[% no_efe_cor]])/2</f>
        <v>0.503706071800701</v>
      </c>
      <c r="O38" s="10" t="n">
        <f aca="false">(Tabla3510813153425[[#This Row],[% efe_inc]]+Tabla3510813153425[[#This Row],[% no_efect_inc]])/2</f>
        <v>0.496293928199299</v>
      </c>
      <c r="P38" s="11" t="n">
        <f aca="false">Tabla3510813153425[[#This Row],[no_efec_cor]]/(Tabla3510813153425[[#This Row],[efect_inc]]+Tabla3510813153425[[#This Row],[no_efec_cor]])</f>
        <v>0.503663003663004</v>
      </c>
      <c r="Q38" s="11" t="n">
        <f aca="false">Tabla3510813153425[[#This Row],[efec_cor]]/(Tabla3510813153425[[#This Row],[efec_cor]]+Tabla3510813153425[[#This Row],[no_efec_inc]])</f>
        <v>0.50402144772118</v>
      </c>
      <c r="R38" s="11" t="n">
        <f aca="false">(Tabla3510813153425[[#This Row],[PNE]]+Tabla3510813153425[[#This Row],[PE]])/2</f>
        <v>0.503842225692092</v>
      </c>
      <c r="S38" s="0" t="n">
        <v>918</v>
      </c>
      <c r="T38" s="0" t="n">
        <v>920</v>
      </c>
      <c r="U38" s="0" t="n">
        <f aca="false">Tabla3510813153425[[#This Row],[efec]]+Tabla3510813153425[[#This Row],[no_efe]]</f>
        <v>1838</v>
      </c>
    </row>
    <row r="39" customFormat="false" ht="13.8" hidden="false" customHeight="false" outlineLevel="0" collapsed="false">
      <c r="A39" s="0" t="n">
        <v>0.5</v>
      </c>
      <c r="B39" s="0" t="n">
        <v>0.5</v>
      </c>
      <c r="C39" s="0" t="n">
        <v>421</v>
      </c>
      <c r="D39" s="0" t="n">
        <v>499</v>
      </c>
      <c r="E39" s="0" t="n">
        <v>508</v>
      </c>
      <c r="F39" s="0" t="n">
        <v>410</v>
      </c>
      <c r="G39" s="0" t="n">
        <f aca="false">Tabla3510813153425[[#This Row],[no_efec_cor]]+Tabla3510813153425[[#This Row],[efec_cor]]</f>
        <v>929</v>
      </c>
      <c r="H39" s="0" t="n">
        <f aca="false">Tabla3510813153425[[#This Row],[no_efec_inc]]+Tabla3510813153425[[#This Row],[efect_inc]]</f>
        <v>909</v>
      </c>
      <c r="I39" s="9" t="n">
        <f aca="false">Tabla3510813153425[[#This Row],[Correctos]]/Tabla3510813153425[[#This Row],[total_sec]]</f>
        <v>0.50544069640914</v>
      </c>
      <c r="J39" s="9" t="n">
        <f aca="false">Tabla3510813153425[[#This Row],[efec_cor]]/Tabla3510813153425[[#This Row],[efec]]</f>
        <v>0.553376906318083</v>
      </c>
      <c r="K39" s="9" t="n">
        <f aca="false">Tabla3510813153425[[#This Row],[efect_inc]]/Tabla3510813153425[[#This Row],[efec]]</f>
        <v>0.446623093681917</v>
      </c>
      <c r="L39" s="9" t="n">
        <f aca="false">Tabla3510813153425[[#This Row],[no_efec_cor]]/Tabla3510813153425[[#This Row],[no_efe]]</f>
        <v>0.457608695652174</v>
      </c>
      <c r="M39" s="9" t="n">
        <f aca="false">Tabla3510813153425[[#This Row],[no_efec_inc]]/Tabla3510813153425[[#This Row],[no_efe]]</f>
        <v>0.542391304347826</v>
      </c>
      <c r="N39" s="9" t="n">
        <f aca="false">(Tabla3510813153425[[#This Row],[% efe_cor]]+Tabla3510813153425[[#This Row],[% no_efe_cor]])/2</f>
        <v>0.505492800985128</v>
      </c>
      <c r="O39" s="10" t="n">
        <f aca="false">(Tabla3510813153425[[#This Row],[% efe_inc]]+Tabla3510813153425[[#This Row],[% no_efect_inc]])/2</f>
        <v>0.494507199014872</v>
      </c>
      <c r="P39" s="11" t="n">
        <f aca="false">Tabla3510813153425[[#This Row],[no_efec_cor]]/(Tabla3510813153425[[#This Row],[efect_inc]]+Tabla3510813153425[[#This Row],[no_efec_cor]])</f>
        <v>0.50661853188929</v>
      </c>
      <c r="Q39" s="11" t="n">
        <f aca="false">Tabla3510813153425[[#This Row],[efec_cor]]/(Tabla3510813153425[[#This Row],[efec_cor]]+Tabla3510813153425[[#This Row],[no_efec_inc]])</f>
        <v>0.504468718967229</v>
      </c>
      <c r="R39" s="11" t="n">
        <f aca="false">(Tabla3510813153425[[#This Row],[PNE]]+Tabla3510813153425[[#This Row],[PE]])/2</f>
        <v>0.50554362542826</v>
      </c>
      <c r="S39" s="0" t="n">
        <v>918</v>
      </c>
      <c r="T39" s="0" t="n">
        <v>920</v>
      </c>
      <c r="U39" s="0" t="n">
        <f aca="false">Tabla3510813153425[[#This Row],[efec]]+Tabla3510813153425[[#This Row],[no_efe]]</f>
        <v>1838</v>
      </c>
    </row>
    <row r="40" customFormat="false" ht="15" hidden="false" customHeight="false" outlineLevel="0" collapsed="false">
      <c r="H40" s="9"/>
      <c r="I40" s="9"/>
      <c r="J40" s="9"/>
      <c r="K40" s="9"/>
      <c r="L40" s="9"/>
      <c r="M40" s="9"/>
      <c r="N40" s="10"/>
      <c r="O40" s="11"/>
      <c r="P40" s="11"/>
      <c r="Q40" s="11"/>
    </row>
    <row r="41" customFormat="false" ht="15" hidden="false" customHeight="false" outlineLevel="0" collapsed="false">
      <c r="H41" s="9"/>
      <c r="I41" s="9"/>
      <c r="J41" s="9"/>
      <c r="K41" s="9"/>
      <c r="L41" s="9"/>
      <c r="M41" s="9"/>
      <c r="N41" s="10"/>
      <c r="O41" s="11"/>
      <c r="P41" s="11"/>
      <c r="Q41" s="11"/>
    </row>
    <row r="42" customFormat="false" ht="15" hidden="false" customHeight="false" outlineLevel="0" collapsed="false">
      <c r="H42" s="9"/>
      <c r="I42" s="9"/>
      <c r="J42" s="9"/>
      <c r="K42" s="9"/>
      <c r="L42" s="9"/>
      <c r="M42" s="9"/>
      <c r="N42" s="10"/>
      <c r="O42" s="11"/>
      <c r="P42" s="11"/>
      <c r="Q42" s="11"/>
    </row>
    <row r="43" customFormat="false" ht="15" hidden="false" customHeight="false" outlineLevel="0" collapsed="false">
      <c r="H43" s="9"/>
      <c r="I43" s="9"/>
      <c r="J43" s="9"/>
      <c r="K43" s="9"/>
      <c r="L43" s="9"/>
      <c r="M43" s="9"/>
      <c r="N43" s="10"/>
      <c r="O43" s="11"/>
      <c r="P43" s="11"/>
      <c r="Q43" s="11"/>
    </row>
    <row r="44" customFormat="false" ht="15" hidden="false" customHeight="false" outlineLevel="0" collapsed="false">
      <c r="H44" s="9"/>
      <c r="I44" s="9"/>
      <c r="J44" s="9"/>
      <c r="K44" s="9"/>
      <c r="L44" s="9"/>
      <c r="M44" s="9"/>
      <c r="N44" s="10"/>
      <c r="O44" s="11"/>
      <c r="P44" s="11"/>
      <c r="Q44" s="11"/>
    </row>
    <row r="45" customFormat="false" ht="15" hidden="false" customHeight="false" outlineLevel="0" collapsed="false">
      <c r="H45" s="9"/>
      <c r="I45" s="9"/>
      <c r="J45" s="9"/>
      <c r="K45" s="9"/>
      <c r="L45" s="9"/>
      <c r="M45" s="9"/>
      <c r="N45" s="10"/>
      <c r="O45" s="11"/>
      <c r="P45" s="11"/>
      <c r="Q45" s="11"/>
    </row>
    <row r="46" customFormat="false" ht="15" hidden="false" customHeight="false" outlineLevel="0" collapsed="false">
      <c r="H46" s="9"/>
      <c r="I46" s="9"/>
      <c r="J46" s="9"/>
      <c r="K46" s="9"/>
      <c r="L46" s="9"/>
      <c r="M46" s="9"/>
      <c r="N46" s="10"/>
      <c r="O46" s="11"/>
      <c r="P46" s="11"/>
      <c r="Q46" s="11"/>
    </row>
    <row r="47" customFormat="false" ht="15" hidden="false" customHeight="false" outlineLevel="0" collapsed="false">
      <c r="H47" s="9"/>
      <c r="I47" s="9"/>
      <c r="J47" s="9"/>
      <c r="K47" s="9"/>
      <c r="L47" s="9"/>
      <c r="M47" s="9"/>
      <c r="N47" s="10"/>
      <c r="O47" s="11"/>
      <c r="P47" s="11"/>
      <c r="Q47" s="11"/>
    </row>
    <row r="48" customFormat="false" ht="15" hidden="false" customHeight="false" outlineLevel="0" collapsed="false">
      <c r="H48" s="9"/>
      <c r="I48" s="9"/>
      <c r="J48" s="9"/>
      <c r="K48" s="9"/>
      <c r="L48" s="9"/>
      <c r="M48" s="9"/>
      <c r="N48" s="10"/>
      <c r="O48" s="11"/>
      <c r="P48" s="11"/>
      <c r="Q48" s="11"/>
    </row>
    <row r="49" customFormat="false" ht="15" hidden="false" customHeight="false" outlineLevel="0" collapsed="false">
      <c r="H49" s="9"/>
      <c r="I49" s="9"/>
      <c r="J49" s="9"/>
      <c r="K49" s="9"/>
      <c r="L49" s="9"/>
      <c r="M49" s="9"/>
      <c r="N49" s="10"/>
      <c r="O49" s="11"/>
      <c r="P49" s="11"/>
      <c r="Q49" s="11"/>
    </row>
    <row r="50" customFormat="false" ht="15" hidden="false" customHeight="false" outlineLevel="0" collapsed="false">
      <c r="H50" s="9"/>
      <c r="I50" s="9"/>
      <c r="J50" s="9"/>
      <c r="K50" s="9"/>
      <c r="L50" s="9"/>
      <c r="M50" s="9"/>
      <c r="N50" s="10"/>
      <c r="O50" s="11"/>
      <c r="P50" s="11"/>
      <c r="Q50" s="11"/>
    </row>
    <row r="51" customFormat="false" ht="15" hidden="false" customHeight="false" outlineLevel="0" collapsed="false">
      <c r="H51" s="9"/>
      <c r="I51" s="9"/>
      <c r="J51" s="9"/>
      <c r="K51" s="9"/>
      <c r="L51" s="9"/>
      <c r="M51" s="9"/>
      <c r="N51" s="10"/>
      <c r="O51" s="11"/>
      <c r="P51" s="11"/>
      <c r="Q51" s="11"/>
    </row>
    <row r="52" customFormat="false" ht="15" hidden="false" customHeight="false" outlineLevel="0" collapsed="false">
      <c r="H52" s="9"/>
      <c r="I52" s="9"/>
      <c r="J52" s="9"/>
      <c r="K52" s="9"/>
      <c r="L52" s="9"/>
      <c r="M52" s="9"/>
      <c r="N52" s="10"/>
      <c r="O52" s="11"/>
      <c r="P52" s="11"/>
      <c r="Q52" s="11"/>
    </row>
    <row r="53" customFormat="false" ht="15" hidden="false" customHeight="false" outlineLevel="0" collapsed="false">
      <c r="H53" s="9"/>
      <c r="I53" s="9"/>
      <c r="J53" s="9"/>
      <c r="K53" s="9"/>
      <c r="L53" s="9"/>
      <c r="M53" s="9"/>
      <c r="N53" s="10"/>
      <c r="O53" s="11"/>
      <c r="P53" s="11"/>
      <c r="Q53" s="11"/>
    </row>
    <row r="54" customFormat="false" ht="15" hidden="false" customHeight="false" outlineLevel="0" collapsed="false">
      <c r="H54" s="9"/>
      <c r="I54" s="9"/>
      <c r="J54" s="9"/>
      <c r="K54" s="9"/>
      <c r="L54" s="9"/>
      <c r="M54" s="9"/>
      <c r="N54" s="10"/>
      <c r="O54" s="11"/>
      <c r="P54" s="11"/>
      <c r="Q54" s="11"/>
    </row>
    <row r="55" customFormat="false" ht="15" hidden="false" customHeight="false" outlineLevel="0" collapsed="false">
      <c r="H55" s="9"/>
      <c r="I55" s="9"/>
      <c r="J55" s="9"/>
      <c r="K55" s="9"/>
      <c r="L55" s="9"/>
      <c r="M55" s="9"/>
      <c r="N55" s="10"/>
      <c r="O55" s="11"/>
      <c r="P55" s="11"/>
      <c r="Q55" s="11"/>
    </row>
  </sheetData>
  <mergeCells count="9">
    <mergeCell ref="A1:U1"/>
    <mergeCell ref="A2:U2"/>
    <mergeCell ref="A4:B4"/>
    <mergeCell ref="A5:B5"/>
    <mergeCell ref="A6:B6"/>
    <mergeCell ref="A8:I8"/>
    <mergeCell ref="A20:U20"/>
    <mergeCell ref="A21:U21"/>
    <mergeCell ref="A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U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40" activeCellId="0" sqref="E40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7.71"/>
  </cols>
  <sheetData>
    <row r="1" customFormat="false" ht="19.5" hidden="false" customHeight="false" outlineLevel="0" collapsed="false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customFormat="false" ht="15" hidden="false" customHeight="false" outlineLevel="0" collapsed="false">
      <c r="A4" s="3" t="s">
        <v>2</v>
      </c>
      <c r="B4" s="3"/>
      <c r="C4" s="4" t="n">
        <v>882</v>
      </c>
    </row>
    <row r="5" customFormat="false" ht="15" hidden="false" customHeight="false" outlineLevel="0" collapsed="false">
      <c r="A5" s="3" t="s">
        <v>3</v>
      </c>
      <c r="B5" s="3"/>
      <c r="C5" s="4" t="n">
        <v>867</v>
      </c>
    </row>
    <row r="6" customFormat="false" ht="15" hidden="false" customHeight="false" outlineLevel="0" collapsed="false">
      <c r="A6" s="3" t="s">
        <v>4</v>
      </c>
      <c r="B6" s="3"/>
      <c r="C6" s="4" t="n">
        <f aca="false">SUM(C4:C5)</f>
        <v>1749</v>
      </c>
    </row>
    <row r="8" customFormat="false" ht="15.75" hidden="false" customHeight="false" outlineLevel="0" collapsed="false">
      <c r="A8" s="5" t="s">
        <v>5</v>
      </c>
      <c r="B8" s="5"/>
      <c r="C8" s="5"/>
      <c r="D8" s="5"/>
      <c r="E8" s="5"/>
      <c r="F8" s="5"/>
      <c r="G8" s="5"/>
      <c r="H8" s="5"/>
      <c r="I8" s="5"/>
    </row>
    <row r="9" customFormat="false" ht="15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n">
        <v>1</v>
      </c>
      <c r="B10" s="0" t="n">
        <v>458</v>
      </c>
      <c r="C10" s="0" t="n">
        <v>409</v>
      </c>
      <c r="D10" s="0" t="n">
        <v>445</v>
      </c>
      <c r="E10" s="0" t="n">
        <v>437</v>
      </c>
      <c r="F10" s="0" t="n">
        <f aca="false">Tabla35108131532[[#This Row],[no_efec_cor]]+Tabla35108131532[[#This Row],[efec_cor]]</f>
        <v>903</v>
      </c>
      <c r="G10" s="0" t="n">
        <f aca="false">Tabla35108131532[[#This Row],[no_efec_inc]]+Tabla35108131532[[#This Row],[efect_inc]]</f>
        <v>846</v>
      </c>
      <c r="H10" s="9" t="n">
        <f aca="false">Tabla35108131532[[#This Row],[Correctos]]/Tabla35108131532[[#This Row],[total_sec]]</f>
        <v>0.516295025728988</v>
      </c>
      <c r="I10" s="9" t="n">
        <f aca="false">Tabla35108131532[[#This Row],[efec_cor]]/Tabla35108131532[[#This Row],[efec]]</f>
        <v>0.50453514739229</v>
      </c>
      <c r="J10" s="9" t="n">
        <f aca="false">Tabla35108131532[[#This Row],[efect_inc]]/Tabla35108131532[[#This Row],[efec]]</f>
        <v>0.49546485260771</v>
      </c>
      <c r="K10" s="9" t="n">
        <f aca="false">Tabla35108131532[[#This Row],[no_efec_cor]]/Tabla35108131532[[#This Row],[no_efe]]</f>
        <v>0.528258362168397</v>
      </c>
      <c r="L10" s="9" t="n">
        <f aca="false">Tabla35108131532[[#This Row],[no_efec_inc]]/Tabla35108131532[[#This Row],[no_efe]]</f>
        <v>0.471741637831603</v>
      </c>
      <c r="M10" s="9" t="n">
        <f aca="false">(Tabla35108131532[[#This Row],[% efe_cor]]+Tabla35108131532[[#This Row],[% no_efe_cor]])/2</f>
        <v>0.516396754780343</v>
      </c>
      <c r="N10" s="10" t="n">
        <f aca="false">(Tabla35108131532[[#This Row],[% efe_inc]]+Tabla35108131532[[#This Row],[% no_efect_inc]])/2</f>
        <v>0.483603245219656</v>
      </c>
      <c r="O10" s="11" t="n">
        <f aca="false">Tabla35108131532[[#This Row],[no_efec_cor]]/(Tabla35108131532[[#This Row],[efect_inc]]+Tabla35108131532[[#This Row],[no_efec_cor]])</f>
        <v>0.511731843575419</v>
      </c>
      <c r="P10" s="11" t="n">
        <f aca="false">Tabla35108131532[[#This Row],[efec_cor]]/(Tabla35108131532[[#This Row],[efec_cor]]+Tabla35108131532[[#This Row],[no_efec_inc]])</f>
        <v>0.521077283372365</v>
      </c>
      <c r="Q10" s="11" t="n">
        <f aca="false">(Tabla35108131532[[#This Row],[PNE]]+Tabla35108131532[[#This Row],[PE]])/2</f>
        <v>0.516404563473892</v>
      </c>
      <c r="R10" s="0" t="n">
        <v>882</v>
      </c>
      <c r="S10" s="0" t="n">
        <v>867</v>
      </c>
      <c r="T10" s="0" t="n">
        <f aca="false">Tabla35108131532[[#This Row],[efec]]+Tabla35108131532[[#This Row],[no_efe]]</f>
        <v>1749</v>
      </c>
    </row>
    <row r="11" customFormat="false" ht="13.8" hidden="false" customHeight="false" outlineLevel="0" collapsed="false">
      <c r="A11" s="0" t="n">
        <v>5</v>
      </c>
      <c r="B11" s="0" t="n">
        <v>439</v>
      </c>
      <c r="C11" s="0" t="n">
        <v>428</v>
      </c>
      <c r="D11" s="0" t="n">
        <v>449</v>
      </c>
      <c r="E11" s="0" t="n">
        <v>433</v>
      </c>
      <c r="F11" s="0" t="n">
        <f aca="false">Tabla35108131532[[#This Row],[no_efec_cor]]+Tabla35108131532[[#This Row],[efec_cor]]</f>
        <v>888</v>
      </c>
      <c r="G11" s="0" t="n">
        <f aca="false">Tabla35108131532[[#This Row],[no_efec_inc]]+Tabla35108131532[[#This Row],[efect_inc]]</f>
        <v>861</v>
      </c>
      <c r="H11" s="9" t="n">
        <f aca="false">Tabla35108131532[[#This Row],[Correctos]]/Tabla35108131532[[#This Row],[total_sec]]</f>
        <v>0.507718696397942</v>
      </c>
      <c r="I11" s="9" t="n">
        <f aca="false">Tabla35108131532[[#This Row],[efec_cor]]/Tabla35108131532[[#This Row],[efec]]</f>
        <v>0.509070294784581</v>
      </c>
      <c r="J11" s="9" t="n">
        <f aca="false">Tabla35108131532[[#This Row],[efect_inc]]/Tabla35108131532[[#This Row],[efec]]</f>
        <v>0.49092970521542</v>
      </c>
      <c r="K11" s="9" t="n">
        <f aca="false">Tabla35108131532[[#This Row],[no_efec_cor]]/Tabla35108131532[[#This Row],[no_efe]]</f>
        <v>0.506343713956171</v>
      </c>
      <c r="L11" s="9" t="n">
        <f aca="false">Tabla35108131532[[#This Row],[no_efec_inc]]/Tabla35108131532[[#This Row],[no_efe]]</f>
        <v>0.493656286043829</v>
      </c>
      <c r="M11" s="9" t="n">
        <f aca="false">(Tabla35108131532[[#This Row],[% efe_cor]]+Tabla35108131532[[#This Row],[% no_efe_cor]])/2</f>
        <v>0.507707004370376</v>
      </c>
      <c r="N11" s="10" t="n">
        <f aca="false">(Tabla35108131532[[#This Row],[% efe_inc]]+Tabla35108131532[[#This Row],[% no_efect_inc]])/2</f>
        <v>0.492292995629624</v>
      </c>
      <c r="O11" s="11" t="n">
        <f aca="false">Tabla35108131532[[#This Row],[no_efec_cor]]/(Tabla35108131532[[#This Row],[efect_inc]]+Tabla35108131532[[#This Row],[no_efec_cor]])</f>
        <v>0.503440366972477</v>
      </c>
      <c r="P11" s="11" t="n">
        <f aca="false">Tabla35108131532[[#This Row],[efec_cor]]/(Tabla35108131532[[#This Row],[efec_cor]]+Tabla35108131532[[#This Row],[no_efec_inc]])</f>
        <v>0.511972633979475</v>
      </c>
      <c r="Q11" s="11" t="n">
        <f aca="false">(Tabla35108131532[[#This Row],[PNE]]+Tabla35108131532[[#This Row],[PE]])/2</f>
        <v>0.507706500475976</v>
      </c>
      <c r="R11" s="0" t="n">
        <v>882</v>
      </c>
      <c r="S11" s="0" t="n">
        <v>867</v>
      </c>
      <c r="T11" s="0" t="n">
        <f aca="false">Tabla35108131532[[#This Row],[efec]]+Tabla35108131532[[#This Row],[no_efe]]</f>
        <v>1749</v>
      </c>
    </row>
    <row r="12" customFormat="false" ht="13.8" hidden="false" customHeight="false" outlineLevel="0" collapsed="false">
      <c r="A12" s="0" t="n">
        <v>10</v>
      </c>
      <c r="B12" s="0" t="n">
        <v>344</v>
      </c>
      <c r="C12" s="0" t="n">
        <v>523</v>
      </c>
      <c r="D12" s="0" t="n">
        <v>560</v>
      </c>
      <c r="E12" s="0" t="n">
        <v>322</v>
      </c>
      <c r="F12" s="0" t="n">
        <f aca="false">Tabla35108131532[[#This Row],[no_efec_cor]]+Tabla35108131532[[#This Row],[efec_cor]]</f>
        <v>904</v>
      </c>
      <c r="G12" s="0" t="n">
        <f aca="false">Tabla35108131532[[#This Row],[no_efec_inc]]+Tabla35108131532[[#This Row],[efect_inc]]</f>
        <v>845</v>
      </c>
      <c r="H12" s="9" t="n">
        <f aca="false">Tabla35108131532[[#This Row],[Correctos]]/Tabla35108131532[[#This Row],[total_sec]]</f>
        <v>0.516866781017724</v>
      </c>
      <c r="I12" s="9" t="n">
        <f aca="false">Tabla35108131532[[#This Row],[efec_cor]]/Tabla35108131532[[#This Row],[efec]]</f>
        <v>0.634920634920635</v>
      </c>
      <c r="J12" s="9" t="n">
        <f aca="false">Tabla35108131532[[#This Row],[efect_inc]]/Tabla35108131532[[#This Row],[efec]]</f>
        <v>0.365079365079365</v>
      </c>
      <c r="K12" s="9" t="n">
        <f aca="false">Tabla35108131532[[#This Row],[no_efec_cor]]/Tabla35108131532[[#This Row],[no_efe]]</f>
        <v>0.39677047289504</v>
      </c>
      <c r="L12" s="9" t="n">
        <f aca="false">Tabla35108131532[[#This Row],[no_efec_inc]]/Tabla35108131532[[#This Row],[no_efe]]</f>
        <v>0.60322952710496</v>
      </c>
      <c r="M12" s="9" t="n">
        <f aca="false">(Tabla35108131532[[#This Row],[% efe_cor]]+Tabla35108131532[[#This Row],[% no_efe_cor]])/2</f>
        <v>0.515845553907838</v>
      </c>
      <c r="N12" s="10" t="n">
        <f aca="false">(Tabla35108131532[[#This Row],[% efe_inc]]+Tabla35108131532[[#This Row],[% no_efect_inc]])/2</f>
        <v>0.484154446092162</v>
      </c>
      <c r="O12" s="11" t="n">
        <f aca="false">Tabla35108131532[[#This Row],[no_efec_cor]]/(Tabla35108131532[[#This Row],[efect_inc]]+Tabla35108131532[[#This Row],[no_efec_cor]])</f>
        <v>0.516516516516517</v>
      </c>
      <c r="P12" s="11" t="n">
        <f aca="false">Tabla35108131532[[#This Row],[efec_cor]]/(Tabla35108131532[[#This Row],[efec_cor]]+Tabla35108131532[[#This Row],[no_efec_inc]])</f>
        <v>0.517082179132041</v>
      </c>
      <c r="Q12" s="11" t="n">
        <f aca="false">(Tabla35108131532[[#This Row],[PNE]]+Tabla35108131532[[#This Row],[PE]])/2</f>
        <v>0.516799347824279</v>
      </c>
      <c r="R12" s="0" t="n">
        <v>882</v>
      </c>
      <c r="S12" s="0" t="n">
        <v>867</v>
      </c>
      <c r="T12" s="0" t="n">
        <f aca="false">Tabla35108131532[[#This Row],[efec]]+Tabla35108131532[[#This Row],[no_efe]]</f>
        <v>1749</v>
      </c>
    </row>
    <row r="13" customFormat="false" ht="13.8" hidden="false" customHeight="false" outlineLevel="0" collapsed="false">
      <c r="A13" s="0" t="n">
        <v>15</v>
      </c>
      <c r="B13" s="0" t="n">
        <v>448</v>
      </c>
      <c r="C13" s="0" t="n">
        <v>419</v>
      </c>
      <c r="D13" s="0" t="n">
        <v>452</v>
      </c>
      <c r="E13" s="0" t="n">
        <v>430</v>
      </c>
      <c r="F13" s="0" t="n">
        <f aca="false">Tabla35108131532[[#This Row],[no_efec_cor]]+Tabla35108131532[[#This Row],[efec_cor]]</f>
        <v>900</v>
      </c>
      <c r="G13" s="0" t="n">
        <f aca="false">Tabla35108131532[[#This Row],[no_efec_inc]]+Tabla35108131532[[#This Row],[efect_inc]]</f>
        <v>849</v>
      </c>
      <c r="H13" s="9" t="n">
        <f aca="false">Tabla35108131532[[#This Row],[Correctos]]/Tabla35108131532[[#This Row],[total_sec]]</f>
        <v>0.514579759862779</v>
      </c>
      <c r="I13" s="9" t="n">
        <f aca="false">Tabla35108131532[[#This Row],[efec_cor]]/Tabla35108131532[[#This Row],[efec]]</f>
        <v>0.512471655328798</v>
      </c>
      <c r="J13" s="9" t="n">
        <f aca="false">Tabla35108131532[[#This Row],[efect_inc]]/Tabla35108131532[[#This Row],[efec]]</f>
        <v>0.487528344671202</v>
      </c>
      <c r="K13" s="9" t="n">
        <f aca="false">Tabla35108131532[[#This Row],[no_efec_cor]]/Tabla35108131532[[#This Row],[no_efe]]</f>
        <v>0.516724336793541</v>
      </c>
      <c r="L13" s="9" t="n">
        <f aca="false">Tabla35108131532[[#This Row],[no_efec_inc]]/Tabla35108131532[[#This Row],[no_efe]]</f>
        <v>0.483275663206459</v>
      </c>
      <c r="M13" s="9" t="n">
        <f aca="false">(Tabla35108131532[[#This Row],[% efe_cor]]+Tabla35108131532[[#This Row],[% no_efe_cor]])/2</f>
        <v>0.51459799606117</v>
      </c>
      <c r="N13" s="10" t="n">
        <f aca="false">(Tabla35108131532[[#This Row],[% efe_inc]]+Tabla35108131532[[#This Row],[% no_efect_inc]])/2</f>
        <v>0.48540200393883</v>
      </c>
      <c r="O13" s="11" t="n">
        <f aca="false">Tabla35108131532[[#This Row],[no_efec_cor]]/(Tabla35108131532[[#This Row],[efect_inc]]+Tabla35108131532[[#This Row],[no_efec_cor]])</f>
        <v>0.510250569476082</v>
      </c>
      <c r="P13" s="11" t="n">
        <f aca="false">Tabla35108131532[[#This Row],[efec_cor]]/(Tabla35108131532[[#This Row],[efec_cor]]+Tabla35108131532[[#This Row],[no_efec_inc]])</f>
        <v>0.51894374282434</v>
      </c>
      <c r="Q13" s="11" t="n">
        <f aca="false">(Tabla35108131532[[#This Row],[PNE]]+Tabla35108131532[[#This Row],[PE]])/2</f>
        <v>0.514597156150211</v>
      </c>
      <c r="R13" s="0" t="n">
        <v>882</v>
      </c>
      <c r="S13" s="0" t="n">
        <v>867</v>
      </c>
      <c r="T13" s="0" t="n">
        <f aca="false">Tabla35108131532[[#This Row],[efec]]+Tabla35108131532[[#This Row],[no_efe]]</f>
        <v>1749</v>
      </c>
    </row>
    <row r="14" customFormat="false" ht="13.8" hidden="false" customHeight="false" outlineLevel="0" collapsed="false">
      <c r="A14" s="0" t="n">
        <v>20</v>
      </c>
      <c r="B14" s="0" t="n">
        <v>345</v>
      </c>
      <c r="C14" s="0" t="n">
        <v>522</v>
      </c>
      <c r="D14" s="0" t="n">
        <v>540</v>
      </c>
      <c r="E14" s="0" t="n">
        <v>342</v>
      </c>
      <c r="F14" s="0" t="n">
        <f aca="false">Tabla35108131532[[#This Row],[no_efec_cor]]+Tabla35108131532[[#This Row],[efec_cor]]</f>
        <v>885</v>
      </c>
      <c r="G14" s="0" t="n">
        <f aca="false">Tabla35108131532[[#This Row],[no_efec_inc]]+Tabla35108131532[[#This Row],[efect_inc]]</f>
        <v>864</v>
      </c>
      <c r="H14" s="9" t="n">
        <f aca="false">Tabla35108131532[[#This Row],[Correctos]]/Tabla35108131532[[#This Row],[total_sec]]</f>
        <v>0.506003430531732</v>
      </c>
      <c r="I14" s="9" t="n">
        <f aca="false">Tabla35108131532[[#This Row],[efec_cor]]/Tabla35108131532[[#This Row],[efec]]</f>
        <v>0.612244897959184</v>
      </c>
      <c r="J14" s="9" t="n">
        <f aca="false">Tabla35108131532[[#This Row],[efect_inc]]/Tabla35108131532[[#This Row],[efec]]</f>
        <v>0.387755102040816</v>
      </c>
      <c r="K14" s="9" t="n">
        <f aca="false">Tabla35108131532[[#This Row],[no_efec_cor]]/Tabla35108131532[[#This Row],[no_efe]]</f>
        <v>0.397923875432526</v>
      </c>
      <c r="L14" s="9" t="n">
        <f aca="false">Tabla35108131532[[#This Row],[no_efec_inc]]/Tabla35108131532[[#This Row],[no_efe]]</f>
        <v>0.602076124567474</v>
      </c>
      <c r="M14" s="9" t="n">
        <f aca="false">(Tabla35108131532[[#This Row],[% efe_cor]]+Tabla35108131532[[#This Row],[% no_efe_cor]])/2</f>
        <v>0.505084386695855</v>
      </c>
      <c r="N14" s="10" t="n">
        <f aca="false">(Tabla35108131532[[#This Row],[% efe_inc]]+Tabla35108131532[[#This Row],[% no_efect_inc]])/2</f>
        <v>0.494915613304145</v>
      </c>
      <c r="O14" s="11" t="n">
        <f aca="false">Tabla35108131532[[#This Row],[no_efec_cor]]/(Tabla35108131532[[#This Row],[efect_inc]]+Tabla35108131532[[#This Row],[no_efec_cor]])</f>
        <v>0.502183406113537</v>
      </c>
      <c r="P14" s="11" t="n">
        <f aca="false">Tabla35108131532[[#This Row],[efec_cor]]/(Tabla35108131532[[#This Row],[efec_cor]]+Tabla35108131532[[#This Row],[no_efec_inc]])</f>
        <v>0.508474576271186</v>
      </c>
      <c r="Q14" s="11" t="n">
        <f aca="false">(Tabla35108131532[[#This Row],[PNE]]+Tabla35108131532[[#This Row],[PE]])/2</f>
        <v>0.505328991192362</v>
      </c>
      <c r="R14" s="0" t="n">
        <v>882</v>
      </c>
      <c r="S14" s="0" t="n">
        <v>867</v>
      </c>
      <c r="T14" s="0" t="n">
        <f aca="false">Tabla35108131532[[#This Row],[efec]]+Tabla35108131532[[#This Row],[no_efe]]</f>
        <v>1749</v>
      </c>
    </row>
    <row r="15" customFormat="false" ht="13.8" hidden="false" customHeight="false" outlineLevel="0" collapsed="false">
      <c r="A15" s="0" t="n">
        <v>25</v>
      </c>
      <c r="B15" s="0" t="n">
        <v>415</v>
      </c>
      <c r="C15" s="0" t="n">
        <v>452</v>
      </c>
      <c r="D15" s="0" t="n">
        <v>473</v>
      </c>
      <c r="E15" s="0" t="n">
        <v>409</v>
      </c>
      <c r="F15" s="0" t="n">
        <f aca="false">Tabla35108131532[[#This Row],[no_efec_cor]]+Tabla35108131532[[#This Row],[efec_cor]]</f>
        <v>888</v>
      </c>
      <c r="G15" s="0" t="n">
        <f aca="false">Tabla35108131532[[#This Row],[no_efec_inc]]+Tabla35108131532[[#This Row],[efect_inc]]</f>
        <v>861</v>
      </c>
      <c r="H15" s="9" t="n">
        <f aca="false">Tabla35108131532[[#This Row],[Correctos]]/Tabla35108131532[[#This Row],[total_sec]]</f>
        <v>0.507718696397942</v>
      </c>
      <c r="I15" s="9" t="n">
        <f aca="false">Tabla35108131532[[#This Row],[efec_cor]]/Tabla35108131532[[#This Row],[efec]]</f>
        <v>0.536281179138322</v>
      </c>
      <c r="J15" s="9" t="n">
        <f aca="false">Tabla35108131532[[#This Row],[efect_inc]]/Tabla35108131532[[#This Row],[efec]]</f>
        <v>0.463718820861678</v>
      </c>
      <c r="K15" s="9" t="n">
        <f aca="false">Tabla35108131532[[#This Row],[no_efec_cor]]/Tabla35108131532[[#This Row],[no_efe]]</f>
        <v>0.478662053056517</v>
      </c>
      <c r="L15" s="9" t="n">
        <f aca="false">Tabla35108131532[[#This Row],[no_efec_inc]]/Tabla35108131532[[#This Row],[no_efe]]</f>
        <v>0.521337946943483</v>
      </c>
      <c r="M15" s="9" t="n">
        <f aca="false">(Tabla35108131532[[#This Row],[% efe_cor]]+Tabla35108131532[[#This Row],[% no_efe_cor]])/2</f>
        <v>0.507471616097419</v>
      </c>
      <c r="N15" s="10" t="n">
        <f aca="false">(Tabla35108131532[[#This Row],[% efe_inc]]+Tabla35108131532[[#This Row],[% no_efect_inc]])/2</f>
        <v>0.492528383902581</v>
      </c>
      <c r="O15" s="11" t="n">
        <f aca="false">Tabla35108131532[[#This Row],[no_efec_cor]]/(Tabla35108131532[[#This Row],[efect_inc]]+Tabla35108131532[[#This Row],[no_efec_cor]])</f>
        <v>0.503640776699029</v>
      </c>
      <c r="P15" s="11" t="n">
        <f aca="false">Tabla35108131532[[#This Row],[efec_cor]]/(Tabla35108131532[[#This Row],[efec_cor]]+Tabla35108131532[[#This Row],[no_efec_inc]])</f>
        <v>0.511351351351351</v>
      </c>
      <c r="Q15" s="11" t="n">
        <f aca="false">(Tabla35108131532[[#This Row],[PNE]]+Tabla35108131532[[#This Row],[PE]])/2</f>
        <v>0.50749606402519</v>
      </c>
      <c r="R15" s="0" t="n">
        <v>882</v>
      </c>
      <c r="S15" s="0" t="n">
        <v>867</v>
      </c>
      <c r="T15" s="0" t="n">
        <f aca="false">Tabla35108131532[[#This Row],[efec]]+Tabla35108131532[[#This Row],[no_efe]]</f>
        <v>1749</v>
      </c>
    </row>
    <row r="16" customFormat="false" ht="13.8" hidden="false" customHeight="false" outlineLevel="0" collapsed="false">
      <c r="A16" s="0" t="n">
        <v>30</v>
      </c>
      <c r="B16" s="0" t="n">
        <v>358</v>
      </c>
      <c r="C16" s="0" t="n">
        <v>509</v>
      </c>
      <c r="D16" s="0" t="n">
        <v>553</v>
      </c>
      <c r="E16" s="0" t="n">
        <v>329</v>
      </c>
      <c r="F16" s="0" t="n">
        <f aca="false">Tabla35108131532[[#This Row],[no_efec_cor]]+Tabla35108131532[[#This Row],[efec_cor]]</f>
        <v>911</v>
      </c>
      <c r="G16" s="0" t="n">
        <f aca="false">Tabla35108131532[[#This Row],[no_efec_inc]]+Tabla35108131532[[#This Row],[efect_inc]]</f>
        <v>838</v>
      </c>
      <c r="H16" s="9" t="n">
        <f aca="false">Tabla35108131532[[#This Row],[Correctos]]/Tabla35108131532[[#This Row],[total_sec]]</f>
        <v>0.520869068038879</v>
      </c>
      <c r="I16" s="9" t="n">
        <f aca="false">Tabla35108131532[[#This Row],[efec_cor]]/Tabla35108131532[[#This Row],[efec]]</f>
        <v>0.626984126984127</v>
      </c>
      <c r="J16" s="9" t="n">
        <f aca="false">Tabla35108131532[[#This Row],[efect_inc]]/Tabla35108131532[[#This Row],[efec]]</f>
        <v>0.373015873015873</v>
      </c>
      <c r="K16" s="9" t="n">
        <f aca="false">Tabla35108131532[[#This Row],[no_efec_cor]]/Tabla35108131532[[#This Row],[no_efe]]</f>
        <v>0.412918108419839</v>
      </c>
      <c r="L16" s="9" t="n">
        <f aca="false">Tabla35108131532[[#This Row],[no_efec_inc]]/Tabla35108131532[[#This Row],[no_efe]]</f>
        <v>0.587081891580161</v>
      </c>
      <c r="M16" s="9" t="n">
        <f aca="false">(Tabla35108131532[[#This Row],[% efe_cor]]+Tabla35108131532[[#This Row],[% no_efe_cor]])/2</f>
        <v>0.519951117701983</v>
      </c>
      <c r="N16" s="10" t="n">
        <f aca="false">(Tabla35108131532[[#This Row],[% efe_inc]]+Tabla35108131532[[#This Row],[% no_efect_inc]])/2</f>
        <v>0.480048882298017</v>
      </c>
      <c r="O16" s="11" t="n">
        <f aca="false">Tabla35108131532[[#This Row],[no_efec_cor]]/(Tabla35108131532[[#This Row],[efect_inc]]+Tabla35108131532[[#This Row],[no_efec_cor]])</f>
        <v>0.521106259097525</v>
      </c>
      <c r="P16" s="11" t="n">
        <f aca="false">Tabla35108131532[[#This Row],[efec_cor]]/(Tabla35108131532[[#This Row],[efec_cor]]+Tabla35108131532[[#This Row],[no_efec_inc]])</f>
        <v>0.520715630885122</v>
      </c>
      <c r="Q16" s="11" t="n">
        <f aca="false">(Tabla35108131532[[#This Row],[PNE]]+Tabla35108131532[[#This Row],[PE]])/2</f>
        <v>0.520910944991324</v>
      </c>
      <c r="R16" s="0" t="n">
        <v>882</v>
      </c>
      <c r="S16" s="0" t="n">
        <v>867</v>
      </c>
      <c r="T16" s="0" t="n">
        <f aca="false">Tabla35108131532[[#This Row],[efec]]+Tabla35108131532[[#This Row],[no_efe]]</f>
        <v>1749</v>
      </c>
    </row>
    <row r="17" customFormat="false" ht="13.8" hidden="false" customHeight="false" outlineLevel="0" collapsed="false">
      <c r="A17" s="0" t="n">
        <v>35</v>
      </c>
      <c r="B17" s="0" t="n">
        <v>410</v>
      </c>
      <c r="C17" s="0" t="n">
        <v>457</v>
      </c>
      <c r="D17" s="0" t="n">
        <v>482</v>
      </c>
      <c r="E17" s="0" t="n">
        <v>400</v>
      </c>
      <c r="F17" s="0" t="n">
        <f aca="false">Tabla35108131532[[#This Row],[no_efec_cor]]+Tabla35108131532[[#This Row],[efec_cor]]</f>
        <v>892</v>
      </c>
      <c r="G17" s="0" t="n">
        <f aca="false">Tabla35108131532[[#This Row],[no_efec_inc]]+Tabla35108131532[[#This Row],[efect_inc]]</f>
        <v>857</v>
      </c>
      <c r="H17" s="9" t="n">
        <f aca="false">Tabla35108131532[[#This Row],[Correctos]]/Tabla35108131532[[#This Row],[total_sec]]</f>
        <v>0.510005717552887</v>
      </c>
      <c r="I17" s="9" t="n">
        <f aca="false">Tabla35108131532[[#This Row],[efec_cor]]/Tabla35108131532[[#This Row],[efec]]</f>
        <v>0.546485260770975</v>
      </c>
      <c r="J17" s="9" t="n">
        <f aca="false">Tabla35108131532[[#This Row],[efect_inc]]/Tabla35108131532[[#This Row],[efec]]</f>
        <v>0.453514739229025</v>
      </c>
      <c r="K17" s="9" t="n">
        <f aca="false">Tabla35108131532[[#This Row],[no_efec_cor]]/Tabla35108131532[[#This Row],[no_efe]]</f>
        <v>0.472895040369089</v>
      </c>
      <c r="L17" s="9" t="n">
        <f aca="false">Tabla35108131532[[#This Row],[no_efec_inc]]/Tabla35108131532[[#This Row],[no_efe]]</f>
        <v>0.527104959630911</v>
      </c>
      <c r="M17" s="9" t="n">
        <f aca="false">(Tabla35108131532[[#This Row],[% efe_cor]]+Tabla35108131532[[#This Row],[% no_efe_cor]])/2</f>
        <v>0.509690150570032</v>
      </c>
      <c r="N17" s="10" t="n">
        <f aca="false">(Tabla35108131532[[#This Row],[% efe_inc]]+Tabla35108131532[[#This Row],[% no_efect_inc]])/2</f>
        <v>0.490309849429968</v>
      </c>
      <c r="O17" s="11" t="n">
        <f aca="false">Tabla35108131532[[#This Row],[no_efec_cor]]/(Tabla35108131532[[#This Row],[efect_inc]]+Tabla35108131532[[#This Row],[no_efec_cor]])</f>
        <v>0.506172839506173</v>
      </c>
      <c r="P17" s="11" t="n">
        <f aca="false">Tabla35108131532[[#This Row],[efec_cor]]/(Tabla35108131532[[#This Row],[efec_cor]]+Tabla35108131532[[#This Row],[no_efec_inc]])</f>
        <v>0.513312034078807</v>
      </c>
      <c r="Q17" s="11" t="n">
        <f aca="false">(Tabla35108131532[[#This Row],[PNE]]+Tabla35108131532[[#This Row],[PE]])/2</f>
        <v>0.50974243679249</v>
      </c>
      <c r="R17" s="0" t="n">
        <v>882</v>
      </c>
      <c r="S17" s="0" t="n">
        <v>867</v>
      </c>
      <c r="T17" s="0" t="n">
        <f aca="false">Tabla35108131532[[#This Row],[efec]]+Tabla35108131532[[#This Row],[no_efe]]</f>
        <v>1749</v>
      </c>
    </row>
    <row r="18" customFormat="false" ht="13.8" hidden="false" customHeight="false" outlineLevel="0" collapsed="false">
      <c r="A18" s="0" t="n">
        <v>39</v>
      </c>
      <c r="B18" s="0" t="n">
        <v>399</v>
      </c>
      <c r="C18" s="0" t="n">
        <v>468</v>
      </c>
      <c r="D18" s="0" t="n">
        <v>494</v>
      </c>
      <c r="E18" s="0" t="n">
        <v>388</v>
      </c>
      <c r="F18" s="0" t="n">
        <f aca="false">Tabla35108131532[[#This Row],[no_efec_cor]]+Tabla35108131532[[#This Row],[efec_cor]]</f>
        <v>893</v>
      </c>
      <c r="G18" s="0" t="n">
        <f aca="false">Tabla35108131532[[#This Row],[no_efec_inc]]+Tabla35108131532[[#This Row],[efect_inc]]</f>
        <v>856</v>
      </c>
      <c r="H18" s="9" t="n">
        <f aca="false">Tabla35108131532[[#This Row],[Correctos]]/Tabla35108131532[[#This Row],[total_sec]]</f>
        <v>0.510577472841624</v>
      </c>
      <c r="I18" s="9" t="n">
        <f aca="false">Tabla35108131532[[#This Row],[efec_cor]]/Tabla35108131532[[#This Row],[efec]]</f>
        <v>0.560090702947846</v>
      </c>
      <c r="J18" s="9" t="n">
        <f aca="false">Tabla35108131532[[#This Row],[efect_inc]]/Tabla35108131532[[#This Row],[efec]]</f>
        <v>0.439909297052154</v>
      </c>
      <c r="K18" s="9" t="n">
        <f aca="false">Tabla35108131532[[#This Row],[no_efec_cor]]/Tabla35108131532[[#This Row],[no_efe]]</f>
        <v>0.460207612456747</v>
      </c>
      <c r="L18" s="9" t="n">
        <f aca="false">Tabla35108131532[[#This Row],[no_efec_inc]]/Tabla35108131532[[#This Row],[no_efe]]</f>
        <v>0.539792387543253</v>
      </c>
      <c r="M18" s="9" t="n">
        <f aca="false">(Tabla35108131532[[#This Row],[% efe_cor]]+Tabla35108131532[[#This Row],[% no_efe_cor]])/2</f>
        <v>0.510149157702297</v>
      </c>
      <c r="N18" s="10" t="n">
        <f aca="false">(Tabla35108131532[[#This Row],[% efe_inc]]+Tabla35108131532[[#This Row],[% no_efect_inc]])/2</f>
        <v>0.489850842297703</v>
      </c>
      <c r="O18" s="11" t="n">
        <f aca="false">Tabla35108131532[[#This Row],[no_efec_cor]]/(Tabla35108131532[[#This Row],[efect_inc]]+Tabla35108131532[[#This Row],[no_efec_cor]])</f>
        <v>0.506988564167725</v>
      </c>
      <c r="P18" s="11" t="n">
        <f aca="false">Tabla35108131532[[#This Row],[efec_cor]]/(Tabla35108131532[[#This Row],[efec_cor]]+Tabla35108131532[[#This Row],[no_efec_inc]])</f>
        <v>0.513513513513513</v>
      </c>
      <c r="Q18" s="11" t="n">
        <f aca="false">(Tabla35108131532[[#This Row],[PNE]]+Tabla35108131532[[#This Row],[PE]])/2</f>
        <v>0.51025103884062</v>
      </c>
      <c r="R18" s="0" t="n">
        <v>882</v>
      </c>
      <c r="S18" s="0" t="n">
        <v>867</v>
      </c>
      <c r="T18" s="0" t="n">
        <f aca="false">Tabla35108131532[[#This Row],[efec]]+Tabla35108131532[[#This Row],[no_efe]]</f>
        <v>1749</v>
      </c>
    </row>
    <row r="21" customFormat="false" ht="19.5" hidden="false" customHeight="false" outlineLevel="0" collapsed="false">
      <c r="A21" s="1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5" hidden="false" customHeight="false" outlineLevel="0" collapsed="false">
      <c r="A22" s="2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5" customFormat="false" ht="15.75" hidden="false" customHeight="false" outlineLevel="0" collapsed="false">
      <c r="A25" s="5" t="s">
        <v>5</v>
      </c>
      <c r="B25" s="5"/>
      <c r="C25" s="5"/>
      <c r="D25" s="5"/>
      <c r="E25" s="5"/>
      <c r="F25" s="5"/>
      <c r="G25" s="5"/>
      <c r="H25" s="5"/>
      <c r="I25" s="5"/>
    </row>
    <row r="26" customFormat="false" ht="15.75" hidden="false" customHeight="false" outlineLevel="0" collapsed="false">
      <c r="A26" s="7" t="s">
        <v>27</v>
      </c>
      <c r="B26" s="7" t="s">
        <v>28</v>
      </c>
      <c r="C26" s="8" t="s">
        <v>7</v>
      </c>
      <c r="D26" s="8" t="s">
        <v>8</v>
      </c>
      <c r="E26" s="8" t="s">
        <v>9</v>
      </c>
      <c r="F26" s="8" t="s">
        <v>10</v>
      </c>
      <c r="G26" s="8" t="s">
        <v>11</v>
      </c>
      <c r="H26" s="8" t="s">
        <v>12</v>
      </c>
      <c r="I26" s="7" t="s">
        <v>13</v>
      </c>
      <c r="J26" s="7" t="s">
        <v>14</v>
      </c>
      <c r="K26" s="7" t="s">
        <v>15</v>
      </c>
      <c r="L26" s="7" t="s">
        <v>16</v>
      </c>
      <c r="M26" s="7" t="s">
        <v>17</v>
      </c>
      <c r="N26" s="7" t="s">
        <v>18</v>
      </c>
      <c r="O26" s="7" t="s">
        <v>19</v>
      </c>
      <c r="P26" s="7" t="s">
        <v>20</v>
      </c>
      <c r="Q26" s="7" t="s">
        <v>21</v>
      </c>
      <c r="R26" s="7" t="s">
        <v>22</v>
      </c>
      <c r="S26" s="7" t="s">
        <v>23</v>
      </c>
      <c r="T26" s="7" t="s">
        <v>24</v>
      </c>
      <c r="U26" s="7" t="s">
        <v>25</v>
      </c>
    </row>
    <row r="27" customFormat="false" ht="13.8" hidden="false" customHeight="false" outlineLevel="0" collapsed="false">
      <c r="A27" s="0" t="n">
        <v>1</v>
      </c>
      <c r="B27" s="0" t="n">
        <v>0</v>
      </c>
      <c r="C27" s="0" t="n">
        <v>186</v>
      </c>
      <c r="D27" s="0" t="n">
        <v>681</v>
      </c>
      <c r="E27" s="0" t="n">
        <v>713</v>
      </c>
      <c r="F27" s="0" t="n">
        <v>169</v>
      </c>
      <c r="G27" s="0" t="n">
        <f aca="false">Tabla35108131534[[#This Row],[no_efec_cor]]+Tabla35108131534[[#This Row],[efec_cor]]</f>
        <v>899</v>
      </c>
      <c r="H27" s="0" t="n">
        <f aca="false">Tabla35108131534[[#This Row],[no_efec_inc]]+Tabla35108131534[[#This Row],[efect_inc]]</f>
        <v>850</v>
      </c>
      <c r="I27" s="9" t="n">
        <f aca="false">Tabla35108131534[[#This Row],[Correctos]]/Tabla35108131534[[#This Row],[total_sec]]</f>
        <v>0.514008004574042</v>
      </c>
      <c r="J27" s="9" t="n">
        <f aca="false">Tabla35108131534[[#This Row],[efec_cor]]/Tabla35108131534[[#This Row],[efec]]</f>
        <v>0.808390022675737</v>
      </c>
      <c r="K27" s="9" t="n">
        <f aca="false">Tabla35108131534[[#This Row],[efect_inc]]/Tabla35108131534[[#This Row],[efec]]</f>
        <v>0.191609977324263</v>
      </c>
      <c r="L27" s="9" t="n">
        <f aca="false">Tabla35108131534[[#This Row],[no_efec_cor]]/Tabla35108131534[[#This Row],[no_efe]]</f>
        <v>0.214532871972318</v>
      </c>
      <c r="M27" s="9" t="n">
        <f aca="false">Tabla35108131534[[#This Row],[no_efec_inc]]/Tabla35108131534[[#This Row],[no_efe]]</f>
        <v>0.785467128027682</v>
      </c>
      <c r="N27" s="9" t="n">
        <f aca="false">(Tabla35108131534[[#This Row],[% efe_cor]]+Tabla35108131534[[#This Row],[% no_efe_cor]])/2</f>
        <v>0.511461447324028</v>
      </c>
      <c r="O27" s="10" t="n">
        <f aca="false">(Tabla35108131534[[#This Row],[% efe_inc]]+Tabla35108131534[[#This Row],[% no_efect_inc]])/2</f>
        <v>0.488538552675972</v>
      </c>
      <c r="P27" s="11" t="n">
        <f aca="false">Tabla35108131534[[#This Row],[no_efec_cor]]/(Tabla35108131534[[#This Row],[efect_inc]]+Tabla35108131534[[#This Row],[no_efec_cor]])</f>
        <v>0.523943661971831</v>
      </c>
      <c r="Q27" s="11" t="n">
        <f aca="false">Tabla35108131534[[#This Row],[efec_cor]]/(Tabla35108131534[[#This Row],[efec_cor]]+Tabla35108131534[[#This Row],[no_efec_inc]])</f>
        <v>0.511477761836442</v>
      </c>
      <c r="R27" s="11" t="n">
        <f aca="false">(Tabla35108131534[[#This Row],[PNE]]+Tabla35108131534[[#This Row],[PE]])/2</f>
        <v>0.517710711904136</v>
      </c>
      <c r="S27" s="0" t="n">
        <v>882</v>
      </c>
      <c r="T27" s="0" t="n">
        <v>867</v>
      </c>
      <c r="U27" s="0" t="n">
        <f aca="false">Tabla35108131534[[#This Row],[efec]]+Tabla35108131534[[#This Row],[no_efe]]</f>
        <v>1749</v>
      </c>
    </row>
    <row r="28" customFormat="false" ht="13.8" hidden="false" customHeight="false" outlineLevel="0" collapsed="false">
      <c r="A28" s="0" t="n">
        <v>1</v>
      </c>
      <c r="B28" s="0" t="n">
        <v>0.1</v>
      </c>
      <c r="C28" s="0" t="n">
        <v>380</v>
      </c>
      <c r="D28" s="0" t="n">
        <v>487</v>
      </c>
      <c r="E28" s="0" t="n">
        <v>532</v>
      </c>
      <c r="F28" s="0" t="n">
        <v>350</v>
      </c>
      <c r="G28" s="0" t="n">
        <f aca="false">Tabla35108131534[[#This Row],[no_efec_cor]]+Tabla35108131534[[#This Row],[efec_cor]]</f>
        <v>912</v>
      </c>
      <c r="H28" s="0" t="n">
        <f aca="false">Tabla35108131534[[#This Row],[no_efec_inc]]+Tabla35108131534[[#This Row],[efect_inc]]</f>
        <v>837</v>
      </c>
      <c r="I28" s="9" t="n">
        <f aca="false">Tabla35108131534[[#This Row],[Correctos]]/Tabla35108131534[[#This Row],[total_sec]]</f>
        <v>0.521440823327616</v>
      </c>
      <c r="J28" s="9" t="n">
        <f aca="false">Tabla35108131534[[#This Row],[efec_cor]]/Tabla35108131534[[#This Row],[efec]]</f>
        <v>0.603174603174603</v>
      </c>
      <c r="K28" s="9" t="n">
        <f aca="false">Tabla35108131534[[#This Row],[efect_inc]]/Tabla35108131534[[#This Row],[efec]]</f>
        <v>0.396825396825397</v>
      </c>
      <c r="L28" s="9" t="n">
        <f aca="false">Tabla35108131534[[#This Row],[no_efec_cor]]/Tabla35108131534[[#This Row],[no_efe]]</f>
        <v>0.438292964244521</v>
      </c>
      <c r="M28" s="9" t="n">
        <f aca="false">Tabla35108131534[[#This Row],[no_efec_inc]]/Tabla35108131534[[#This Row],[no_efe]]</f>
        <v>0.561707035755479</v>
      </c>
      <c r="N28" s="9" t="n">
        <f aca="false">(Tabla35108131534[[#This Row],[% efe_cor]]+Tabla35108131534[[#This Row],[% no_efe_cor]])/2</f>
        <v>0.520733783709562</v>
      </c>
      <c r="O28" s="10" t="n">
        <f aca="false">(Tabla35108131534[[#This Row],[% efe_inc]]+Tabla35108131534[[#This Row],[% no_efect_inc]])/2</f>
        <v>0.479266216290438</v>
      </c>
      <c r="P28" s="11" t="n">
        <f aca="false">Tabla35108131534[[#This Row],[no_efec_cor]]/(Tabla35108131534[[#This Row],[efect_inc]]+Tabla35108131534[[#This Row],[no_efec_cor]])</f>
        <v>0.520547945205479</v>
      </c>
      <c r="Q28" s="11" t="n">
        <f aca="false">Tabla35108131534[[#This Row],[efec_cor]]/(Tabla35108131534[[#This Row],[efec_cor]]+Tabla35108131534[[#This Row],[no_efec_inc]])</f>
        <v>0.522080471050049</v>
      </c>
      <c r="R28" s="11" t="n">
        <f aca="false">(Tabla35108131534[[#This Row],[PNE]]+Tabla35108131534[[#This Row],[PE]])/2</f>
        <v>0.521314208127764</v>
      </c>
      <c r="S28" s="0" t="n">
        <v>882</v>
      </c>
      <c r="T28" s="0" t="n">
        <v>867</v>
      </c>
      <c r="U28" s="0" t="n">
        <f aca="false">Tabla35108131534[[#This Row],[efec]]+Tabla35108131534[[#This Row],[no_efe]]</f>
        <v>1749</v>
      </c>
    </row>
    <row r="29" customFormat="false" ht="13.8" hidden="false" customHeight="false" outlineLevel="0" collapsed="false">
      <c r="A29" s="0" t="n">
        <v>1</v>
      </c>
      <c r="B29" s="0" t="n">
        <v>0.5</v>
      </c>
      <c r="C29" s="0" t="n">
        <v>402</v>
      </c>
      <c r="D29" s="0" t="n">
        <v>465</v>
      </c>
      <c r="E29" s="0" t="n">
        <v>521</v>
      </c>
      <c r="F29" s="0" t="n">
        <v>361</v>
      </c>
      <c r="G29" s="0" t="n">
        <f aca="false">Tabla35108131534[[#This Row],[no_efec_cor]]+Tabla35108131534[[#This Row],[efec_cor]]</f>
        <v>923</v>
      </c>
      <c r="H29" s="0" t="n">
        <f aca="false">Tabla35108131534[[#This Row],[no_efec_inc]]+Tabla35108131534[[#This Row],[efect_inc]]</f>
        <v>826</v>
      </c>
      <c r="I29" s="9" t="n">
        <f aca="false">Tabla35108131534[[#This Row],[Correctos]]/Tabla35108131534[[#This Row],[total_sec]]</f>
        <v>0.527730131503716</v>
      </c>
      <c r="J29" s="9" t="n">
        <f aca="false">Tabla35108131534[[#This Row],[efec_cor]]/Tabla35108131534[[#This Row],[efec]]</f>
        <v>0.590702947845805</v>
      </c>
      <c r="K29" s="9" t="n">
        <f aca="false">Tabla35108131534[[#This Row],[efect_inc]]/Tabla35108131534[[#This Row],[efec]]</f>
        <v>0.409297052154195</v>
      </c>
      <c r="L29" s="9" t="n">
        <f aca="false">Tabla35108131534[[#This Row],[no_efec_cor]]/Tabla35108131534[[#This Row],[no_efe]]</f>
        <v>0.463667820069204</v>
      </c>
      <c r="M29" s="9" t="n">
        <f aca="false">Tabla35108131534[[#This Row],[no_efec_inc]]/Tabla35108131534[[#This Row],[no_efe]]</f>
        <v>0.536332179930796</v>
      </c>
      <c r="N29" s="9" t="n">
        <f aca="false">(Tabla35108131534[[#This Row],[% efe_cor]]+Tabla35108131534[[#This Row],[% no_efe_cor]])/2</f>
        <v>0.527185383957505</v>
      </c>
      <c r="O29" s="10" t="n">
        <f aca="false">(Tabla35108131534[[#This Row],[% efe_inc]]+Tabla35108131534[[#This Row],[% no_efect_inc]])/2</f>
        <v>0.472814616042495</v>
      </c>
      <c r="P29" s="11" t="n">
        <f aca="false">Tabla35108131534[[#This Row],[no_efec_cor]]/(Tabla35108131534[[#This Row],[efect_inc]]+Tabla35108131534[[#This Row],[no_efec_cor]])</f>
        <v>0.526867627785059</v>
      </c>
      <c r="Q29" s="11" t="n">
        <f aca="false">Tabla35108131534[[#This Row],[efec_cor]]/(Tabla35108131534[[#This Row],[efec_cor]]+Tabla35108131534[[#This Row],[no_efec_inc]])</f>
        <v>0.528397565922921</v>
      </c>
      <c r="R29" s="11" t="n">
        <f aca="false">(Tabla35108131534[[#This Row],[PNE]]+Tabla35108131534[[#This Row],[PE]])/2</f>
        <v>0.52763259685399</v>
      </c>
      <c r="S29" s="0" t="n">
        <v>882</v>
      </c>
      <c r="T29" s="0" t="n">
        <v>867</v>
      </c>
      <c r="U29" s="0" t="n">
        <f aca="false">Tabla35108131534[[#This Row],[efec]]+Tabla35108131534[[#This Row],[no_efe]]</f>
        <v>1749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442</v>
      </c>
      <c r="D30" s="0" t="n">
        <v>425</v>
      </c>
      <c r="E30" s="0" t="n">
        <v>509</v>
      </c>
      <c r="F30" s="0" t="n">
        <v>373</v>
      </c>
      <c r="G30" s="0" t="n">
        <f aca="false">Tabla35108131534[[#This Row],[no_efec_cor]]+Tabla35108131534[[#This Row],[efec_cor]]</f>
        <v>951</v>
      </c>
      <c r="H30" s="0" t="n">
        <f aca="false">Tabla35108131534[[#This Row],[no_efec_inc]]+Tabla35108131534[[#This Row],[efect_inc]]</f>
        <v>798</v>
      </c>
      <c r="I30" s="9" t="n">
        <f aca="false">Tabla35108131534[[#This Row],[Correctos]]/Tabla35108131534[[#This Row],[total_sec]]</f>
        <v>0.543739279588336</v>
      </c>
      <c r="J30" s="9" t="n">
        <f aca="false">Tabla35108131534[[#This Row],[efec_cor]]/Tabla35108131534[[#This Row],[efec]]</f>
        <v>0.577097505668934</v>
      </c>
      <c r="K30" s="9" t="n">
        <f aca="false">Tabla35108131534[[#This Row],[efect_inc]]/Tabla35108131534[[#This Row],[efec]]</f>
        <v>0.422902494331066</v>
      </c>
      <c r="L30" s="9" t="n">
        <f aca="false">Tabla35108131534[[#This Row],[no_efec_cor]]/Tabla35108131534[[#This Row],[no_efe]]</f>
        <v>0.509803921568627</v>
      </c>
      <c r="M30" s="9" t="n">
        <f aca="false">Tabla35108131534[[#This Row],[no_efec_inc]]/Tabla35108131534[[#This Row],[no_efe]]</f>
        <v>0.490196078431373</v>
      </c>
      <c r="N30" s="9" t="n">
        <f aca="false">(Tabla35108131534[[#This Row],[% efe_cor]]+Tabla35108131534[[#This Row],[% no_efe_cor]])/2</f>
        <v>0.543450713618781</v>
      </c>
      <c r="O30" s="10" t="n">
        <f aca="false">(Tabla35108131534[[#This Row],[% efe_inc]]+Tabla35108131534[[#This Row],[% no_efect_inc]])/2</f>
        <v>0.456549286381219</v>
      </c>
      <c r="P30" s="11" t="n">
        <f aca="false">Tabla35108131534[[#This Row],[no_efec_cor]]/(Tabla35108131534[[#This Row],[efect_inc]]+Tabla35108131534[[#This Row],[no_efec_cor]])</f>
        <v>0.542331288343558</v>
      </c>
      <c r="Q30" s="11" t="n">
        <f aca="false">Tabla35108131534[[#This Row],[efec_cor]]/(Tabla35108131534[[#This Row],[efec_cor]]+Tabla35108131534[[#This Row],[no_efec_inc]])</f>
        <v>0.544967880085653</v>
      </c>
      <c r="R30" s="11" t="n">
        <f aca="false">(Tabla35108131534[[#This Row],[PNE]]+Tabla35108131534[[#This Row],[PE]])/2</f>
        <v>0.543649584214606</v>
      </c>
      <c r="S30" s="0" t="n">
        <v>882</v>
      </c>
      <c r="T30" s="0" t="n">
        <v>867</v>
      </c>
      <c r="U30" s="0" t="n">
        <f aca="false">Tabla35108131534[[#This Row],[efec]]+Tabla35108131534[[#This Row],[no_efe]]</f>
        <v>1749</v>
      </c>
    </row>
    <row r="31" customFormat="false" ht="13.8" hidden="false" customHeight="false" outlineLevel="0" collapsed="false">
      <c r="A31" s="0" t="n">
        <v>1</v>
      </c>
      <c r="B31" s="0" t="n">
        <v>2</v>
      </c>
      <c r="C31" s="0" t="n">
        <v>472</v>
      </c>
      <c r="D31" s="0" t="n">
        <v>395</v>
      </c>
      <c r="E31" s="0" t="n">
        <v>467</v>
      </c>
      <c r="F31" s="0" t="n">
        <v>415</v>
      </c>
      <c r="G31" s="0" t="n">
        <f aca="false">Tabla35108131534[[#This Row],[no_efec_cor]]+Tabla35108131534[[#This Row],[efec_cor]]</f>
        <v>939</v>
      </c>
      <c r="H31" s="0" t="n">
        <f aca="false">Tabla35108131534[[#This Row],[no_efec_inc]]+Tabla35108131534[[#This Row],[efect_inc]]</f>
        <v>810</v>
      </c>
      <c r="I31" s="9" t="n">
        <f aca="false">Tabla35108131534[[#This Row],[Correctos]]/Tabla35108131534[[#This Row],[total_sec]]</f>
        <v>0.536878216123499</v>
      </c>
      <c r="J31" s="9" t="n">
        <f aca="false">Tabla35108131534[[#This Row],[efec_cor]]/Tabla35108131534[[#This Row],[efec]]</f>
        <v>0.529478458049887</v>
      </c>
      <c r="K31" s="9" t="n">
        <f aca="false">Tabla35108131534[[#This Row],[efect_inc]]/Tabla35108131534[[#This Row],[efec]]</f>
        <v>0.470521541950113</v>
      </c>
      <c r="L31" s="9" t="n">
        <f aca="false">Tabla35108131534[[#This Row],[no_efec_cor]]/Tabla35108131534[[#This Row],[no_efe]]</f>
        <v>0.544405997693195</v>
      </c>
      <c r="M31" s="9" t="n">
        <f aca="false">Tabla35108131534[[#This Row],[no_efec_inc]]/Tabla35108131534[[#This Row],[no_efe]]</f>
        <v>0.455594002306805</v>
      </c>
      <c r="N31" s="9" t="n">
        <f aca="false">(Tabla35108131534[[#This Row],[% efe_cor]]+Tabla35108131534[[#This Row],[% no_efe_cor]])/2</f>
        <v>0.536942227871541</v>
      </c>
      <c r="O31" s="10" t="n">
        <f aca="false">(Tabla35108131534[[#This Row],[% efe_inc]]+Tabla35108131534[[#This Row],[% no_efect_inc]])/2</f>
        <v>0.463057772128459</v>
      </c>
      <c r="P31" s="11" t="n">
        <f aca="false">Tabla35108131534[[#This Row],[no_efec_cor]]/(Tabla35108131534[[#This Row],[efect_inc]]+Tabla35108131534[[#This Row],[no_efec_cor]])</f>
        <v>0.532130777903044</v>
      </c>
      <c r="Q31" s="11" t="n">
        <f aca="false">Tabla35108131534[[#This Row],[efec_cor]]/(Tabla35108131534[[#This Row],[efec_cor]]+Tabla35108131534[[#This Row],[no_efec_inc]])</f>
        <v>0.541763341067285</v>
      </c>
      <c r="R31" s="11" t="n">
        <f aca="false">(Tabla35108131534[[#This Row],[PNE]]+Tabla35108131534[[#This Row],[PE]])/2</f>
        <v>0.536947059485165</v>
      </c>
      <c r="S31" s="0" t="n">
        <v>882</v>
      </c>
      <c r="T31" s="0" t="n">
        <v>867</v>
      </c>
      <c r="U31" s="0" t="n">
        <f aca="false">Tabla35108131534[[#This Row],[efec]]+Tabla35108131534[[#This Row],[no_efe]]</f>
        <v>1749</v>
      </c>
    </row>
    <row r="32" customFormat="false" ht="13.8" hidden="false" customHeight="false" outlineLevel="0" collapsed="false">
      <c r="A32" s="0" t="n">
        <v>1</v>
      </c>
      <c r="B32" s="0" t="n">
        <v>3</v>
      </c>
      <c r="C32" s="0" t="n">
        <v>511</v>
      </c>
      <c r="D32" s="0" t="n">
        <v>356</v>
      </c>
      <c r="E32" s="0" t="n">
        <v>419</v>
      </c>
      <c r="F32" s="0" t="n">
        <v>463</v>
      </c>
      <c r="G32" s="0" t="n">
        <f aca="false">Tabla35108131534[[#This Row],[no_efec_cor]]+Tabla35108131534[[#This Row],[efec_cor]]</f>
        <v>930</v>
      </c>
      <c r="H32" s="0" t="n">
        <f aca="false">Tabla35108131534[[#This Row],[no_efec_inc]]+Tabla35108131534[[#This Row],[efect_inc]]</f>
        <v>819</v>
      </c>
      <c r="I32" s="9" t="n">
        <f aca="false">Tabla35108131534[[#This Row],[Correctos]]/Tabla35108131534[[#This Row],[total_sec]]</f>
        <v>0.531732418524871</v>
      </c>
      <c r="J32" s="9" t="n">
        <f aca="false">Tabla35108131534[[#This Row],[efec_cor]]/Tabla35108131534[[#This Row],[efec]]</f>
        <v>0.475056689342404</v>
      </c>
      <c r="K32" s="9" t="n">
        <f aca="false">Tabla35108131534[[#This Row],[efect_inc]]/Tabla35108131534[[#This Row],[efec]]</f>
        <v>0.524943310657596</v>
      </c>
      <c r="L32" s="9" t="n">
        <f aca="false">Tabla35108131534[[#This Row],[no_efec_cor]]/Tabla35108131534[[#This Row],[no_efe]]</f>
        <v>0.589388696655133</v>
      </c>
      <c r="M32" s="9" t="n">
        <f aca="false">Tabla35108131534[[#This Row],[no_efec_inc]]/Tabla35108131534[[#This Row],[no_efe]]</f>
        <v>0.410611303344867</v>
      </c>
      <c r="N32" s="9" t="n">
        <f aca="false">(Tabla35108131534[[#This Row],[% efe_cor]]+Tabla35108131534[[#This Row],[% no_efe_cor]])/2</f>
        <v>0.532222692998768</v>
      </c>
      <c r="O32" s="10" t="n">
        <f aca="false">(Tabla35108131534[[#This Row],[% efe_inc]]+Tabla35108131534[[#This Row],[% no_efect_inc]])/2</f>
        <v>0.467777307001232</v>
      </c>
      <c r="P32" s="11" t="n">
        <f aca="false">Tabla35108131534[[#This Row],[no_efec_cor]]/(Tabla35108131534[[#This Row],[efect_inc]]+Tabla35108131534[[#This Row],[no_efec_cor]])</f>
        <v>0.524640657084189</v>
      </c>
      <c r="Q32" s="11" t="n">
        <f aca="false">Tabla35108131534[[#This Row],[efec_cor]]/(Tabla35108131534[[#This Row],[efec_cor]]+Tabla35108131534[[#This Row],[no_efec_inc]])</f>
        <v>0.540645161290323</v>
      </c>
      <c r="R32" s="11" t="n">
        <f aca="false">(Tabla35108131534[[#This Row],[PNE]]+Tabla35108131534[[#This Row],[PE]])/2</f>
        <v>0.532642909187256</v>
      </c>
      <c r="S32" s="0" t="n">
        <v>882</v>
      </c>
      <c r="T32" s="0" t="n">
        <v>867</v>
      </c>
      <c r="U32" s="0" t="n">
        <f aca="false">Tabla35108131534[[#This Row],[efec]]+Tabla35108131534[[#This Row],[no_efe]]</f>
        <v>1749</v>
      </c>
    </row>
    <row r="33" customFormat="false" ht="13.8" hidden="false" customHeight="false" outlineLevel="0" collapsed="false">
      <c r="A33" s="0" t="n">
        <v>1</v>
      </c>
      <c r="B33" s="0" t="n">
        <v>5</v>
      </c>
      <c r="C33" s="0" t="n">
        <v>588</v>
      </c>
      <c r="D33" s="0" t="n">
        <v>279</v>
      </c>
      <c r="E33" s="0" t="n">
        <v>340</v>
      </c>
      <c r="F33" s="0" t="n">
        <v>542</v>
      </c>
      <c r="G33" s="0" t="n">
        <f aca="false">Tabla35108131534[[#This Row],[no_efec_cor]]+Tabla35108131534[[#This Row],[efec_cor]]</f>
        <v>928</v>
      </c>
      <c r="H33" s="0" t="n">
        <f aca="false">Tabla35108131534[[#This Row],[no_efec_inc]]+Tabla35108131534[[#This Row],[efect_inc]]</f>
        <v>821</v>
      </c>
      <c r="I33" s="9" t="n">
        <f aca="false">Tabla35108131534[[#This Row],[Correctos]]/Tabla35108131534[[#This Row],[total_sec]]</f>
        <v>0.530588907947399</v>
      </c>
      <c r="J33" s="9" t="n">
        <f aca="false">Tabla35108131534[[#This Row],[efec_cor]]/Tabla35108131534[[#This Row],[efec]]</f>
        <v>0.385487528344671</v>
      </c>
      <c r="K33" s="9" t="n">
        <f aca="false">Tabla35108131534[[#This Row],[efect_inc]]/Tabla35108131534[[#This Row],[efec]]</f>
        <v>0.614512471655329</v>
      </c>
      <c r="L33" s="9" t="n">
        <f aca="false">Tabla35108131534[[#This Row],[no_efec_cor]]/Tabla35108131534[[#This Row],[no_efe]]</f>
        <v>0.678200692041522</v>
      </c>
      <c r="M33" s="9" t="n">
        <f aca="false">Tabla35108131534[[#This Row],[no_efec_inc]]/Tabla35108131534[[#This Row],[no_efe]]</f>
        <v>0.321799307958477</v>
      </c>
      <c r="N33" s="9" t="n">
        <f aca="false">(Tabla35108131534[[#This Row],[% efe_cor]]+Tabla35108131534[[#This Row],[% no_efe_cor]])/2</f>
        <v>0.531844110193097</v>
      </c>
      <c r="O33" s="10" t="n">
        <f aca="false">(Tabla35108131534[[#This Row],[% efe_inc]]+Tabla35108131534[[#This Row],[% no_efect_inc]])/2</f>
        <v>0.468155889806903</v>
      </c>
      <c r="P33" s="11" t="n">
        <f aca="false">Tabla35108131534[[#This Row],[no_efec_cor]]/(Tabla35108131534[[#This Row],[efect_inc]]+Tabla35108131534[[#This Row],[no_efec_cor]])</f>
        <v>0.520353982300885</v>
      </c>
      <c r="Q33" s="11" t="n">
        <f aca="false">Tabla35108131534[[#This Row],[efec_cor]]/(Tabla35108131534[[#This Row],[efec_cor]]+Tabla35108131534[[#This Row],[no_efec_inc]])</f>
        <v>0.549273021001615</v>
      </c>
      <c r="R33" s="11" t="n">
        <f aca="false">(Tabla35108131534[[#This Row],[PNE]]+Tabla35108131534[[#This Row],[PE]])/2</f>
        <v>0.53481350165125</v>
      </c>
      <c r="S33" s="0" t="n">
        <v>882</v>
      </c>
      <c r="T33" s="0" t="n">
        <v>867</v>
      </c>
      <c r="U33" s="0" t="n">
        <f aca="false">Tabla35108131534[[#This Row],[efec]]+Tabla35108131534[[#This Row],[no_efe]]</f>
        <v>1749</v>
      </c>
    </row>
    <row r="34" customFormat="false" ht="13.8" hidden="false" customHeight="false" outlineLevel="0" collapsed="false">
      <c r="A34" s="0" t="n">
        <v>2</v>
      </c>
      <c r="B34" s="0" t="n">
        <v>0.5</v>
      </c>
      <c r="C34" s="0" t="n">
        <v>411</v>
      </c>
      <c r="D34" s="0" t="n">
        <v>456</v>
      </c>
      <c r="E34" s="0" t="n">
        <v>509</v>
      </c>
      <c r="F34" s="0" t="n">
        <v>373</v>
      </c>
      <c r="G34" s="0" t="n">
        <f aca="false">Tabla35108131534[[#This Row],[no_efec_cor]]+Tabla35108131534[[#This Row],[efec_cor]]</f>
        <v>920</v>
      </c>
      <c r="H34" s="0" t="n">
        <f aca="false">Tabla35108131534[[#This Row],[no_efec_inc]]+Tabla35108131534[[#This Row],[efect_inc]]</f>
        <v>829</v>
      </c>
      <c r="I34" s="9" t="n">
        <f aca="false">Tabla35108131534[[#This Row],[Correctos]]/Tabla35108131534[[#This Row],[total_sec]]</f>
        <v>0.526014865637507</v>
      </c>
      <c r="J34" s="9" t="n">
        <f aca="false">Tabla35108131534[[#This Row],[efec_cor]]/Tabla35108131534[[#This Row],[efec]]</f>
        <v>0.577097505668934</v>
      </c>
      <c r="K34" s="9" t="n">
        <f aca="false">Tabla35108131534[[#This Row],[efect_inc]]/Tabla35108131534[[#This Row],[efec]]</f>
        <v>0.422902494331066</v>
      </c>
      <c r="L34" s="9" t="n">
        <f aca="false">Tabla35108131534[[#This Row],[no_efec_cor]]/Tabla35108131534[[#This Row],[no_efe]]</f>
        <v>0.474048442906574</v>
      </c>
      <c r="M34" s="9" t="n">
        <f aca="false">Tabla35108131534[[#This Row],[no_efec_inc]]/Tabla35108131534[[#This Row],[no_efe]]</f>
        <v>0.525951557093426</v>
      </c>
      <c r="N34" s="9" t="n">
        <f aca="false">(Tabla35108131534[[#This Row],[% efe_cor]]+Tabla35108131534[[#This Row],[% no_efe_cor]])/2</f>
        <v>0.525572974287754</v>
      </c>
      <c r="O34" s="10" t="n">
        <f aca="false">(Tabla35108131534[[#This Row],[% efe_inc]]+Tabla35108131534[[#This Row],[% no_efect_inc]])/2</f>
        <v>0.474427025712246</v>
      </c>
      <c r="P34" s="11" t="n">
        <f aca="false">Tabla35108131534[[#This Row],[no_efec_cor]]/(Tabla35108131534[[#This Row],[efect_inc]]+Tabla35108131534[[#This Row],[no_efec_cor]])</f>
        <v>0.524234693877551</v>
      </c>
      <c r="Q34" s="11" t="n">
        <f aca="false">Tabla35108131534[[#This Row],[efec_cor]]/(Tabla35108131534[[#This Row],[efec_cor]]+Tabla35108131534[[#This Row],[no_efec_inc]])</f>
        <v>0.527461139896373</v>
      </c>
      <c r="R34" s="11" t="n">
        <f aca="false">(Tabla35108131534[[#This Row],[PNE]]+Tabla35108131534[[#This Row],[PE]])/2</f>
        <v>0.525847916886962</v>
      </c>
      <c r="S34" s="0" t="n">
        <v>882</v>
      </c>
      <c r="T34" s="0" t="n">
        <v>867</v>
      </c>
      <c r="U34" s="0" t="n">
        <f aca="false">Tabla35108131534[[#This Row],[efec]]+Tabla35108131534[[#This Row],[no_efe]]</f>
        <v>1749</v>
      </c>
    </row>
    <row r="35" customFormat="false" ht="13.8" hidden="false" customHeight="false" outlineLevel="0" collapsed="false">
      <c r="A35" s="0" t="n">
        <v>3</v>
      </c>
      <c r="B35" s="0" t="n">
        <v>0.5</v>
      </c>
      <c r="C35" s="0" t="n">
        <v>419</v>
      </c>
      <c r="D35" s="0" t="n">
        <v>448</v>
      </c>
      <c r="E35" s="0" t="n">
        <v>512</v>
      </c>
      <c r="F35" s="0" t="n">
        <v>370</v>
      </c>
      <c r="G35" s="0" t="n">
        <f aca="false">Tabla35108131534[[#This Row],[no_efec_cor]]+Tabla35108131534[[#This Row],[efec_cor]]</f>
        <v>931</v>
      </c>
      <c r="H35" s="0" t="n">
        <f aca="false">Tabla35108131534[[#This Row],[no_efec_inc]]+Tabla35108131534[[#This Row],[efect_inc]]</f>
        <v>818</v>
      </c>
      <c r="I35" s="9" t="n">
        <f aca="false">Tabla35108131534[[#This Row],[Correctos]]/Tabla35108131534[[#This Row],[total_sec]]</f>
        <v>0.532304173813608</v>
      </c>
      <c r="J35" s="9" t="n">
        <f aca="false">Tabla35108131534[[#This Row],[efec_cor]]/Tabla35108131534[[#This Row],[efec]]</f>
        <v>0.580498866213152</v>
      </c>
      <c r="K35" s="9" t="n">
        <f aca="false">Tabla35108131534[[#This Row],[efect_inc]]/Tabla35108131534[[#This Row],[efec]]</f>
        <v>0.419501133786848</v>
      </c>
      <c r="L35" s="9" t="n">
        <f aca="false">Tabla35108131534[[#This Row],[no_efec_cor]]/Tabla35108131534[[#This Row],[no_efe]]</f>
        <v>0.483275663206459</v>
      </c>
      <c r="M35" s="9" t="n">
        <f aca="false">Tabla35108131534[[#This Row],[no_efec_inc]]/Tabla35108131534[[#This Row],[no_efe]]</f>
        <v>0.516724336793541</v>
      </c>
      <c r="N35" s="9" t="n">
        <f aca="false">(Tabla35108131534[[#This Row],[% efe_cor]]+Tabla35108131534[[#This Row],[% no_efe_cor]])/2</f>
        <v>0.531887264709806</v>
      </c>
      <c r="O35" s="10" t="n">
        <f aca="false">(Tabla35108131534[[#This Row],[% efe_inc]]+Tabla35108131534[[#This Row],[% no_efect_inc]])/2</f>
        <v>0.468112735290194</v>
      </c>
      <c r="P35" s="11" t="n">
        <f aca="false">Tabla35108131534[[#This Row],[no_efec_cor]]/(Tabla35108131534[[#This Row],[efect_inc]]+Tabla35108131534[[#This Row],[no_efec_cor]])</f>
        <v>0.53105196451204</v>
      </c>
      <c r="Q35" s="11" t="n">
        <f aca="false">Tabla35108131534[[#This Row],[efec_cor]]/(Tabla35108131534[[#This Row],[efec_cor]]+Tabla35108131534[[#This Row],[no_efec_inc]])</f>
        <v>0.533333333333333</v>
      </c>
      <c r="R35" s="11" t="n">
        <f aca="false">(Tabla35108131534[[#This Row],[PNE]]+Tabla35108131534[[#This Row],[PE]])/2</f>
        <v>0.532192648922687</v>
      </c>
      <c r="S35" s="0" t="n">
        <v>882</v>
      </c>
      <c r="T35" s="0" t="n">
        <v>867</v>
      </c>
      <c r="U35" s="0" t="n">
        <f aca="false">Tabla35108131534[[#This Row],[efec]]+Tabla35108131534[[#This Row],[no_efe]]</f>
        <v>1749</v>
      </c>
    </row>
    <row r="36" customFormat="false" ht="13.8" hidden="false" customHeight="false" outlineLevel="0" collapsed="false">
      <c r="A36" s="0" t="n">
        <v>5</v>
      </c>
      <c r="B36" s="0" t="n">
        <v>0.5</v>
      </c>
      <c r="C36" s="0" t="n">
        <v>447</v>
      </c>
      <c r="D36" s="0" t="n">
        <v>420</v>
      </c>
      <c r="E36" s="0" t="n">
        <v>503</v>
      </c>
      <c r="F36" s="0" t="n">
        <v>379</v>
      </c>
      <c r="G36" s="0" t="n">
        <f aca="false">Tabla35108131534[[#This Row],[no_efec_cor]]+Tabla35108131534[[#This Row],[efec_cor]]</f>
        <v>950</v>
      </c>
      <c r="H36" s="0" t="n">
        <f aca="false">Tabla35108131534[[#This Row],[no_efec_inc]]+Tabla35108131534[[#This Row],[efect_inc]]</f>
        <v>799</v>
      </c>
      <c r="I36" s="9" t="n">
        <f aca="false">Tabla35108131534[[#This Row],[Correctos]]/Tabla35108131534[[#This Row],[total_sec]]</f>
        <v>0.5431675242996</v>
      </c>
      <c r="J36" s="9" t="n">
        <f aca="false">Tabla35108131534[[#This Row],[efec_cor]]/Tabla35108131534[[#This Row],[efec]]</f>
        <v>0.570294784580499</v>
      </c>
      <c r="K36" s="9" t="n">
        <f aca="false">Tabla35108131534[[#This Row],[efect_inc]]/Tabla35108131534[[#This Row],[efec]]</f>
        <v>0.429705215419501</v>
      </c>
      <c r="L36" s="9" t="n">
        <f aca="false">Tabla35108131534[[#This Row],[no_efec_cor]]/Tabla35108131534[[#This Row],[no_efe]]</f>
        <v>0.515570934256055</v>
      </c>
      <c r="M36" s="9" t="n">
        <f aca="false">Tabla35108131534[[#This Row],[no_efec_inc]]/Tabla35108131534[[#This Row],[no_efe]]</f>
        <v>0.484429065743945</v>
      </c>
      <c r="N36" s="9" t="n">
        <f aca="false">(Tabla35108131534[[#This Row],[% efe_cor]]+Tabla35108131534[[#This Row],[% no_efe_cor]])/2</f>
        <v>0.542932859418277</v>
      </c>
      <c r="O36" s="10" t="n">
        <f aca="false">(Tabla35108131534[[#This Row],[% efe_inc]]+Tabla35108131534[[#This Row],[% no_efect_inc]])/2</f>
        <v>0.457067140581723</v>
      </c>
      <c r="P36" s="11" t="n">
        <f aca="false">Tabla35108131534[[#This Row],[no_efec_cor]]/(Tabla35108131534[[#This Row],[efect_inc]]+Tabla35108131534[[#This Row],[no_efec_cor]])</f>
        <v>0.541162227602906</v>
      </c>
      <c r="Q36" s="11" t="n">
        <f aca="false">Tabla35108131534[[#This Row],[efec_cor]]/(Tabla35108131534[[#This Row],[efec_cor]]+Tabla35108131534[[#This Row],[no_efec_inc]])</f>
        <v>0.544962080173348</v>
      </c>
      <c r="R36" s="11" t="n">
        <f aca="false">(Tabla35108131534[[#This Row],[PNE]]+Tabla35108131534[[#This Row],[PE]])/2</f>
        <v>0.543062153888127</v>
      </c>
      <c r="S36" s="0" t="n">
        <v>882</v>
      </c>
      <c r="T36" s="0" t="n">
        <v>867</v>
      </c>
      <c r="U36" s="0" t="n">
        <f aca="false">Tabla35108131534[[#This Row],[efec]]+Tabla35108131534[[#This Row],[no_efe]]</f>
        <v>1749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n">
        <v>459</v>
      </c>
      <c r="D37" s="0" t="n">
        <v>408</v>
      </c>
      <c r="E37" s="0" t="n">
        <v>492</v>
      </c>
      <c r="F37" s="0" t="n">
        <v>390</v>
      </c>
      <c r="G37" s="0" t="n">
        <f aca="false">Tabla35108131534[[#This Row],[no_efec_cor]]+Tabla35108131534[[#This Row],[efec_cor]]</f>
        <v>951</v>
      </c>
      <c r="H37" s="0" t="n">
        <f aca="false">Tabla35108131534[[#This Row],[no_efec_inc]]+Tabla35108131534[[#This Row],[efect_inc]]</f>
        <v>798</v>
      </c>
      <c r="I37" s="9" t="n">
        <f aca="false">Tabla35108131534[[#This Row],[Correctos]]/Tabla35108131534[[#This Row],[total_sec]]</f>
        <v>0.543739279588336</v>
      </c>
      <c r="J37" s="9" t="n">
        <f aca="false">Tabla35108131534[[#This Row],[efec_cor]]/Tabla35108131534[[#This Row],[efec]]</f>
        <v>0.557823129251701</v>
      </c>
      <c r="K37" s="9" t="n">
        <f aca="false">Tabla35108131534[[#This Row],[efect_inc]]/Tabla35108131534[[#This Row],[efec]]</f>
        <v>0.442176870748299</v>
      </c>
      <c r="L37" s="9" t="n">
        <f aca="false">Tabla35108131534[[#This Row],[no_efec_cor]]/Tabla35108131534[[#This Row],[no_efe]]</f>
        <v>0.529411764705882</v>
      </c>
      <c r="M37" s="9" t="n">
        <f aca="false">Tabla35108131534[[#This Row],[no_efec_inc]]/Tabla35108131534[[#This Row],[no_efe]]</f>
        <v>0.470588235294118</v>
      </c>
      <c r="N37" s="9" t="n">
        <f aca="false">(Tabla35108131534[[#This Row],[% efe_cor]]+Tabla35108131534[[#This Row],[% no_efe_cor]])/2</f>
        <v>0.543617446978792</v>
      </c>
      <c r="O37" s="10" t="n">
        <f aca="false">(Tabla35108131534[[#This Row],[% efe_inc]]+Tabla35108131534[[#This Row],[% no_efect_inc]])/2</f>
        <v>0.456382553021208</v>
      </c>
      <c r="P37" s="11" t="n">
        <f aca="false">Tabla35108131534[[#This Row],[no_efec_cor]]/(Tabla35108131534[[#This Row],[efect_inc]]+Tabla35108131534[[#This Row],[no_efec_cor]])</f>
        <v>0.540636042402827</v>
      </c>
      <c r="Q37" s="11" t="n">
        <f aca="false">Tabla35108131534[[#This Row],[efec_cor]]/(Tabla35108131534[[#This Row],[efec_cor]]+Tabla35108131534[[#This Row],[no_efec_inc]])</f>
        <v>0.546666666666667</v>
      </c>
      <c r="R37" s="11" t="n">
        <f aca="false">(Tabla35108131534[[#This Row],[PNE]]+Tabla35108131534[[#This Row],[PE]])/2</f>
        <v>0.543651354534747</v>
      </c>
      <c r="S37" s="0" t="n">
        <v>882</v>
      </c>
      <c r="T37" s="0" t="n">
        <v>867</v>
      </c>
      <c r="U37" s="0" t="n">
        <f aca="false">Tabla35108131534[[#This Row],[efec]]+Tabla35108131534[[#This Row],[no_efe]]</f>
        <v>1749</v>
      </c>
    </row>
    <row r="38" customFormat="false" ht="13.8" hidden="false" customHeight="false" outlineLevel="0" collapsed="false">
      <c r="A38" s="0" t="n">
        <v>0.5</v>
      </c>
      <c r="B38" s="0" t="n">
        <v>1</v>
      </c>
      <c r="C38" s="0" t="n">
        <v>428</v>
      </c>
      <c r="D38" s="0" t="n">
        <v>439</v>
      </c>
      <c r="E38" s="0" t="n">
        <v>505</v>
      </c>
      <c r="F38" s="0" t="n">
        <v>377</v>
      </c>
      <c r="G38" s="0" t="n">
        <f aca="false">Tabla35108131534[[#This Row],[no_efec_cor]]+Tabla35108131534[[#This Row],[efec_cor]]</f>
        <v>933</v>
      </c>
      <c r="H38" s="0" t="n">
        <f aca="false">Tabla35108131534[[#This Row],[no_efec_inc]]+Tabla35108131534[[#This Row],[efect_inc]]</f>
        <v>816</v>
      </c>
      <c r="I38" s="9" t="n">
        <f aca="false">Tabla35108131534[[#This Row],[Correctos]]/Tabla35108131534[[#This Row],[total_sec]]</f>
        <v>0.533447684391081</v>
      </c>
      <c r="J38" s="9" t="n">
        <f aca="false">Tabla35108131534[[#This Row],[efec_cor]]/Tabla35108131534[[#This Row],[efec]]</f>
        <v>0.572562358276644</v>
      </c>
      <c r="K38" s="9" t="n">
        <f aca="false">Tabla35108131534[[#This Row],[efect_inc]]/Tabla35108131534[[#This Row],[efec]]</f>
        <v>0.427437641723356</v>
      </c>
      <c r="L38" s="9" t="n">
        <f aca="false">Tabla35108131534[[#This Row],[no_efec_cor]]/Tabla35108131534[[#This Row],[no_efe]]</f>
        <v>0.493656286043829</v>
      </c>
      <c r="M38" s="9" t="n">
        <f aca="false">Tabla35108131534[[#This Row],[no_efec_inc]]/Tabla35108131534[[#This Row],[no_efe]]</f>
        <v>0.506343713956171</v>
      </c>
      <c r="N38" s="9" t="n">
        <f aca="false">(Tabla35108131534[[#This Row],[% efe_cor]]+Tabla35108131534[[#This Row],[% no_efe_cor]])/2</f>
        <v>0.533109322160237</v>
      </c>
      <c r="O38" s="10" t="n">
        <f aca="false">(Tabla35108131534[[#This Row],[% efe_inc]]+Tabla35108131534[[#This Row],[% no_efect_inc]])/2</f>
        <v>0.466890677839763</v>
      </c>
      <c r="P38" s="11" t="n">
        <f aca="false">Tabla35108131534[[#This Row],[no_efec_cor]]/(Tabla35108131534[[#This Row],[efect_inc]]+Tabla35108131534[[#This Row],[no_efec_cor]])</f>
        <v>0.53167701863354</v>
      </c>
      <c r="Q38" s="11" t="n">
        <f aca="false">Tabla35108131534[[#This Row],[efec_cor]]/(Tabla35108131534[[#This Row],[efec_cor]]+Tabla35108131534[[#This Row],[no_efec_inc]])</f>
        <v>0.534957627118644</v>
      </c>
      <c r="R38" s="11" t="n">
        <f aca="false">(Tabla35108131534[[#This Row],[PNE]]+Tabla35108131534[[#This Row],[PE]])/2</f>
        <v>0.533317322876092</v>
      </c>
      <c r="S38" s="0" t="n">
        <v>882</v>
      </c>
      <c r="T38" s="0" t="n">
        <v>867</v>
      </c>
      <c r="U38" s="0" t="n">
        <f aca="false">Tabla35108131534[[#This Row],[efec]]+Tabla35108131534[[#This Row],[no_efe]]</f>
        <v>1749</v>
      </c>
    </row>
    <row r="39" customFormat="false" ht="13.8" hidden="false" customHeight="false" outlineLevel="0" collapsed="false">
      <c r="A39" s="0" t="n">
        <v>0.1</v>
      </c>
      <c r="B39" s="0" t="n">
        <v>1</v>
      </c>
      <c r="C39" s="0" t="n">
        <v>443</v>
      </c>
      <c r="D39" s="0" t="n">
        <v>424</v>
      </c>
      <c r="E39" s="0" t="n">
        <v>460</v>
      </c>
      <c r="F39" s="0" t="n">
        <v>422</v>
      </c>
      <c r="G39" s="0" t="n">
        <f aca="false">Tabla35108131534[[#This Row],[no_efec_cor]]+Tabla35108131534[[#This Row],[efec_cor]]</f>
        <v>903</v>
      </c>
      <c r="H39" s="0" t="n">
        <f aca="false">Tabla35108131534[[#This Row],[no_efec_inc]]+Tabla35108131534[[#This Row],[efect_inc]]</f>
        <v>846</v>
      </c>
      <c r="I39" s="9" t="n">
        <f aca="false">Tabla35108131534[[#This Row],[Correctos]]/Tabla35108131534[[#This Row],[total_sec]]</f>
        <v>0.516295025728988</v>
      </c>
      <c r="J39" s="9" t="n">
        <f aca="false">Tabla35108131534[[#This Row],[efec_cor]]/Tabla35108131534[[#This Row],[efec]]</f>
        <v>0.521541950113379</v>
      </c>
      <c r="K39" s="9" t="n">
        <f aca="false">Tabla35108131534[[#This Row],[efect_inc]]/Tabla35108131534[[#This Row],[efec]]</f>
        <v>0.478458049886621</v>
      </c>
      <c r="L39" s="9" t="n">
        <f aca="false">Tabla35108131534[[#This Row],[no_efec_cor]]/Tabla35108131534[[#This Row],[no_efe]]</f>
        <v>0.510957324106113</v>
      </c>
      <c r="M39" s="9" t="n">
        <f aca="false">Tabla35108131534[[#This Row],[no_efec_inc]]/Tabla35108131534[[#This Row],[no_efe]]</f>
        <v>0.489042675893887</v>
      </c>
      <c r="N39" s="9" t="n">
        <f aca="false">(Tabla35108131534[[#This Row],[% efe_cor]]+Tabla35108131534[[#This Row],[% no_efe_cor]])/2</f>
        <v>0.516249637109746</v>
      </c>
      <c r="O39" s="10" t="n">
        <f aca="false">(Tabla35108131534[[#This Row],[% efe_inc]]+Tabla35108131534[[#This Row],[% no_efect_inc]])/2</f>
        <v>0.483750362890254</v>
      </c>
      <c r="P39" s="11" t="n">
        <f aca="false">Tabla35108131534[[#This Row],[no_efec_cor]]/(Tabla35108131534[[#This Row],[efect_inc]]+Tabla35108131534[[#This Row],[no_efec_cor]])</f>
        <v>0.512138728323699</v>
      </c>
      <c r="Q39" s="11" t="n">
        <f aca="false">Tabla35108131534[[#This Row],[efec_cor]]/(Tabla35108131534[[#This Row],[efec_cor]]+Tabla35108131534[[#This Row],[no_efec_inc]])</f>
        <v>0.520361990950226</v>
      </c>
      <c r="R39" s="11" t="n">
        <f aca="false">(Tabla35108131534[[#This Row],[PNE]]+Tabla35108131534[[#This Row],[PE]])/2</f>
        <v>0.516250359636963</v>
      </c>
      <c r="S39" s="0" t="n">
        <v>882</v>
      </c>
      <c r="T39" s="0" t="n">
        <v>867</v>
      </c>
      <c r="U39" s="0" t="n">
        <f aca="false">Tabla35108131534[[#This Row],[efec]]+Tabla35108131534[[#This Row],[no_efe]]</f>
        <v>1749</v>
      </c>
    </row>
    <row r="40" customFormat="false" ht="13.8" hidden="false" customHeight="false" outlineLevel="0" collapsed="false">
      <c r="A40" s="0" t="n">
        <v>0.5</v>
      </c>
      <c r="B40" s="0" t="n">
        <v>0.5</v>
      </c>
      <c r="C40" s="0" t="n">
        <v>386</v>
      </c>
      <c r="D40" s="0" t="n">
        <v>481</v>
      </c>
      <c r="E40" s="0" t="n">
        <v>542</v>
      </c>
      <c r="F40" s="0" t="n">
        <v>340</v>
      </c>
      <c r="G40" s="0" t="n">
        <f aca="false">Tabla35108131534[[#This Row],[no_efec_cor]]+Tabla35108131534[[#This Row],[efec_cor]]</f>
        <v>928</v>
      </c>
      <c r="H40" s="0" t="n">
        <f aca="false">Tabla35108131534[[#This Row],[no_efec_inc]]+Tabla35108131534[[#This Row],[efect_inc]]</f>
        <v>821</v>
      </c>
      <c r="I40" s="9" t="n">
        <f aca="false">Tabla35108131534[[#This Row],[Correctos]]/Tabla35108131534[[#This Row],[total_sec]]</f>
        <v>0.530588907947399</v>
      </c>
      <c r="J40" s="9" t="n">
        <f aca="false">Tabla35108131534[[#This Row],[efec_cor]]/Tabla35108131534[[#This Row],[efec]]</f>
        <v>0.614512471655329</v>
      </c>
      <c r="K40" s="9" t="n">
        <f aca="false">Tabla35108131534[[#This Row],[efect_inc]]/Tabla35108131534[[#This Row],[efec]]</f>
        <v>0.385487528344671</v>
      </c>
      <c r="L40" s="9" t="n">
        <f aca="false">Tabla35108131534[[#This Row],[no_efec_cor]]/Tabla35108131534[[#This Row],[no_efe]]</f>
        <v>0.445213379469435</v>
      </c>
      <c r="M40" s="9" t="n">
        <f aca="false">Tabla35108131534[[#This Row],[no_efec_inc]]/Tabla35108131534[[#This Row],[no_efe]]</f>
        <v>0.554786620530565</v>
      </c>
      <c r="N40" s="9" t="n">
        <f aca="false">(Tabla35108131534[[#This Row],[% efe_cor]]+Tabla35108131534[[#This Row],[% no_efe_cor]])/2</f>
        <v>0.529862925562382</v>
      </c>
      <c r="O40" s="10" t="n">
        <f aca="false">(Tabla35108131534[[#This Row],[% efe_inc]]+Tabla35108131534[[#This Row],[% no_efect_inc]])/2</f>
        <v>0.470137074437618</v>
      </c>
      <c r="P40" s="11" t="n">
        <f aca="false">Tabla35108131534[[#This Row],[no_efec_cor]]/(Tabla35108131534[[#This Row],[efect_inc]]+Tabla35108131534[[#This Row],[no_efec_cor]])</f>
        <v>0.53168044077135</v>
      </c>
      <c r="Q40" s="11" t="n">
        <f aca="false">Tabla35108131534[[#This Row],[efec_cor]]/(Tabla35108131534[[#This Row],[efec_cor]]+Tabla35108131534[[#This Row],[no_efec_inc]])</f>
        <v>0.529814271749756</v>
      </c>
      <c r="R40" s="11" t="n">
        <f aca="false">(Tabla35108131534[[#This Row],[PNE]]+Tabla35108131534[[#This Row],[PE]])/2</f>
        <v>0.530747356260553</v>
      </c>
      <c r="S40" s="0" t="n">
        <v>882</v>
      </c>
      <c r="T40" s="0" t="n">
        <v>867</v>
      </c>
      <c r="U40" s="0" t="n">
        <f aca="false">Tabla35108131534[[#This Row],[efec]]+Tabla35108131534[[#This Row],[no_efe]]</f>
        <v>1749</v>
      </c>
    </row>
  </sheetData>
  <mergeCells count="9">
    <mergeCell ref="A1:U1"/>
    <mergeCell ref="A2:U2"/>
    <mergeCell ref="A4:B4"/>
    <mergeCell ref="A5:B5"/>
    <mergeCell ref="A6:B6"/>
    <mergeCell ref="A8:I8"/>
    <mergeCell ref="A21:U21"/>
    <mergeCell ref="A22:U22"/>
    <mergeCell ref="A25:I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U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2" activeCellId="0" sqref="A42"/>
    </sheetView>
  </sheetViews>
  <sheetFormatPr defaultColWidth="10.54296875" defaultRowHeight="15" zeroHeight="false" outlineLevelRow="0" outlineLevelCol="0"/>
  <sheetData>
    <row r="1" customFormat="false" ht="19.5" hidden="false" customHeight="false" outlineLevel="0" collapsed="false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customFormat="false" ht="15" hidden="false" customHeight="false" outlineLevel="0" collapsed="false">
      <c r="A4" s="3" t="s">
        <v>2</v>
      </c>
      <c r="B4" s="3"/>
      <c r="C4" s="4" t="n">
        <v>881</v>
      </c>
    </row>
    <row r="5" customFormat="false" ht="15" hidden="false" customHeight="false" outlineLevel="0" collapsed="false">
      <c r="A5" s="3" t="s">
        <v>3</v>
      </c>
      <c r="B5" s="3"/>
      <c r="C5" s="4" t="n">
        <v>892</v>
      </c>
    </row>
    <row r="6" customFormat="false" ht="15" hidden="false" customHeight="false" outlineLevel="0" collapsed="false">
      <c r="A6" s="3" t="s">
        <v>4</v>
      </c>
      <c r="B6" s="3"/>
      <c r="C6" s="4" t="n">
        <f aca="false">SUM(C4:C5)</f>
        <v>1773</v>
      </c>
    </row>
    <row r="8" customFormat="false" ht="15.75" hidden="false" customHeight="false" outlineLevel="0" collapsed="false">
      <c r="A8" s="5" t="s">
        <v>5</v>
      </c>
      <c r="B8" s="5"/>
      <c r="C8" s="5"/>
      <c r="D8" s="5"/>
      <c r="E8" s="5"/>
      <c r="F8" s="5"/>
      <c r="G8" s="5"/>
      <c r="H8" s="5"/>
      <c r="I8" s="5"/>
    </row>
    <row r="9" customFormat="false" ht="15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n">
        <v>1</v>
      </c>
      <c r="B10" s="0" t="n">
        <v>454</v>
      </c>
      <c r="C10" s="0" t="n">
        <v>438</v>
      </c>
      <c r="D10" s="0" t="n">
        <v>417</v>
      </c>
      <c r="E10" s="0" t="n">
        <v>464</v>
      </c>
      <c r="F10" s="0" t="n">
        <f aca="false">Tabla351081315327[[#This Row],[no_efec_cor]]+Tabla351081315327[[#This Row],[efec_cor]]</f>
        <v>871</v>
      </c>
      <c r="G10" s="0" t="n">
        <f aca="false">Tabla351081315327[[#This Row],[no_efec_inc]]+Tabla351081315327[[#This Row],[efect_inc]]</f>
        <v>902</v>
      </c>
      <c r="H10" s="9" t="n">
        <f aca="false">Tabla351081315327[[#This Row],[Correctos]]/Tabla351081315327[[#This Row],[total_sec]]</f>
        <v>0.491257755217146</v>
      </c>
      <c r="I10" s="9" t="n">
        <f aca="false">Tabla351081315327[[#This Row],[efec_cor]]/Tabla351081315327[[#This Row],[efec]]</f>
        <v>0.473325766174801</v>
      </c>
      <c r="J10" s="9" t="n">
        <f aca="false">Tabla351081315327[[#This Row],[efect_inc]]/Tabla351081315327[[#This Row],[efec]]</f>
        <v>0.526674233825199</v>
      </c>
      <c r="K10" s="9" t="n">
        <f aca="false">Tabla351081315327[[#This Row],[no_efec_cor]]/Tabla351081315327[[#This Row],[no_efe]]</f>
        <v>0.508968609865471</v>
      </c>
      <c r="L10" s="9" t="n">
        <f aca="false">Tabla351081315327[[#This Row],[no_efec_inc]]/Tabla351081315327[[#This Row],[no_efe]]</f>
        <v>0.491031390134529</v>
      </c>
      <c r="M10" s="9" t="n">
        <f aca="false">(Tabla351081315327[[#This Row],[% efe_cor]]+Tabla351081315327[[#This Row],[% no_efe_cor]])/2</f>
        <v>0.491147188020136</v>
      </c>
      <c r="N10" s="10" t="n">
        <f aca="false">(Tabla351081315327[[#This Row],[% efe_inc]]+Tabla351081315327[[#This Row],[% no_efect_inc]])/2</f>
        <v>0.508852811979864</v>
      </c>
      <c r="O10" s="11" t="n">
        <f aca="false">Tabla351081315327[[#This Row],[no_efec_cor]]/(Tabla351081315327[[#This Row],[efect_inc]]+Tabla351081315327[[#This Row],[no_efec_cor]])</f>
        <v>0.494553376906318</v>
      </c>
      <c r="P10" s="11" t="n">
        <f aca="false">Tabla351081315327[[#This Row],[efec_cor]]/(Tabla351081315327[[#This Row],[efec_cor]]+Tabla351081315327[[#This Row],[no_efec_inc]])</f>
        <v>0.487719298245614</v>
      </c>
      <c r="Q10" s="11" t="n">
        <f aca="false">(Tabla351081315327[[#This Row],[PNE]]+Tabla351081315327[[#This Row],[PE]])/2</f>
        <v>0.491136337575966</v>
      </c>
      <c r="R10" s="0" t="n">
        <v>881</v>
      </c>
      <c r="S10" s="0" t="n">
        <v>892</v>
      </c>
      <c r="T10" s="0" t="n">
        <f aca="false">Tabla351081315327[[#This Row],[efec]]+Tabla351081315327[[#This Row],[no_efe]]</f>
        <v>1773</v>
      </c>
    </row>
    <row r="11" customFormat="false" ht="13.8" hidden="false" customHeight="false" outlineLevel="0" collapsed="false">
      <c r="A11" s="0" t="n">
        <v>5</v>
      </c>
      <c r="B11" s="0" t="n">
        <v>457</v>
      </c>
      <c r="C11" s="0" t="n">
        <v>435</v>
      </c>
      <c r="D11" s="0" t="n">
        <v>431</v>
      </c>
      <c r="E11" s="0" t="n">
        <v>450</v>
      </c>
      <c r="F11" s="0" t="n">
        <f aca="false">Tabla351081315327[[#This Row],[no_efec_cor]]+Tabla351081315327[[#This Row],[efec_cor]]</f>
        <v>888</v>
      </c>
      <c r="G11" s="0" t="n">
        <f aca="false">Tabla351081315327[[#This Row],[no_efec_inc]]+Tabla351081315327[[#This Row],[efect_inc]]</f>
        <v>885</v>
      </c>
      <c r="H11" s="9" t="n">
        <f aca="false">Tabla351081315327[[#This Row],[Correctos]]/Tabla351081315327[[#This Row],[total_sec]]</f>
        <v>0.500846023688663</v>
      </c>
      <c r="I11" s="9" t="n">
        <f aca="false">Tabla351081315327[[#This Row],[efec_cor]]/Tabla351081315327[[#This Row],[efec]]</f>
        <v>0.489216799091941</v>
      </c>
      <c r="J11" s="9" t="n">
        <f aca="false">Tabla351081315327[[#This Row],[efect_inc]]/Tabla351081315327[[#This Row],[efec]]</f>
        <v>0.510783200908059</v>
      </c>
      <c r="K11" s="9" t="n">
        <f aca="false">Tabla351081315327[[#This Row],[no_efec_cor]]/Tabla351081315327[[#This Row],[no_efe]]</f>
        <v>0.512331838565022</v>
      </c>
      <c r="L11" s="9" t="n">
        <f aca="false">Tabla351081315327[[#This Row],[no_efec_inc]]/Tabla351081315327[[#This Row],[no_efe]]</f>
        <v>0.487668161434978</v>
      </c>
      <c r="M11" s="9" t="n">
        <f aca="false">(Tabla351081315327[[#This Row],[% efe_cor]]+Tabla351081315327[[#This Row],[% no_efe_cor]])/2</f>
        <v>0.500774318828482</v>
      </c>
      <c r="N11" s="10" t="n">
        <f aca="false">(Tabla351081315327[[#This Row],[% efe_inc]]+Tabla351081315327[[#This Row],[% no_efect_inc]])/2</f>
        <v>0.499225681171518</v>
      </c>
      <c r="O11" s="11" t="n">
        <f aca="false">Tabla351081315327[[#This Row],[no_efec_cor]]/(Tabla351081315327[[#This Row],[efect_inc]]+Tabla351081315327[[#This Row],[no_efec_cor]])</f>
        <v>0.503858875413451</v>
      </c>
      <c r="P11" s="11" t="n">
        <f aca="false">Tabla351081315327[[#This Row],[efec_cor]]/(Tabla351081315327[[#This Row],[efec_cor]]+Tabla351081315327[[#This Row],[no_efec_inc]])</f>
        <v>0.497690531177829</v>
      </c>
      <c r="Q11" s="11" t="n">
        <f aca="false">(Tabla351081315327[[#This Row],[PNE]]+Tabla351081315327[[#This Row],[PE]])/2</f>
        <v>0.50077470329564</v>
      </c>
      <c r="R11" s="0" t="n">
        <v>881</v>
      </c>
      <c r="S11" s="0" t="n">
        <v>892</v>
      </c>
      <c r="T11" s="0" t="n">
        <f aca="false">Tabla351081315327[[#This Row],[efec]]+Tabla351081315327[[#This Row],[no_efe]]</f>
        <v>1773</v>
      </c>
    </row>
    <row r="12" customFormat="false" ht="13.8" hidden="false" customHeight="false" outlineLevel="0" collapsed="false">
      <c r="A12" s="0" t="n">
        <v>10</v>
      </c>
      <c r="B12" s="0" t="n">
        <v>341</v>
      </c>
      <c r="C12" s="0" t="n">
        <v>551</v>
      </c>
      <c r="D12" s="0" t="n">
        <v>559</v>
      </c>
      <c r="E12" s="0" t="n">
        <v>322</v>
      </c>
      <c r="F12" s="0" t="n">
        <f aca="false">Tabla351081315327[[#This Row],[no_efec_cor]]+Tabla351081315327[[#This Row],[efec_cor]]</f>
        <v>900</v>
      </c>
      <c r="G12" s="0" t="n">
        <f aca="false">Tabla351081315327[[#This Row],[no_efec_inc]]+Tabla351081315327[[#This Row],[efect_inc]]</f>
        <v>873</v>
      </c>
      <c r="H12" s="9" t="n">
        <f aca="false">Tabla351081315327[[#This Row],[Correctos]]/Tabla351081315327[[#This Row],[total_sec]]</f>
        <v>0.507614213197969</v>
      </c>
      <c r="I12" s="9" t="n">
        <f aca="false">Tabla351081315327[[#This Row],[efec_cor]]/Tabla351081315327[[#This Row],[efec]]</f>
        <v>0.634506242905789</v>
      </c>
      <c r="J12" s="9" t="n">
        <f aca="false">Tabla351081315327[[#This Row],[efect_inc]]/Tabla351081315327[[#This Row],[efec]]</f>
        <v>0.365493757094211</v>
      </c>
      <c r="K12" s="9" t="n">
        <f aca="false">Tabla351081315327[[#This Row],[no_efec_cor]]/Tabla351081315327[[#This Row],[no_efe]]</f>
        <v>0.382286995515695</v>
      </c>
      <c r="L12" s="9" t="n">
        <f aca="false">Tabla351081315327[[#This Row],[no_efec_inc]]/Tabla351081315327[[#This Row],[no_efe]]</f>
        <v>0.617713004484305</v>
      </c>
      <c r="M12" s="9" t="n">
        <f aca="false">(Tabla351081315327[[#This Row],[% efe_cor]]+Tabla351081315327[[#This Row],[% no_efe_cor]])/2</f>
        <v>0.508396619210742</v>
      </c>
      <c r="N12" s="10" t="n">
        <f aca="false">(Tabla351081315327[[#This Row],[% efe_inc]]+Tabla351081315327[[#This Row],[% no_efect_inc]])/2</f>
        <v>0.491603380789258</v>
      </c>
      <c r="O12" s="11" t="n">
        <f aca="false">Tabla351081315327[[#This Row],[no_efec_cor]]/(Tabla351081315327[[#This Row],[efect_inc]]+Tabla351081315327[[#This Row],[no_efec_cor]])</f>
        <v>0.514328808446455</v>
      </c>
      <c r="P12" s="11" t="n">
        <f aca="false">Tabla351081315327[[#This Row],[efec_cor]]/(Tabla351081315327[[#This Row],[efec_cor]]+Tabla351081315327[[#This Row],[no_efec_inc]])</f>
        <v>0.503603603603604</v>
      </c>
      <c r="Q12" s="11" t="n">
        <f aca="false">(Tabla351081315327[[#This Row],[PNE]]+Tabla351081315327[[#This Row],[PE]])/2</f>
        <v>0.50896620602503</v>
      </c>
      <c r="R12" s="0" t="n">
        <v>881</v>
      </c>
      <c r="S12" s="0" t="n">
        <v>892</v>
      </c>
      <c r="T12" s="0" t="n">
        <f aca="false">Tabla351081315327[[#This Row],[efec]]+Tabla351081315327[[#This Row],[no_efe]]</f>
        <v>1773</v>
      </c>
    </row>
    <row r="13" customFormat="false" ht="13.8" hidden="false" customHeight="false" outlineLevel="0" collapsed="false">
      <c r="A13" s="0" t="n">
        <v>15</v>
      </c>
      <c r="B13" s="0" t="n">
        <v>442</v>
      </c>
      <c r="C13" s="0" t="n">
        <v>450</v>
      </c>
      <c r="D13" s="0" t="n">
        <v>456</v>
      </c>
      <c r="E13" s="0" t="n">
        <v>425</v>
      </c>
      <c r="F13" s="0" t="n">
        <f aca="false">Tabla351081315327[[#This Row],[no_efec_cor]]+Tabla351081315327[[#This Row],[efec_cor]]</f>
        <v>898</v>
      </c>
      <c r="G13" s="0" t="n">
        <f aca="false">Tabla351081315327[[#This Row],[no_efec_inc]]+Tabla351081315327[[#This Row],[efect_inc]]</f>
        <v>875</v>
      </c>
      <c r="H13" s="9" t="n">
        <f aca="false">Tabla351081315327[[#This Row],[Correctos]]/Tabla351081315327[[#This Row],[total_sec]]</f>
        <v>0.506486181613085</v>
      </c>
      <c r="I13" s="9" t="n">
        <f aca="false">Tabla351081315327[[#This Row],[efec_cor]]/Tabla351081315327[[#This Row],[efec]]</f>
        <v>0.517593643586833</v>
      </c>
      <c r="J13" s="9" t="n">
        <f aca="false">Tabla351081315327[[#This Row],[efect_inc]]/Tabla351081315327[[#This Row],[efec]]</f>
        <v>0.482406356413167</v>
      </c>
      <c r="K13" s="9" t="n">
        <f aca="false">Tabla351081315327[[#This Row],[no_efec_cor]]/Tabla351081315327[[#This Row],[no_efe]]</f>
        <v>0.495515695067265</v>
      </c>
      <c r="L13" s="9" t="n">
        <f aca="false">Tabla351081315327[[#This Row],[no_efec_inc]]/Tabla351081315327[[#This Row],[no_efe]]</f>
        <v>0.504484304932735</v>
      </c>
      <c r="M13" s="9" t="n">
        <f aca="false">(Tabla351081315327[[#This Row],[% efe_cor]]+Tabla351081315327[[#This Row],[% no_efe_cor]])/2</f>
        <v>0.506554669327049</v>
      </c>
      <c r="N13" s="10" t="n">
        <f aca="false">(Tabla351081315327[[#This Row],[% efe_inc]]+Tabla351081315327[[#This Row],[% no_efect_inc]])/2</f>
        <v>0.493445330672951</v>
      </c>
      <c r="O13" s="11" t="n">
        <f aca="false">Tabla351081315327[[#This Row],[no_efec_cor]]/(Tabla351081315327[[#This Row],[efect_inc]]+Tabla351081315327[[#This Row],[no_efec_cor]])</f>
        <v>0.509803921568627</v>
      </c>
      <c r="P13" s="11" t="n">
        <f aca="false">Tabla351081315327[[#This Row],[efec_cor]]/(Tabla351081315327[[#This Row],[efec_cor]]+Tabla351081315327[[#This Row],[no_efec_inc]])</f>
        <v>0.503311258278146</v>
      </c>
      <c r="Q13" s="11" t="n">
        <f aca="false">(Tabla351081315327[[#This Row],[PNE]]+Tabla351081315327[[#This Row],[PE]])/2</f>
        <v>0.506557589923387</v>
      </c>
      <c r="R13" s="0" t="n">
        <v>881</v>
      </c>
      <c r="S13" s="0" t="n">
        <v>892</v>
      </c>
      <c r="T13" s="0" t="n">
        <f aca="false">Tabla351081315327[[#This Row],[efec]]+Tabla351081315327[[#This Row],[no_efe]]</f>
        <v>1773</v>
      </c>
    </row>
    <row r="14" customFormat="false" ht="13.8" hidden="false" customHeight="false" outlineLevel="0" collapsed="false">
      <c r="A14" s="0" t="n">
        <v>20</v>
      </c>
      <c r="B14" s="0" t="n">
        <v>333</v>
      </c>
      <c r="C14" s="0" t="n">
        <v>559</v>
      </c>
      <c r="D14" s="0" t="n">
        <v>559</v>
      </c>
      <c r="E14" s="0" t="n">
        <v>322</v>
      </c>
      <c r="F14" s="0" t="n">
        <f aca="false">Tabla351081315327[[#This Row],[no_efec_cor]]+Tabla351081315327[[#This Row],[efec_cor]]</f>
        <v>892</v>
      </c>
      <c r="G14" s="0" t="n">
        <f aca="false">Tabla351081315327[[#This Row],[no_efec_inc]]+Tabla351081315327[[#This Row],[efect_inc]]</f>
        <v>881</v>
      </c>
      <c r="H14" s="9" t="n">
        <f aca="false">Tabla351081315327[[#This Row],[Correctos]]/Tabla351081315327[[#This Row],[total_sec]]</f>
        <v>0.503102086858432</v>
      </c>
      <c r="I14" s="9" t="n">
        <f aca="false">Tabla351081315327[[#This Row],[efec_cor]]/Tabla351081315327[[#This Row],[efec]]</f>
        <v>0.634506242905789</v>
      </c>
      <c r="J14" s="9" t="n">
        <f aca="false">Tabla351081315327[[#This Row],[efect_inc]]/Tabla351081315327[[#This Row],[efec]]</f>
        <v>0.365493757094211</v>
      </c>
      <c r="K14" s="9" t="n">
        <f aca="false">Tabla351081315327[[#This Row],[no_efec_cor]]/Tabla351081315327[[#This Row],[no_efe]]</f>
        <v>0.373318385650224</v>
      </c>
      <c r="L14" s="9" t="n">
        <f aca="false">Tabla351081315327[[#This Row],[no_efec_inc]]/Tabla351081315327[[#This Row],[no_efe]]</f>
        <v>0.626681614349776</v>
      </c>
      <c r="M14" s="9" t="n">
        <f aca="false">(Tabla351081315327[[#This Row],[% efe_cor]]+Tabla351081315327[[#This Row],[% no_efe_cor]])/2</f>
        <v>0.503912314278007</v>
      </c>
      <c r="N14" s="10" t="n">
        <f aca="false">(Tabla351081315327[[#This Row],[% efe_inc]]+Tabla351081315327[[#This Row],[% no_efect_inc]])/2</f>
        <v>0.496087685721993</v>
      </c>
      <c r="O14" s="11" t="n">
        <f aca="false">Tabla351081315327[[#This Row],[no_efec_cor]]/(Tabla351081315327[[#This Row],[efect_inc]]+Tabla351081315327[[#This Row],[no_efec_cor]])</f>
        <v>0.508396946564886</v>
      </c>
      <c r="P14" s="11" t="n">
        <f aca="false">Tabla351081315327[[#This Row],[efec_cor]]/(Tabla351081315327[[#This Row],[efec_cor]]+Tabla351081315327[[#This Row],[no_efec_inc]])</f>
        <v>0.5</v>
      </c>
      <c r="Q14" s="11" t="n">
        <f aca="false">(Tabla351081315327[[#This Row],[PNE]]+Tabla351081315327[[#This Row],[PE]])/2</f>
        <v>0.504198473282443</v>
      </c>
      <c r="R14" s="0" t="n">
        <v>881</v>
      </c>
      <c r="S14" s="0" t="n">
        <v>892</v>
      </c>
      <c r="T14" s="0" t="n">
        <f aca="false">Tabla351081315327[[#This Row],[efec]]+Tabla351081315327[[#This Row],[no_efe]]</f>
        <v>1773</v>
      </c>
    </row>
    <row r="15" customFormat="false" ht="13.8" hidden="false" customHeight="false" outlineLevel="0" collapsed="false">
      <c r="A15" s="0" t="n">
        <v>25</v>
      </c>
      <c r="B15" s="0" t="n">
        <v>424</v>
      </c>
      <c r="C15" s="0" t="n">
        <v>468</v>
      </c>
      <c r="D15" s="0" t="n">
        <v>493</v>
      </c>
      <c r="E15" s="0" t="n">
        <v>388</v>
      </c>
      <c r="F15" s="0" t="n">
        <f aca="false">Tabla351081315327[[#This Row],[no_efec_cor]]+Tabla351081315327[[#This Row],[efec_cor]]</f>
        <v>917</v>
      </c>
      <c r="G15" s="0" t="n">
        <f aca="false">Tabla351081315327[[#This Row],[no_efec_inc]]+Tabla351081315327[[#This Row],[efect_inc]]</f>
        <v>856</v>
      </c>
      <c r="H15" s="9" t="n">
        <f aca="false">Tabla351081315327[[#This Row],[Correctos]]/Tabla351081315327[[#This Row],[total_sec]]</f>
        <v>0.517202481669487</v>
      </c>
      <c r="I15" s="9" t="n">
        <f aca="false">Tabla351081315327[[#This Row],[efec_cor]]/Tabla351081315327[[#This Row],[efec]]</f>
        <v>0.559591373439274</v>
      </c>
      <c r="J15" s="9" t="n">
        <f aca="false">Tabla351081315327[[#This Row],[efect_inc]]/Tabla351081315327[[#This Row],[efec]]</f>
        <v>0.440408626560726</v>
      </c>
      <c r="K15" s="9" t="n">
        <f aca="false">Tabla351081315327[[#This Row],[no_efec_cor]]/Tabla351081315327[[#This Row],[no_efe]]</f>
        <v>0.475336322869955</v>
      </c>
      <c r="L15" s="9" t="n">
        <f aca="false">Tabla351081315327[[#This Row],[no_efec_inc]]/Tabla351081315327[[#This Row],[no_efe]]</f>
        <v>0.524663677130045</v>
      </c>
      <c r="M15" s="9" t="n">
        <f aca="false">(Tabla351081315327[[#This Row],[% efe_cor]]+Tabla351081315327[[#This Row],[% no_efe_cor]])/2</f>
        <v>0.517463848154614</v>
      </c>
      <c r="N15" s="10" t="n">
        <f aca="false">(Tabla351081315327[[#This Row],[% efe_inc]]+Tabla351081315327[[#This Row],[% no_efect_inc]])/2</f>
        <v>0.482536151845386</v>
      </c>
      <c r="O15" s="11" t="n">
        <f aca="false">Tabla351081315327[[#This Row],[no_efec_cor]]/(Tabla351081315327[[#This Row],[efect_inc]]+Tabla351081315327[[#This Row],[no_efec_cor]])</f>
        <v>0.522167487684729</v>
      </c>
      <c r="P15" s="11" t="n">
        <f aca="false">Tabla351081315327[[#This Row],[efec_cor]]/(Tabla351081315327[[#This Row],[efec_cor]]+Tabla351081315327[[#This Row],[no_efec_inc]])</f>
        <v>0.513007284079084</v>
      </c>
      <c r="Q15" s="11" t="n">
        <f aca="false">(Tabla351081315327[[#This Row],[PNE]]+Tabla351081315327[[#This Row],[PE]])/2</f>
        <v>0.517587385881907</v>
      </c>
      <c r="R15" s="0" t="n">
        <v>881</v>
      </c>
      <c r="S15" s="0" t="n">
        <v>892</v>
      </c>
      <c r="T15" s="0" t="n">
        <f aca="false">Tabla351081315327[[#This Row],[efec]]+Tabla351081315327[[#This Row],[no_efe]]</f>
        <v>1773</v>
      </c>
    </row>
    <row r="16" customFormat="false" ht="13.8" hidden="false" customHeight="false" outlineLevel="0" collapsed="false">
      <c r="A16" s="0" t="n">
        <v>30</v>
      </c>
      <c r="B16" s="0" t="n">
        <v>349</v>
      </c>
      <c r="C16" s="0" t="n">
        <v>543</v>
      </c>
      <c r="D16" s="0" t="n">
        <v>554</v>
      </c>
      <c r="E16" s="0" t="n">
        <v>327</v>
      </c>
      <c r="F16" s="0" t="n">
        <f aca="false">Tabla351081315327[[#This Row],[no_efec_cor]]+Tabla351081315327[[#This Row],[efec_cor]]</f>
        <v>903</v>
      </c>
      <c r="G16" s="0" t="n">
        <f aca="false">Tabla351081315327[[#This Row],[no_efec_inc]]+Tabla351081315327[[#This Row],[efect_inc]]</f>
        <v>870</v>
      </c>
      <c r="H16" s="9" t="n">
        <f aca="false">Tabla351081315327[[#This Row],[Correctos]]/Tabla351081315327[[#This Row],[total_sec]]</f>
        <v>0.509306260575296</v>
      </c>
      <c r="I16" s="9" t="n">
        <f aca="false">Tabla351081315327[[#This Row],[efec_cor]]/Tabla351081315327[[#This Row],[efec]]</f>
        <v>0.62883087400681</v>
      </c>
      <c r="J16" s="9" t="n">
        <f aca="false">Tabla351081315327[[#This Row],[efect_inc]]/Tabla351081315327[[#This Row],[efec]]</f>
        <v>0.37116912599319</v>
      </c>
      <c r="K16" s="9" t="n">
        <f aca="false">Tabla351081315327[[#This Row],[no_efec_cor]]/Tabla351081315327[[#This Row],[no_efe]]</f>
        <v>0.391255605381166</v>
      </c>
      <c r="L16" s="9" t="n">
        <f aca="false">Tabla351081315327[[#This Row],[no_efec_inc]]/Tabla351081315327[[#This Row],[no_efe]]</f>
        <v>0.608744394618834</v>
      </c>
      <c r="M16" s="9" t="n">
        <f aca="false">(Tabla351081315327[[#This Row],[% efe_cor]]+Tabla351081315327[[#This Row],[% no_efe_cor]])/2</f>
        <v>0.510043239693988</v>
      </c>
      <c r="N16" s="10" t="n">
        <f aca="false">(Tabla351081315327[[#This Row],[% efe_inc]]+Tabla351081315327[[#This Row],[% no_efect_inc]])/2</f>
        <v>0.489956760306012</v>
      </c>
      <c r="O16" s="11" t="n">
        <f aca="false">Tabla351081315327[[#This Row],[no_efec_cor]]/(Tabla351081315327[[#This Row],[efect_inc]]+Tabla351081315327[[#This Row],[no_efec_cor]])</f>
        <v>0.516272189349112</v>
      </c>
      <c r="P16" s="11" t="n">
        <f aca="false">Tabla351081315327[[#This Row],[efec_cor]]/(Tabla351081315327[[#This Row],[efec_cor]]+Tabla351081315327[[#This Row],[no_efec_inc]])</f>
        <v>0.505013673655424</v>
      </c>
      <c r="Q16" s="11" t="n">
        <f aca="false">(Tabla351081315327[[#This Row],[PNE]]+Tabla351081315327[[#This Row],[PE]])/2</f>
        <v>0.510642931502268</v>
      </c>
      <c r="R16" s="0" t="n">
        <v>881</v>
      </c>
      <c r="S16" s="0" t="n">
        <v>892</v>
      </c>
      <c r="T16" s="0" t="n">
        <f aca="false">Tabla351081315327[[#This Row],[efec]]+Tabla351081315327[[#This Row],[no_efe]]</f>
        <v>1773</v>
      </c>
    </row>
    <row r="17" customFormat="false" ht="13.8" hidden="false" customHeight="false" outlineLevel="0" collapsed="false">
      <c r="A17" s="0" t="n">
        <v>35</v>
      </c>
      <c r="B17" s="0" t="n">
        <v>411</v>
      </c>
      <c r="C17" s="0" t="n">
        <v>481</v>
      </c>
      <c r="D17" s="0" t="n">
        <v>502</v>
      </c>
      <c r="E17" s="0" t="n">
        <v>379</v>
      </c>
      <c r="F17" s="0" t="n">
        <f aca="false">Tabla351081315327[[#This Row],[no_efec_cor]]+Tabla351081315327[[#This Row],[efec_cor]]</f>
        <v>913</v>
      </c>
      <c r="G17" s="0" t="n">
        <f aca="false">Tabla351081315327[[#This Row],[no_efec_inc]]+Tabla351081315327[[#This Row],[efect_inc]]</f>
        <v>860</v>
      </c>
      <c r="H17" s="9" t="n">
        <f aca="false">Tabla351081315327[[#This Row],[Correctos]]/Tabla351081315327[[#This Row],[total_sec]]</f>
        <v>0.514946418499718</v>
      </c>
      <c r="I17" s="9" t="n">
        <f aca="false">Tabla351081315327[[#This Row],[efec_cor]]/Tabla351081315327[[#This Row],[efec]]</f>
        <v>0.569807037457435</v>
      </c>
      <c r="J17" s="9" t="n">
        <f aca="false">Tabla351081315327[[#This Row],[efect_inc]]/Tabla351081315327[[#This Row],[efec]]</f>
        <v>0.430192962542565</v>
      </c>
      <c r="K17" s="9" t="n">
        <f aca="false">Tabla351081315327[[#This Row],[no_efec_cor]]/Tabla351081315327[[#This Row],[no_efe]]</f>
        <v>0.460762331838565</v>
      </c>
      <c r="L17" s="9" t="n">
        <f aca="false">Tabla351081315327[[#This Row],[no_efec_inc]]/Tabla351081315327[[#This Row],[no_efe]]</f>
        <v>0.539237668161435</v>
      </c>
      <c r="M17" s="9" t="n">
        <f aca="false">(Tabla351081315327[[#This Row],[% efe_cor]]+Tabla351081315327[[#This Row],[% no_efe_cor]])/2</f>
        <v>0.515284684648</v>
      </c>
      <c r="N17" s="10" t="n">
        <f aca="false">(Tabla351081315327[[#This Row],[% efe_inc]]+Tabla351081315327[[#This Row],[% no_efect_inc]])/2</f>
        <v>0.484715315352</v>
      </c>
      <c r="O17" s="11" t="n">
        <f aca="false">Tabla351081315327[[#This Row],[no_efec_cor]]/(Tabla351081315327[[#This Row],[efect_inc]]+Tabla351081315327[[#This Row],[no_efec_cor]])</f>
        <v>0.520253164556962</v>
      </c>
      <c r="P17" s="11" t="n">
        <f aca="false">Tabla351081315327[[#This Row],[efec_cor]]/(Tabla351081315327[[#This Row],[efec_cor]]+Tabla351081315327[[#This Row],[no_efec_inc]])</f>
        <v>0.510681586978637</v>
      </c>
      <c r="Q17" s="11" t="n">
        <f aca="false">(Tabla351081315327[[#This Row],[PNE]]+Tabla351081315327[[#This Row],[PE]])/2</f>
        <v>0.515467375767799</v>
      </c>
      <c r="R17" s="0" t="n">
        <v>881</v>
      </c>
      <c r="S17" s="0" t="n">
        <v>892</v>
      </c>
      <c r="T17" s="0" t="n">
        <f aca="false">Tabla351081315327[[#This Row],[efec]]+Tabla351081315327[[#This Row],[no_efe]]</f>
        <v>1773</v>
      </c>
    </row>
    <row r="18" customFormat="false" ht="13.8" hidden="false" customHeight="false" outlineLevel="0" collapsed="false">
      <c r="A18" s="0" t="n">
        <v>39</v>
      </c>
      <c r="B18" s="0" t="n">
        <v>409</v>
      </c>
      <c r="C18" s="0" t="n">
        <v>483</v>
      </c>
      <c r="D18" s="0" t="n">
        <v>510</v>
      </c>
      <c r="E18" s="0" t="n">
        <v>371</v>
      </c>
      <c r="F18" s="0" t="n">
        <f aca="false">Tabla351081315327[[#This Row],[no_efec_cor]]+Tabla351081315327[[#This Row],[efec_cor]]</f>
        <v>919</v>
      </c>
      <c r="G18" s="0" t="n">
        <f aca="false">Tabla351081315327[[#This Row],[no_efec_inc]]+Tabla351081315327[[#This Row],[efect_inc]]</f>
        <v>854</v>
      </c>
      <c r="H18" s="9" t="n">
        <f aca="false">Tabla351081315327[[#This Row],[Correctos]]/Tabla351081315327[[#This Row],[total_sec]]</f>
        <v>0.518330513254371</v>
      </c>
      <c r="I18" s="9" t="n">
        <f aca="false">Tabla351081315327[[#This Row],[efec_cor]]/Tabla351081315327[[#This Row],[efec]]</f>
        <v>0.5788876276958</v>
      </c>
      <c r="J18" s="9" t="n">
        <f aca="false">Tabla351081315327[[#This Row],[efect_inc]]/Tabla351081315327[[#This Row],[efec]]</f>
        <v>0.4211123723042</v>
      </c>
      <c r="K18" s="9" t="n">
        <f aca="false">Tabla351081315327[[#This Row],[no_efec_cor]]/Tabla351081315327[[#This Row],[no_efe]]</f>
        <v>0.458520179372197</v>
      </c>
      <c r="L18" s="9" t="n">
        <f aca="false">Tabla351081315327[[#This Row],[no_efec_inc]]/Tabla351081315327[[#This Row],[no_efe]]</f>
        <v>0.541479820627803</v>
      </c>
      <c r="M18" s="9" t="n">
        <f aca="false">(Tabla351081315327[[#This Row],[% efe_cor]]+Tabla351081315327[[#This Row],[% no_efe_cor]])/2</f>
        <v>0.518703903533999</v>
      </c>
      <c r="N18" s="10" t="n">
        <f aca="false">(Tabla351081315327[[#This Row],[% efe_inc]]+Tabla351081315327[[#This Row],[% no_efect_inc]])/2</f>
        <v>0.481296096466001</v>
      </c>
      <c r="O18" s="11" t="n">
        <f aca="false">Tabla351081315327[[#This Row],[no_efec_cor]]/(Tabla351081315327[[#This Row],[efect_inc]]+Tabla351081315327[[#This Row],[no_efec_cor]])</f>
        <v>0.524358974358974</v>
      </c>
      <c r="P18" s="11" t="n">
        <f aca="false">Tabla351081315327[[#This Row],[efec_cor]]/(Tabla351081315327[[#This Row],[efec_cor]]+Tabla351081315327[[#This Row],[no_efec_inc]])</f>
        <v>0.513595166163142</v>
      </c>
      <c r="Q18" s="11" t="n">
        <f aca="false">(Tabla351081315327[[#This Row],[PNE]]+Tabla351081315327[[#This Row],[PE]])/2</f>
        <v>0.518977070261058</v>
      </c>
      <c r="R18" s="0" t="n">
        <v>881</v>
      </c>
      <c r="S18" s="0" t="n">
        <v>892</v>
      </c>
      <c r="T18" s="0" t="n">
        <f aca="false">Tabla351081315327[[#This Row],[efec]]+Tabla351081315327[[#This Row],[no_efe]]</f>
        <v>1773</v>
      </c>
    </row>
    <row r="20" customFormat="false" ht="19.5" hidden="false" customHeight="false" outlineLevel="0" collapsed="false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4" customFormat="false" ht="15.75" hidden="false" customHeight="false" outlineLevel="0" collapsed="false">
      <c r="A24" s="5" t="s">
        <v>5</v>
      </c>
      <c r="B24" s="5"/>
      <c r="C24" s="5"/>
      <c r="D24" s="5"/>
      <c r="E24" s="5"/>
      <c r="F24" s="5"/>
      <c r="G24" s="5"/>
      <c r="H24" s="5"/>
      <c r="I24" s="5"/>
    </row>
    <row r="25" customFormat="false" ht="15.75" hidden="false" customHeight="false" outlineLevel="0" collapsed="false">
      <c r="A25" s="7" t="s">
        <v>27</v>
      </c>
      <c r="B25" s="7" t="s">
        <v>28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7" t="s">
        <v>13</v>
      </c>
      <c r="J25" s="7" t="s">
        <v>14</v>
      </c>
      <c r="K25" s="7" t="s">
        <v>15</v>
      </c>
      <c r="L25" s="7" t="s">
        <v>16</v>
      </c>
      <c r="M25" s="7" t="s">
        <v>17</v>
      </c>
      <c r="N25" s="7" t="s">
        <v>18</v>
      </c>
      <c r="O25" s="7" t="s">
        <v>19</v>
      </c>
      <c r="P25" s="7" t="s">
        <v>20</v>
      </c>
      <c r="Q25" s="7" t="s">
        <v>21</v>
      </c>
      <c r="R25" s="7" t="s">
        <v>22</v>
      </c>
      <c r="S25" s="7" t="s">
        <v>23</v>
      </c>
      <c r="T25" s="7" t="s">
        <v>24</v>
      </c>
      <c r="U25" s="7" t="s">
        <v>25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503</v>
      </c>
      <c r="D26" s="0" t="n">
        <v>389</v>
      </c>
      <c r="E26" s="0" t="n">
        <v>450</v>
      </c>
      <c r="F26" s="0" t="n">
        <v>431</v>
      </c>
      <c r="G26" s="0" t="n">
        <f aca="false">Tabla3510813153424[[#This Row],[no_efec_cor]]+Tabla3510813153424[[#This Row],[efec_cor]]</f>
        <v>953</v>
      </c>
      <c r="H26" s="0" t="n">
        <f aca="false">Tabla3510813153424[[#This Row],[no_efec_inc]]+Tabla3510813153424[[#This Row],[efect_inc]]</f>
        <v>820</v>
      </c>
      <c r="I26" s="9" t="n">
        <f aca="false">Tabla3510813153424[[#This Row],[Correctos]]/Tabla3510813153424[[#This Row],[total_sec]]</f>
        <v>0.537507050197406</v>
      </c>
      <c r="J26" s="9" t="n">
        <f aca="false">Tabla3510813153424[[#This Row],[efec_cor]]/Tabla3510813153424[[#This Row],[efec]]</f>
        <v>0.510783200908059</v>
      </c>
      <c r="K26" s="9" t="n">
        <f aca="false">Tabla3510813153424[[#This Row],[efect_inc]]/Tabla3510813153424[[#This Row],[efec]]</f>
        <v>0.489216799091941</v>
      </c>
      <c r="L26" s="9" t="n">
        <f aca="false">Tabla3510813153424[[#This Row],[no_efec_cor]]/Tabla3510813153424[[#This Row],[no_efe]]</f>
        <v>0.56390134529148</v>
      </c>
      <c r="M26" s="9" t="n">
        <f aca="false">Tabla3510813153424[[#This Row],[no_efec_inc]]/Tabla3510813153424[[#This Row],[no_efe]]</f>
        <v>0.43609865470852</v>
      </c>
      <c r="N26" s="9" t="n">
        <f aca="false">(Tabla3510813153424[[#This Row],[% efe_cor]]+Tabla3510813153424[[#This Row],[% no_efe_cor]])/2</f>
        <v>0.537342273099769</v>
      </c>
      <c r="O26" s="10" t="n">
        <f aca="false">(Tabla3510813153424[[#This Row],[% efe_inc]]+Tabla3510813153424[[#This Row],[% no_efect_inc]])/2</f>
        <v>0.462657726900231</v>
      </c>
      <c r="P26" s="11" t="n">
        <f aca="false">Tabla3510813153424[[#This Row],[no_efec_cor]]/(Tabla3510813153424[[#This Row],[efect_inc]]+Tabla3510813153424[[#This Row],[no_efec_cor]])</f>
        <v>0.538543897216274</v>
      </c>
      <c r="Q26" s="11" t="n">
        <f aca="false">Tabla3510813153424[[#This Row],[efec_cor]]/(Tabla3510813153424[[#This Row],[efec_cor]]+Tabla3510813153424[[#This Row],[no_efec_inc]])</f>
        <v>0.536352800953516</v>
      </c>
      <c r="R26" s="11" t="n">
        <f aca="false">(Tabla3510813153424[[#This Row],[PNE]]+Tabla3510813153424[[#This Row],[PE]])/2</f>
        <v>0.537448349084895</v>
      </c>
      <c r="S26" s="0" t="n">
        <v>881</v>
      </c>
      <c r="T26" s="0" t="n">
        <v>892</v>
      </c>
      <c r="U26" s="0" t="n">
        <f aca="false">Tabla3510813153424[[#This Row],[efec]]+Tabla3510813153424[[#This Row],[no_efe]]</f>
        <v>1773</v>
      </c>
    </row>
    <row r="27" customFormat="false" ht="13.8" hidden="false" customHeight="false" outlineLevel="0" collapsed="false">
      <c r="A27" s="0" t="n">
        <v>1</v>
      </c>
      <c r="B27" s="0" t="n">
        <v>0.1</v>
      </c>
      <c r="C27" s="0" t="n">
        <v>460</v>
      </c>
      <c r="D27" s="0" t="n">
        <v>432</v>
      </c>
      <c r="E27" s="0" t="n">
        <v>482</v>
      </c>
      <c r="F27" s="0" t="n">
        <v>399</v>
      </c>
      <c r="G27" s="0" t="n">
        <f aca="false">Tabla3510813153424[[#This Row],[no_efec_cor]]+Tabla3510813153424[[#This Row],[efec_cor]]</f>
        <v>942</v>
      </c>
      <c r="H27" s="0" t="n">
        <f aca="false">Tabla3510813153424[[#This Row],[no_efec_inc]]+Tabla3510813153424[[#This Row],[efect_inc]]</f>
        <v>831</v>
      </c>
      <c r="I27" s="9" t="n">
        <f aca="false">Tabla3510813153424[[#This Row],[Correctos]]/Tabla3510813153424[[#This Row],[total_sec]]</f>
        <v>0.531302876480541</v>
      </c>
      <c r="J27" s="9" t="n">
        <f aca="false">Tabla3510813153424[[#This Row],[efec_cor]]/Tabla3510813153424[[#This Row],[efec]]</f>
        <v>0.547105561861521</v>
      </c>
      <c r="K27" s="9" t="n">
        <f aca="false">Tabla3510813153424[[#This Row],[efect_inc]]/Tabla3510813153424[[#This Row],[efec]]</f>
        <v>0.452894438138479</v>
      </c>
      <c r="L27" s="9" t="n">
        <f aca="false">Tabla3510813153424[[#This Row],[no_efec_cor]]/Tabla3510813153424[[#This Row],[no_efe]]</f>
        <v>0.515695067264574</v>
      </c>
      <c r="M27" s="9" t="n">
        <f aca="false">Tabla3510813153424[[#This Row],[no_efec_inc]]/Tabla3510813153424[[#This Row],[no_efe]]</f>
        <v>0.484304932735426</v>
      </c>
      <c r="N27" s="9" t="n">
        <f aca="false">(Tabla3510813153424[[#This Row],[% efe_cor]]+Tabla3510813153424[[#This Row],[% no_efe_cor]])/2</f>
        <v>0.531400314563047</v>
      </c>
      <c r="O27" s="10" t="n">
        <f aca="false">(Tabla3510813153424[[#This Row],[% efe_inc]]+Tabla3510813153424[[#This Row],[% no_efect_inc]])/2</f>
        <v>0.468599685436953</v>
      </c>
      <c r="P27" s="11" t="n">
        <f aca="false">Tabla3510813153424[[#This Row],[no_efec_cor]]/(Tabla3510813153424[[#This Row],[efect_inc]]+Tabla3510813153424[[#This Row],[no_efec_cor]])</f>
        <v>0.535506402793946</v>
      </c>
      <c r="Q27" s="11" t="n">
        <f aca="false">Tabla3510813153424[[#This Row],[efec_cor]]/(Tabla3510813153424[[#This Row],[efec_cor]]+Tabla3510813153424[[#This Row],[no_efec_inc]])</f>
        <v>0.527352297592998</v>
      </c>
      <c r="R27" s="11" t="n">
        <f aca="false">(Tabla3510813153424[[#This Row],[PNE]]+Tabla3510813153424[[#This Row],[PE]])/2</f>
        <v>0.531429350193472</v>
      </c>
      <c r="S27" s="0" t="n">
        <v>881</v>
      </c>
      <c r="T27" s="0" t="n">
        <v>892</v>
      </c>
      <c r="U27" s="0" t="n">
        <f aca="false">Tabla3510813153424[[#This Row],[efec]]+Tabla3510813153424[[#This Row],[no_efe]]</f>
        <v>1773</v>
      </c>
    </row>
    <row r="28" customFormat="false" ht="13.8" hidden="false" customHeight="false" outlineLevel="0" collapsed="false">
      <c r="A28" s="0" t="n">
        <v>1</v>
      </c>
      <c r="B28" s="0" t="n">
        <v>0.5</v>
      </c>
      <c r="C28" s="0" t="n">
        <v>454</v>
      </c>
      <c r="D28" s="0" t="n">
        <v>438</v>
      </c>
      <c r="E28" s="0" t="n">
        <v>482</v>
      </c>
      <c r="F28" s="0" t="n">
        <v>399</v>
      </c>
      <c r="G28" s="0" t="n">
        <f aca="false">Tabla3510813153424[[#This Row],[no_efec_cor]]+Tabla3510813153424[[#This Row],[efec_cor]]</f>
        <v>936</v>
      </c>
      <c r="H28" s="0" t="n">
        <f aca="false">Tabla3510813153424[[#This Row],[no_efec_inc]]+Tabla3510813153424[[#This Row],[efect_inc]]</f>
        <v>837</v>
      </c>
      <c r="I28" s="9" t="n">
        <f aca="false">Tabla3510813153424[[#This Row],[Correctos]]/Tabla3510813153424[[#This Row],[total_sec]]</f>
        <v>0.527918781725888</v>
      </c>
      <c r="J28" s="9" t="n">
        <f aca="false">Tabla3510813153424[[#This Row],[efec_cor]]/Tabla3510813153424[[#This Row],[efec]]</f>
        <v>0.547105561861521</v>
      </c>
      <c r="K28" s="9" t="n">
        <f aca="false">Tabla3510813153424[[#This Row],[efect_inc]]/Tabla3510813153424[[#This Row],[efec]]</f>
        <v>0.452894438138479</v>
      </c>
      <c r="L28" s="9" t="n">
        <f aca="false">Tabla3510813153424[[#This Row],[no_efec_cor]]/Tabla3510813153424[[#This Row],[no_efe]]</f>
        <v>0.508968609865471</v>
      </c>
      <c r="M28" s="9" t="n">
        <f aca="false">Tabla3510813153424[[#This Row],[no_efec_inc]]/Tabla3510813153424[[#This Row],[no_efe]]</f>
        <v>0.491031390134529</v>
      </c>
      <c r="N28" s="9" t="n">
        <f aca="false">(Tabla3510813153424[[#This Row],[% efe_cor]]+Tabla3510813153424[[#This Row],[% no_efe_cor]])/2</f>
        <v>0.528037085863496</v>
      </c>
      <c r="O28" s="10" t="n">
        <f aca="false">(Tabla3510813153424[[#This Row],[% efe_inc]]+Tabla3510813153424[[#This Row],[% no_efect_inc]])/2</f>
        <v>0.471962914136504</v>
      </c>
      <c r="P28" s="11" t="n">
        <f aca="false">Tabla3510813153424[[#This Row],[no_efec_cor]]/(Tabla3510813153424[[#This Row],[efect_inc]]+Tabla3510813153424[[#This Row],[no_efec_cor]])</f>
        <v>0.532239155920281</v>
      </c>
      <c r="Q28" s="11" t="n">
        <f aca="false">Tabla3510813153424[[#This Row],[efec_cor]]/(Tabla3510813153424[[#This Row],[efec_cor]]+Tabla3510813153424[[#This Row],[no_efec_inc]])</f>
        <v>0.523913043478261</v>
      </c>
      <c r="R28" s="11" t="n">
        <f aca="false">(Tabla3510813153424[[#This Row],[PNE]]+Tabla3510813153424[[#This Row],[PE]])/2</f>
        <v>0.528076099699271</v>
      </c>
      <c r="S28" s="0" t="n">
        <v>881</v>
      </c>
      <c r="T28" s="0" t="n">
        <v>892</v>
      </c>
      <c r="U28" s="0" t="n">
        <f aca="false">Tabla3510813153424[[#This Row],[efec]]+Tabla3510813153424[[#This Row],[no_efe]]</f>
        <v>1773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497</v>
      </c>
      <c r="D29" s="0" t="n">
        <v>395</v>
      </c>
      <c r="E29" s="0" t="n">
        <v>453</v>
      </c>
      <c r="F29" s="0" t="n">
        <v>428</v>
      </c>
      <c r="G29" s="0" t="n">
        <f aca="false">Tabla3510813153424[[#This Row],[no_efec_cor]]+Tabla3510813153424[[#This Row],[efec_cor]]</f>
        <v>950</v>
      </c>
      <c r="H29" s="0" t="n">
        <f aca="false">Tabla3510813153424[[#This Row],[no_efec_inc]]+Tabla3510813153424[[#This Row],[efect_inc]]</f>
        <v>823</v>
      </c>
      <c r="I29" s="9" t="n">
        <f aca="false">Tabla3510813153424[[#This Row],[Correctos]]/Tabla3510813153424[[#This Row],[total_sec]]</f>
        <v>0.535815002820079</v>
      </c>
      <c r="J29" s="9" t="n">
        <f aca="false">Tabla3510813153424[[#This Row],[efec_cor]]/Tabla3510813153424[[#This Row],[efec]]</f>
        <v>0.514188422247446</v>
      </c>
      <c r="K29" s="9" t="n">
        <f aca="false">Tabla3510813153424[[#This Row],[efect_inc]]/Tabla3510813153424[[#This Row],[efec]]</f>
        <v>0.485811577752554</v>
      </c>
      <c r="L29" s="9" t="n">
        <f aca="false">Tabla3510813153424[[#This Row],[no_efec_cor]]/Tabla3510813153424[[#This Row],[no_efe]]</f>
        <v>0.557174887892377</v>
      </c>
      <c r="M29" s="9" t="n">
        <f aca="false">Tabla3510813153424[[#This Row],[no_efec_inc]]/Tabla3510813153424[[#This Row],[no_efe]]</f>
        <v>0.442825112107623</v>
      </c>
      <c r="N29" s="9" t="n">
        <f aca="false">(Tabla3510813153424[[#This Row],[% efe_cor]]+Tabla3510813153424[[#This Row],[% no_efe_cor]])/2</f>
        <v>0.535681655069911</v>
      </c>
      <c r="O29" s="10" t="n">
        <f aca="false">(Tabla3510813153424[[#This Row],[% efe_inc]]+Tabla3510813153424[[#This Row],[% no_efect_inc]])/2</f>
        <v>0.464318344930089</v>
      </c>
      <c r="P29" s="11" t="n">
        <f aca="false">Tabla3510813153424[[#This Row],[no_efec_cor]]/(Tabla3510813153424[[#This Row],[efect_inc]]+Tabla3510813153424[[#This Row],[no_efec_cor]])</f>
        <v>0.537297297297297</v>
      </c>
      <c r="Q29" s="11" t="n">
        <f aca="false">Tabla3510813153424[[#This Row],[efec_cor]]/(Tabla3510813153424[[#This Row],[efec_cor]]+Tabla3510813153424[[#This Row],[no_efec_inc]])</f>
        <v>0.534198113207547</v>
      </c>
      <c r="R29" s="11" t="n">
        <f aca="false">(Tabla3510813153424[[#This Row],[PNE]]+Tabla3510813153424[[#This Row],[PE]])/2</f>
        <v>0.535747705252422</v>
      </c>
      <c r="S29" s="0" t="n">
        <v>881</v>
      </c>
      <c r="T29" s="0" t="n">
        <v>892</v>
      </c>
      <c r="U29" s="0" t="n">
        <f aca="false">Tabla3510813153424[[#This Row],[efec]]+Tabla3510813153424[[#This Row],[no_efe]]</f>
        <v>1773</v>
      </c>
    </row>
    <row r="30" customFormat="false" ht="13.8" hidden="false" customHeight="false" outlineLevel="0" collapsed="false">
      <c r="A30" s="0" t="n">
        <v>1</v>
      </c>
      <c r="B30" s="0" t="n">
        <v>2</v>
      </c>
      <c r="C30" s="0" t="n">
        <v>534</v>
      </c>
      <c r="D30" s="0" t="n">
        <v>358</v>
      </c>
      <c r="E30" s="0" t="n">
        <v>393</v>
      </c>
      <c r="F30" s="0" t="n">
        <v>488</v>
      </c>
      <c r="G30" s="0" t="n">
        <f aca="false">Tabla3510813153424[[#This Row],[no_efec_cor]]+Tabla3510813153424[[#This Row],[efec_cor]]</f>
        <v>927</v>
      </c>
      <c r="H30" s="0" t="n">
        <f aca="false">Tabla3510813153424[[#This Row],[no_efec_inc]]+Tabla3510813153424[[#This Row],[efect_inc]]</f>
        <v>846</v>
      </c>
      <c r="I30" s="9" t="n">
        <f aca="false">Tabla3510813153424[[#This Row],[Correctos]]/Tabla3510813153424[[#This Row],[total_sec]]</f>
        <v>0.522842639593909</v>
      </c>
      <c r="J30" s="9" t="n">
        <f aca="false">Tabla3510813153424[[#This Row],[efec_cor]]/Tabla3510813153424[[#This Row],[efec]]</f>
        <v>0.446083995459705</v>
      </c>
      <c r="K30" s="9" t="n">
        <f aca="false">Tabla3510813153424[[#This Row],[efect_inc]]/Tabla3510813153424[[#This Row],[efec]]</f>
        <v>0.553916004540295</v>
      </c>
      <c r="L30" s="9" t="n">
        <f aca="false">Tabla3510813153424[[#This Row],[no_efec_cor]]/Tabla3510813153424[[#This Row],[no_efe]]</f>
        <v>0.598654708520179</v>
      </c>
      <c r="M30" s="9" t="n">
        <f aca="false">Tabla3510813153424[[#This Row],[no_efec_inc]]/Tabla3510813153424[[#This Row],[no_efe]]</f>
        <v>0.401345291479821</v>
      </c>
      <c r="N30" s="9" t="n">
        <f aca="false">(Tabla3510813153424[[#This Row],[% efe_cor]]+Tabla3510813153424[[#This Row],[% no_efe_cor]])/2</f>
        <v>0.522369351989942</v>
      </c>
      <c r="O30" s="10" t="n">
        <f aca="false">(Tabla3510813153424[[#This Row],[% efe_inc]]+Tabla3510813153424[[#This Row],[% no_efect_inc]])/2</f>
        <v>0.477630648010058</v>
      </c>
      <c r="P30" s="11" t="n">
        <f aca="false">Tabla3510813153424[[#This Row],[no_efec_cor]]/(Tabla3510813153424[[#This Row],[efect_inc]]+Tabla3510813153424[[#This Row],[no_efec_cor]])</f>
        <v>0.522504892367906</v>
      </c>
      <c r="Q30" s="11" t="n">
        <f aca="false">Tabla3510813153424[[#This Row],[efec_cor]]/(Tabla3510813153424[[#This Row],[efec_cor]]+Tabla3510813153424[[#This Row],[no_efec_inc]])</f>
        <v>0.523302263648469</v>
      </c>
      <c r="R30" s="11" t="n">
        <f aca="false">(Tabla3510813153424[[#This Row],[PNE]]+Tabla3510813153424[[#This Row],[PE]])/2</f>
        <v>0.522903578008187</v>
      </c>
      <c r="S30" s="0" t="n">
        <v>881</v>
      </c>
      <c r="T30" s="0" t="n">
        <v>892</v>
      </c>
      <c r="U30" s="0" t="n">
        <f aca="false">Tabla3510813153424[[#This Row],[efec]]+Tabla3510813153424[[#This Row],[no_efe]]</f>
        <v>1773</v>
      </c>
    </row>
    <row r="31" customFormat="false" ht="13.8" hidden="false" customHeight="false" outlineLevel="0" collapsed="false">
      <c r="A31" s="0" t="n">
        <v>1</v>
      </c>
      <c r="B31" s="0" t="n">
        <v>3</v>
      </c>
      <c r="C31" s="0" t="n">
        <v>578</v>
      </c>
      <c r="D31" s="0" t="n">
        <v>314</v>
      </c>
      <c r="E31" s="0" t="n">
        <v>343</v>
      </c>
      <c r="F31" s="0" t="n">
        <v>538</v>
      </c>
      <c r="G31" s="0" t="n">
        <f aca="false">Tabla3510813153424[[#This Row],[no_efec_cor]]+Tabla3510813153424[[#This Row],[efec_cor]]</f>
        <v>921</v>
      </c>
      <c r="H31" s="0" t="n">
        <f aca="false">Tabla3510813153424[[#This Row],[no_efec_inc]]+Tabla3510813153424[[#This Row],[efect_inc]]</f>
        <v>852</v>
      </c>
      <c r="I31" s="9" t="n">
        <f aca="false">Tabla3510813153424[[#This Row],[Correctos]]/Tabla3510813153424[[#This Row],[total_sec]]</f>
        <v>0.519458544839255</v>
      </c>
      <c r="J31" s="9" t="n">
        <f aca="false">Tabla3510813153424[[#This Row],[efec_cor]]/Tabla3510813153424[[#This Row],[efec]]</f>
        <v>0.389330306469921</v>
      </c>
      <c r="K31" s="9" t="n">
        <f aca="false">Tabla3510813153424[[#This Row],[efect_inc]]/Tabla3510813153424[[#This Row],[efec]]</f>
        <v>0.610669693530079</v>
      </c>
      <c r="L31" s="9" t="n">
        <f aca="false">Tabla3510813153424[[#This Row],[no_efec_cor]]/Tabla3510813153424[[#This Row],[no_efe]]</f>
        <v>0.647982062780269</v>
      </c>
      <c r="M31" s="9" t="n">
        <f aca="false">Tabla3510813153424[[#This Row],[no_efec_inc]]/Tabla3510813153424[[#This Row],[no_efe]]</f>
        <v>0.352017937219731</v>
      </c>
      <c r="N31" s="9" t="n">
        <f aca="false">(Tabla3510813153424[[#This Row],[% efe_cor]]+Tabla3510813153424[[#This Row],[% no_efe_cor]])/2</f>
        <v>0.518656184625095</v>
      </c>
      <c r="O31" s="10" t="n">
        <f aca="false">(Tabla3510813153424[[#This Row],[% efe_inc]]+Tabla3510813153424[[#This Row],[% no_efect_inc]])/2</f>
        <v>0.481343815374905</v>
      </c>
      <c r="P31" s="11" t="n">
        <f aca="false">Tabla3510813153424[[#This Row],[no_efec_cor]]/(Tabla3510813153424[[#This Row],[efect_inc]]+Tabla3510813153424[[#This Row],[no_efec_cor]])</f>
        <v>0.517921146953405</v>
      </c>
      <c r="Q31" s="11" t="n">
        <f aca="false">Tabla3510813153424[[#This Row],[efec_cor]]/(Tabla3510813153424[[#This Row],[efec_cor]]+Tabla3510813153424[[#This Row],[no_efec_inc]])</f>
        <v>0.5220700152207</v>
      </c>
      <c r="R31" s="11" t="n">
        <f aca="false">(Tabla3510813153424[[#This Row],[PNE]]+Tabla3510813153424[[#This Row],[PE]])/2</f>
        <v>0.519995581087053</v>
      </c>
      <c r="S31" s="0" t="n">
        <v>881</v>
      </c>
      <c r="T31" s="0" t="n">
        <v>892</v>
      </c>
      <c r="U31" s="0" t="n">
        <f aca="false">Tabla3510813153424[[#This Row],[efec]]+Tabla3510813153424[[#This Row],[no_efe]]</f>
        <v>1773</v>
      </c>
    </row>
    <row r="32" customFormat="false" ht="13.8" hidden="false" customHeight="false" outlineLevel="0" collapsed="false">
      <c r="A32" s="0" t="n">
        <v>1</v>
      </c>
      <c r="B32" s="0" t="n">
        <v>5</v>
      </c>
      <c r="C32" s="0" t="n">
        <v>643</v>
      </c>
      <c r="D32" s="0" t="n">
        <v>249</v>
      </c>
      <c r="E32" s="0" t="n">
        <v>277</v>
      </c>
      <c r="F32" s="0" t="n">
        <v>604</v>
      </c>
      <c r="G32" s="0" t="n">
        <f aca="false">Tabla3510813153424[[#This Row],[no_efec_cor]]+Tabla3510813153424[[#This Row],[efec_cor]]</f>
        <v>920</v>
      </c>
      <c r="H32" s="0" t="n">
        <f aca="false">Tabla3510813153424[[#This Row],[no_efec_inc]]+Tabla3510813153424[[#This Row],[efect_inc]]</f>
        <v>853</v>
      </c>
      <c r="I32" s="9" t="n">
        <f aca="false">Tabla3510813153424[[#This Row],[Correctos]]/Tabla3510813153424[[#This Row],[total_sec]]</f>
        <v>0.518894529046813</v>
      </c>
      <c r="J32" s="9" t="n">
        <f aca="false">Tabla3510813153424[[#This Row],[efec_cor]]/Tabla3510813153424[[#This Row],[efec]]</f>
        <v>0.314415437003405</v>
      </c>
      <c r="K32" s="9" t="n">
        <f aca="false">Tabla3510813153424[[#This Row],[efect_inc]]/Tabla3510813153424[[#This Row],[efec]]</f>
        <v>0.685584562996595</v>
      </c>
      <c r="L32" s="9" t="n">
        <f aca="false">Tabla3510813153424[[#This Row],[no_efec_cor]]/Tabla3510813153424[[#This Row],[no_efe]]</f>
        <v>0.72085201793722</v>
      </c>
      <c r="M32" s="9" t="n">
        <f aca="false">Tabla3510813153424[[#This Row],[no_efec_inc]]/Tabla3510813153424[[#This Row],[no_efe]]</f>
        <v>0.27914798206278</v>
      </c>
      <c r="N32" s="9" t="n">
        <f aca="false">(Tabla3510813153424[[#This Row],[% efe_cor]]+Tabla3510813153424[[#This Row],[% no_efe_cor]])/2</f>
        <v>0.517633727470312</v>
      </c>
      <c r="O32" s="10" t="n">
        <f aca="false">(Tabla3510813153424[[#This Row],[% efe_inc]]+Tabla3510813153424[[#This Row],[% no_efect_inc]])/2</f>
        <v>0.482366272529688</v>
      </c>
      <c r="P32" s="11" t="n">
        <f aca="false">Tabla3510813153424[[#This Row],[no_efec_cor]]/(Tabla3510813153424[[#This Row],[efect_inc]]+Tabla3510813153424[[#This Row],[no_efec_cor]])</f>
        <v>0.515637530072173</v>
      </c>
      <c r="Q32" s="11" t="n">
        <f aca="false">Tabla3510813153424[[#This Row],[efec_cor]]/(Tabla3510813153424[[#This Row],[efec_cor]]+Tabla3510813153424[[#This Row],[no_efec_inc]])</f>
        <v>0.526615969581749</v>
      </c>
      <c r="R32" s="11" t="n">
        <f aca="false">(Tabla3510813153424[[#This Row],[PNE]]+Tabla3510813153424[[#This Row],[PE]])/2</f>
        <v>0.521126749826961</v>
      </c>
      <c r="S32" s="0" t="n">
        <v>881</v>
      </c>
      <c r="T32" s="0" t="n">
        <v>892</v>
      </c>
      <c r="U32" s="0" t="n">
        <f aca="false">Tabla3510813153424[[#This Row],[efec]]+Tabla3510813153424[[#This Row],[no_efe]]</f>
        <v>1773</v>
      </c>
    </row>
    <row r="33" customFormat="false" ht="13.8" hidden="false" customHeight="false" outlineLevel="0" collapsed="false">
      <c r="A33" s="0" t="n">
        <v>2</v>
      </c>
      <c r="B33" s="0" t="n">
        <v>0.5</v>
      </c>
      <c r="C33" s="0" t="n">
        <v>445</v>
      </c>
      <c r="D33" s="0" t="n">
        <v>447</v>
      </c>
      <c r="E33" s="0" t="n">
        <v>488</v>
      </c>
      <c r="F33" s="0" t="n">
        <v>393</v>
      </c>
      <c r="G33" s="0" t="n">
        <f aca="false">Tabla3510813153424[[#This Row],[no_efec_cor]]+Tabla3510813153424[[#This Row],[efec_cor]]</f>
        <v>933</v>
      </c>
      <c r="H33" s="0" t="n">
        <f aca="false">Tabla3510813153424[[#This Row],[no_efec_inc]]+Tabla3510813153424[[#This Row],[efect_inc]]</f>
        <v>840</v>
      </c>
      <c r="I33" s="9" t="n">
        <f aca="false">Tabla3510813153424[[#This Row],[Correctos]]/Tabla3510813153424[[#This Row],[total_sec]]</f>
        <v>0.526226734348562</v>
      </c>
      <c r="J33" s="9" t="n">
        <f aca="false">Tabla3510813153424[[#This Row],[efec_cor]]/Tabla3510813153424[[#This Row],[efec]]</f>
        <v>0.553916004540295</v>
      </c>
      <c r="K33" s="9" t="n">
        <f aca="false">Tabla3510813153424[[#This Row],[efect_inc]]/Tabla3510813153424[[#This Row],[efec]]</f>
        <v>0.446083995459705</v>
      </c>
      <c r="L33" s="9" t="n">
        <f aca="false">Tabla3510813153424[[#This Row],[no_efec_cor]]/Tabla3510813153424[[#This Row],[no_efe]]</f>
        <v>0.498878923766816</v>
      </c>
      <c r="M33" s="9" t="n">
        <f aca="false">Tabla3510813153424[[#This Row],[no_efec_inc]]/Tabla3510813153424[[#This Row],[no_efe]]</f>
        <v>0.501121076233184</v>
      </c>
      <c r="N33" s="9" t="n">
        <f aca="false">(Tabla3510813153424[[#This Row],[% efe_cor]]+Tabla3510813153424[[#This Row],[% no_efe_cor]])/2</f>
        <v>0.526397464153556</v>
      </c>
      <c r="O33" s="10" t="n">
        <f aca="false">(Tabla3510813153424[[#This Row],[% efe_inc]]+Tabla3510813153424[[#This Row],[% no_efect_inc]])/2</f>
        <v>0.473602535846444</v>
      </c>
      <c r="P33" s="11" t="n">
        <f aca="false">Tabla3510813153424[[#This Row],[no_efec_cor]]/(Tabla3510813153424[[#This Row],[efect_inc]]+Tabla3510813153424[[#This Row],[no_efec_cor]])</f>
        <v>0.531026252983294</v>
      </c>
      <c r="Q33" s="11" t="n">
        <f aca="false">Tabla3510813153424[[#This Row],[efec_cor]]/(Tabla3510813153424[[#This Row],[efec_cor]]+Tabla3510813153424[[#This Row],[no_efec_inc]])</f>
        <v>0.52192513368984</v>
      </c>
      <c r="R33" s="11" t="n">
        <f aca="false">(Tabla3510813153424[[#This Row],[PNE]]+Tabla3510813153424[[#This Row],[PE]])/2</f>
        <v>0.526475693336567</v>
      </c>
      <c r="S33" s="0" t="n">
        <v>881</v>
      </c>
      <c r="T33" s="0" t="n">
        <v>892</v>
      </c>
      <c r="U33" s="0" t="n">
        <f aca="false">Tabla3510813153424[[#This Row],[efec]]+Tabla3510813153424[[#This Row],[no_efe]]</f>
        <v>1773</v>
      </c>
    </row>
    <row r="34" customFormat="false" ht="13.8" hidden="false" customHeight="false" outlineLevel="0" collapsed="false">
      <c r="A34" s="0" t="n">
        <v>3</v>
      </c>
      <c r="B34" s="0" t="n">
        <v>0.5</v>
      </c>
      <c r="C34" s="0" t="n">
        <v>450</v>
      </c>
      <c r="D34" s="0" t="n">
        <v>442</v>
      </c>
      <c r="E34" s="0" t="n">
        <v>483</v>
      </c>
      <c r="F34" s="0" t="n">
        <v>398</v>
      </c>
      <c r="G34" s="0" t="n">
        <f aca="false">Tabla3510813153424[[#This Row],[no_efec_cor]]+Tabla3510813153424[[#This Row],[efec_cor]]</f>
        <v>933</v>
      </c>
      <c r="H34" s="0" t="n">
        <f aca="false">Tabla3510813153424[[#This Row],[no_efec_inc]]+Tabla3510813153424[[#This Row],[efect_inc]]</f>
        <v>840</v>
      </c>
      <c r="I34" s="9" t="n">
        <f aca="false">Tabla3510813153424[[#This Row],[Correctos]]/Tabla3510813153424[[#This Row],[total_sec]]</f>
        <v>0.526226734348562</v>
      </c>
      <c r="J34" s="9" t="n">
        <f aca="false">Tabla3510813153424[[#This Row],[efec_cor]]/Tabla3510813153424[[#This Row],[efec]]</f>
        <v>0.548240635641317</v>
      </c>
      <c r="K34" s="9" t="n">
        <f aca="false">Tabla3510813153424[[#This Row],[efect_inc]]/Tabla3510813153424[[#This Row],[efec]]</f>
        <v>0.451759364358683</v>
      </c>
      <c r="L34" s="9" t="n">
        <f aca="false">Tabla3510813153424[[#This Row],[no_efec_cor]]/Tabla3510813153424[[#This Row],[no_efe]]</f>
        <v>0.504484304932735</v>
      </c>
      <c r="M34" s="9" t="n">
        <f aca="false">Tabla3510813153424[[#This Row],[no_efec_inc]]/Tabla3510813153424[[#This Row],[no_efe]]</f>
        <v>0.495515695067265</v>
      </c>
      <c r="N34" s="9" t="n">
        <f aca="false">(Tabla3510813153424[[#This Row],[% efe_cor]]+Tabla3510813153424[[#This Row],[% no_efe_cor]])/2</f>
        <v>0.526362470287026</v>
      </c>
      <c r="O34" s="10" t="n">
        <f aca="false">(Tabla3510813153424[[#This Row],[% efe_inc]]+Tabla3510813153424[[#This Row],[% no_efect_inc]])/2</f>
        <v>0.473637529712974</v>
      </c>
      <c r="P34" s="11" t="n">
        <f aca="false">Tabla3510813153424[[#This Row],[no_efec_cor]]/(Tabla3510813153424[[#This Row],[efect_inc]]+Tabla3510813153424[[#This Row],[no_efec_cor]])</f>
        <v>0.530660377358491</v>
      </c>
      <c r="Q34" s="11" t="n">
        <f aca="false">Tabla3510813153424[[#This Row],[efec_cor]]/(Tabla3510813153424[[#This Row],[efec_cor]]+Tabla3510813153424[[#This Row],[no_efec_inc]])</f>
        <v>0.522162162162162</v>
      </c>
      <c r="R34" s="11" t="n">
        <f aca="false">(Tabla3510813153424[[#This Row],[PNE]]+Tabla3510813153424[[#This Row],[PE]])/2</f>
        <v>0.526411269760326</v>
      </c>
      <c r="S34" s="0" t="n">
        <v>881</v>
      </c>
      <c r="T34" s="0" t="n">
        <v>892</v>
      </c>
      <c r="U34" s="0" t="n">
        <f aca="false">Tabla3510813153424[[#This Row],[efec]]+Tabla3510813153424[[#This Row],[no_efe]]</f>
        <v>1773</v>
      </c>
    </row>
    <row r="35" customFormat="false" ht="13.8" hidden="false" customHeight="false" outlineLevel="0" collapsed="false">
      <c r="A35" s="0" t="n">
        <v>5</v>
      </c>
      <c r="B35" s="0" t="n">
        <v>0.5</v>
      </c>
      <c r="C35" s="0" t="n">
        <v>453</v>
      </c>
      <c r="D35" s="0" t="n">
        <v>439</v>
      </c>
      <c r="E35" s="0" t="n">
        <v>463</v>
      </c>
      <c r="F35" s="0" t="n">
        <v>418</v>
      </c>
      <c r="G35" s="0" t="n">
        <f aca="false">Tabla3510813153424[[#This Row],[no_efec_cor]]+Tabla3510813153424[[#This Row],[efec_cor]]</f>
        <v>916</v>
      </c>
      <c r="H35" s="0" t="n">
        <f aca="false">Tabla3510813153424[[#This Row],[no_efec_inc]]+Tabla3510813153424[[#This Row],[efect_inc]]</f>
        <v>857</v>
      </c>
      <c r="I35" s="9" t="n">
        <f aca="false">Tabla3510813153424[[#This Row],[Correctos]]/Tabla3510813153424[[#This Row],[total_sec]]</f>
        <v>0.516638465877045</v>
      </c>
      <c r="J35" s="9" t="n">
        <f aca="false">Tabla3510813153424[[#This Row],[efec_cor]]/Tabla3510813153424[[#This Row],[efec]]</f>
        <v>0.525539160045403</v>
      </c>
      <c r="K35" s="9" t="n">
        <f aca="false">Tabla3510813153424[[#This Row],[efect_inc]]/Tabla3510813153424[[#This Row],[efec]]</f>
        <v>0.474460839954597</v>
      </c>
      <c r="L35" s="9" t="n">
        <f aca="false">Tabla3510813153424[[#This Row],[no_efec_cor]]/Tabla3510813153424[[#This Row],[no_efe]]</f>
        <v>0.507847533632287</v>
      </c>
      <c r="M35" s="9" t="n">
        <f aca="false">Tabla3510813153424[[#This Row],[no_efec_inc]]/Tabla3510813153424[[#This Row],[no_efe]]</f>
        <v>0.492152466367713</v>
      </c>
      <c r="N35" s="9" t="n">
        <f aca="false">(Tabla3510813153424[[#This Row],[% efe_cor]]+Tabla3510813153424[[#This Row],[% no_efe_cor]])/2</f>
        <v>0.516693346838845</v>
      </c>
      <c r="O35" s="10" t="n">
        <f aca="false">(Tabla3510813153424[[#This Row],[% efe_inc]]+Tabla3510813153424[[#This Row],[% no_efect_inc]])/2</f>
        <v>0.483306653161155</v>
      </c>
      <c r="P35" s="11" t="n">
        <f aca="false">Tabla3510813153424[[#This Row],[no_efec_cor]]/(Tabla3510813153424[[#This Row],[efect_inc]]+Tabla3510813153424[[#This Row],[no_efec_cor]])</f>
        <v>0.520091848450057</v>
      </c>
      <c r="Q35" s="11" t="n">
        <f aca="false">Tabla3510813153424[[#This Row],[efec_cor]]/(Tabla3510813153424[[#This Row],[efec_cor]]+Tabla3510813153424[[#This Row],[no_efec_inc]])</f>
        <v>0.51330376940133</v>
      </c>
      <c r="R35" s="11" t="n">
        <f aca="false">(Tabla3510813153424[[#This Row],[PNE]]+Tabla3510813153424[[#This Row],[PE]])/2</f>
        <v>0.516697808925694</v>
      </c>
      <c r="S35" s="0" t="n">
        <v>881</v>
      </c>
      <c r="T35" s="0" t="n">
        <v>892</v>
      </c>
      <c r="U35" s="0" t="n">
        <f aca="false">Tabla3510813153424[[#This Row],[efec]]+Tabla3510813153424[[#This Row],[no_efe]]</f>
        <v>1773</v>
      </c>
    </row>
    <row r="36" customFormat="false" ht="13.8" hidden="false" customHeight="false" outlineLevel="0" collapsed="false">
      <c r="A36" s="0" t="n">
        <v>5</v>
      </c>
      <c r="B36" s="0" t="n">
        <v>1</v>
      </c>
      <c r="C36" s="0" t="n">
        <v>474</v>
      </c>
      <c r="D36" s="0" t="n">
        <v>418</v>
      </c>
      <c r="E36" s="0" t="n">
        <v>438</v>
      </c>
      <c r="F36" s="0" t="n">
        <v>443</v>
      </c>
      <c r="G36" s="0" t="n">
        <f aca="false">Tabla3510813153424[[#This Row],[no_efec_cor]]+Tabla3510813153424[[#This Row],[efec_cor]]</f>
        <v>912</v>
      </c>
      <c r="H36" s="0" t="n">
        <f aca="false">Tabla3510813153424[[#This Row],[no_efec_inc]]+Tabla3510813153424[[#This Row],[efect_inc]]</f>
        <v>861</v>
      </c>
      <c r="I36" s="9" t="n">
        <f aca="false">Tabla3510813153424[[#This Row],[Correctos]]/Tabla3510813153424[[#This Row],[total_sec]]</f>
        <v>0.514382402707276</v>
      </c>
      <c r="J36" s="9" t="n">
        <f aca="false">Tabla3510813153424[[#This Row],[efec_cor]]/Tabla3510813153424[[#This Row],[efec]]</f>
        <v>0.497162315550511</v>
      </c>
      <c r="K36" s="9" t="n">
        <f aca="false">Tabla3510813153424[[#This Row],[efect_inc]]/Tabla3510813153424[[#This Row],[efec]]</f>
        <v>0.502837684449489</v>
      </c>
      <c r="L36" s="9" t="n">
        <f aca="false">Tabla3510813153424[[#This Row],[no_efec_cor]]/Tabla3510813153424[[#This Row],[no_efe]]</f>
        <v>0.531390134529148</v>
      </c>
      <c r="M36" s="9" t="n">
        <f aca="false">Tabla3510813153424[[#This Row],[no_efec_inc]]/Tabla3510813153424[[#This Row],[no_efe]]</f>
        <v>0.468609865470852</v>
      </c>
      <c r="N36" s="9" t="n">
        <f aca="false">(Tabla3510813153424[[#This Row],[% efe_cor]]+Tabla3510813153424[[#This Row],[% no_efe_cor]])/2</f>
        <v>0.514276225039829</v>
      </c>
      <c r="O36" s="10" t="n">
        <f aca="false">(Tabla3510813153424[[#This Row],[% efe_inc]]+Tabla3510813153424[[#This Row],[% no_efect_inc]])/2</f>
        <v>0.485723774960171</v>
      </c>
      <c r="P36" s="11" t="n">
        <f aca="false">Tabla3510813153424[[#This Row],[no_efec_cor]]/(Tabla3510813153424[[#This Row],[efect_inc]]+Tabla3510813153424[[#This Row],[no_efec_cor]])</f>
        <v>0.51690294438386</v>
      </c>
      <c r="Q36" s="11" t="n">
        <f aca="false">Tabla3510813153424[[#This Row],[efec_cor]]/(Tabla3510813153424[[#This Row],[efec_cor]]+Tabla3510813153424[[#This Row],[no_efec_inc]])</f>
        <v>0.511682242990654</v>
      </c>
      <c r="R36" s="11" t="n">
        <f aca="false">(Tabla3510813153424[[#This Row],[PNE]]+Tabla3510813153424[[#This Row],[PE]])/2</f>
        <v>0.514292593687257</v>
      </c>
      <c r="S36" s="0" t="n">
        <v>881</v>
      </c>
      <c r="T36" s="0" t="n">
        <v>892</v>
      </c>
      <c r="U36" s="0" t="n">
        <f aca="false">Tabla3510813153424[[#This Row],[efec]]+Tabla3510813153424[[#This Row],[no_efe]]</f>
        <v>1773</v>
      </c>
    </row>
    <row r="37" customFormat="false" ht="13.8" hidden="false" customHeight="false" outlineLevel="0" collapsed="false">
      <c r="A37" s="0" t="n">
        <v>0.5</v>
      </c>
      <c r="B37" s="0" t="n">
        <v>1</v>
      </c>
      <c r="C37" s="0" t="n">
        <v>536</v>
      </c>
      <c r="D37" s="0" t="n">
        <v>356</v>
      </c>
      <c r="E37" s="0" t="n">
        <v>411</v>
      </c>
      <c r="F37" s="0" t="n">
        <v>470</v>
      </c>
      <c r="G37" s="0" t="n">
        <f aca="false">Tabla3510813153424[[#This Row],[no_efec_cor]]+Tabla3510813153424[[#This Row],[efec_cor]]</f>
        <v>947</v>
      </c>
      <c r="H37" s="0" t="n">
        <f aca="false">Tabla3510813153424[[#This Row],[no_efec_inc]]+Tabla3510813153424[[#This Row],[efect_inc]]</f>
        <v>826</v>
      </c>
      <c r="I37" s="9" t="n">
        <f aca="false">Tabla3510813153424[[#This Row],[Correctos]]/Tabla3510813153424[[#This Row],[total_sec]]</f>
        <v>0.534122955442752</v>
      </c>
      <c r="J37" s="9" t="n">
        <f aca="false">Tabla3510813153424[[#This Row],[efec_cor]]/Tabla3510813153424[[#This Row],[efec]]</f>
        <v>0.466515323496027</v>
      </c>
      <c r="K37" s="9" t="n">
        <f aca="false">Tabla3510813153424[[#This Row],[efect_inc]]/Tabla3510813153424[[#This Row],[efec]]</f>
        <v>0.533484676503973</v>
      </c>
      <c r="L37" s="9" t="n">
        <f aca="false">Tabla3510813153424[[#This Row],[no_efec_cor]]/Tabla3510813153424[[#This Row],[no_efe]]</f>
        <v>0.600896860986547</v>
      </c>
      <c r="M37" s="9" t="n">
        <f aca="false">Tabla3510813153424[[#This Row],[no_efec_inc]]/Tabla3510813153424[[#This Row],[no_efe]]</f>
        <v>0.399103139013453</v>
      </c>
      <c r="N37" s="9" t="n">
        <f aca="false">(Tabla3510813153424[[#This Row],[% efe_cor]]+Tabla3510813153424[[#This Row],[% no_efe_cor]])/2</f>
        <v>0.533706092241287</v>
      </c>
      <c r="O37" s="10" t="n">
        <f aca="false">(Tabla3510813153424[[#This Row],[% efe_inc]]+Tabla3510813153424[[#This Row],[% no_efect_inc]])/2</f>
        <v>0.466293907758713</v>
      </c>
      <c r="P37" s="11" t="n">
        <f aca="false">Tabla3510813153424[[#This Row],[no_efec_cor]]/(Tabla3510813153424[[#This Row],[efect_inc]]+Tabla3510813153424[[#This Row],[no_efec_cor]])</f>
        <v>0.532803180914513</v>
      </c>
      <c r="Q37" s="11" t="n">
        <f aca="false">Tabla3510813153424[[#This Row],[efec_cor]]/(Tabla3510813153424[[#This Row],[efec_cor]]+Tabla3510813153424[[#This Row],[no_efec_inc]])</f>
        <v>0.535853976531943</v>
      </c>
      <c r="R37" s="11" t="n">
        <f aca="false">(Tabla3510813153424[[#This Row],[PNE]]+Tabla3510813153424[[#This Row],[PE]])/2</f>
        <v>0.534328578723228</v>
      </c>
      <c r="S37" s="0" t="n">
        <v>881</v>
      </c>
      <c r="T37" s="0" t="n">
        <v>892</v>
      </c>
      <c r="U37" s="0" t="n">
        <f aca="false">Tabla3510813153424[[#This Row],[efec]]+Tabla3510813153424[[#This Row],[no_efe]]</f>
        <v>1773</v>
      </c>
    </row>
    <row r="38" customFormat="false" ht="13.8" hidden="false" customHeight="false" outlineLevel="0" collapsed="false">
      <c r="A38" s="0" t="n">
        <v>0.1</v>
      </c>
      <c r="B38" s="0" t="n">
        <v>1</v>
      </c>
      <c r="C38" s="0" t="n">
        <v>625</v>
      </c>
      <c r="D38" s="0" t="n">
        <v>267</v>
      </c>
      <c r="E38" s="0" t="n">
        <v>310</v>
      </c>
      <c r="F38" s="0" t="n">
        <v>571</v>
      </c>
      <c r="G38" s="0" t="n">
        <f aca="false">Tabla3510813153424[[#This Row],[no_efec_cor]]+Tabla3510813153424[[#This Row],[efec_cor]]</f>
        <v>935</v>
      </c>
      <c r="H38" s="0" t="n">
        <f aca="false">Tabla3510813153424[[#This Row],[no_efec_inc]]+Tabla3510813153424[[#This Row],[efect_inc]]</f>
        <v>838</v>
      </c>
      <c r="I38" s="9" t="n">
        <f aca="false">Tabla3510813153424[[#This Row],[Correctos]]/Tabla3510813153424[[#This Row],[total_sec]]</f>
        <v>0.527354765933446</v>
      </c>
      <c r="J38" s="9" t="n">
        <f aca="false">Tabla3510813153424[[#This Row],[efec_cor]]/Tabla3510813153424[[#This Row],[efec]]</f>
        <v>0.351872871736663</v>
      </c>
      <c r="K38" s="9" t="n">
        <f aca="false">Tabla3510813153424[[#This Row],[efect_inc]]/Tabla3510813153424[[#This Row],[efec]]</f>
        <v>0.648127128263337</v>
      </c>
      <c r="L38" s="9" t="n">
        <f aca="false">Tabla3510813153424[[#This Row],[no_efec_cor]]/Tabla3510813153424[[#This Row],[no_efe]]</f>
        <v>0.70067264573991</v>
      </c>
      <c r="M38" s="9" t="n">
        <f aca="false">Tabla3510813153424[[#This Row],[no_efec_inc]]/Tabla3510813153424[[#This Row],[no_efe]]</f>
        <v>0.29932735426009</v>
      </c>
      <c r="N38" s="9" t="n">
        <f aca="false">(Tabla3510813153424[[#This Row],[% efe_cor]]+Tabla3510813153424[[#This Row],[% no_efe_cor]])/2</f>
        <v>0.526272758738287</v>
      </c>
      <c r="O38" s="10" t="n">
        <f aca="false">(Tabla3510813153424[[#This Row],[% efe_inc]]+Tabla3510813153424[[#This Row],[% no_efect_inc]])/2</f>
        <v>0.473727241261713</v>
      </c>
      <c r="P38" s="11" t="n">
        <f aca="false">Tabla3510813153424[[#This Row],[no_efec_cor]]/(Tabla3510813153424[[#This Row],[efect_inc]]+Tabla3510813153424[[#This Row],[no_efec_cor]])</f>
        <v>0.52257525083612</v>
      </c>
      <c r="Q38" s="11" t="n">
        <f aca="false">Tabla3510813153424[[#This Row],[efec_cor]]/(Tabla3510813153424[[#This Row],[efec_cor]]+Tabla3510813153424[[#This Row],[no_efec_inc]])</f>
        <v>0.537261698440208</v>
      </c>
      <c r="R38" s="11" t="n">
        <f aca="false">(Tabla3510813153424[[#This Row],[PNE]]+Tabla3510813153424[[#This Row],[PE]])/2</f>
        <v>0.529918474638164</v>
      </c>
      <c r="S38" s="0" t="n">
        <v>881</v>
      </c>
      <c r="T38" s="0" t="n">
        <v>892</v>
      </c>
      <c r="U38" s="0" t="n">
        <f aca="false">Tabla3510813153424[[#This Row],[efec]]+Tabla3510813153424[[#This Row],[no_efe]]</f>
        <v>1773</v>
      </c>
    </row>
    <row r="39" customFormat="false" ht="13.8" hidden="false" customHeight="false" outlineLevel="0" collapsed="false">
      <c r="A39" s="0" t="n">
        <v>0.5</v>
      </c>
      <c r="B39" s="0" t="n">
        <v>0.5</v>
      </c>
      <c r="C39" s="0" t="n">
        <v>479</v>
      </c>
      <c r="D39" s="0" t="n">
        <v>413</v>
      </c>
      <c r="E39" s="0" t="n">
        <v>471</v>
      </c>
      <c r="F39" s="0" t="n">
        <v>410</v>
      </c>
      <c r="G39" s="0" t="n">
        <f aca="false">Tabla3510813153424[[#This Row],[no_efec_cor]]+Tabla3510813153424[[#This Row],[efec_cor]]</f>
        <v>950</v>
      </c>
      <c r="H39" s="0" t="n">
        <f aca="false">Tabla3510813153424[[#This Row],[no_efec_inc]]+Tabla3510813153424[[#This Row],[efect_inc]]</f>
        <v>823</v>
      </c>
      <c r="I39" s="9" t="n">
        <f aca="false">Tabla3510813153424[[#This Row],[Correctos]]/Tabla3510813153424[[#This Row],[total_sec]]</f>
        <v>0.535815002820079</v>
      </c>
      <c r="J39" s="9" t="n">
        <f aca="false">Tabla3510813153424[[#This Row],[efec_cor]]/Tabla3510813153424[[#This Row],[efec]]</f>
        <v>0.534619750283768</v>
      </c>
      <c r="K39" s="9" t="n">
        <f aca="false">Tabla3510813153424[[#This Row],[efect_inc]]/Tabla3510813153424[[#This Row],[efec]]</f>
        <v>0.465380249716232</v>
      </c>
      <c r="L39" s="9" t="n">
        <f aca="false">Tabla3510813153424[[#This Row],[no_efec_cor]]/Tabla3510813153424[[#This Row],[no_efe]]</f>
        <v>0.536995515695067</v>
      </c>
      <c r="M39" s="9" t="n">
        <f aca="false">Tabla3510813153424[[#This Row],[no_efec_inc]]/Tabla3510813153424[[#This Row],[no_efe]]</f>
        <v>0.463004484304933</v>
      </c>
      <c r="N39" s="9" t="n">
        <f aca="false">(Tabla3510813153424[[#This Row],[% efe_cor]]+Tabla3510813153424[[#This Row],[% no_efe_cor]])/2</f>
        <v>0.535807632989418</v>
      </c>
      <c r="O39" s="10" t="n">
        <f aca="false">(Tabla3510813153424[[#This Row],[% efe_inc]]+Tabla3510813153424[[#This Row],[% no_efect_inc]])/2</f>
        <v>0.464192367010582</v>
      </c>
      <c r="P39" s="11" t="n">
        <f aca="false">Tabla3510813153424[[#This Row],[no_efec_cor]]/(Tabla3510813153424[[#This Row],[efect_inc]]+Tabla3510813153424[[#This Row],[no_efec_cor]])</f>
        <v>0.538807649043869</v>
      </c>
      <c r="Q39" s="11" t="n">
        <f aca="false">Tabla3510813153424[[#This Row],[efec_cor]]/(Tabla3510813153424[[#This Row],[efec_cor]]+Tabla3510813153424[[#This Row],[no_efec_inc]])</f>
        <v>0.532805429864253</v>
      </c>
      <c r="R39" s="11" t="n">
        <f aca="false">(Tabla3510813153424[[#This Row],[PNE]]+Tabla3510813153424[[#This Row],[PE]])/2</f>
        <v>0.535806539454061</v>
      </c>
      <c r="S39" s="0" t="n">
        <v>881</v>
      </c>
      <c r="T39" s="0" t="n">
        <v>892</v>
      </c>
      <c r="U39" s="0" t="n">
        <f aca="false">Tabla3510813153424[[#This Row],[efec]]+Tabla3510813153424[[#This Row],[no_efe]]</f>
        <v>1773</v>
      </c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mergeCells count="9">
    <mergeCell ref="A1:U1"/>
    <mergeCell ref="A2:U2"/>
    <mergeCell ref="A4:B4"/>
    <mergeCell ref="A5:B5"/>
    <mergeCell ref="A6:B6"/>
    <mergeCell ref="A8:I8"/>
    <mergeCell ref="A20:U20"/>
    <mergeCell ref="A21:U21"/>
    <mergeCell ref="A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U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0.54296875" defaultRowHeight="15" zeroHeight="false" outlineLevelRow="0" outlineLevelCol="0"/>
  <sheetData>
    <row r="1" customFormat="false" ht="19.5" hidden="false" customHeight="false" outlineLevel="0" collapsed="false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customFormat="false" ht="15" hidden="false" customHeight="false" outlineLevel="0" collapsed="false">
      <c r="A4" s="3" t="s">
        <v>2</v>
      </c>
      <c r="B4" s="3"/>
      <c r="C4" s="4" t="n">
        <v>868</v>
      </c>
    </row>
    <row r="5" customFormat="false" ht="15" hidden="false" customHeight="false" outlineLevel="0" collapsed="false">
      <c r="A5" s="3" t="s">
        <v>3</v>
      </c>
      <c r="B5" s="3"/>
      <c r="C5" s="4" t="n">
        <v>860</v>
      </c>
    </row>
    <row r="6" customFormat="false" ht="15" hidden="false" customHeight="false" outlineLevel="0" collapsed="false">
      <c r="A6" s="3" t="s">
        <v>4</v>
      </c>
      <c r="B6" s="3"/>
      <c r="C6" s="4" t="n">
        <f aca="false">SUM(C4:C5)</f>
        <v>1728</v>
      </c>
    </row>
    <row r="8" customFormat="false" ht="15.75" hidden="false" customHeight="false" outlineLevel="0" collapsed="false">
      <c r="A8" s="5" t="s">
        <v>5</v>
      </c>
      <c r="B8" s="5"/>
      <c r="C8" s="5"/>
      <c r="D8" s="5"/>
      <c r="E8" s="5"/>
      <c r="F8" s="5"/>
      <c r="G8" s="5"/>
      <c r="H8" s="5"/>
      <c r="I8" s="5"/>
    </row>
    <row r="9" customFormat="false" ht="15.75" hidden="false" customHeight="false" outlineLevel="0" collapsed="false">
      <c r="A9" s="7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n">
        <v>1</v>
      </c>
      <c r="B10" s="0" t="n">
        <v>445</v>
      </c>
      <c r="C10" s="0" t="n">
        <v>415</v>
      </c>
      <c r="D10" s="0" t="n">
        <v>440</v>
      </c>
      <c r="E10" s="0" t="n">
        <v>428</v>
      </c>
      <c r="F10" s="0" t="n">
        <f aca="false">Tabla351081315325[[#This Row],[no_efec_cor]]+Tabla351081315325[[#This Row],[efec_cor]]</f>
        <v>885</v>
      </c>
      <c r="G10" s="0" t="n">
        <f aca="false">Tabla351081315325[[#This Row],[no_efec_inc]]+Tabla351081315325[[#This Row],[efect_inc]]</f>
        <v>843</v>
      </c>
      <c r="H10" s="9" t="n">
        <f aca="false">Tabla351081315325[[#This Row],[Correctos]]/Tabla351081315325[[#This Row],[total_sec]]</f>
        <v>0.512152777777778</v>
      </c>
      <c r="I10" s="9" t="n">
        <f aca="false">Tabla351081315325[[#This Row],[efec_cor]]/Tabla351081315325[[#This Row],[efec]]</f>
        <v>0.506912442396313</v>
      </c>
      <c r="J10" s="9" t="n">
        <f aca="false">Tabla351081315325[[#This Row],[efect_inc]]/Tabla351081315325[[#This Row],[efec]]</f>
        <v>0.493087557603687</v>
      </c>
      <c r="K10" s="9" t="n">
        <f aca="false">Tabla351081315325[[#This Row],[no_efec_cor]]/Tabla351081315325[[#This Row],[no_efe]]</f>
        <v>0.517441860465116</v>
      </c>
      <c r="L10" s="9" t="n">
        <f aca="false">Tabla351081315325[[#This Row],[no_efec_inc]]/Tabla351081315325[[#This Row],[no_efe]]</f>
        <v>0.482558139534884</v>
      </c>
      <c r="M10" s="9" t="n">
        <f aca="false">(Tabla351081315325[[#This Row],[% efe_cor]]+Tabla351081315325[[#This Row],[% no_efe_cor]])/2</f>
        <v>0.512177151430715</v>
      </c>
      <c r="N10" s="10" t="n">
        <f aca="false">(Tabla351081315325[[#This Row],[% efe_inc]]+Tabla351081315325[[#This Row],[% no_efect_inc]])/2</f>
        <v>0.487822848569285</v>
      </c>
      <c r="O10" s="11" t="n">
        <f aca="false">Tabla351081315325[[#This Row],[no_efec_cor]]/(Tabla351081315325[[#This Row],[efect_inc]]+Tabla351081315325[[#This Row],[no_efec_cor]])</f>
        <v>0.509736540664376</v>
      </c>
      <c r="P10" s="11" t="n">
        <f aca="false">Tabla351081315325[[#This Row],[efec_cor]]/(Tabla351081315325[[#This Row],[efec_cor]]+Tabla351081315325[[#This Row],[no_efec_inc]])</f>
        <v>0.514619883040936</v>
      </c>
      <c r="Q10" s="11" t="n">
        <f aca="false">(Tabla351081315325[[#This Row],[PNE]]+Tabla351081315325[[#This Row],[PE]])/2</f>
        <v>0.512178211852656</v>
      </c>
      <c r="R10" s="0" t="n">
        <v>868</v>
      </c>
      <c r="S10" s="0" t="n">
        <v>860</v>
      </c>
      <c r="T10" s="0" t="n">
        <f aca="false">Tabla351081315325[[#This Row],[efec]]+Tabla351081315325[[#This Row],[no_efe]]</f>
        <v>1728</v>
      </c>
    </row>
    <row r="11" customFormat="false" ht="13.8" hidden="false" customHeight="false" outlineLevel="0" collapsed="false">
      <c r="A11" s="0" t="n">
        <v>5</v>
      </c>
      <c r="B11" s="0" t="n">
        <v>455</v>
      </c>
      <c r="C11" s="0" t="n">
        <v>405</v>
      </c>
      <c r="D11" s="0" t="n">
        <v>417</v>
      </c>
      <c r="E11" s="0" t="n">
        <v>451</v>
      </c>
      <c r="F11" s="0" t="n">
        <f aca="false">Tabla351081315325[[#This Row],[no_efec_cor]]+Tabla351081315325[[#This Row],[efec_cor]]</f>
        <v>872</v>
      </c>
      <c r="G11" s="0" t="n">
        <f aca="false">Tabla351081315325[[#This Row],[no_efec_inc]]+Tabla351081315325[[#This Row],[efect_inc]]</f>
        <v>856</v>
      </c>
      <c r="H11" s="9" t="n">
        <f aca="false">Tabla351081315325[[#This Row],[Correctos]]/Tabla351081315325[[#This Row],[total_sec]]</f>
        <v>0.50462962962963</v>
      </c>
      <c r="I11" s="9" t="n">
        <f aca="false">Tabla351081315325[[#This Row],[efec_cor]]/Tabla351081315325[[#This Row],[efec]]</f>
        <v>0.480414746543779</v>
      </c>
      <c r="J11" s="9" t="n">
        <f aca="false">Tabla351081315325[[#This Row],[efect_inc]]/Tabla351081315325[[#This Row],[efec]]</f>
        <v>0.519585253456221</v>
      </c>
      <c r="K11" s="9" t="n">
        <f aca="false">Tabla351081315325[[#This Row],[no_efec_cor]]/Tabla351081315325[[#This Row],[no_efe]]</f>
        <v>0.529069767441861</v>
      </c>
      <c r="L11" s="9" t="n">
        <f aca="false">Tabla351081315325[[#This Row],[no_efec_inc]]/Tabla351081315325[[#This Row],[no_efe]]</f>
        <v>0.47093023255814</v>
      </c>
      <c r="M11" s="9" t="n">
        <f aca="false">(Tabla351081315325[[#This Row],[% efe_cor]]+Tabla351081315325[[#This Row],[% no_efe_cor]])/2</f>
        <v>0.50474225699282</v>
      </c>
      <c r="N11" s="10" t="n">
        <f aca="false">(Tabla351081315325[[#This Row],[% efe_inc]]+Tabla351081315325[[#This Row],[% no_efect_inc]])/2</f>
        <v>0.49525774300718</v>
      </c>
      <c r="O11" s="11" t="n">
        <f aca="false">Tabla351081315325[[#This Row],[no_efec_cor]]/(Tabla351081315325[[#This Row],[efect_inc]]+Tabla351081315325[[#This Row],[no_efec_cor]])</f>
        <v>0.502207505518764</v>
      </c>
      <c r="P11" s="11" t="n">
        <f aca="false">Tabla351081315325[[#This Row],[efec_cor]]/(Tabla351081315325[[#This Row],[efec_cor]]+Tabla351081315325[[#This Row],[no_efec_inc]])</f>
        <v>0.507299270072993</v>
      </c>
      <c r="Q11" s="11" t="n">
        <f aca="false">(Tabla351081315325[[#This Row],[PNE]]+Tabla351081315325[[#This Row],[PE]])/2</f>
        <v>0.504753387795878</v>
      </c>
      <c r="R11" s="0" t="n">
        <v>868</v>
      </c>
      <c r="S11" s="0" t="n">
        <v>860</v>
      </c>
      <c r="T11" s="0" t="n">
        <f aca="false">Tabla351081315325[[#This Row],[efec]]+Tabla351081315325[[#This Row],[no_efe]]</f>
        <v>1728</v>
      </c>
    </row>
    <row r="12" customFormat="false" ht="13.8" hidden="false" customHeight="false" outlineLevel="0" collapsed="false">
      <c r="A12" s="0" t="n">
        <v>10</v>
      </c>
      <c r="B12" s="0" t="n">
        <v>365</v>
      </c>
      <c r="C12" s="0" t="n">
        <v>495</v>
      </c>
      <c r="D12" s="0" t="n">
        <v>529</v>
      </c>
      <c r="E12" s="0" t="n">
        <v>339</v>
      </c>
      <c r="F12" s="0" t="n">
        <f aca="false">Tabla351081315325[[#This Row],[no_efec_cor]]+Tabla351081315325[[#This Row],[efec_cor]]</f>
        <v>894</v>
      </c>
      <c r="G12" s="0" t="n">
        <f aca="false">Tabla351081315325[[#This Row],[no_efec_inc]]+Tabla351081315325[[#This Row],[efect_inc]]</f>
        <v>834</v>
      </c>
      <c r="H12" s="9" t="n">
        <f aca="false">Tabla351081315325[[#This Row],[Correctos]]/Tabla351081315325[[#This Row],[total_sec]]</f>
        <v>0.517361111111111</v>
      </c>
      <c r="I12" s="9" t="n">
        <f aca="false">Tabla351081315325[[#This Row],[efec_cor]]/Tabla351081315325[[#This Row],[efec]]</f>
        <v>0.609447004608295</v>
      </c>
      <c r="J12" s="9" t="n">
        <f aca="false">Tabla351081315325[[#This Row],[efect_inc]]/Tabla351081315325[[#This Row],[efec]]</f>
        <v>0.390552995391705</v>
      </c>
      <c r="K12" s="9" t="n">
        <f aca="false">Tabla351081315325[[#This Row],[no_efec_cor]]/Tabla351081315325[[#This Row],[no_efe]]</f>
        <v>0.424418604651163</v>
      </c>
      <c r="L12" s="9" t="n">
        <f aca="false">Tabla351081315325[[#This Row],[no_efec_inc]]/Tabla351081315325[[#This Row],[no_efe]]</f>
        <v>0.575581395348837</v>
      </c>
      <c r="M12" s="9" t="n">
        <f aca="false">(Tabla351081315325[[#This Row],[% efe_cor]]+Tabla351081315325[[#This Row],[% no_efe_cor]])/2</f>
        <v>0.516932804629729</v>
      </c>
      <c r="N12" s="10" t="n">
        <f aca="false">(Tabla351081315325[[#This Row],[% efe_inc]]+Tabla351081315325[[#This Row],[% no_efect_inc]])/2</f>
        <v>0.483067195370271</v>
      </c>
      <c r="O12" s="11" t="n">
        <f aca="false">Tabla351081315325[[#This Row],[no_efec_cor]]/(Tabla351081315325[[#This Row],[efect_inc]]+Tabla351081315325[[#This Row],[no_efec_cor]])</f>
        <v>0.518465909090909</v>
      </c>
      <c r="P12" s="11" t="n">
        <f aca="false">Tabla351081315325[[#This Row],[efec_cor]]/(Tabla351081315325[[#This Row],[efec_cor]]+Tabla351081315325[[#This Row],[no_efec_inc]])</f>
        <v>0.5166015625</v>
      </c>
      <c r="Q12" s="11" t="n">
        <f aca="false">(Tabla351081315325[[#This Row],[PNE]]+Tabla351081315325[[#This Row],[PE]])/2</f>
        <v>0.517533735795455</v>
      </c>
      <c r="R12" s="0" t="n">
        <v>868</v>
      </c>
      <c r="S12" s="0" t="n">
        <v>860</v>
      </c>
      <c r="T12" s="0" t="n">
        <f aca="false">Tabla351081315325[[#This Row],[efec]]+Tabla351081315325[[#This Row],[no_efe]]</f>
        <v>1728</v>
      </c>
    </row>
    <row r="13" customFormat="false" ht="13.8" hidden="false" customHeight="false" outlineLevel="0" collapsed="false">
      <c r="A13" s="0" t="n">
        <v>15</v>
      </c>
      <c r="B13" s="0" t="n">
        <v>439</v>
      </c>
      <c r="C13" s="0" t="n">
        <v>421</v>
      </c>
      <c r="D13" s="0" t="n">
        <v>420</v>
      </c>
      <c r="E13" s="0" t="n">
        <v>448</v>
      </c>
      <c r="F13" s="0" t="n">
        <f aca="false">Tabla351081315325[[#This Row],[no_efec_cor]]+Tabla351081315325[[#This Row],[efec_cor]]</f>
        <v>859</v>
      </c>
      <c r="G13" s="0" t="n">
        <f aca="false">Tabla351081315325[[#This Row],[no_efec_inc]]+Tabla351081315325[[#This Row],[efect_inc]]</f>
        <v>869</v>
      </c>
      <c r="H13" s="9" t="n">
        <f aca="false">Tabla351081315325[[#This Row],[Correctos]]/Tabla351081315325[[#This Row],[total_sec]]</f>
        <v>0.497106481481481</v>
      </c>
      <c r="I13" s="9" t="n">
        <f aca="false">Tabla351081315325[[#This Row],[efec_cor]]/Tabla351081315325[[#This Row],[efec]]</f>
        <v>0.483870967741936</v>
      </c>
      <c r="J13" s="9" t="n">
        <f aca="false">Tabla351081315325[[#This Row],[efect_inc]]/Tabla351081315325[[#This Row],[efec]]</f>
        <v>0.516129032258065</v>
      </c>
      <c r="K13" s="9" t="n">
        <f aca="false">Tabla351081315325[[#This Row],[no_efec_cor]]/Tabla351081315325[[#This Row],[no_efe]]</f>
        <v>0.51046511627907</v>
      </c>
      <c r="L13" s="9" t="n">
        <f aca="false">Tabla351081315325[[#This Row],[no_efec_inc]]/Tabla351081315325[[#This Row],[no_efe]]</f>
        <v>0.48953488372093</v>
      </c>
      <c r="M13" s="9" t="n">
        <f aca="false">(Tabla351081315325[[#This Row],[% efe_cor]]+Tabla351081315325[[#This Row],[% no_efe_cor]])/2</f>
        <v>0.497168042010503</v>
      </c>
      <c r="N13" s="10" t="n">
        <f aca="false">(Tabla351081315325[[#This Row],[% efe_inc]]+Tabla351081315325[[#This Row],[% no_efect_inc]])/2</f>
        <v>0.502831957989497</v>
      </c>
      <c r="O13" s="11" t="n">
        <f aca="false">Tabla351081315325[[#This Row],[no_efec_cor]]/(Tabla351081315325[[#This Row],[efect_inc]]+Tabla351081315325[[#This Row],[no_efec_cor]])</f>
        <v>0.494926719278467</v>
      </c>
      <c r="P13" s="11" t="n">
        <f aca="false">Tabla351081315325[[#This Row],[efec_cor]]/(Tabla351081315325[[#This Row],[efec_cor]]+Tabla351081315325[[#This Row],[no_efec_inc]])</f>
        <v>0.499405469678954</v>
      </c>
      <c r="Q13" s="11" t="n">
        <f aca="false">(Tabla351081315325[[#This Row],[PNE]]+Tabla351081315325[[#This Row],[PE]])/2</f>
        <v>0.49716609447871</v>
      </c>
      <c r="R13" s="0" t="n">
        <v>868</v>
      </c>
      <c r="S13" s="0" t="n">
        <v>860</v>
      </c>
      <c r="T13" s="0" t="n">
        <f aca="false">Tabla351081315325[[#This Row],[efec]]+Tabla351081315325[[#This Row],[no_efe]]</f>
        <v>1728</v>
      </c>
    </row>
    <row r="14" customFormat="false" ht="13.8" hidden="false" customHeight="false" outlineLevel="0" collapsed="false">
      <c r="A14" s="0" t="n">
        <v>20</v>
      </c>
      <c r="B14" s="0" t="n">
        <v>387</v>
      </c>
      <c r="C14" s="0" t="n">
        <v>473</v>
      </c>
      <c r="D14" s="0" t="n">
        <v>502</v>
      </c>
      <c r="E14" s="0" t="n">
        <v>366</v>
      </c>
      <c r="F14" s="0" t="n">
        <f aca="false">Tabla351081315325[[#This Row],[no_efec_cor]]+Tabla351081315325[[#This Row],[efec_cor]]</f>
        <v>889</v>
      </c>
      <c r="G14" s="0" t="n">
        <f aca="false">Tabla351081315325[[#This Row],[no_efec_inc]]+Tabla351081315325[[#This Row],[efect_inc]]</f>
        <v>839</v>
      </c>
      <c r="H14" s="9" t="n">
        <f aca="false">Tabla351081315325[[#This Row],[Correctos]]/Tabla351081315325[[#This Row],[total_sec]]</f>
        <v>0.514467592592593</v>
      </c>
      <c r="I14" s="9" t="n">
        <f aca="false">Tabla351081315325[[#This Row],[efec_cor]]/Tabla351081315325[[#This Row],[efec]]</f>
        <v>0.578341013824885</v>
      </c>
      <c r="J14" s="9" t="n">
        <f aca="false">Tabla351081315325[[#This Row],[efect_inc]]/Tabla351081315325[[#This Row],[efec]]</f>
        <v>0.421658986175115</v>
      </c>
      <c r="K14" s="9" t="n">
        <f aca="false">Tabla351081315325[[#This Row],[no_efec_cor]]/Tabla351081315325[[#This Row],[no_efe]]</f>
        <v>0.45</v>
      </c>
      <c r="L14" s="9" t="n">
        <f aca="false">Tabla351081315325[[#This Row],[no_efec_inc]]/Tabla351081315325[[#This Row],[no_efe]]</f>
        <v>0.55</v>
      </c>
      <c r="M14" s="9" t="n">
        <f aca="false">(Tabla351081315325[[#This Row],[% efe_cor]]+Tabla351081315325[[#This Row],[% no_efe_cor]])/2</f>
        <v>0.514170506912442</v>
      </c>
      <c r="N14" s="10" t="n">
        <f aca="false">(Tabla351081315325[[#This Row],[% efe_inc]]+Tabla351081315325[[#This Row],[% no_efect_inc]])/2</f>
        <v>0.485829493087558</v>
      </c>
      <c r="O14" s="11" t="n">
        <f aca="false">Tabla351081315325[[#This Row],[no_efec_cor]]/(Tabla351081315325[[#This Row],[efect_inc]]+Tabla351081315325[[#This Row],[no_efec_cor]])</f>
        <v>0.51394422310757</v>
      </c>
      <c r="P14" s="11" t="n">
        <f aca="false">Tabla351081315325[[#This Row],[efec_cor]]/(Tabla351081315325[[#This Row],[efec_cor]]+Tabla351081315325[[#This Row],[no_efec_inc]])</f>
        <v>0.514871794871795</v>
      </c>
      <c r="Q14" s="11" t="n">
        <f aca="false">(Tabla351081315325[[#This Row],[PNE]]+Tabla351081315325[[#This Row],[PE]])/2</f>
        <v>0.514408008989682</v>
      </c>
      <c r="R14" s="0" t="n">
        <v>868</v>
      </c>
      <c r="S14" s="0" t="n">
        <v>860</v>
      </c>
      <c r="T14" s="0" t="n">
        <f aca="false">Tabla351081315325[[#This Row],[efec]]+Tabla351081315325[[#This Row],[no_efe]]</f>
        <v>1728</v>
      </c>
    </row>
    <row r="15" customFormat="false" ht="13.8" hidden="false" customHeight="false" outlineLevel="0" collapsed="false">
      <c r="A15" s="0" t="n">
        <v>25</v>
      </c>
      <c r="B15" s="0" t="n">
        <v>461</v>
      </c>
      <c r="C15" s="0" t="n">
        <v>399</v>
      </c>
      <c r="D15" s="0" t="n">
        <v>431</v>
      </c>
      <c r="E15" s="0" t="n">
        <v>437</v>
      </c>
      <c r="F15" s="0" t="n">
        <f aca="false">Tabla351081315325[[#This Row],[no_efec_cor]]+Tabla351081315325[[#This Row],[efec_cor]]</f>
        <v>892</v>
      </c>
      <c r="G15" s="0" t="n">
        <f aca="false">Tabla351081315325[[#This Row],[no_efec_inc]]+Tabla351081315325[[#This Row],[efect_inc]]</f>
        <v>836</v>
      </c>
      <c r="H15" s="9" t="n">
        <f aca="false">Tabla351081315325[[#This Row],[Correctos]]/Tabla351081315325[[#This Row],[total_sec]]</f>
        <v>0.516203703703704</v>
      </c>
      <c r="I15" s="9" t="n">
        <f aca="false">Tabla351081315325[[#This Row],[efec_cor]]/Tabla351081315325[[#This Row],[efec]]</f>
        <v>0.496543778801843</v>
      </c>
      <c r="J15" s="9" t="n">
        <f aca="false">Tabla351081315325[[#This Row],[efect_inc]]/Tabla351081315325[[#This Row],[efec]]</f>
        <v>0.503456221198157</v>
      </c>
      <c r="K15" s="9" t="n">
        <f aca="false">Tabla351081315325[[#This Row],[no_efec_cor]]/Tabla351081315325[[#This Row],[no_efe]]</f>
        <v>0.536046511627907</v>
      </c>
      <c r="L15" s="9" t="n">
        <f aca="false">Tabla351081315325[[#This Row],[no_efec_inc]]/Tabla351081315325[[#This Row],[no_efe]]</f>
        <v>0.463953488372093</v>
      </c>
      <c r="M15" s="9" t="n">
        <f aca="false">(Tabla351081315325[[#This Row],[% efe_cor]]+Tabla351081315325[[#This Row],[% no_efe_cor]])/2</f>
        <v>0.516295145214875</v>
      </c>
      <c r="N15" s="10" t="n">
        <f aca="false">(Tabla351081315325[[#This Row],[% efe_inc]]+Tabla351081315325[[#This Row],[% no_efect_inc]])/2</f>
        <v>0.483704854785125</v>
      </c>
      <c r="O15" s="11" t="n">
        <f aca="false">Tabla351081315325[[#This Row],[no_efec_cor]]/(Tabla351081315325[[#This Row],[efect_inc]]+Tabla351081315325[[#This Row],[no_efec_cor]])</f>
        <v>0.513363028953229</v>
      </c>
      <c r="P15" s="11" t="n">
        <f aca="false">Tabla351081315325[[#This Row],[efec_cor]]/(Tabla351081315325[[#This Row],[efec_cor]]+Tabla351081315325[[#This Row],[no_efec_inc]])</f>
        <v>0.519277108433735</v>
      </c>
      <c r="Q15" s="11" t="n">
        <f aca="false">(Tabla351081315325[[#This Row],[PNE]]+Tabla351081315325[[#This Row],[PE]])/2</f>
        <v>0.516320068693482</v>
      </c>
      <c r="R15" s="0" t="n">
        <v>868</v>
      </c>
      <c r="S15" s="0" t="n">
        <v>860</v>
      </c>
      <c r="T15" s="0" t="n">
        <f aca="false">Tabla351081315325[[#This Row],[efec]]+Tabla351081315325[[#This Row],[no_efe]]</f>
        <v>1728</v>
      </c>
    </row>
    <row r="16" customFormat="false" ht="13.8" hidden="false" customHeight="false" outlineLevel="0" collapsed="false">
      <c r="A16" s="0" t="n">
        <v>30</v>
      </c>
      <c r="B16" s="0" t="n">
        <v>381</v>
      </c>
      <c r="C16" s="0" t="n">
        <v>479</v>
      </c>
      <c r="D16" s="0" t="n">
        <v>493</v>
      </c>
      <c r="E16" s="0" t="n">
        <v>375</v>
      </c>
      <c r="F16" s="0" t="n">
        <f aca="false">Tabla351081315325[[#This Row],[no_efec_cor]]+Tabla351081315325[[#This Row],[efec_cor]]</f>
        <v>874</v>
      </c>
      <c r="G16" s="0" t="n">
        <f aca="false">Tabla351081315325[[#This Row],[no_efec_inc]]+Tabla351081315325[[#This Row],[efect_inc]]</f>
        <v>854</v>
      </c>
      <c r="H16" s="9" t="n">
        <f aca="false">Tabla351081315325[[#This Row],[Correctos]]/Tabla351081315325[[#This Row],[total_sec]]</f>
        <v>0.505787037037037</v>
      </c>
      <c r="I16" s="9" t="n">
        <f aca="false">Tabla351081315325[[#This Row],[efec_cor]]/Tabla351081315325[[#This Row],[efec]]</f>
        <v>0.567972350230415</v>
      </c>
      <c r="J16" s="9" t="n">
        <f aca="false">Tabla351081315325[[#This Row],[efect_inc]]/Tabla351081315325[[#This Row],[efec]]</f>
        <v>0.432027649769585</v>
      </c>
      <c r="K16" s="9" t="n">
        <f aca="false">Tabla351081315325[[#This Row],[no_efec_cor]]/Tabla351081315325[[#This Row],[no_efe]]</f>
        <v>0.443023255813954</v>
      </c>
      <c r="L16" s="9" t="n">
        <f aca="false">Tabla351081315325[[#This Row],[no_efec_inc]]/Tabla351081315325[[#This Row],[no_efe]]</f>
        <v>0.556976744186046</v>
      </c>
      <c r="M16" s="9" t="n">
        <f aca="false">(Tabla351081315325[[#This Row],[% efe_cor]]+Tabla351081315325[[#This Row],[% no_efe_cor]])/2</f>
        <v>0.505497803022184</v>
      </c>
      <c r="N16" s="10" t="n">
        <f aca="false">(Tabla351081315325[[#This Row],[% efe_inc]]+Tabla351081315325[[#This Row],[% no_efect_inc]])/2</f>
        <v>0.494502196977816</v>
      </c>
      <c r="O16" s="11" t="n">
        <f aca="false">Tabla351081315325[[#This Row],[no_efec_cor]]/(Tabla351081315325[[#This Row],[efect_inc]]+Tabla351081315325[[#This Row],[no_efec_cor]])</f>
        <v>0.503968253968254</v>
      </c>
      <c r="P16" s="11" t="n">
        <f aca="false">Tabla351081315325[[#This Row],[efec_cor]]/(Tabla351081315325[[#This Row],[efec_cor]]+Tabla351081315325[[#This Row],[no_efec_inc]])</f>
        <v>0.507201646090535</v>
      </c>
      <c r="Q16" s="11" t="n">
        <f aca="false">(Tabla351081315325[[#This Row],[PNE]]+Tabla351081315325[[#This Row],[PE]])/2</f>
        <v>0.505584950029395</v>
      </c>
      <c r="R16" s="0" t="n">
        <v>868</v>
      </c>
      <c r="S16" s="0" t="n">
        <v>860</v>
      </c>
      <c r="T16" s="0" t="n">
        <f aca="false">Tabla351081315325[[#This Row],[efec]]+Tabla351081315325[[#This Row],[no_efe]]</f>
        <v>1728</v>
      </c>
    </row>
    <row r="17" customFormat="false" ht="13.8" hidden="false" customHeight="false" outlineLevel="0" collapsed="false">
      <c r="A17" s="0" t="n">
        <v>35</v>
      </c>
      <c r="B17" s="0" t="n">
        <v>442</v>
      </c>
      <c r="C17" s="0" t="n">
        <v>418</v>
      </c>
      <c r="D17" s="0" t="n">
        <v>432</v>
      </c>
      <c r="E17" s="0" t="n">
        <v>436</v>
      </c>
      <c r="F17" s="0" t="n">
        <f aca="false">Tabla351081315325[[#This Row],[no_efec_cor]]+Tabla351081315325[[#This Row],[efec_cor]]</f>
        <v>874</v>
      </c>
      <c r="G17" s="0" t="n">
        <f aca="false">Tabla351081315325[[#This Row],[no_efec_inc]]+Tabla351081315325[[#This Row],[efect_inc]]</f>
        <v>854</v>
      </c>
      <c r="H17" s="9" t="n">
        <f aca="false">Tabla351081315325[[#This Row],[Correctos]]/Tabla351081315325[[#This Row],[total_sec]]</f>
        <v>0.505787037037037</v>
      </c>
      <c r="I17" s="9" t="n">
        <f aca="false">Tabla351081315325[[#This Row],[efec_cor]]/Tabla351081315325[[#This Row],[efec]]</f>
        <v>0.497695852534562</v>
      </c>
      <c r="J17" s="9" t="n">
        <f aca="false">Tabla351081315325[[#This Row],[efect_inc]]/Tabla351081315325[[#This Row],[efec]]</f>
        <v>0.502304147465438</v>
      </c>
      <c r="K17" s="9" t="n">
        <f aca="false">Tabla351081315325[[#This Row],[no_efec_cor]]/Tabla351081315325[[#This Row],[no_efe]]</f>
        <v>0.513953488372093</v>
      </c>
      <c r="L17" s="9" t="n">
        <f aca="false">Tabla351081315325[[#This Row],[no_efec_inc]]/Tabla351081315325[[#This Row],[no_efe]]</f>
        <v>0.486046511627907</v>
      </c>
      <c r="M17" s="9" t="n">
        <f aca="false">(Tabla351081315325[[#This Row],[% efe_cor]]+Tabla351081315325[[#This Row],[% no_efe_cor]])/2</f>
        <v>0.505824670453328</v>
      </c>
      <c r="N17" s="10" t="n">
        <f aca="false">(Tabla351081315325[[#This Row],[% efe_inc]]+Tabla351081315325[[#This Row],[% no_efect_inc]])/2</f>
        <v>0.494175329546672</v>
      </c>
      <c r="O17" s="11" t="n">
        <f aca="false">Tabla351081315325[[#This Row],[no_efec_cor]]/(Tabla351081315325[[#This Row],[efect_inc]]+Tabla351081315325[[#This Row],[no_efec_cor]])</f>
        <v>0.503416856492027</v>
      </c>
      <c r="P17" s="11" t="n">
        <f aca="false">Tabla351081315325[[#This Row],[efec_cor]]/(Tabla351081315325[[#This Row],[efec_cor]]+Tabla351081315325[[#This Row],[no_efec_inc]])</f>
        <v>0.508235294117647</v>
      </c>
      <c r="Q17" s="11" t="n">
        <f aca="false">(Tabla351081315325[[#This Row],[PNE]]+Tabla351081315325[[#This Row],[PE]])/2</f>
        <v>0.505826075304837</v>
      </c>
      <c r="R17" s="0" t="n">
        <v>868</v>
      </c>
      <c r="S17" s="0" t="n">
        <v>860</v>
      </c>
      <c r="T17" s="0" t="n">
        <f aca="false">Tabla351081315325[[#This Row],[efec]]+Tabla351081315325[[#This Row],[no_efe]]</f>
        <v>1728</v>
      </c>
    </row>
    <row r="18" customFormat="false" ht="13.8" hidden="false" customHeight="false" outlineLevel="0" collapsed="false">
      <c r="A18" s="0" t="n">
        <v>39</v>
      </c>
      <c r="B18" s="0" t="n">
        <v>440</v>
      </c>
      <c r="C18" s="0" t="n">
        <v>420</v>
      </c>
      <c r="D18" s="0" t="n">
        <v>425</v>
      </c>
      <c r="E18" s="0" t="n">
        <v>443</v>
      </c>
      <c r="F18" s="0" t="n">
        <f aca="false">Tabla351081315325[[#This Row],[no_efec_cor]]+Tabla351081315325[[#This Row],[efec_cor]]</f>
        <v>865</v>
      </c>
      <c r="G18" s="0" t="n">
        <f aca="false">Tabla351081315325[[#This Row],[no_efec_inc]]+Tabla351081315325[[#This Row],[efect_inc]]</f>
        <v>863</v>
      </c>
      <c r="H18" s="9" t="n">
        <f aca="false">Tabla351081315325[[#This Row],[Correctos]]/Tabla351081315325[[#This Row],[total_sec]]</f>
        <v>0.500578703703704</v>
      </c>
      <c r="I18" s="9" t="n">
        <f aca="false">Tabla351081315325[[#This Row],[efec_cor]]/Tabla351081315325[[#This Row],[efec]]</f>
        <v>0.48963133640553</v>
      </c>
      <c r="J18" s="9" t="n">
        <f aca="false">Tabla351081315325[[#This Row],[efect_inc]]/Tabla351081315325[[#This Row],[efec]]</f>
        <v>0.51036866359447</v>
      </c>
      <c r="K18" s="9" t="n">
        <f aca="false">Tabla351081315325[[#This Row],[no_efec_cor]]/Tabla351081315325[[#This Row],[no_efe]]</f>
        <v>0.511627906976744</v>
      </c>
      <c r="L18" s="9" t="n">
        <f aca="false">Tabla351081315325[[#This Row],[no_efec_inc]]/Tabla351081315325[[#This Row],[no_efe]]</f>
        <v>0.488372093023256</v>
      </c>
      <c r="M18" s="9" t="n">
        <f aca="false">(Tabla351081315325[[#This Row],[% efe_cor]]+Tabla351081315325[[#This Row],[% no_efe_cor]])/2</f>
        <v>0.500629621691137</v>
      </c>
      <c r="N18" s="10" t="n">
        <f aca="false">(Tabla351081315325[[#This Row],[% efe_inc]]+Tabla351081315325[[#This Row],[% no_efect_inc]])/2</f>
        <v>0.499370378308863</v>
      </c>
      <c r="O18" s="11" t="n">
        <f aca="false">Tabla351081315325[[#This Row],[no_efec_cor]]/(Tabla351081315325[[#This Row],[efect_inc]]+Tabla351081315325[[#This Row],[no_efec_cor]])</f>
        <v>0.498301245753114</v>
      </c>
      <c r="P18" s="11" t="n">
        <f aca="false">Tabla351081315325[[#This Row],[efec_cor]]/(Tabla351081315325[[#This Row],[efec_cor]]+Tabla351081315325[[#This Row],[no_efec_inc]])</f>
        <v>0.502958579881657</v>
      </c>
      <c r="Q18" s="11" t="n">
        <f aca="false">(Tabla351081315325[[#This Row],[PNE]]+Tabla351081315325[[#This Row],[PE]])/2</f>
        <v>0.500629912817386</v>
      </c>
      <c r="R18" s="0" t="n">
        <v>868</v>
      </c>
      <c r="S18" s="0" t="n">
        <v>860</v>
      </c>
      <c r="T18" s="0" t="n">
        <f aca="false">Tabla351081315325[[#This Row],[efec]]+Tabla351081315325[[#This Row],[no_efe]]</f>
        <v>1728</v>
      </c>
    </row>
    <row r="20" customFormat="false" ht="19.5" hidden="false" customHeight="false" outlineLevel="0" collapsed="false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4" customFormat="false" ht="15.75" hidden="false" customHeight="false" outlineLevel="0" collapsed="false">
      <c r="A24" s="5" t="s">
        <v>5</v>
      </c>
      <c r="B24" s="5"/>
      <c r="C24" s="5"/>
      <c r="D24" s="5"/>
      <c r="E24" s="5"/>
      <c r="F24" s="5"/>
      <c r="G24" s="5"/>
      <c r="H24" s="5"/>
      <c r="I24" s="5"/>
    </row>
    <row r="25" customFormat="false" ht="15.75" hidden="false" customHeight="false" outlineLevel="0" collapsed="false">
      <c r="A25" s="7" t="s">
        <v>27</v>
      </c>
      <c r="B25" s="7" t="s">
        <v>28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7" t="s">
        <v>13</v>
      </c>
      <c r="J25" s="7" t="s">
        <v>14</v>
      </c>
      <c r="K25" s="7" t="s">
        <v>15</v>
      </c>
      <c r="L25" s="7" t="s">
        <v>16</v>
      </c>
      <c r="M25" s="7" t="s">
        <v>17</v>
      </c>
      <c r="N25" s="7" t="s">
        <v>18</v>
      </c>
      <c r="O25" s="7" t="s">
        <v>19</v>
      </c>
      <c r="P25" s="7" t="s">
        <v>20</v>
      </c>
      <c r="Q25" s="7" t="s">
        <v>21</v>
      </c>
      <c r="R25" s="7" t="s">
        <v>22</v>
      </c>
      <c r="S25" s="7" t="s">
        <v>23</v>
      </c>
      <c r="T25" s="7" t="s">
        <v>24</v>
      </c>
      <c r="U25" s="7" t="s">
        <v>25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186</v>
      </c>
      <c r="D26" s="0" t="n">
        <v>674</v>
      </c>
      <c r="E26" s="0" t="n">
        <v>708</v>
      </c>
      <c r="F26" s="0" t="n">
        <v>160</v>
      </c>
      <c r="G26" s="0" t="n">
        <f aca="false">Tabla3510813153423[[#This Row],[no_efec_cor]]+Tabla3510813153423[[#This Row],[efec_cor]]</f>
        <v>894</v>
      </c>
      <c r="H26" s="0" t="n">
        <f aca="false">Tabla3510813153423[[#This Row],[no_efec_inc]]+Tabla3510813153423[[#This Row],[efect_inc]]</f>
        <v>834</v>
      </c>
      <c r="I26" s="9" t="n">
        <f aca="false">Tabla3510813153423[[#This Row],[Correctos]]/Tabla3510813153423[[#This Row],[total_sec]]</f>
        <v>0.517361111111111</v>
      </c>
      <c r="J26" s="9" t="n">
        <f aca="false">Tabla3510813153423[[#This Row],[efec_cor]]/Tabla3510813153423[[#This Row],[efec]]</f>
        <v>0.815668202764977</v>
      </c>
      <c r="K26" s="9" t="n">
        <f aca="false">Tabla3510813153423[[#This Row],[efect_inc]]/Tabla3510813153423[[#This Row],[efec]]</f>
        <v>0.184331797235023</v>
      </c>
      <c r="L26" s="9" t="n">
        <f aca="false">Tabla3510813153423[[#This Row],[no_efec_cor]]/Tabla3510813153423[[#This Row],[no_efe]]</f>
        <v>0.216279069767442</v>
      </c>
      <c r="M26" s="9" t="n">
        <f aca="false">Tabla3510813153423[[#This Row],[no_efec_inc]]/Tabla3510813153423[[#This Row],[no_efe]]</f>
        <v>0.783720930232558</v>
      </c>
      <c r="N26" s="9" t="n">
        <f aca="false">(Tabla3510813153423[[#This Row],[% efe_cor]]+Tabla3510813153423[[#This Row],[% no_efe_cor]])/2</f>
        <v>0.515973636266209</v>
      </c>
      <c r="O26" s="10" t="n">
        <f aca="false">(Tabla3510813153423[[#This Row],[% efe_inc]]+Tabla3510813153423[[#This Row],[% no_efect_inc]])/2</f>
        <v>0.484026363733791</v>
      </c>
      <c r="P26" s="11" t="n">
        <f aca="false">Tabla3510813153423[[#This Row],[no_efec_cor]]/(Tabla3510813153423[[#This Row],[efect_inc]]+Tabla3510813153423[[#This Row],[no_efec_cor]])</f>
        <v>0.53757225433526</v>
      </c>
      <c r="Q26" s="11" t="n">
        <f aca="false">Tabla3510813153423[[#This Row],[efec_cor]]/(Tabla3510813153423[[#This Row],[efec_cor]]+Tabla3510813153423[[#This Row],[no_efec_inc]])</f>
        <v>0.512301013024602</v>
      </c>
      <c r="R26" s="11" t="n">
        <f aca="false">(Tabla3510813153423[[#This Row],[PNE]]+Tabla3510813153423[[#This Row],[PE]])/2</f>
        <v>0.524936633679931</v>
      </c>
      <c r="S26" s="0" t="n">
        <v>868</v>
      </c>
      <c r="T26" s="0" t="n">
        <v>860</v>
      </c>
      <c r="U26" s="0" t="n">
        <f aca="false">Tabla3510813153423[[#This Row],[efec]]+Tabla3510813153423[[#This Row],[no_efe]]</f>
        <v>1728</v>
      </c>
    </row>
    <row r="27" customFormat="false" ht="13.8" hidden="false" customHeight="false" outlineLevel="0" collapsed="false">
      <c r="A27" s="0" t="n">
        <v>1</v>
      </c>
      <c r="B27" s="0" t="n">
        <v>0.1</v>
      </c>
      <c r="C27" s="0" t="n">
        <v>354</v>
      </c>
      <c r="D27" s="0" t="n">
        <v>506</v>
      </c>
      <c r="E27" s="0" t="n">
        <v>541</v>
      </c>
      <c r="F27" s="0" t="n">
        <v>327</v>
      </c>
      <c r="G27" s="0" t="n">
        <f aca="false">Tabla3510813153423[[#This Row],[no_efec_cor]]+Tabla3510813153423[[#This Row],[efec_cor]]</f>
        <v>895</v>
      </c>
      <c r="H27" s="0" t="n">
        <f aca="false">Tabla3510813153423[[#This Row],[no_efec_inc]]+Tabla3510813153423[[#This Row],[efect_inc]]</f>
        <v>833</v>
      </c>
      <c r="I27" s="9" t="n">
        <f aca="false">Tabla3510813153423[[#This Row],[Correctos]]/Tabla3510813153423[[#This Row],[total_sec]]</f>
        <v>0.517939814814815</v>
      </c>
      <c r="J27" s="9" t="n">
        <f aca="false">Tabla3510813153423[[#This Row],[efec_cor]]/Tabla3510813153423[[#This Row],[efec]]</f>
        <v>0.623271889400922</v>
      </c>
      <c r="K27" s="9" t="n">
        <f aca="false">Tabla3510813153423[[#This Row],[efect_inc]]/Tabla3510813153423[[#This Row],[efec]]</f>
        <v>0.376728110599078</v>
      </c>
      <c r="L27" s="9" t="n">
        <f aca="false">Tabla3510813153423[[#This Row],[no_efec_cor]]/Tabla3510813153423[[#This Row],[no_efe]]</f>
        <v>0.411627906976744</v>
      </c>
      <c r="M27" s="9" t="n">
        <f aca="false">Tabla3510813153423[[#This Row],[no_efec_inc]]/Tabla3510813153423[[#This Row],[no_efe]]</f>
        <v>0.588372093023256</v>
      </c>
      <c r="N27" s="9" t="n">
        <f aca="false">(Tabla3510813153423[[#This Row],[% efe_cor]]+Tabla3510813153423[[#This Row],[% no_efe_cor]])/2</f>
        <v>0.517449898188833</v>
      </c>
      <c r="O27" s="10" t="n">
        <f aca="false">(Tabla3510813153423[[#This Row],[% efe_inc]]+Tabla3510813153423[[#This Row],[% no_efect_inc]])/2</f>
        <v>0.482550101811167</v>
      </c>
      <c r="P27" s="11" t="n">
        <f aca="false">Tabla3510813153423[[#This Row],[no_efec_cor]]/(Tabla3510813153423[[#This Row],[efect_inc]]+Tabla3510813153423[[#This Row],[no_efec_cor]])</f>
        <v>0.519823788546256</v>
      </c>
      <c r="Q27" s="11" t="n">
        <f aca="false">Tabla3510813153423[[#This Row],[efec_cor]]/(Tabla3510813153423[[#This Row],[efec_cor]]+Tabla3510813153423[[#This Row],[no_efec_inc]])</f>
        <v>0.516714422158548</v>
      </c>
      <c r="R27" s="11" t="n">
        <f aca="false">(Tabla3510813153423[[#This Row],[PNE]]+Tabla3510813153423[[#This Row],[PE]])/2</f>
        <v>0.518269105352402</v>
      </c>
      <c r="S27" s="0" t="n">
        <v>868</v>
      </c>
      <c r="T27" s="0" t="n">
        <v>860</v>
      </c>
      <c r="U27" s="0" t="n">
        <f aca="false">Tabla3510813153423[[#This Row],[efec]]+Tabla3510813153423[[#This Row],[no_efe]]</f>
        <v>1728</v>
      </c>
    </row>
    <row r="28" customFormat="false" ht="13.8" hidden="false" customHeight="false" outlineLevel="0" collapsed="false">
      <c r="A28" s="0" t="n">
        <v>1</v>
      </c>
      <c r="B28" s="0" t="n">
        <v>0.5</v>
      </c>
      <c r="C28" s="0" t="n">
        <v>426</v>
      </c>
      <c r="D28" s="0" t="n">
        <v>434</v>
      </c>
      <c r="E28" s="0" t="n">
        <v>458</v>
      </c>
      <c r="F28" s="0" t="n">
        <v>410</v>
      </c>
      <c r="G28" s="0" t="n">
        <f aca="false">Tabla3510813153423[[#This Row],[no_efec_cor]]+Tabla3510813153423[[#This Row],[efec_cor]]</f>
        <v>884</v>
      </c>
      <c r="H28" s="0" t="n">
        <f aca="false">Tabla3510813153423[[#This Row],[no_efec_inc]]+Tabla3510813153423[[#This Row],[efect_inc]]</f>
        <v>844</v>
      </c>
      <c r="I28" s="9" t="n">
        <f aca="false">Tabla3510813153423[[#This Row],[Correctos]]/Tabla3510813153423[[#This Row],[total_sec]]</f>
        <v>0.511574074074074</v>
      </c>
      <c r="J28" s="9" t="n">
        <f aca="false">Tabla3510813153423[[#This Row],[efec_cor]]/Tabla3510813153423[[#This Row],[efec]]</f>
        <v>0.527649769585253</v>
      </c>
      <c r="K28" s="9" t="n">
        <f aca="false">Tabla3510813153423[[#This Row],[efect_inc]]/Tabla3510813153423[[#This Row],[efec]]</f>
        <v>0.472350230414747</v>
      </c>
      <c r="L28" s="9" t="n">
        <f aca="false">Tabla3510813153423[[#This Row],[no_efec_cor]]/Tabla3510813153423[[#This Row],[no_efe]]</f>
        <v>0.495348837209302</v>
      </c>
      <c r="M28" s="9" t="n">
        <f aca="false">Tabla3510813153423[[#This Row],[no_efec_inc]]/Tabla3510813153423[[#This Row],[no_efe]]</f>
        <v>0.504651162790698</v>
      </c>
      <c r="N28" s="9" t="n">
        <f aca="false">(Tabla3510813153423[[#This Row],[% efe_cor]]+Tabla3510813153423[[#This Row],[% no_efe_cor]])/2</f>
        <v>0.511499303397278</v>
      </c>
      <c r="O28" s="10" t="n">
        <f aca="false">(Tabla3510813153423[[#This Row],[% efe_inc]]+Tabla3510813153423[[#This Row],[% no_efect_inc]])/2</f>
        <v>0.488500696602722</v>
      </c>
      <c r="P28" s="11" t="n">
        <f aca="false">Tabla3510813153423[[#This Row],[no_efec_cor]]/(Tabla3510813153423[[#This Row],[efect_inc]]+Tabla3510813153423[[#This Row],[no_efec_cor]])</f>
        <v>0.509569377990431</v>
      </c>
      <c r="Q28" s="11" t="n">
        <f aca="false">Tabla3510813153423[[#This Row],[efec_cor]]/(Tabla3510813153423[[#This Row],[efec_cor]]+Tabla3510813153423[[#This Row],[no_efec_inc]])</f>
        <v>0.513452914798206</v>
      </c>
      <c r="R28" s="11" t="n">
        <f aca="false">(Tabla3510813153423[[#This Row],[PNE]]+Tabla3510813153423[[#This Row],[PE]])/2</f>
        <v>0.511511146394319</v>
      </c>
      <c r="S28" s="0" t="n">
        <v>868</v>
      </c>
      <c r="T28" s="0" t="n">
        <v>860</v>
      </c>
      <c r="U28" s="0" t="n">
        <f aca="false">Tabla3510813153423[[#This Row],[efec]]+Tabla3510813153423[[#This Row],[no_efe]]</f>
        <v>1728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427</v>
      </c>
      <c r="D29" s="0" t="n">
        <v>433</v>
      </c>
      <c r="E29" s="0" t="n">
        <v>451</v>
      </c>
      <c r="F29" s="0" t="n">
        <v>417</v>
      </c>
      <c r="G29" s="0" t="n">
        <f aca="false">Tabla3510813153423[[#This Row],[no_efec_cor]]+Tabla3510813153423[[#This Row],[efec_cor]]</f>
        <v>878</v>
      </c>
      <c r="H29" s="0" t="n">
        <f aca="false">Tabla3510813153423[[#This Row],[no_efec_inc]]+Tabla3510813153423[[#This Row],[efect_inc]]</f>
        <v>850</v>
      </c>
      <c r="I29" s="9" t="n">
        <f aca="false">Tabla3510813153423[[#This Row],[Correctos]]/Tabla3510813153423[[#This Row],[total_sec]]</f>
        <v>0.508101851851852</v>
      </c>
      <c r="J29" s="9" t="n">
        <f aca="false">Tabla3510813153423[[#This Row],[efec_cor]]/Tabla3510813153423[[#This Row],[efec]]</f>
        <v>0.519585253456221</v>
      </c>
      <c r="K29" s="9" t="n">
        <f aca="false">Tabla3510813153423[[#This Row],[efect_inc]]/Tabla3510813153423[[#This Row],[efec]]</f>
        <v>0.480414746543779</v>
      </c>
      <c r="L29" s="9" t="n">
        <f aca="false">Tabla3510813153423[[#This Row],[no_efec_cor]]/Tabla3510813153423[[#This Row],[no_efe]]</f>
        <v>0.496511627906977</v>
      </c>
      <c r="M29" s="9" t="n">
        <f aca="false">Tabla3510813153423[[#This Row],[no_efec_inc]]/Tabla3510813153423[[#This Row],[no_efe]]</f>
        <v>0.503488372093023</v>
      </c>
      <c r="N29" s="9" t="n">
        <f aca="false">(Tabla3510813153423[[#This Row],[% efe_cor]]+Tabla3510813153423[[#This Row],[% no_efe_cor]])/2</f>
        <v>0.508048440681599</v>
      </c>
      <c r="O29" s="10" t="n">
        <f aca="false">(Tabla3510813153423[[#This Row],[% efe_inc]]+Tabla3510813153423[[#This Row],[% no_efect_inc]])/2</f>
        <v>0.491951559318401</v>
      </c>
      <c r="P29" s="11" t="n">
        <f aca="false">Tabla3510813153423[[#This Row],[no_efec_cor]]/(Tabla3510813153423[[#This Row],[efect_inc]]+Tabla3510813153423[[#This Row],[no_efec_cor]])</f>
        <v>0.505924170616114</v>
      </c>
      <c r="Q29" s="11" t="n">
        <f aca="false">Tabla3510813153423[[#This Row],[efec_cor]]/(Tabla3510813153423[[#This Row],[efec_cor]]+Tabla3510813153423[[#This Row],[no_efec_inc]])</f>
        <v>0.510180995475113</v>
      </c>
      <c r="R29" s="11" t="n">
        <f aca="false">(Tabla3510813153423[[#This Row],[PNE]]+Tabla3510813153423[[#This Row],[PE]])/2</f>
        <v>0.508052583045613</v>
      </c>
      <c r="S29" s="0" t="n">
        <v>868</v>
      </c>
      <c r="T29" s="0" t="n">
        <v>860</v>
      </c>
      <c r="U29" s="0" t="n">
        <f aca="false">Tabla3510813153423[[#This Row],[efec]]+Tabla3510813153423[[#This Row],[no_efe]]</f>
        <v>1728</v>
      </c>
    </row>
    <row r="30" customFormat="false" ht="13.8" hidden="false" customHeight="false" outlineLevel="0" collapsed="false">
      <c r="A30" s="0" t="n">
        <v>1</v>
      </c>
      <c r="B30" s="0" t="n">
        <v>2</v>
      </c>
      <c r="C30" s="0" t="n">
        <v>450</v>
      </c>
      <c r="D30" s="0" t="n">
        <v>410</v>
      </c>
      <c r="E30" s="0" t="n">
        <v>436</v>
      </c>
      <c r="F30" s="0" t="n">
        <v>432</v>
      </c>
      <c r="G30" s="0" t="n">
        <f aca="false">Tabla3510813153423[[#This Row],[no_efec_cor]]+Tabla3510813153423[[#This Row],[efec_cor]]</f>
        <v>886</v>
      </c>
      <c r="H30" s="0" t="n">
        <f aca="false">Tabla3510813153423[[#This Row],[no_efec_inc]]+Tabla3510813153423[[#This Row],[efect_inc]]</f>
        <v>842</v>
      </c>
      <c r="I30" s="9" t="n">
        <f aca="false">Tabla3510813153423[[#This Row],[Correctos]]/Tabla3510813153423[[#This Row],[total_sec]]</f>
        <v>0.512731481481482</v>
      </c>
      <c r="J30" s="9" t="n">
        <f aca="false">Tabla3510813153423[[#This Row],[efec_cor]]/Tabla3510813153423[[#This Row],[efec]]</f>
        <v>0.502304147465438</v>
      </c>
      <c r="K30" s="9" t="n">
        <f aca="false">Tabla3510813153423[[#This Row],[efect_inc]]/Tabla3510813153423[[#This Row],[efec]]</f>
        <v>0.497695852534562</v>
      </c>
      <c r="L30" s="9" t="n">
        <f aca="false">Tabla3510813153423[[#This Row],[no_efec_cor]]/Tabla3510813153423[[#This Row],[no_efe]]</f>
        <v>0.523255813953488</v>
      </c>
      <c r="M30" s="9" t="n">
        <f aca="false">Tabla3510813153423[[#This Row],[no_efec_inc]]/Tabla3510813153423[[#This Row],[no_efe]]</f>
        <v>0.476744186046512</v>
      </c>
      <c r="N30" s="9" t="n">
        <f aca="false">(Tabla3510813153423[[#This Row],[% efe_cor]]+Tabla3510813153423[[#This Row],[% no_efe_cor]])/2</f>
        <v>0.512779980709463</v>
      </c>
      <c r="O30" s="10" t="n">
        <f aca="false">(Tabla3510813153423[[#This Row],[% efe_inc]]+Tabla3510813153423[[#This Row],[% no_efect_inc]])/2</f>
        <v>0.487220019290537</v>
      </c>
      <c r="P30" s="11" t="n">
        <f aca="false">Tabla3510813153423[[#This Row],[no_efec_cor]]/(Tabla3510813153423[[#This Row],[efect_inc]]+Tabla3510813153423[[#This Row],[no_efec_cor]])</f>
        <v>0.510204081632653</v>
      </c>
      <c r="Q30" s="11" t="n">
        <f aca="false">Tabla3510813153423[[#This Row],[efec_cor]]/(Tabla3510813153423[[#This Row],[efec_cor]]+Tabla3510813153423[[#This Row],[no_efec_inc]])</f>
        <v>0.515366430260047</v>
      </c>
      <c r="R30" s="11" t="n">
        <f aca="false">(Tabla3510813153423[[#This Row],[PNE]]+Tabla3510813153423[[#This Row],[PE]])/2</f>
        <v>0.51278525594635</v>
      </c>
      <c r="S30" s="0" t="n">
        <v>868</v>
      </c>
      <c r="T30" s="0" t="n">
        <v>860</v>
      </c>
      <c r="U30" s="0" t="n">
        <f aca="false">Tabla3510813153423[[#This Row],[efec]]+Tabla3510813153423[[#This Row],[no_efe]]</f>
        <v>1728</v>
      </c>
    </row>
    <row r="31" customFormat="false" ht="13.8" hidden="false" customHeight="false" outlineLevel="0" collapsed="false">
      <c r="A31" s="0" t="n">
        <v>1</v>
      </c>
      <c r="B31" s="0" t="n">
        <v>3</v>
      </c>
      <c r="C31" s="0" t="n">
        <v>478</v>
      </c>
      <c r="D31" s="0" t="n">
        <v>382</v>
      </c>
      <c r="E31" s="0" t="n">
        <v>422</v>
      </c>
      <c r="F31" s="0" t="n">
        <v>446</v>
      </c>
      <c r="G31" s="0" t="n">
        <f aca="false">Tabla3510813153423[[#This Row],[no_efec_cor]]+Tabla3510813153423[[#This Row],[efec_cor]]</f>
        <v>900</v>
      </c>
      <c r="H31" s="0" t="n">
        <f aca="false">Tabla3510813153423[[#This Row],[no_efec_inc]]+Tabla3510813153423[[#This Row],[efect_inc]]</f>
        <v>828</v>
      </c>
      <c r="I31" s="9" t="n">
        <f aca="false">Tabla3510813153423[[#This Row],[Correctos]]/Tabla3510813153423[[#This Row],[total_sec]]</f>
        <v>0.520833333333333</v>
      </c>
      <c r="J31" s="9" t="n">
        <f aca="false">Tabla3510813153423[[#This Row],[efec_cor]]/Tabla3510813153423[[#This Row],[efec]]</f>
        <v>0.486175115207373</v>
      </c>
      <c r="K31" s="9" t="n">
        <f aca="false">Tabla3510813153423[[#This Row],[efect_inc]]/Tabla3510813153423[[#This Row],[efec]]</f>
        <v>0.513824884792627</v>
      </c>
      <c r="L31" s="9" t="n">
        <f aca="false">Tabla3510813153423[[#This Row],[no_efec_cor]]/Tabla3510813153423[[#This Row],[no_efe]]</f>
        <v>0.555813953488372</v>
      </c>
      <c r="M31" s="9" t="n">
        <f aca="false">Tabla3510813153423[[#This Row],[no_efec_inc]]/Tabla3510813153423[[#This Row],[no_efe]]</f>
        <v>0.444186046511628</v>
      </c>
      <c r="N31" s="9" t="n">
        <f aca="false">(Tabla3510813153423[[#This Row],[% efe_cor]]+Tabla3510813153423[[#This Row],[% no_efe_cor]])/2</f>
        <v>0.520994534347873</v>
      </c>
      <c r="O31" s="10" t="n">
        <f aca="false">(Tabla3510813153423[[#This Row],[% efe_inc]]+Tabla3510813153423[[#This Row],[% no_efect_inc]])/2</f>
        <v>0.479005465652127</v>
      </c>
      <c r="P31" s="11" t="n">
        <f aca="false">Tabla3510813153423[[#This Row],[no_efec_cor]]/(Tabla3510813153423[[#This Row],[efect_inc]]+Tabla3510813153423[[#This Row],[no_efec_cor]])</f>
        <v>0.517316017316017</v>
      </c>
      <c r="Q31" s="11" t="n">
        <f aca="false">Tabla3510813153423[[#This Row],[efec_cor]]/(Tabla3510813153423[[#This Row],[efec_cor]]+Tabla3510813153423[[#This Row],[no_efec_inc]])</f>
        <v>0.524875621890547</v>
      </c>
      <c r="R31" s="11" t="n">
        <f aca="false">(Tabla3510813153423[[#This Row],[PNE]]+Tabla3510813153423[[#This Row],[PE]])/2</f>
        <v>0.521095819603282</v>
      </c>
      <c r="S31" s="0" t="n">
        <v>868</v>
      </c>
      <c r="T31" s="0" t="n">
        <v>860</v>
      </c>
      <c r="U31" s="0" t="n">
        <f aca="false">Tabla3510813153423[[#This Row],[efec]]+Tabla3510813153423[[#This Row],[no_efe]]</f>
        <v>1728</v>
      </c>
    </row>
    <row r="32" customFormat="false" ht="13.8" hidden="false" customHeight="false" outlineLevel="0" collapsed="false">
      <c r="A32" s="0" t="n">
        <v>1</v>
      </c>
      <c r="B32" s="0" t="n">
        <v>5</v>
      </c>
      <c r="C32" s="0" t="n">
        <v>536</v>
      </c>
      <c r="D32" s="0" t="n">
        <v>324</v>
      </c>
      <c r="E32" s="0" t="n">
        <v>371</v>
      </c>
      <c r="F32" s="0" t="n">
        <v>497</v>
      </c>
      <c r="G32" s="0" t="n">
        <f aca="false">Tabla3510813153423[[#This Row],[no_efec_cor]]+Tabla3510813153423[[#This Row],[efec_cor]]</f>
        <v>907</v>
      </c>
      <c r="H32" s="0" t="n">
        <f aca="false">Tabla3510813153423[[#This Row],[no_efec_inc]]+Tabla3510813153423[[#This Row],[efect_inc]]</f>
        <v>821</v>
      </c>
      <c r="I32" s="9" t="n">
        <f aca="false">Tabla3510813153423[[#This Row],[Correctos]]/Tabla3510813153423[[#This Row],[total_sec]]</f>
        <v>0.524884259259259</v>
      </c>
      <c r="J32" s="9" t="n">
        <f aca="false">Tabla3510813153423[[#This Row],[efec_cor]]/Tabla3510813153423[[#This Row],[efec]]</f>
        <v>0.42741935483871</v>
      </c>
      <c r="K32" s="9" t="n">
        <f aca="false">Tabla3510813153423[[#This Row],[efect_inc]]/Tabla3510813153423[[#This Row],[efec]]</f>
        <v>0.57258064516129</v>
      </c>
      <c r="L32" s="9" t="n">
        <f aca="false">Tabla3510813153423[[#This Row],[no_efec_cor]]/Tabla3510813153423[[#This Row],[no_efe]]</f>
        <v>0.623255813953488</v>
      </c>
      <c r="M32" s="9" t="n">
        <f aca="false">Tabla3510813153423[[#This Row],[no_efec_inc]]/Tabla3510813153423[[#This Row],[no_efe]]</f>
        <v>0.376744186046512</v>
      </c>
      <c r="N32" s="9" t="n">
        <f aca="false">(Tabla3510813153423[[#This Row],[% efe_cor]]+Tabla3510813153423[[#This Row],[% no_efe_cor]])/2</f>
        <v>0.525337584396099</v>
      </c>
      <c r="O32" s="10" t="n">
        <f aca="false">(Tabla3510813153423[[#This Row],[% efe_inc]]+Tabla3510813153423[[#This Row],[% no_efect_inc]])/2</f>
        <v>0.474662415603901</v>
      </c>
      <c r="P32" s="11" t="n">
        <f aca="false">Tabla3510813153423[[#This Row],[no_efec_cor]]/(Tabla3510813153423[[#This Row],[efect_inc]]+Tabla3510813153423[[#This Row],[no_efec_cor]])</f>
        <v>0.518877057115198</v>
      </c>
      <c r="Q32" s="11" t="n">
        <f aca="false">Tabla3510813153423[[#This Row],[efec_cor]]/(Tabla3510813153423[[#This Row],[efec_cor]]+Tabla3510813153423[[#This Row],[no_efec_inc]])</f>
        <v>0.533812949640288</v>
      </c>
      <c r="R32" s="11" t="n">
        <f aca="false">(Tabla3510813153423[[#This Row],[PNE]]+Tabla3510813153423[[#This Row],[PE]])/2</f>
        <v>0.526345003377743</v>
      </c>
      <c r="S32" s="0" t="n">
        <v>868</v>
      </c>
      <c r="T32" s="0" t="n">
        <v>860</v>
      </c>
      <c r="U32" s="0" t="n">
        <f aca="false">Tabla3510813153423[[#This Row],[efec]]+Tabla3510813153423[[#This Row],[no_efe]]</f>
        <v>1728</v>
      </c>
    </row>
    <row r="33" customFormat="false" ht="13.8" hidden="false" customHeight="false" outlineLevel="0" collapsed="false">
      <c r="A33" s="0" t="n">
        <v>2</v>
      </c>
      <c r="B33" s="0" t="n">
        <v>0.5</v>
      </c>
      <c r="C33" s="0" t="n">
        <v>423</v>
      </c>
      <c r="D33" s="0" t="n">
        <v>437</v>
      </c>
      <c r="E33" s="0" t="n">
        <v>457</v>
      </c>
      <c r="F33" s="0" t="n">
        <v>411</v>
      </c>
      <c r="G33" s="0" t="n">
        <f aca="false">Tabla3510813153423[[#This Row],[no_efec_cor]]+Tabla3510813153423[[#This Row],[efec_cor]]</f>
        <v>880</v>
      </c>
      <c r="H33" s="0" t="n">
        <f aca="false">Tabla3510813153423[[#This Row],[no_efec_inc]]+Tabla3510813153423[[#This Row],[efect_inc]]</f>
        <v>848</v>
      </c>
      <c r="I33" s="9" t="n">
        <f aca="false">Tabla3510813153423[[#This Row],[Correctos]]/Tabla3510813153423[[#This Row],[total_sec]]</f>
        <v>0.509259259259259</v>
      </c>
      <c r="J33" s="9" t="n">
        <f aca="false">Tabla3510813153423[[#This Row],[efec_cor]]/Tabla3510813153423[[#This Row],[efec]]</f>
        <v>0.526497695852535</v>
      </c>
      <c r="K33" s="9" t="n">
        <f aca="false">Tabla3510813153423[[#This Row],[efect_inc]]/Tabla3510813153423[[#This Row],[efec]]</f>
        <v>0.473502304147465</v>
      </c>
      <c r="L33" s="9" t="n">
        <f aca="false">Tabla3510813153423[[#This Row],[no_efec_cor]]/Tabla3510813153423[[#This Row],[no_efe]]</f>
        <v>0.491860465116279</v>
      </c>
      <c r="M33" s="9" t="n">
        <f aca="false">Tabla3510813153423[[#This Row],[no_efec_inc]]/Tabla3510813153423[[#This Row],[no_efe]]</f>
        <v>0.508139534883721</v>
      </c>
      <c r="N33" s="9" t="n">
        <f aca="false">(Tabla3510813153423[[#This Row],[% efe_cor]]+Tabla3510813153423[[#This Row],[% no_efe_cor]])/2</f>
        <v>0.509179080484407</v>
      </c>
      <c r="O33" s="10" t="n">
        <f aca="false">(Tabla3510813153423[[#This Row],[% efe_inc]]+Tabla3510813153423[[#This Row],[% no_efect_inc]])/2</f>
        <v>0.490820919515593</v>
      </c>
      <c r="P33" s="11" t="n">
        <f aca="false">Tabla3510813153423[[#This Row],[no_efec_cor]]/(Tabla3510813153423[[#This Row],[efect_inc]]+Tabla3510813153423[[#This Row],[no_efec_cor]])</f>
        <v>0.507194244604317</v>
      </c>
      <c r="Q33" s="11" t="n">
        <f aca="false">Tabla3510813153423[[#This Row],[efec_cor]]/(Tabla3510813153423[[#This Row],[efec_cor]]+Tabla3510813153423[[#This Row],[no_efec_inc]])</f>
        <v>0.511185682326622</v>
      </c>
      <c r="R33" s="11" t="n">
        <f aca="false">(Tabla3510813153423[[#This Row],[PNE]]+Tabla3510813153423[[#This Row],[PE]])/2</f>
        <v>0.509189963465469</v>
      </c>
      <c r="S33" s="0" t="n">
        <v>868</v>
      </c>
      <c r="T33" s="0" t="n">
        <v>860</v>
      </c>
      <c r="U33" s="0" t="n">
        <f aca="false">Tabla3510813153423[[#This Row],[efec]]+Tabla3510813153423[[#This Row],[no_efe]]</f>
        <v>1728</v>
      </c>
    </row>
    <row r="34" customFormat="false" ht="13.8" hidden="false" customHeight="false" outlineLevel="0" collapsed="false">
      <c r="A34" s="0" t="n">
        <v>3</v>
      </c>
      <c r="B34" s="0" t="n">
        <v>0.5</v>
      </c>
      <c r="C34" s="0" t="n">
        <v>413</v>
      </c>
      <c r="D34" s="0" t="n">
        <v>447</v>
      </c>
      <c r="E34" s="0" t="n">
        <v>462</v>
      </c>
      <c r="F34" s="0" t="n">
        <v>406</v>
      </c>
      <c r="G34" s="0" t="n">
        <f aca="false">Tabla3510813153423[[#This Row],[no_efec_cor]]+Tabla3510813153423[[#This Row],[efec_cor]]</f>
        <v>875</v>
      </c>
      <c r="H34" s="0" t="n">
        <f aca="false">Tabla3510813153423[[#This Row],[no_efec_inc]]+Tabla3510813153423[[#This Row],[efect_inc]]</f>
        <v>853</v>
      </c>
      <c r="I34" s="9" t="n">
        <f aca="false">Tabla3510813153423[[#This Row],[Correctos]]/Tabla3510813153423[[#This Row],[total_sec]]</f>
        <v>0.506365740740741</v>
      </c>
      <c r="J34" s="9" t="n">
        <f aca="false">Tabla3510813153423[[#This Row],[efec_cor]]/Tabla3510813153423[[#This Row],[efec]]</f>
        <v>0.532258064516129</v>
      </c>
      <c r="K34" s="9" t="n">
        <f aca="false">Tabla3510813153423[[#This Row],[efect_inc]]/Tabla3510813153423[[#This Row],[efec]]</f>
        <v>0.467741935483871</v>
      </c>
      <c r="L34" s="9" t="n">
        <f aca="false">Tabla3510813153423[[#This Row],[no_efec_cor]]/Tabla3510813153423[[#This Row],[no_efe]]</f>
        <v>0.480232558139535</v>
      </c>
      <c r="M34" s="9" t="n">
        <f aca="false">Tabla3510813153423[[#This Row],[no_efec_inc]]/Tabla3510813153423[[#This Row],[no_efe]]</f>
        <v>0.519767441860465</v>
      </c>
      <c r="N34" s="9" t="n">
        <f aca="false">(Tabla3510813153423[[#This Row],[% efe_cor]]+Tabla3510813153423[[#This Row],[% no_efe_cor]])/2</f>
        <v>0.506245311327832</v>
      </c>
      <c r="O34" s="10" t="n">
        <f aca="false">(Tabla3510813153423[[#This Row],[% efe_inc]]+Tabla3510813153423[[#This Row],[% no_efect_inc]])/2</f>
        <v>0.493754688672168</v>
      </c>
      <c r="P34" s="11" t="n">
        <f aca="false">Tabla3510813153423[[#This Row],[no_efec_cor]]/(Tabla3510813153423[[#This Row],[efect_inc]]+Tabla3510813153423[[#This Row],[no_efec_cor]])</f>
        <v>0.504273504273504</v>
      </c>
      <c r="Q34" s="11" t="n">
        <f aca="false">Tabla3510813153423[[#This Row],[efec_cor]]/(Tabla3510813153423[[#This Row],[efec_cor]]+Tabla3510813153423[[#This Row],[no_efec_inc]])</f>
        <v>0.508250825082508</v>
      </c>
      <c r="R34" s="11" t="n">
        <f aca="false">(Tabla3510813153423[[#This Row],[PNE]]+Tabla3510813153423[[#This Row],[PE]])/2</f>
        <v>0.506262164678006</v>
      </c>
      <c r="S34" s="0" t="n">
        <v>868</v>
      </c>
      <c r="T34" s="0" t="n">
        <v>860</v>
      </c>
      <c r="U34" s="0" t="n">
        <f aca="false">Tabla3510813153423[[#This Row],[efec]]+Tabla3510813153423[[#This Row],[no_efe]]</f>
        <v>1728</v>
      </c>
    </row>
    <row r="35" customFormat="false" ht="13.8" hidden="false" customHeight="false" outlineLevel="0" collapsed="false">
      <c r="A35" s="0" t="n">
        <v>5</v>
      </c>
      <c r="B35" s="0" t="n">
        <v>0.5</v>
      </c>
      <c r="C35" s="0" t="n">
        <v>398</v>
      </c>
      <c r="D35" s="0" t="n">
        <v>462</v>
      </c>
      <c r="E35" s="0" t="n">
        <v>467</v>
      </c>
      <c r="F35" s="0" t="n">
        <v>401</v>
      </c>
      <c r="G35" s="0" t="n">
        <f aca="false">Tabla3510813153423[[#This Row],[no_efec_cor]]+Tabla3510813153423[[#This Row],[efec_cor]]</f>
        <v>865</v>
      </c>
      <c r="H35" s="0" t="n">
        <f aca="false">Tabla3510813153423[[#This Row],[no_efec_inc]]+Tabla3510813153423[[#This Row],[efect_inc]]</f>
        <v>863</v>
      </c>
      <c r="I35" s="9" t="n">
        <f aca="false">Tabla3510813153423[[#This Row],[Correctos]]/Tabla3510813153423[[#This Row],[total_sec]]</f>
        <v>0.500578703703704</v>
      </c>
      <c r="J35" s="9" t="n">
        <f aca="false">Tabla3510813153423[[#This Row],[efec_cor]]/Tabla3510813153423[[#This Row],[efec]]</f>
        <v>0.538018433179724</v>
      </c>
      <c r="K35" s="9" t="n">
        <f aca="false">Tabla3510813153423[[#This Row],[efect_inc]]/Tabla3510813153423[[#This Row],[efec]]</f>
        <v>0.461981566820277</v>
      </c>
      <c r="L35" s="9" t="n">
        <f aca="false">Tabla3510813153423[[#This Row],[no_efec_cor]]/Tabla3510813153423[[#This Row],[no_efe]]</f>
        <v>0.462790697674419</v>
      </c>
      <c r="M35" s="9" t="n">
        <f aca="false">Tabla3510813153423[[#This Row],[no_efec_inc]]/Tabla3510813153423[[#This Row],[no_efe]]</f>
        <v>0.537209302325581</v>
      </c>
      <c r="N35" s="9" t="n">
        <f aca="false">(Tabla3510813153423[[#This Row],[% efe_cor]]+Tabla3510813153423[[#This Row],[% no_efe_cor]])/2</f>
        <v>0.500404565427071</v>
      </c>
      <c r="O35" s="10" t="n">
        <f aca="false">(Tabla3510813153423[[#This Row],[% efe_inc]]+Tabla3510813153423[[#This Row],[% no_efect_inc]])/2</f>
        <v>0.499595434572929</v>
      </c>
      <c r="P35" s="11" t="n">
        <f aca="false">Tabla3510813153423[[#This Row],[no_efec_cor]]/(Tabla3510813153423[[#This Row],[efect_inc]]+Tabla3510813153423[[#This Row],[no_efec_cor]])</f>
        <v>0.498122653316646</v>
      </c>
      <c r="Q35" s="11" t="n">
        <f aca="false">Tabla3510813153423[[#This Row],[efec_cor]]/(Tabla3510813153423[[#This Row],[efec_cor]]+Tabla3510813153423[[#This Row],[no_efec_inc]])</f>
        <v>0.502691065662002</v>
      </c>
      <c r="R35" s="11" t="n">
        <f aca="false">(Tabla3510813153423[[#This Row],[PNE]]+Tabla3510813153423[[#This Row],[PE]])/2</f>
        <v>0.500406859489324</v>
      </c>
      <c r="S35" s="0" t="n">
        <v>868</v>
      </c>
      <c r="T35" s="0" t="n">
        <v>860</v>
      </c>
      <c r="U35" s="0" t="n">
        <f aca="false">Tabla3510813153423[[#This Row],[efec]]+Tabla3510813153423[[#This Row],[no_efe]]</f>
        <v>1728</v>
      </c>
    </row>
    <row r="36" customFormat="false" ht="13.8" hidden="false" customHeight="false" outlineLevel="0" collapsed="false">
      <c r="A36" s="0" t="n">
        <v>5</v>
      </c>
      <c r="B36" s="0" t="n">
        <v>1</v>
      </c>
      <c r="C36" s="0" t="n">
        <v>396</v>
      </c>
      <c r="D36" s="0" t="n">
        <v>464</v>
      </c>
      <c r="E36" s="0" t="n">
        <v>461</v>
      </c>
      <c r="F36" s="0" t="n">
        <v>407</v>
      </c>
      <c r="G36" s="0" t="n">
        <f aca="false">Tabla3510813153423[[#This Row],[no_efec_cor]]+Tabla3510813153423[[#This Row],[efec_cor]]</f>
        <v>857</v>
      </c>
      <c r="H36" s="0" t="n">
        <f aca="false">Tabla3510813153423[[#This Row],[no_efec_inc]]+Tabla3510813153423[[#This Row],[efect_inc]]</f>
        <v>871</v>
      </c>
      <c r="I36" s="9" t="n">
        <f aca="false">Tabla3510813153423[[#This Row],[Correctos]]/Tabla3510813153423[[#This Row],[total_sec]]</f>
        <v>0.495949074074074</v>
      </c>
      <c r="J36" s="9" t="n">
        <f aca="false">Tabla3510813153423[[#This Row],[efec_cor]]/Tabla3510813153423[[#This Row],[efec]]</f>
        <v>0.53110599078341</v>
      </c>
      <c r="K36" s="9" t="n">
        <f aca="false">Tabla3510813153423[[#This Row],[efect_inc]]/Tabla3510813153423[[#This Row],[efec]]</f>
        <v>0.46889400921659</v>
      </c>
      <c r="L36" s="9" t="n">
        <f aca="false">Tabla3510813153423[[#This Row],[no_efec_cor]]/Tabla3510813153423[[#This Row],[no_efe]]</f>
        <v>0.46046511627907</v>
      </c>
      <c r="M36" s="9" t="n">
        <f aca="false">Tabla3510813153423[[#This Row],[no_efec_inc]]/Tabla3510813153423[[#This Row],[no_efe]]</f>
        <v>0.53953488372093</v>
      </c>
      <c r="N36" s="9" t="n">
        <f aca="false">(Tabla3510813153423[[#This Row],[% efe_cor]]+Tabla3510813153423[[#This Row],[% no_efe_cor]])/2</f>
        <v>0.49578555353124</v>
      </c>
      <c r="O36" s="10" t="n">
        <f aca="false">(Tabla3510813153423[[#This Row],[% efe_inc]]+Tabla3510813153423[[#This Row],[% no_efect_inc]])/2</f>
        <v>0.50421444646876</v>
      </c>
      <c r="P36" s="11" t="n">
        <f aca="false">Tabla3510813153423[[#This Row],[no_efec_cor]]/(Tabla3510813153423[[#This Row],[efect_inc]]+Tabla3510813153423[[#This Row],[no_efec_cor]])</f>
        <v>0.493150684931507</v>
      </c>
      <c r="Q36" s="11" t="n">
        <f aca="false">Tabla3510813153423[[#This Row],[efec_cor]]/(Tabla3510813153423[[#This Row],[efec_cor]]+Tabla3510813153423[[#This Row],[no_efec_inc]])</f>
        <v>0.498378378378378</v>
      </c>
      <c r="R36" s="11" t="n">
        <f aca="false">(Tabla3510813153423[[#This Row],[PNE]]+Tabla3510813153423[[#This Row],[PE]])/2</f>
        <v>0.495764531654943</v>
      </c>
      <c r="S36" s="0" t="n">
        <v>868</v>
      </c>
      <c r="T36" s="0" t="n">
        <v>860</v>
      </c>
      <c r="U36" s="0" t="n">
        <f aca="false">Tabla3510813153423[[#This Row],[efec]]+Tabla3510813153423[[#This Row],[no_efe]]</f>
        <v>1728</v>
      </c>
    </row>
    <row r="37" customFormat="false" ht="13.8" hidden="false" customHeight="false" outlineLevel="0" collapsed="false">
      <c r="A37" s="0" t="n">
        <v>0.5</v>
      </c>
      <c r="B37" s="0" t="n">
        <v>1</v>
      </c>
      <c r="C37" s="0" t="n">
        <v>441</v>
      </c>
      <c r="D37" s="0" t="n">
        <v>419</v>
      </c>
      <c r="E37" s="0" t="n">
        <v>445</v>
      </c>
      <c r="F37" s="0" t="n">
        <v>423</v>
      </c>
      <c r="G37" s="0" t="n">
        <f aca="false">Tabla3510813153423[[#This Row],[no_efec_cor]]+Tabla3510813153423[[#This Row],[efec_cor]]</f>
        <v>886</v>
      </c>
      <c r="H37" s="0" t="n">
        <f aca="false">Tabla3510813153423[[#This Row],[no_efec_inc]]+Tabla3510813153423[[#This Row],[efect_inc]]</f>
        <v>842</v>
      </c>
      <c r="I37" s="9" t="n">
        <f aca="false">Tabla3510813153423[[#This Row],[Correctos]]/Tabla3510813153423[[#This Row],[total_sec]]</f>
        <v>0.512731481481482</v>
      </c>
      <c r="J37" s="9" t="n">
        <f aca="false">Tabla3510813153423[[#This Row],[efec_cor]]/Tabla3510813153423[[#This Row],[efec]]</f>
        <v>0.512672811059908</v>
      </c>
      <c r="K37" s="9" t="n">
        <f aca="false">Tabla3510813153423[[#This Row],[efect_inc]]/Tabla3510813153423[[#This Row],[efec]]</f>
        <v>0.487327188940092</v>
      </c>
      <c r="L37" s="9" t="n">
        <f aca="false">Tabla3510813153423[[#This Row],[no_efec_cor]]/Tabla3510813153423[[#This Row],[no_efe]]</f>
        <v>0.512790697674419</v>
      </c>
      <c r="M37" s="9" t="n">
        <f aca="false">Tabla3510813153423[[#This Row],[no_efec_inc]]/Tabla3510813153423[[#This Row],[no_efe]]</f>
        <v>0.487209302325581</v>
      </c>
      <c r="N37" s="9" t="n">
        <f aca="false">(Tabla3510813153423[[#This Row],[% efe_cor]]+Tabla3510813153423[[#This Row],[% no_efe_cor]])/2</f>
        <v>0.512731754367163</v>
      </c>
      <c r="O37" s="10" t="n">
        <f aca="false">(Tabla3510813153423[[#This Row],[% efe_inc]]+Tabla3510813153423[[#This Row],[% no_efect_inc]])/2</f>
        <v>0.487268245632837</v>
      </c>
      <c r="P37" s="11" t="n">
        <f aca="false">Tabla3510813153423[[#This Row],[no_efec_cor]]/(Tabla3510813153423[[#This Row],[efect_inc]]+Tabla3510813153423[[#This Row],[no_efec_cor]])</f>
        <v>0.510416666666667</v>
      </c>
      <c r="Q37" s="11" t="n">
        <f aca="false">Tabla3510813153423[[#This Row],[efec_cor]]/(Tabla3510813153423[[#This Row],[efec_cor]]+Tabla3510813153423[[#This Row],[no_efec_inc]])</f>
        <v>0.515046296296296</v>
      </c>
      <c r="R37" s="11" t="n">
        <f aca="false">(Tabla3510813153423[[#This Row],[PNE]]+Tabla3510813153423[[#This Row],[PE]])/2</f>
        <v>0.512731481481481</v>
      </c>
      <c r="S37" s="0" t="n">
        <v>868</v>
      </c>
      <c r="T37" s="0" t="n">
        <v>860</v>
      </c>
      <c r="U37" s="0" t="n">
        <f aca="false">Tabla3510813153423[[#This Row],[efec]]+Tabla3510813153423[[#This Row],[no_efe]]</f>
        <v>1728</v>
      </c>
    </row>
    <row r="38" customFormat="false" ht="13.8" hidden="false" customHeight="false" outlineLevel="0" collapsed="false">
      <c r="A38" s="0" t="n">
        <v>0.1</v>
      </c>
      <c r="B38" s="0" t="n">
        <v>1</v>
      </c>
      <c r="C38" s="0" t="n">
        <v>360</v>
      </c>
      <c r="D38" s="0" t="n">
        <v>500</v>
      </c>
      <c r="E38" s="0" t="n">
        <v>557</v>
      </c>
      <c r="F38" s="0" t="n">
        <v>311</v>
      </c>
      <c r="G38" s="0" t="n">
        <f aca="false">Tabla3510813153423[[#This Row],[no_efec_cor]]+Tabla3510813153423[[#This Row],[efec_cor]]</f>
        <v>917</v>
      </c>
      <c r="H38" s="0" t="n">
        <f aca="false">Tabla3510813153423[[#This Row],[no_efec_inc]]+Tabla3510813153423[[#This Row],[efect_inc]]</f>
        <v>811</v>
      </c>
      <c r="I38" s="9" t="n">
        <f aca="false">Tabla3510813153423[[#This Row],[Correctos]]/Tabla3510813153423[[#This Row],[total_sec]]</f>
        <v>0.530671296296296</v>
      </c>
      <c r="J38" s="9" t="n">
        <f aca="false">Tabla3510813153423[[#This Row],[efec_cor]]/Tabla3510813153423[[#This Row],[efec]]</f>
        <v>0.641705069124424</v>
      </c>
      <c r="K38" s="9" t="n">
        <f aca="false">Tabla3510813153423[[#This Row],[efect_inc]]/Tabla3510813153423[[#This Row],[efec]]</f>
        <v>0.358294930875576</v>
      </c>
      <c r="L38" s="9" t="n">
        <f aca="false">Tabla3510813153423[[#This Row],[no_efec_cor]]/Tabla3510813153423[[#This Row],[no_efe]]</f>
        <v>0.418604651162791</v>
      </c>
      <c r="M38" s="9" t="n">
        <f aca="false">Tabla3510813153423[[#This Row],[no_efec_inc]]/Tabla3510813153423[[#This Row],[no_efe]]</f>
        <v>0.581395348837209</v>
      </c>
      <c r="N38" s="9" t="n">
        <f aca="false">(Tabla3510813153423[[#This Row],[% efe_cor]]+Tabla3510813153423[[#This Row],[% no_efe_cor]])/2</f>
        <v>0.530154860143607</v>
      </c>
      <c r="O38" s="10" t="n">
        <f aca="false">(Tabla3510813153423[[#This Row],[% efe_inc]]+Tabla3510813153423[[#This Row],[% no_efect_inc]])/2</f>
        <v>0.469845139856393</v>
      </c>
      <c r="P38" s="11" t="n">
        <f aca="false">Tabla3510813153423[[#This Row],[no_efec_cor]]/(Tabla3510813153423[[#This Row],[efect_inc]]+Tabla3510813153423[[#This Row],[no_efec_cor]])</f>
        <v>0.536512667660209</v>
      </c>
      <c r="Q38" s="11" t="n">
        <f aca="false">Tabla3510813153423[[#This Row],[efec_cor]]/(Tabla3510813153423[[#This Row],[efec_cor]]+Tabla3510813153423[[#This Row],[no_efec_inc]])</f>
        <v>0.526963103122043</v>
      </c>
      <c r="R38" s="11" t="n">
        <f aca="false">(Tabla3510813153423[[#This Row],[PNE]]+Tabla3510813153423[[#This Row],[PE]])/2</f>
        <v>0.531737885391126</v>
      </c>
      <c r="S38" s="0" t="n">
        <v>868</v>
      </c>
      <c r="T38" s="0" t="n">
        <v>860</v>
      </c>
      <c r="U38" s="0" t="n">
        <f aca="false">Tabla3510813153423[[#This Row],[efec]]+Tabla3510813153423[[#This Row],[no_efe]]</f>
        <v>1728</v>
      </c>
    </row>
    <row r="39" customFormat="false" ht="13.8" hidden="false" customHeight="false" outlineLevel="0" collapsed="false">
      <c r="A39" s="0" t="n">
        <v>0.5</v>
      </c>
      <c r="B39" s="0" t="n">
        <v>0.5</v>
      </c>
      <c r="C39" s="0" t="n">
        <v>416</v>
      </c>
      <c r="D39" s="0" t="n">
        <v>444</v>
      </c>
      <c r="E39" s="0" t="n">
        <v>480</v>
      </c>
      <c r="F39" s="0" t="n">
        <v>388</v>
      </c>
      <c r="G39" s="0" t="n">
        <f aca="false">Tabla3510813153423[[#This Row],[no_efec_cor]]+Tabla3510813153423[[#This Row],[efec_cor]]</f>
        <v>896</v>
      </c>
      <c r="H39" s="0" t="n">
        <f aca="false">Tabla3510813153423[[#This Row],[no_efec_inc]]+Tabla3510813153423[[#This Row],[efect_inc]]</f>
        <v>832</v>
      </c>
      <c r="I39" s="9" t="n">
        <f aca="false">Tabla3510813153423[[#This Row],[Correctos]]/Tabla3510813153423[[#This Row],[total_sec]]</f>
        <v>0.518518518518518</v>
      </c>
      <c r="J39" s="9" t="n">
        <f aca="false">Tabla3510813153423[[#This Row],[efec_cor]]/Tabla3510813153423[[#This Row],[efec]]</f>
        <v>0.552995391705069</v>
      </c>
      <c r="K39" s="9" t="n">
        <f aca="false">Tabla3510813153423[[#This Row],[efect_inc]]/Tabla3510813153423[[#This Row],[efec]]</f>
        <v>0.447004608294931</v>
      </c>
      <c r="L39" s="9" t="n">
        <f aca="false">Tabla3510813153423[[#This Row],[no_efec_cor]]/Tabla3510813153423[[#This Row],[no_efe]]</f>
        <v>0.483720930232558</v>
      </c>
      <c r="M39" s="9" t="n">
        <f aca="false">Tabla3510813153423[[#This Row],[no_efec_inc]]/Tabla3510813153423[[#This Row],[no_efe]]</f>
        <v>0.516279069767442</v>
      </c>
      <c r="N39" s="9" t="n">
        <f aca="false">(Tabla3510813153423[[#This Row],[% efe_cor]]+Tabla3510813153423[[#This Row],[% no_efe_cor]])/2</f>
        <v>0.518358160968814</v>
      </c>
      <c r="O39" s="10" t="n">
        <f aca="false">(Tabla3510813153423[[#This Row],[% efe_inc]]+Tabla3510813153423[[#This Row],[% no_efect_inc]])/2</f>
        <v>0.481641839031186</v>
      </c>
      <c r="P39" s="11" t="n">
        <f aca="false">Tabla3510813153423[[#This Row],[no_efec_cor]]/(Tabla3510813153423[[#This Row],[efect_inc]]+Tabla3510813153423[[#This Row],[no_efec_cor]])</f>
        <v>0.517412935323383</v>
      </c>
      <c r="Q39" s="11" t="n">
        <f aca="false">Tabla3510813153423[[#This Row],[efec_cor]]/(Tabla3510813153423[[#This Row],[efec_cor]]+Tabla3510813153423[[#This Row],[no_efec_inc]])</f>
        <v>0.519480519480519</v>
      </c>
      <c r="R39" s="11" t="n">
        <f aca="false">(Tabla3510813153423[[#This Row],[PNE]]+Tabla3510813153423[[#This Row],[PE]])/2</f>
        <v>0.518446727401951</v>
      </c>
      <c r="S39" s="0" t="n">
        <v>868</v>
      </c>
      <c r="T39" s="0" t="n">
        <v>860</v>
      </c>
      <c r="U39" s="0" t="n">
        <f aca="false">Tabla3510813153423[[#This Row],[efec]]+Tabla3510813153423[[#This Row],[no_efe]]</f>
        <v>1728</v>
      </c>
    </row>
  </sheetData>
  <mergeCells count="9">
    <mergeCell ref="A1:U1"/>
    <mergeCell ref="A2:U2"/>
    <mergeCell ref="A4:B4"/>
    <mergeCell ref="A5:B5"/>
    <mergeCell ref="A6:B6"/>
    <mergeCell ref="A8:I8"/>
    <mergeCell ref="A20:U20"/>
    <mergeCell ref="A21:U21"/>
    <mergeCell ref="A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T9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75" activeCellId="0" sqref="A7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7.85"/>
    <col collapsed="false" customWidth="true" hidden="false" outlineLevel="0" max="3" min="3" style="0" width="14.57"/>
    <col collapsed="false" customWidth="true" hidden="false" outlineLevel="0" max="4" min="4" style="0" width="12.14"/>
    <col collapsed="false" customWidth="true" hidden="false" outlineLevel="0" max="5" min="5" style="0" width="11.43"/>
    <col collapsed="false" customWidth="true" hidden="false" outlineLevel="0" max="6" min="6" style="0" width="12.71"/>
    <col collapsed="false" customWidth="true" hidden="false" outlineLevel="0" max="7" min="7" style="0" width="13.28"/>
    <col collapsed="false" customWidth="true" hidden="false" outlineLevel="0" max="9" min="9" style="0" width="14.57"/>
    <col collapsed="false" customWidth="true" hidden="false" outlineLevel="0" max="10" min="10" style="0" width="15.71"/>
    <col collapsed="false" customWidth="true" hidden="false" outlineLevel="0" max="11" min="11" style="0" width="16.14"/>
    <col collapsed="false" customWidth="true" hidden="false" outlineLevel="0" max="12" min="12" style="0" width="18.57"/>
    <col collapsed="false" customWidth="true" hidden="false" outlineLevel="0" max="13" min="13" style="0" width="11.43"/>
  </cols>
  <sheetData>
    <row r="1" customFormat="false" ht="19.5" hidden="false" customHeight="false" outlineLevel="0" collapsed="false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customFormat="false" ht="15" hidden="false" customHeight="false" outlineLevel="0" collapsed="false">
      <c r="A3" s="3" t="s">
        <v>2</v>
      </c>
      <c r="B3" s="3"/>
      <c r="C3" s="4"/>
    </row>
    <row r="4" customFormat="false" ht="15" hidden="false" customHeight="false" outlineLevel="0" collapsed="false">
      <c r="A4" s="3" t="s">
        <v>3</v>
      </c>
      <c r="B4" s="3"/>
      <c r="C4" s="4"/>
    </row>
    <row r="5" customFormat="false" ht="15" hidden="false" customHeight="false" outlineLevel="0" collapsed="false">
      <c r="A5" s="3" t="s">
        <v>4</v>
      </c>
      <c r="B5" s="3"/>
      <c r="C5" s="4" t="n">
        <f aca="false">SUM(C3:C4)</f>
        <v>0</v>
      </c>
    </row>
    <row r="7" customFormat="false" ht="15" hidden="false" customHeight="false" outlineLevel="0" collapsed="false">
      <c r="A7" s="13" t="s">
        <v>5</v>
      </c>
      <c r="B7" s="13"/>
      <c r="C7" s="13"/>
      <c r="D7" s="13"/>
      <c r="E7" s="13"/>
      <c r="F7" s="13"/>
      <c r="G7" s="13"/>
      <c r="H7" s="12"/>
      <c r="I7" s="12"/>
    </row>
    <row r="8" customFormat="false" ht="16.5" hidden="false" customHeight="false" outlineLevel="0" collapsed="false">
      <c r="A8" s="14" t="s">
        <v>37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customFormat="false" ht="15.75" hidden="false" customHeight="false" outlineLevel="0" collapsed="false">
      <c r="A9" s="7" t="s">
        <v>38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  <row r="10" customFormat="false" ht="13.8" hidden="false" customHeight="false" outlineLevel="0" collapsed="false">
      <c r="A10" s="0" t="s">
        <v>39</v>
      </c>
      <c r="F10" s="0" t="n">
        <f aca="false">Tabla3510813153[[#This Row],[no_efec_cor]]+Tabla3510813153[[#This Row],[efec_cor]]</f>
        <v>0</v>
      </c>
      <c r="G10" s="0" t="n">
        <f aca="false">Tabla3510813153[[#This Row],[no_efec_inc]]+Tabla3510813153[[#This Row],[efect_inc]]</f>
        <v>0</v>
      </c>
      <c r="H10" s="9" t="e">
        <f aca="false">Tabla3510813153[[#This Row],[Correctos]]/Tabla3510813153[[#This Row],[total_sec]]</f>
        <v>#DIV/0!</v>
      </c>
      <c r="I10" s="9" t="e">
        <f aca="false">Tabla3510813153[[#This Row],[efec_cor]]/Tabla3510813153[[#This Row],[efec]]</f>
        <v>#DIV/0!</v>
      </c>
      <c r="J10" s="9" t="e">
        <f aca="false">Tabla3510813153[[#This Row],[efect_inc]]/Tabla3510813153[[#This Row],[efec]]</f>
        <v>#DIV/0!</v>
      </c>
      <c r="K10" s="9" t="e">
        <f aca="false">Tabla3510813153[[#This Row],[no_efec_cor]]/Tabla3510813153[[#This Row],[no_efe]]</f>
        <v>#DIV/0!</v>
      </c>
      <c r="L10" s="9" t="e">
        <f aca="false">Tabla3510813153[[#This Row],[no_efec_inc]]/Tabla3510813153[[#This Row],[no_efe]]</f>
        <v>#DIV/0!</v>
      </c>
      <c r="M10" s="9" t="e">
        <f aca="false">(Tabla3510813153[[#This Row],[% efe_cor]]+Tabla3510813153[[#This Row],[% no_efe_cor]])/2</f>
        <v>#DIV/0!</v>
      </c>
      <c r="N10" s="9" t="e">
        <f aca="false">(Tabla3510813153[[#This Row],[% efe_inc]]+Tabla3510813153[[#This Row],[% no_efect_inc]])/2</f>
        <v>#DIV/0!</v>
      </c>
      <c r="O10" s="11" t="e">
        <f aca="false">Tabla3510813153[[#This Row],[no_efec_cor]]/(Tabla3510813153[[#This Row],[efect_inc]]+Tabla3510813153[[#This Row],[no_efec_cor]])</f>
        <v>#DIV/0!</v>
      </c>
      <c r="P10" s="11" t="e">
        <f aca="false">Tabla3510813153[[#This Row],[efec_cor]]/(Tabla3510813153[[#This Row],[efec_cor]]+Tabla3510813153[[#This Row],[no_efec_inc]])</f>
        <v>#DIV/0!</v>
      </c>
      <c r="Q10" s="11" t="e">
        <f aca="false">(Tabla3510813153[[#This Row],[PNE]]+Tabla3510813153[[#This Row],[PE]])/2</f>
        <v>#DIV/0!</v>
      </c>
      <c r="T10" s="0" t="n">
        <f aca="false">Tabla3510813153[[#This Row],[efec]]+Tabla3510813153[[#This Row],[no_efe]]</f>
        <v>0</v>
      </c>
    </row>
    <row r="11" customFormat="false" ht="13.8" hidden="false" customHeight="false" outlineLevel="0" collapsed="false">
      <c r="A11" s="0" t="s">
        <v>40</v>
      </c>
      <c r="F11" s="0" t="n">
        <f aca="false">Tabla3510813153[[#This Row],[no_efec_cor]]+Tabla3510813153[[#This Row],[efec_cor]]</f>
        <v>0</v>
      </c>
      <c r="G11" s="0" t="n">
        <f aca="false">Tabla3510813153[[#This Row],[no_efec_inc]]+Tabla3510813153[[#This Row],[efect_inc]]</f>
        <v>0</v>
      </c>
      <c r="H11" s="9" t="e">
        <f aca="false">Tabla3510813153[[#This Row],[Correctos]]/Tabla3510813153[[#This Row],[total_sec]]</f>
        <v>#DIV/0!</v>
      </c>
      <c r="I11" s="9" t="e">
        <f aca="false">Tabla3510813153[[#This Row],[efec_cor]]/Tabla3510813153[[#This Row],[efec]]</f>
        <v>#DIV/0!</v>
      </c>
      <c r="J11" s="9" t="e">
        <f aca="false">Tabla3510813153[[#This Row],[efect_inc]]/Tabla3510813153[[#This Row],[efec]]</f>
        <v>#DIV/0!</v>
      </c>
      <c r="K11" s="9" t="e">
        <f aca="false">Tabla3510813153[[#This Row],[no_efec_cor]]/Tabla3510813153[[#This Row],[no_efe]]</f>
        <v>#DIV/0!</v>
      </c>
      <c r="L11" s="9" t="e">
        <f aca="false">Tabla3510813153[[#This Row],[no_efec_inc]]/Tabla3510813153[[#This Row],[no_efe]]</f>
        <v>#DIV/0!</v>
      </c>
      <c r="M11" s="9" t="e">
        <f aca="false">(Tabla3510813153[[#This Row],[% efe_cor]]+Tabla3510813153[[#This Row],[% no_efe_cor]])/2</f>
        <v>#DIV/0!</v>
      </c>
      <c r="N11" s="9" t="e">
        <f aca="false">(Tabla3510813153[[#This Row],[% efe_inc]]+Tabla3510813153[[#This Row],[% no_efect_inc]])/2</f>
        <v>#DIV/0!</v>
      </c>
      <c r="O11" s="11" t="e">
        <f aca="false">Tabla3510813153[[#This Row],[no_efec_cor]]/(Tabla3510813153[[#This Row],[efect_inc]]+Tabla3510813153[[#This Row],[no_efec_cor]])</f>
        <v>#DIV/0!</v>
      </c>
      <c r="P11" s="11" t="e">
        <f aca="false">Tabla3510813153[[#This Row],[efec_cor]]/(Tabla3510813153[[#This Row],[efec_cor]]+Tabla3510813153[[#This Row],[no_efec_inc]])</f>
        <v>#DIV/0!</v>
      </c>
      <c r="Q11" s="11" t="e">
        <f aca="false">(Tabla3510813153[[#This Row],[PNE]]+Tabla3510813153[[#This Row],[PE]])/2</f>
        <v>#DIV/0!</v>
      </c>
      <c r="T11" s="0" t="n">
        <f aca="false">Tabla3510813153[[#This Row],[efec]]+Tabla3510813153[[#This Row],[no_efe]]</f>
        <v>0</v>
      </c>
    </row>
    <row r="12" customFormat="false" ht="13.8" hidden="false" customHeight="false" outlineLevel="0" collapsed="false">
      <c r="A12" s="0" t="s">
        <v>41</v>
      </c>
      <c r="F12" s="0" t="n">
        <f aca="false">Tabla3510813153[[#This Row],[no_efec_cor]]+Tabla3510813153[[#This Row],[efec_cor]]</f>
        <v>0</v>
      </c>
      <c r="G12" s="0" t="n">
        <f aca="false">Tabla3510813153[[#This Row],[no_efec_inc]]+Tabla3510813153[[#This Row],[efect_inc]]</f>
        <v>0</v>
      </c>
      <c r="H12" s="9" t="e">
        <f aca="false">Tabla3510813153[[#This Row],[Correctos]]/Tabla3510813153[[#This Row],[total_sec]]</f>
        <v>#DIV/0!</v>
      </c>
      <c r="I12" s="9" t="e">
        <f aca="false">Tabla3510813153[[#This Row],[efec_cor]]/Tabla3510813153[[#This Row],[efec]]</f>
        <v>#DIV/0!</v>
      </c>
      <c r="J12" s="9" t="e">
        <f aca="false">Tabla3510813153[[#This Row],[efect_inc]]/Tabla3510813153[[#This Row],[efec]]</f>
        <v>#DIV/0!</v>
      </c>
      <c r="K12" s="9" t="e">
        <f aca="false">Tabla3510813153[[#This Row],[no_efec_cor]]/Tabla3510813153[[#This Row],[no_efe]]</f>
        <v>#DIV/0!</v>
      </c>
      <c r="L12" s="9" t="e">
        <f aca="false">Tabla3510813153[[#This Row],[no_efec_inc]]/Tabla3510813153[[#This Row],[no_efe]]</f>
        <v>#DIV/0!</v>
      </c>
      <c r="M12" s="9" t="e">
        <f aca="false">(Tabla3510813153[[#This Row],[% efe_cor]]+Tabla3510813153[[#This Row],[% no_efe_cor]])/2</f>
        <v>#DIV/0!</v>
      </c>
      <c r="N12" s="10" t="e">
        <f aca="false">(Tabla3510813153[[#This Row],[% efe_inc]]+Tabla3510813153[[#This Row],[% no_efect_inc]])/2</f>
        <v>#DIV/0!</v>
      </c>
      <c r="O12" s="11" t="e">
        <f aca="false">Tabla3510813153[[#This Row],[no_efec_cor]]/(Tabla3510813153[[#This Row],[efect_inc]]+Tabla3510813153[[#This Row],[no_efec_cor]])</f>
        <v>#DIV/0!</v>
      </c>
      <c r="P12" s="11" t="e">
        <f aca="false">Tabla3510813153[[#This Row],[efec_cor]]/(Tabla3510813153[[#This Row],[efec_cor]]+Tabla3510813153[[#This Row],[no_efec_inc]])</f>
        <v>#DIV/0!</v>
      </c>
      <c r="Q12" s="11" t="e">
        <f aca="false">(Tabla3510813153[[#This Row],[PNE]]+Tabla3510813153[[#This Row],[PE]])/2</f>
        <v>#DIV/0!</v>
      </c>
      <c r="T12" s="0" t="n">
        <f aca="false">Tabla3510813153[[#This Row],[efec]]+Tabla3510813153[[#This Row],[no_efe]]</f>
        <v>0</v>
      </c>
    </row>
    <row r="13" customFormat="false" ht="13.8" hidden="false" customHeight="false" outlineLevel="0" collapsed="false">
      <c r="A13" s="0" t="s">
        <v>42</v>
      </c>
      <c r="F13" s="0" t="n">
        <f aca="false">Tabla3510813153[[#This Row],[no_efec_cor]]+Tabla3510813153[[#This Row],[efec_cor]]</f>
        <v>0</v>
      </c>
      <c r="G13" s="0" t="n">
        <f aca="false">Tabla3510813153[[#This Row],[no_efec_inc]]+Tabla3510813153[[#This Row],[efect_inc]]</f>
        <v>0</v>
      </c>
      <c r="H13" s="9" t="e">
        <f aca="false">Tabla3510813153[[#This Row],[Correctos]]/Tabla3510813153[[#This Row],[total_sec]]</f>
        <v>#DIV/0!</v>
      </c>
      <c r="I13" s="9" t="e">
        <f aca="false">Tabla3510813153[[#This Row],[efec_cor]]/Tabla3510813153[[#This Row],[efec]]</f>
        <v>#DIV/0!</v>
      </c>
      <c r="J13" s="9" t="e">
        <f aca="false">Tabla3510813153[[#This Row],[efect_inc]]/Tabla3510813153[[#This Row],[efec]]</f>
        <v>#DIV/0!</v>
      </c>
      <c r="K13" s="9" t="e">
        <f aca="false">Tabla3510813153[[#This Row],[no_efec_cor]]/Tabla3510813153[[#This Row],[no_efe]]</f>
        <v>#DIV/0!</v>
      </c>
      <c r="L13" s="9" t="e">
        <f aca="false">Tabla3510813153[[#This Row],[no_efec_inc]]/Tabla3510813153[[#This Row],[no_efe]]</f>
        <v>#DIV/0!</v>
      </c>
      <c r="M13" s="9" t="e">
        <f aca="false">(Tabla3510813153[[#This Row],[% efe_cor]]+Tabla3510813153[[#This Row],[% no_efe_cor]])/2</f>
        <v>#DIV/0!</v>
      </c>
      <c r="N13" s="10" t="e">
        <f aca="false">(Tabla3510813153[[#This Row],[% efe_inc]]+Tabla3510813153[[#This Row],[% no_efect_inc]])/2</f>
        <v>#DIV/0!</v>
      </c>
      <c r="O13" s="11" t="e">
        <f aca="false">Tabla3510813153[[#This Row],[no_efec_cor]]/(Tabla3510813153[[#This Row],[efect_inc]]+Tabla3510813153[[#This Row],[no_efec_cor]])</f>
        <v>#DIV/0!</v>
      </c>
      <c r="P13" s="11" t="e">
        <f aca="false">Tabla3510813153[[#This Row],[efec_cor]]/(Tabla3510813153[[#This Row],[efec_cor]]+Tabla3510813153[[#This Row],[no_efec_inc]])</f>
        <v>#DIV/0!</v>
      </c>
      <c r="Q13" s="11" t="e">
        <f aca="false">(Tabla3510813153[[#This Row],[PNE]]+Tabla3510813153[[#This Row],[PE]])/2</f>
        <v>#DIV/0!</v>
      </c>
      <c r="T13" s="0" t="n">
        <f aca="false">Tabla3510813153[[#This Row],[efec]]+Tabla3510813153[[#This Row],[no_efe]]</f>
        <v>0</v>
      </c>
    </row>
    <row r="14" customFormat="false" ht="13.8" hidden="false" customHeight="false" outlineLevel="0" collapsed="false">
      <c r="A14" s="0" t="s">
        <v>43</v>
      </c>
      <c r="F14" s="0" t="n">
        <f aca="false">Tabla3510813153[[#This Row],[no_efec_cor]]+Tabla3510813153[[#This Row],[efec_cor]]</f>
        <v>0</v>
      </c>
      <c r="G14" s="0" t="n">
        <f aca="false">Tabla3510813153[[#This Row],[no_efec_inc]]+Tabla3510813153[[#This Row],[efect_inc]]</f>
        <v>0</v>
      </c>
      <c r="H14" s="9" t="e">
        <f aca="false">Tabla3510813153[[#This Row],[Correctos]]/Tabla3510813153[[#This Row],[total_sec]]</f>
        <v>#DIV/0!</v>
      </c>
      <c r="I14" s="9" t="e">
        <f aca="false">Tabla3510813153[[#This Row],[efec_cor]]/Tabla3510813153[[#This Row],[efec]]</f>
        <v>#DIV/0!</v>
      </c>
      <c r="J14" s="9" t="e">
        <f aca="false">Tabla3510813153[[#This Row],[efect_inc]]/Tabla3510813153[[#This Row],[efec]]</f>
        <v>#DIV/0!</v>
      </c>
      <c r="K14" s="9" t="e">
        <f aca="false">Tabla3510813153[[#This Row],[no_efec_cor]]/Tabla3510813153[[#This Row],[no_efe]]</f>
        <v>#DIV/0!</v>
      </c>
      <c r="L14" s="9" t="e">
        <f aca="false">Tabla3510813153[[#This Row],[no_efec_inc]]/Tabla3510813153[[#This Row],[no_efe]]</f>
        <v>#DIV/0!</v>
      </c>
      <c r="M14" s="9" t="e">
        <f aca="false">(Tabla3510813153[[#This Row],[% efe_cor]]+Tabla3510813153[[#This Row],[% no_efe_cor]])/2</f>
        <v>#DIV/0!</v>
      </c>
      <c r="N14" s="10" t="e">
        <f aca="false">(Tabla3510813153[[#This Row],[% efe_inc]]+Tabla3510813153[[#This Row],[% no_efect_inc]])/2</f>
        <v>#DIV/0!</v>
      </c>
      <c r="O14" s="11" t="e">
        <f aca="false">Tabla3510813153[[#This Row],[no_efec_cor]]/(Tabla3510813153[[#This Row],[efect_inc]]+Tabla3510813153[[#This Row],[no_efec_cor]])</f>
        <v>#DIV/0!</v>
      </c>
      <c r="P14" s="11" t="e">
        <f aca="false">Tabla3510813153[[#This Row],[efec_cor]]/(Tabla3510813153[[#This Row],[efec_cor]]+Tabla3510813153[[#This Row],[no_efec_inc]])</f>
        <v>#DIV/0!</v>
      </c>
      <c r="Q14" s="11" t="e">
        <f aca="false">(Tabla3510813153[[#This Row],[PNE]]+Tabla3510813153[[#This Row],[PE]])/2</f>
        <v>#DIV/0!</v>
      </c>
      <c r="T14" s="0" t="n">
        <f aca="false">Tabla3510813153[[#This Row],[efec]]+Tabla3510813153[[#This Row],[no_efe]]</f>
        <v>0</v>
      </c>
    </row>
    <row r="15" customFormat="false" ht="13.8" hidden="false" customHeight="false" outlineLevel="0" collapsed="false">
      <c r="A15" s="0" t="s">
        <v>44</v>
      </c>
      <c r="F15" s="0" t="n">
        <f aca="false">Tabla3510813153[[#This Row],[no_efec_cor]]+Tabla3510813153[[#This Row],[efec_cor]]</f>
        <v>0</v>
      </c>
      <c r="G15" s="0" t="n">
        <f aca="false">Tabla3510813153[[#This Row],[no_efec_inc]]+Tabla3510813153[[#This Row],[efect_inc]]</f>
        <v>0</v>
      </c>
      <c r="H15" s="9" t="e">
        <f aca="false">Tabla3510813153[[#This Row],[Correctos]]/Tabla3510813153[[#This Row],[total_sec]]</f>
        <v>#DIV/0!</v>
      </c>
      <c r="I15" s="9" t="e">
        <f aca="false">Tabla3510813153[[#This Row],[efec_cor]]/Tabla3510813153[[#This Row],[efec]]</f>
        <v>#DIV/0!</v>
      </c>
      <c r="J15" s="9" t="e">
        <f aca="false">Tabla3510813153[[#This Row],[efect_inc]]/Tabla3510813153[[#This Row],[efec]]</f>
        <v>#DIV/0!</v>
      </c>
      <c r="K15" s="9" t="e">
        <f aca="false">Tabla3510813153[[#This Row],[no_efec_cor]]/Tabla3510813153[[#This Row],[no_efe]]</f>
        <v>#DIV/0!</v>
      </c>
      <c r="L15" s="9" t="e">
        <f aca="false">Tabla3510813153[[#This Row],[no_efec_inc]]/Tabla3510813153[[#This Row],[no_efe]]</f>
        <v>#DIV/0!</v>
      </c>
      <c r="M15" s="9" t="e">
        <f aca="false">(Tabla3510813153[[#This Row],[% efe_cor]]+Tabla3510813153[[#This Row],[% no_efe_cor]])/2</f>
        <v>#DIV/0!</v>
      </c>
      <c r="N15" s="10" t="e">
        <f aca="false">(Tabla3510813153[[#This Row],[% efe_inc]]+Tabla3510813153[[#This Row],[% no_efect_inc]])/2</f>
        <v>#DIV/0!</v>
      </c>
      <c r="O15" s="11" t="e">
        <f aca="false">Tabla3510813153[[#This Row],[no_efec_cor]]/(Tabla3510813153[[#This Row],[efect_inc]]+Tabla3510813153[[#This Row],[no_efec_cor]])</f>
        <v>#DIV/0!</v>
      </c>
      <c r="P15" s="11" t="e">
        <f aca="false">Tabla3510813153[[#This Row],[efec_cor]]/(Tabla3510813153[[#This Row],[efec_cor]]+Tabla3510813153[[#This Row],[no_efec_inc]])</f>
        <v>#DIV/0!</v>
      </c>
      <c r="Q15" s="11" t="e">
        <f aca="false">(Tabla3510813153[[#This Row],[PNE]]+Tabla3510813153[[#This Row],[PE]])/2</f>
        <v>#DIV/0!</v>
      </c>
      <c r="T15" s="0" t="n">
        <f aca="false">Tabla3510813153[[#This Row],[efec]]+Tabla3510813153[[#This Row],[no_efe]]</f>
        <v>0</v>
      </c>
    </row>
    <row r="16" customFormat="false" ht="15" hidden="false" customHeight="false" outlineLevel="0" collapsed="false">
      <c r="H16" s="10"/>
      <c r="I16" s="11"/>
      <c r="J16" s="11"/>
      <c r="K16" s="11"/>
    </row>
    <row r="17" customFormat="false" ht="15" hidden="false" customHeight="false" outlineLevel="0" collapsed="false">
      <c r="A17" s="13" t="s">
        <v>5</v>
      </c>
      <c r="B17" s="13"/>
      <c r="C17" s="13"/>
      <c r="D17" s="13"/>
      <c r="E17" s="13"/>
      <c r="F17" s="13"/>
      <c r="G17" s="13"/>
    </row>
    <row r="18" customFormat="false" ht="16.5" hidden="false" customHeight="false" outlineLevel="0" collapsed="false">
      <c r="A18" s="14" t="s">
        <v>45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15.75" hidden="false" customHeight="false" outlineLevel="0" collapsed="false">
      <c r="A19" s="7" t="s">
        <v>38</v>
      </c>
      <c r="B19" s="8" t="s">
        <v>7</v>
      </c>
      <c r="C19" s="8" t="s">
        <v>8</v>
      </c>
      <c r="D19" s="8" t="s">
        <v>9</v>
      </c>
      <c r="E19" s="8" t="s">
        <v>10</v>
      </c>
      <c r="F19" s="8" t="s">
        <v>11</v>
      </c>
      <c r="G19" s="8" t="s">
        <v>12</v>
      </c>
      <c r="H19" s="7" t="s">
        <v>13</v>
      </c>
      <c r="I19" s="7" t="s">
        <v>14</v>
      </c>
      <c r="J19" s="7" t="s">
        <v>15</v>
      </c>
      <c r="K19" s="7" t="s">
        <v>16</v>
      </c>
      <c r="L19" s="7" t="s">
        <v>17</v>
      </c>
      <c r="M19" s="7" t="s">
        <v>18</v>
      </c>
      <c r="N19" s="7" t="s">
        <v>19</v>
      </c>
      <c r="O19" s="7" t="s">
        <v>20</v>
      </c>
      <c r="P19" s="7" t="s">
        <v>21</v>
      </c>
      <c r="Q19" s="7" t="s">
        <v>22</v>
      </c>
      <c r="R19" s="7" t="s">
        <v>23</v>
      </c>
      <c r="S19" s="7" t="s">
        <v>24</v>
      </c>
      <c r="T19" s="7" t="s">
        <v>25</v>
      </c>
    </row>
    <row r="20" customFormat="false" ht="13.8" hidden="false" customHeight="false" outlineLevel="0" collapsed="false">
      <c r="A20" s="0" t="s">
        <v>39</v>
      </c>
      <c r="F20" s="0" t="n">
        <f aca="false">Tabla35108131536[[#This Row],[no_efec_cor]]+Tabla35108131536[[#This Row],[efec_cor]]</f>
        <v>0</v>
      </c>
      <c r="G20" s="0" t="n">
        <f aca="false">Tabla35108131536[[#This Row],[no_efec_inc]]+Tabla35108131536[[#This Row],[efect_inc]]</f>
        <v>0</v>
      </c>
      <c r="H20" s="9" t="e">
        <f aca="false">Tabla35108131536[[#This Row],[Correctos]]/Tabla35108131536[[#This Row],[total_sec]]</f>
        <v>#DIV/0!</v>
      </c>
      <c r="I20" s="9" t="e">
        <f aca="false">Tabla35108131536[[#This Row],[efec_cor]]/Tabla35108131536[[#This Row],[efec]]</f>
        <v>#DIV/0!</v>
      </c>
      <c r="J20" s="9" t="e">
        <f aca="false">Tabla35108131536[[#This Row],[efect_inc]]/Tabla35108131536[[#This Row],[efec]]</f>
        <v>#DIV/0!</v>
      </c>
      <c r="K20" s="9" t="e">
        <f aca="false">Tabla35108131536[[#This Row],[no_efec_cor]]/Tabla35108131536[[#This Row],[no_efe]]</f>
        <v>#DIV/0!</v>
      </c>
      <c r="L20" s="9" t="e">
        <f aca="false">Tabla35108131536[[#This Row],[no_efec_inc]]/Tabla35108131536[[#This Row],[no_efe]]</f>
        <v>#DIV/0!</v>
      </c>
      <c r="M20" s="9" t="e">
        <f aca="false">(Tabla35108131536[[#This Row],[% efe_cor]]+Tabla35108131536[[#This Row],[% no_efe_cor]])/2</f>
        <v>#DIV/0!</v>
      </c>
      <c r="N20" s="10" t="e">
        <f aca="false">(Tabla35108131536[[#This Row],[% efe_inc]]+Tabla35108131536[[#This Row],[% no_efect_inc]])/2</f>
        <v>#DIV/0!</v>
      </c>
      <c r="O20" s="11" t="e">
        <f aca="false">Tabla35108131536[[#This Row],[no_efec_cor]]/(Tabla35108131536[[#This Row],[efect_inc]]+Tabla35108131536[[#This Row],[no_efec_cor]])</f>
        <v>#DIV/0!</v>
      </c>
      <c r="P20" s="11" t="e">
        <f aca="false">Tabla35108131536[[#This Row],[efec_cor]]/(Tabla35108131536[[#This Row],[efec_cor]]+Tabla35108131536[[#This Row],[no_efec_inc]])</f>
        <v>#DIV/0!</v>
      </c>
      <c r="Q20" s="11" t="e">
        <f aca="false">(Tabla35108131536[[#This Row],[PNE]]+Tabla35108131536[[#This Row],[PE]])/2</f>
        <v>#DIV/0!</v>
      </c>
      <c r="T20" s="0" t="n">
        <f aca="false">Tabla35108131536[[#This Row],[efec]]+Tabla35108131536[[#This Row],[no_efe]]</f>
        <v>0</v>
      </c>
    </row>
    <row r="21" customFormat="false" ht="13.8" hidden="false" customHeight="false" outlineLevel="0" collapsed="false">
      <c r="A21" s="0" t="s">
        <v>40</v>
      </c>
      <c r="F21" s="0" t="n">
        <f aca="false">Tabla35108131536[[#This Row],[no_efec_cor]]+Tabla35108131536[[#This Row],[efec_cor]]</f>
        <v>0</v>
      </c>
      <c r="G21" s="0" t="n">
        <f aca="false">Tabla35108131536[[#This Row],[no_efec_inc]]+Tabla35108131536[[#This Row],[efect_inc]]</f>
        <v>0</v>
      </c>
      <c r="H21" s="9" t="e">
        <f aca="false">Tabla35108131536[[#This Row],[Correctos]]/Tabla35108131536[[#This Row],[total_sec]]</f>
        <v>#DIV/0!</v>
      </c>
      <c r="I21" s="9" t="e">
        <f aca="false">Tabla35108131536[[#This Row],[efec_cor]]/Tabla35108131536[[#This Row],[efec]]</f>
        <v>#DIV/0!</v>
      </c>
      <c r="J21" s="9" t="e">
        <f aca="false">Tabla35108131536[[#This Row],[efect_inc]]/Tabla35108131536[[#This Row],[efec]]</f>
        <v>#DIV/0!</v>
      </c>
      <c r="K21" s="9" t="e">
        <f aca="false">Tabla35108131536[[#This Row],[no_efec_cor]]/Tabla35108131536[[#This Row],[no_efe]]</f>
        <v>#DIV/0!</v>
      </c>
      <c r="L21" s="9" t="e">
        <f aca="false">Tabla35108131536[[#This Row],[no_efec_inc]]/Tabla35108131536[[#This Row],[no_efe]]</f>
        <v>#DIV/0!</v>
      </c>
      <c r="M21" s="9" t="e">
        <f aca="false">(Tabla35108131536[[#This Row],[% efe_cor]]+Tabla35108131536[[#This Row],[% no_efe_cor]])/2</f>
        <v>#DIV/0!</v>
      </c>
      <c r="N21" s="10" t="e">
        <f aca="false">(Tabla35108131536[[#This Row],[% efe_inc]]+Tabla35108131536[[#This Row],[% no_efect_inc]])/2</f>
        <v>#DIV/0!</v>
      </c>
      <c r="O21" s="11" t="e">
        <f aca="false">Tabla35108131536[[#This Row],[no_efec_cor]]/(Tabla35108131536[[#This Row],[efect_inc]]+Tabla35108131536[[#This Row],[no_efec_cor]])</f>
        <v>#DIV/0!</v>
      </c>
      <c r="P21" s="11" t="e">
        <f aca="false">Tabla35108131536[[#This Row],[efec_cor]]/(Tabla35108131536[[#This Row],[efec_cor]]+Tabla35108131536[[#This Row],[no_efec_inc]])</f>
        <v>#DIV/0!</v>
      </c>
      <c r="Q21" s="11" t="e">
        <f aca="false">(Tabla35108131536[[#This Row],[PNE]]+Tabla35108131536[[#This Row],[PE]])/2</f>
        <v>#DIV/0!</v>
      </c>
      <c r="T21" s="0" t="n">
        <f aca="false">Tabla35108131536[[#This Row],[efec]]+Tabla35108131536[[#This Row],[no_efe]]</f>
        <v>0</v>
      </c>
    </row>
    <row r="22" customFormat="false" ht="13.8" hidden="false" customHeight="false" outlineLevel="0" collapsed="false">
      <c r="A22" s="0" t="s">
        <v>41</v>
      </c>
      <c r="F22" s="0" t="n">
        <f aca="false">Tabla35108131536[[#This Row],[no_efec_cor]]+Tabla35108131536[[#This Row],[efec_cor]]</f>
        <v>0</v>
      </c>
      <c r="G22" s="0" t="n">
        <f aca="false">Tabla35108131536[[#This Row],[no_efec_inc]]+Tabla35108131536[[#This Row],[efect_inc]]</f>
        <v>0</v>
      </c>
      <c r="H22" s="9" t="e">
        <f aca="false">Tabla35108131536[[#This Row],[Correctos]]/Tabla35108131536[[#This Row],[total_sec]]</f>
        <v>#DIV/0!</v>
      </c>
      <c r="I22" s="9" t="e">
        <f aca="false">Tabla35108131536[[#This Row],[efec_cor]]/Tabla35108131536[[#This Row],[efec]]</f>
        <v>#DIV/0!</v>
      </c>
      <c r="J22" s="9" t="e">
        <f aca="false">Tabla35108131536[[#This Row],[efect_inc]]/Tabla35108131536[[#This Row],[efec]]</f>
        <v>#DIV/0!</v>
      </c>
      <c r="K22" s="9" t="e">
        <f aca="false">Tabla35108131536[[#This Row],[no_efec_cor]]/Tabla35108131536[[#This Row],[no_efe]]</f>
        <v>#DIV/0!</v>
      </c>
      <c r="L22" s="9" t="e">
        <f aca="false">Tabla35108131536[[#This Row],[no_efec_inc]]/Tabla35108131536[[#This Row],[no_efe]]</f>
        <v>#DIV/0!</v>
      </c>
      <c r="M22" s="9" t="e">
        <f aca="false">(Tabla35108131536[[#This Row],[% efe_cor]]+Tabla35108131536[[#This Row],[% no_efe_cor]])/2</f>
        <v>#DIV/0!</v>
      </c>
      <c r="N22" s="10" t="e">
        <f aca="false">(Tabla35108131536[[#This Row],[% efe_inc]]+Tabla35108131536[[#This Row],[% no_efect_inc]])/2</f>
        <v>#DIV/0!</v>
      </c>
      <c r="O22" s="11" t="e">
        <f aca="false">Tabla35108131536[[#This Row],[no_efec_cor]]/(Tabla35108131536[[#This Row],[efect_inc]]+Tabla35108131536[[#This Row],[no_efec_cor]])</f>
        <v>#DIV/0!</v>
      </c>
      <c r="P22" s="11" t="e">
        <f aca="false">Tabla35108131536[[#This Row],[efec_cor]]/(Tabla35108131536[[#This Row],[efec_cor]]+Tabla35108131536[[#This Row],[no_efec_inc]])</f>
        <v>#DIV/0!</v>
      </c>
      <c r="Q22" s="11" t="e">
        <f aca="false">(Tabla35108131536[[#This Row],[PNE]]+Tabla35108131536[[#This Row],[PE]])/2</f>
        <v>#DIV/0!</v>
      </c>
      <c r="T22" s="0" t="n">
        <f aca="false">Tabla35108131536[[#This Row],[efec]]+Tabla35108131536[[#This Row],[no_efe]]</f>
        <v>0</v>
      </c>
    </row>
    <row r="23" customFormat="false" ht="13.8" hidden="false" customHeight="false" outlineLevel="0" collapsed="false">
      <c r="A23" s="0" t="s">
        <v>42</v>
      </c>
      <c r="F23" s="0" t="n">
        <f aca="false">Tabla35108131536[[#This Row],[no_efec_cor]]+Tabla35108131536[[#This Row],[efec_cor]]</f>
        <v>0</v>
      </c>
      <c r="G23" s="0" t="n">
        <f aca="false">Tabla35108131536[[#This Row],[no_efec_inc]]+Tabla35108131536[[#This Row],[efect_inc]]</f>
        <v>0</v>
      </c>
      <c r="H23" s="9" t="e">
        <f aca="false">Tabla35108131536[[#This Row],[Correctos]]/Tabla35108131536[[#This Row],[total_sec]]</f>
        <v>#DIV/0!</v>
      </c>
      <c r="I23" s="9" t="e">
        <f aca="false">Tabla35108131536[[#This Row],[efec_cor]]/Tabla35108131536[[#This Row],[efec]]</f>
        <v>#DIV/0!</v>
      </c>
      <c r="J23" s="9" t="e">
        <f aca="false">Tabla35108131536[[#This Row],[efect_inc]]/Tabla35108131536[[#This Row],[efec]]</f>
        <v>#DIV/0!</v>
      </c>
      <c r="K23" s="9" t="e">
        <f aca="false">Tabla35108131536[[#This Row],[no_efec_cor]]/Tabla35108131536[[#This Row],[no_efe]]</f>
        <v>#DIV/0!</v>
      </c>
      <c r="L23" s="9" t="e">
        <f aca="false">Tabla35108131536[[#This Row],[no_efec_inc]]/Tabla35108131536[[#This Row],[no_efe]]</f>
        <v>#DIV/0!</v>
      </c>
      <c r="M23" s="9" t="e">
        <f aca="false">(Tabla35108131536[[#This Row],[% efe_cor]]+Tabla35108131536[[#This Row],[% no_efe_cor]])/2</f>
        <v>#DIV/0!</v>
      </c>
      <c r="N23" s="10" t="e">
        <f aca="false">(Tabla35108131536[[#This Row],[% efe_inc]]+Tabla35108131536[[#This Row],[% no_efect_inc]])/2</f>
        <v>#DIV/0!</v>
      </c>
      <c r="O23" s="11" t="e">
        <f aca="false">Tabla35108131536[[#This Row],[no_efec_cor]]/(Tabla35108131536[[#This Row],[efect_inc]]+Tabla35108131536[[#This Row],[no_efec_cor]])</f>
        <v>#DIV/0!</v>
      </c>
      <c r="P23" s="11" t="e">
        <f aca="false">Tabla35108131536[[#This Row],[efec_cor]]/(Tabla35108131536[[#This Row],[efec_cor]]+Tabla35108131536[[#This Row],[no_efec_inc]])</f>
        <v>#DIV/0!</v>
      </c>
      <c r="Q23" s="11" t="e">
        <f aca="false">(Tabla35108131536[[#This Row],[PNE]]+Tabla35108131536[[#This Row],[PE]])/2</f>
        <v>#DIV/0!</v>
      </c>
      <c r="T23" s="0" t="n">
        <f aca="false">Tabla35108131536[[#This Row],[efec]]+Tabla35108131536[[#This Row],[no_efe]]</f>
        <v>0</v>
      </c>
    </row>
    <row r="24" customFormat="false" ht="13.8" hidden="false" customHeight="false" outlineLevel="0" collapsed="false">
      <c r="A24" s="0" t="s">
        <v>43</v>
      </c>
      <c r="F24" s="0" t="n">
        <f aca="false">Tabla35108131536[[#This Row],[no_efec_cor]]+Tabla35108131536[[#This Row],[efec_cor]]</f>
        <v>0</v>
      </c>
      <c r="G24" s="0" t="n">
        <f aca="false">Tabla35108131536[[#This Row],[no_efec_inc]]+Tabla35108131536[[#This Row],[efect_inc]]</f>
        <v>0</v>
      </c>
      <c r="H24" s="9" t="e">
        <f aca="false">Tabla35108131536[[#This Row],[Correctos]]/Tabla35108131536[[#This Row],[total_sec]]</f>
        <v>#DIV/0!</v>
      </c>
      <c r="I24" s="9" t="e">
        <f aca="false">Tabla35108131536[[#This Row],[efec_cor]]/Tabla35108131536[[#This Row],[efec]]</f>
        <v>#DIV/0!</v>
      </c>
      <c r="J24" s="9" t="e">
        <f aca="false">Tabla35108131536[[#This Row],[efect_inc]]/Tabla35108131536[[#This Row],[efec]]</f>
        <v>#DIV/0!</v>
      </c>
      <c r="K24" s="9" t="e">
        <f aca="false">Tabla35108131536[[#This Row],[no_efec_cor]]/Tabla35108131536[[#This Row],[no_efe]]</f>
        <v>#DIV/0!</v>
      </c>
      <c r="L24" s="9" t="e">
        <f aca="false">Tabla35108131536[[#This Row],[no_efec_inc]]/Tabla35108131536[[#This Row],[no_efe]]</f>
        <v>#DIV/0!</v>
      </c>
      <c r="M24" s="9" t="e">
        <f aca="false">(Tabla35108131536[[#This Row],[% efe_cor]]+Tabla35108131536[[#This Row],[% no_efe_cor]])/2</f>
        <v>#DIV/0!</v>
      </c>
      <c r="N24" s="10" t="e">
        <f aca="false">(Tabla35108131536[[#This Row],[% efe_inc]]+Tabla35108131536[[#This Row],[% no_efect_inc]])/2</f>
        <v>#DIV/0!</v>
      </c>
      <c r="O24" s="11" t="e">
        <f aca="false">Tabla35108131536[[#This Row],[no_efec_cor]]/(Tabla35108131536[[#This Row],[efect_inc]]+Tabla35108131536[[#This Row],[no_efec_cor]])</f>
        <v>#DIV/0!</v>
      </c>
      <c r="P24" s="11" t="e">
        <f aca="false">Tabla35108131536[[#This Row],[efec_cor]]/(Tabla35108131536[[#This Row],[efec_cor]]+Tabla35108131536[[#This Row],[no_efec_inc]])</f>
        <v>#DIV/0!</v>
      </c>
      <c r="Q24" s="11" t="e">
        <f aca="false">(Tabla35108131536[[#This Row],[PNE]]+Tabla35108131536[[#This Row],[PE]])/2</f>
        <v>#DIV/0!</v>
      </c>
      <c r="T24" s="0" t="n">
        <f aca="false">Tabla35108131536[[#This Row],[efec]]+Tabla35108131536[[#This Row],[no_efe]]</f>
        <v>0</v>
      </c>
    </row>
    <row r="25" customFormat="false" ht="13.8" hidden="false" customHeight="false" outlineLevel="0" collapsed="false">
      <c r="A25" s="0" t="s">
        <v>44</v>
      </c>
      <c r="F25" s="0" t="n">
        <f aca="false">Tabla35108131536[[#This Row],[no_efec_cor]]+Tabla35108131536[[#This Row],[efec_cor]]</f>
        <v>0</v>
      </c>
      <c r="G25" s="0" t="n">
        <f aca="false">Tabla35108131536[[#This Row],[no_efec_inc]]+Tabla35108131536[[#This Row],[efect_inc]]</f>
        <v>0</v>
      </c>
      <c r="H25" s="9" t="e">
        <f aca="false">Tabla35108131536[[#This Row],[Correctos]]/Tabla35108131536[[#This Row],[total_sec]]</f>
        <v>#DIV/0!</v>
      </c>
      <c r="I25" s="9" t="e">
        <f aca="false">Tabla35108131536[[#This Row],[efec_cor]]/Tabla35108131536[[#This Row],[efec]]</f>
        <v>#DIV/0!</v>
      </c>
      <c r="J25" s="9" t="e">
        <f aca="false">Tabla35108131536[[#This Row],[efect_inc]]/Tabla35108131536[[#This Row],[efec]]</f>
        <v>#DIV/0!</v>
      </c>
      <c r="K25" s="9" t="e">
        <f aca="false">Tabla35108131536[[#This Row],[no_efec_cor]]/Tabla35108131536[[#This Row],[no_efe]]</f>
        <v>#DIV/0!</v>
      </c>
      <c r="L25" s="9" t="e">
        <f aca="false">Tabla35108131536[[#This Row],[no_efec_inc]]/Tabla35108131536[[#This Row],[no_efe]]</f>
        <v>#DIV/0!</v>
      </c>
      <c r="M25" s="9" t="e">
        <f aca="false">(Tabla35108131536[[#This Row],[% efe_cor]]+Tabla35108131536[[#This Row],[% no_efe_cor]])/2</f>
        <v>#DIV/0!</v>
      </c>
      <c r="N25" s="10" t="e">
        <f aca="false">(Tabla35108131536[[#This Row],[% efe_inc]]+Tabla35108131536[[#This Row],[% no_efect_inc]])/2</f>
        <v>#DIV/0!</v>
      </c>
      <c r="O25" s="11" t="e">
        <f aca="false">Tabla35108131536[[#This Row],[no_efec_cor]]/(Tabla35108131536[[#This Row],[efect_inc]]+Tabla35108131536[[#This Row],[no_efec_cor]])</f>
        <v>#DIV/0!</v>
      </c>
      <c r="P25" s="11" t="e">
        <f aca="false">Tabla35108131536[[#This Row],[efec_cor]]/(Tabla35108131536[[#This Row],[efec_cor]]+Tabla35108131536[[#This Row],[no_efec_inc]])</f>
        <v>#DIV/0!</v>
      </c>
      <c r="Q25" s="11" t="e">
        <f aca="false">(Tabla35108131536[[#This Row],[PNE]]+Tabla35108131536[[#This Row],[PE]])/2</f>
        <v>#DIV/0!</v>
      </c>
      <c r="T25" s="0" t="n">
        <f aca="false">Tabla35108131536[[#This Row],[efec]]+Tabla35108131536[[#This Row],[no_efe]]</f>
        <v>0</v>
      </c>
    </row>
    <row r="27" customFormat="false" ht="15" hidden="false" customHeight="false" outlineLevel="0" collapsed="false">
      <c r="A27" s="13" t="s">
        <v>5</v>
      </c>
      <c r="B27" s="13"/>
      <c r="C27" s="13"/>
      <c r="D27" s="13"/>
      <c r="E27" s="13"/>
      <c r="F27" s="13"/>
      <c r="G27" s="13"/>
    </row>
    <row r="28" customFormat="false" ht="16.5" hidden="false" customHeight="false" outlineLevel="0" collapsed="false">
      <c r="A28" s="14" t="s">
        <v>46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customFormat="false" ht="15.75" hidden="false" customHeight="false" outlineLevel="0" collapsed="false">
      <c r="A29" s="7" t="s">
        <v>38</v>
      </c>
      <c r="B29" s="8" t="s">
        <v>7</v>
      </c>
      <c r="C29" s="8" t="s">
        <v>8</v>
      </c>
      <c r="D29" s="8" t="s">
        <v>9</v>
      </c>
      <c r="E29" s="8" t="s">
        <v>10</v>
      </c>
      <c r="F29" s="8" t="s">
        <v>11</v>
      </c>
      <c r="G29" s="8" t="s">
        <v>12</v>
      </c>
      <c r="H29" s="7" t="s">
        <v>13</v>
      </c>
      <c r="I29" s="7" t="s">
        <v>14</v>
      </c>
      <c r="J29" s="7" t="s">
        <v>15</v>
      </c>
      <c r="K29" s="7" t="s">
        <v>16</v>
      </c>
      <c r="L29" s="7" t="s">
        <v>17</v>
      </c>
      <c r="M29" s="7" t="s">
        <v>18</v>
      </c>
      <c r="N29" s="7" t="s">
        <v>19</v>
      </c>
      <c r="O29" s="7" t="s">
        <v>20</v>
      </c>
      <c r="P29" s="7" t="s">
        <v>21</v>
      </c>
      <c r="Q29" s="7" t="s">
        <v>22</v>
      </c>
      <c r="R29" s="7" t="s">
        <v>23</v>
      </c>
      <c r="S29" s="7" t="s">
        <v>24</v>
      </c>
      <c r="T29" s="7" t="s">
        <v>25</v>
      </c>
    </row>
    <row r="30" customFormat="false" ht="13.8" hidden="false" customHeight="false" outlineLevel="0" collapsed="false">
      <c r="A30" s="0" t="s">
        <v>39</v>
      </c>
      <c r="F30" s="0" t="n">
        <f aca="false">Tabla351081315368[[#This Row],[no_efec_cor]]+Tabla351081315368[[#This Row],[efec_cor]]</f>
        <v>0</v>
      </c>
      <c r="G30" s="0" t="n">
        <f aca="false">Tabla351081315368[[#This Row],[no_efec_inc]]+Tabla351081315368[[#This Row],[efect_inc]]</f>
        <v>0</v>
      </c>
      <c r="H30" s="9" t="e">
        <f aca="false">Tabla351081315368[[#This Row],[Correctos]]/Tabla351081315368[[#This Row],[total_sec]]</f>
        <v>#DIV/0!</v>
      </c>
      <c r="I30" s="9" t="e">
        <f aca="false">Tabla351081315368[[#This Row],[efec_cor]]/Tabla351081315368[[#This Row],[efec]]</f>
        <v>#DIV/0!</v>
      </c>
      <c r="J30" s="9" t="e">
        <f aca="false">Tabla351081315368[[#This Row],[efect_inc]]/Tabla351081315368[[#This Row],[efec]]</f>
        <v>#DIV/0!</v>
      </c>
      <c r="K30" s="9" t="e">
        <f aca="false">Tabla351081315368[[#This Row],[no_efec_cor]]/Tabla351081315368[[#This Row],[no_efe]]</f>
        <v>#DIV/0!</v>
      </c>
      <c r="L30" s="9" t="e">
        <f aca="false">Tabla351081315368[[#This Row],[no_efec_inc]]/Tabla351081315368[[#This Row],[no_efe]]</f>
        <v>#DIV/0!</v>
      </c>
      <c r="M30" s="9" t="e">
        <f aca="false">(Tabla351081315368[[#This Row],[% efe_cor]]+Tabla351081315368[[#This Row],[% no_efe_cor]])/2</f>
        <v>#DIV/0!</v>
      </c>
      <c r="N30" s="10" t="e">
        <f aca="false">(Tabla351081315368[[#This Row],[% efe_inc]]+Tabla351081315368[[#This Row],[% no_efect_inc]])/2</f>
        <v>#DIV/0!</v>
      </c>
      <c r="O30" s="11" t="e">
        <f aca="false">Tabla351081315368[[#This Row],[no_efec_cor]]/(Tabla351081315368[[#This Row],[efect_inc]]+Tabla351081315368[[#This Row],[no_efec_cor]])</f>
        <v>#DIV/0!</v>
      </c>
      <c r="P30" s="11" t="e">
        <f aca="false">Tabla351081315368[[#This Row],[efec_cor]]/(Tabla351081315368[[#This Row],[efec_cor]]+Tabla351081315368[[#This Row],[no_efec_inc]])</f>
        <v>#DIV/0!</v>
      </c>
      <c r="Q30" s="11" t="e">
        <f aca="false">(Tabla351081315368[[#This Row],[PNE]]+Tabla351081315368[[#This Row],[PE]])/2</f>
        <v>#DIV/0!</v>
      </c>
      <c r="T30" s="0" t="n">
        <f aca="false">Tabla351081315368[[#This Row],[efec]]+Tabla351081315368[[#This Row],[no_efe]]</f>
        <v>0</v>
      </c>
    </row>
    <row r="31" customFormat="false" ht="13.8" hidden="false" customHeight="false" outlineLevel="0" collapsed="false">
      <c r="A31" s="0" t="s">
        <v>40</v>
      </c>
      <c r="F31" s="0" t="n">
        <f aca="false">Tabla351081315368[[#This Row],[no_efec_cor]]+Tabla351081315368[[#This Row],[efec_cor]]</f>
        <v>0</v>
      </c>
      <c r="G31" s="0" t="n">
        <f aca="false">Tabla351081315368[[#This Row],[no_efec_inc]]+Tabla351081315368[[#This Row],[efect_inc]]</f>
        <v>0</v>
      </c>
      <c r="H31" s="9" t="e">
        <f aca="false">Tabla351081315368[[#This Row],[Correctos]]/Tabla351081315368[[#This Row],[total_sec]]</f>
        <v>#DIV/0!</v>
      </c>
      <c r="I31" s="9" t="e">
        <f aca="false">Tabla351081315368[[#This Row],[efec_cor]]/Tabla351081315368[[#This Row],[efec]]</f>
        <v>#DIV/0!</v>
      </c>
      <c r="J31" s="9" t="e">
        <f aca="false">Tabla351081315368[[#This Row],[efect_inc]]/Tabla351081315368[[#This Row],[efec]]</f>
        <v>#DIV/0!</v>
      </c>
      <c r="K31" s="9" t="e">
        <f aca="false">Tabla351081315368[[#This Row],[no_efec_cor]]/Tabla351081315368[[#This Row],[no_efe]]</f>
        <v>#DIV/0!</v>
      </c>
      <c r="L31" s="9" t="e">
        <f aca="false">Tabla351081315368[[#This Row],[no_efec_inc]]/Tabla351081315368[[#This Row],[no_efe]]</f>
        <v>#DIV/0!</v>
      </c>
      <c r="M31" s="9" t="e">
        <f aca="false">(Tabla351081315368[[#This Row],[% efe_cor]]+Tabla351081315368[[#This Row],[% no_efe_cor]])/2</f>
        <v>#DIV/0!</v>
      </c>
      <c r="N31" s="10" t="e">
        <f aca="false">(Tabla351081315368[[#This Row],[% efe_inc]]+Tabla351081315368[[#This Row],[% no_efect_inc]])/2</f>
        <v>#DIV/0!</v>
      </c>
      <c r="O31" s="11" t="e">
        <f aca="false">Tabla351081315368[[#This Row],[no_efec_cor]]/(Tabla351081315368[[#This Row],[efect_inc]]+Tabla351081315368[[#This Row],[no_efec_cor]])</f>
        <v>#DIV/0!</v>
      </c>
      <c r="P31" s="11" t="e">
        <f aca="false">Tabla351081315368[[#This Row],[efec_cor]]/(Tabla351081315368[[#This Row],[efec_cor]]+Tabla351081315368[[#This Row],[no_efec_inc]])</f>
        <v>#DIV/0!</v>
      </c>
      <c r="Q31" s="11" t="e">
        <f aca="false">(Tabla351081315368[[#This Row],[PNE]]+Tabla351081315368[[#This Row],[PE]])/2</f>
        <v>#DIV/0!</v>
      </c>
      <c r="T31" s="0" t="n">
        <f aca="false">Tabla351081315368[[#This Row],[efec]]+Tabla351081315368[[#This Row],[no_efe]]</f>
        <v>0</v>
      </c>
    </row>
    <row r="32" customFormat="false" ht="13.8" hidden="false" customHeight="false" outlineLevel="0" collapsed="false">
      <c r="A32" s="0" t="s">
        <v>41</v>
      </c>
      <c r="F32" s="0" t="n">
        <f aca="false">Tabla351081315368[[#This Row],[no_efec_cor]]+Tabla351081315368[[#This Row],[efec_cor]]</f>
        <v>0</v>
      </c>
      <c r="G32" s="0" t="n">
        <f aca="false">Tabla351081315368[[#This Row],[no_efec_inc]]+Tabla351081315368[[#This Row],[efect_inc]]</f>
        <v>0</v>
      </c>
      <c r="H32" s="9" t="e">
        <f aca="false">Tabla351081315368[[#This Row],[Correctos]]/Tabla351081315368[[#This Row],[total_sec]]</f>
        <v>#DIV/0!</v>
      </c>
      <c r="I32" s="9" t="e">
        <f aca="false">Tabla351081315368[[#This Row],[efec_cor]]/Tabla351081315368[[#This Row],[efec]]</f>
        <v>#DIV/0!</v>
      </c>
      <c r="J32" s="9" t="e">
        <f aca="false">Tabla351081315368[[#This Row],[efect_inc]]/Tabla351081315368[[#This Row],[efec]]</f>
        <v>#DIV/0!</v>
      </c>
      <c r="K32" s="9" t="e">
        <f aca="false">Tabla351081315368[[#This Row],[no_efec_cor]]/Tabla351081315368[[#This Row],[no_efe]]</f>
        <v>#DIV/0!</v>
      </c>
      <c r="L32" s="9" t="e">
        <f aca="false">Tabla351081315368[[#This Row],[no_efec_inc]]/Tabla351081315368[[#This Row],[no_efe]]</f>
        <v>#DIV/0!</v>
      </c>
      <c r="M32" s="9" t="e">
        <f aca="false">(Tabla351081315368[[#This Row],[% efe_cor]]+Tabla351081315368[[#This Row],[% no_efe_cor]])/2</f>
        <v>#DIV/0!</v>
      </c>
      <c r="N32" s="10" t="e">
        <f aca="false">(Tabla351081315368[[#This Row],[% efe_inc]]+Tabla351081315368[[#This Row],[% no_efect_inc]])/2</f>
        <v>#DIV/0!</v>
      </c>
      <c r="O32" s="11" t="e">
        <f aca="false">Tabla351081315368[[#This Row],[no_efec_cor]]/(Tabla351081315368[[#This Row],[efect_inc]]+Tabla351081315368[[#This Row],[no_efec_cor]])</f>
        <v>#DIV/0!</v>
      </c>
      <c r="P32" s="11" t="e">
        <f aca="false">Tabla351081315368[[#This Row],[efec_cor]]/(Tabla351081315368[[#This Row],[efec_cor]]+Tabla351081315368[[#This Row],[no_efec_inc]])</f>
        <v>#DIV/0!</v>
      </c>
      <c r="Q32" s="11" t="e">
        <f aca="false">(Tabla351081315368[[#This Row],[PNE]]+Tabla351081315368[[#This Row],[PE]])/2</f>
        <v>#DIV/0!</v>
      </c>
      <c r="T32" s="0" t="n">
        <f aca="false">Tabla351081315368[[#This Row],[efec]]+Tabla351081315368[[#This Row],[no_efe]]</f>
        <v>0</v>
      </c>
    </row>
    <row r="33" customFormat="false" ht="13.8" hidden="false" customHeight="false" outlineLevel="0" collapsed="false">
      <c r="A33" s="0" t="s">
        <v>42</v>
      </c>
      <c r="F33" s="0" t="n">
        <f aca="false">Tabla351081315368[[#This Row],[no_efec_cor]]+Tabla351081315368[[#This Row],[efec_cor]]</f>
        <v>0</v>
      </c>
      <c r="G33" s="0" t="n">
        <f aca="false">Tabla351081315368[[#This Row],[no_efec_inc]]+Tabla351081315368[[#This Row],[efect_inc]]</f>
        <v>0</v>
      </c>
      <c r="H33" s="9" t="e">
        <f aca="false">Tabla351081315368[[#This Row],[Correctos]]/Tabla351081315368[[#This Row],[total_sec]]</f>
        <v>#DIV/0!</v>
      </c>
      <c r="I33" s="9" t="e">
        <f aca="false">Tabla351081315368[[#This Row],[efec_cor]]/Tabla351081315368[[#This Row],[efec]]</f>
        <v>#DIV/0!</v>
      </c>
      <c r="J33" s="9" t="e">
        <f aca="false">Tabla351081315368[[#This Row],[efect_inc]]/Tabla351081315368[[#This Row],[efec]]</f>
        <v>#DIV/0!</v>
      </c>
      <c r="K33" s="9" t="e">
        <f aca="false">Tabla351081315368[[#This Row],[no_efec_cor]]/Tabla351081315368[[#This Row],[no_efe]]</f>
        <v>#DIV/0!</v>
      </c>
      <c r="L33" s="9" t="e">
        <f aca="false">Tabla351081315368[[#This Row],[no_efec_inc]]/Tabla351081315368[[#This Row],[no_efe]]</f>
        <v>#DIV/0!</v>
      </c>
      <c r="M33" s="9" t="e">
        <f aca="false">(Tabla351081315368[[#This Row],[% efe_cor]]+Tabla351081315368[[#This Row],[% no_efe_cor]])/2</f>
        <v>#DIV/0!</v>
      </c>
      <c r="N33" s="10" t="e">
        <f aca="false">(Tabla351081315368[[#This Row],[% efe_inc]]+Tabla351081315368[[#This Row],[% no_efect_inc]])/2</f>
        <v>#DIV/0!</v>
      </c>
      <c r="O33" s="11" t="e">
        <f aca="false">Tabla351081315368[[#This Row],[no_efec_cor]]/(Tabla351081315368[[#This Row],[efect_inc]]+Tabla351081315368[[#This Row],[no_efec_cor]])</f>
        <v>#DIV/0!</v>
      </c>
      <c r="P33" s="11" t="e">
        <f aca="false">Tabla351081315368[[#This Row],[efec_cor]]/(Tabla351081315368[[#This Row],[efec_cor]]+Tabla351081315368[[#This Row],[no_efec_inc]])</f>
        <v>#DIV/0!</v>
      </c>
      <c r="Q33" s="11" t="e">
        <f aca="false">(Tabla351081315368[[#This Row],[PNE]]+Tabla351081315368[[#This Row],[PE]])/2</f>
        <v>#DIV/0!</v>
      </c>
      <c r="T33" s="0" t="n">
        <f aca="false">Tabla351081315368[[#This Row],[efec]]+Tabla351081315368[[#This Row],[no_efe]]</f>
        <v>0</v>
      </c>
    </row>
    <row r="34" customFormat="false" ht="13.8" hidden="false" customHeight="false" outlineLevel="0" collapsed="false">
      <c r="A34" s="0" t="s">
        <v>43</v>
      </c>
      <c r="F34" s="0" t="n">
        <f aca="false">Tabla351081315368[[#This Row],[no_efec_cor]]+Tabla351081315368[[#This Row],[efec_cor]]</f>
        <v>0</v>
      </c>
      <c r="G34" s="0" t="n">
        <f aca="false">Tabla351081315368[[#This Row],[no_efec_inc]]+Tabla351081315368[[#This Row],[efect_inc]]</f>
        <v>0</v>
      </c>
      <c r="H34" s="9" t="e">
        <f aca="false">Tabla351081315368[[#This Row],[Correctos]]/Tabla351081315368[[#This Row],[total_sec]]</f>
        <v>#DIV/0!</v>
      </c>
      <c r="I34" s="9" t="e">
        <f aca="false">Tabla351081315368[[#This Row],[efec_cor]]/Tabla351081315368[[#This Row],[efec]]</f>
        <v>#DIV/0!</v>
      </c>
      <c r="J34" s="9" t="e">
        <f aca="false">Tabla351081315368[[#This Row],[efect_inc]]/Tabla351081315368[[#This Row],[efec]]</f>
        <v>#DIV/0!</v>
      </c>
      <c r="K34" s="9" t="e">
        <f aca="false">Tabla351081315368[[#This Row],[no_efec_cor]]/Tabla351081315368[[#This Row],[no_efe]]</f>
        <v>#DIV/0!</v>
      </c>
      <c r="L34" s="9" t="e">
        <f aca="false">Tabla351081315368[[#This Row],[no_efec_inc]]/Tabla351081315368[[#This Row],[no_efe]]</f>
        <v>#DIV/0!</v>
      </c>
      <c r="M34" s="9" t="e">
        <f aca="false">(Tabla351081315368[[#This Row],[% efe_cor]]+Tabla351081315368[[#This Row],[% no_efe_cor]])/2</f>
        <v>#DIV/0!</v>
      </c>
      <c r="N34" s="10" t="e">
        <f aca="false">(Tabla351081315368[[#This Row],[% efe_inc]]+Tabla351081315368[[#This Row],[% no_efect_inc]])/2</f>
        <v>#DIV/0!</v>
      </c>
      <c r="O34" s="11" t="e">
        <f aca="false">Tabla351081315368[[#This Row],[no_efec_cor]]/(Tabla351081315368[[#This Row],[efect_inc]]+Tabla351081315368[[#This Row],[no_efec_cor]])</f>
        <v>#DIV/0!</v>
      </c>
      <c r="P34" s="11" t="e">
        <f aca="false">Tabla351081315368[[#This Row],[efec_cor]]/(Tabla351081315368[[#This Row],[efec_cor]]+Tabla351081315368[[#This Row],[no_efec_inc]])</f>
        <v>#DIV/0!</v>
      </c>
      <c r="Q34" s="11" t="e">
        <f aca="false">(Tabla351081315368[[#This Row],[PNE]]+Tabla351081315368[[#This Row],[PE]])/2</f>
        <v>#DIV/0!</v>
      </c>
      <c r="T34" s="0" t="n">
        <f aca="false">Tabla351081315368[[#This Row],[efec]]+Tabla351081315368[[#This Row],[no_efe]]</f>
        <v>0</v>
      </c>
    </row>
    <row r="35" customFormat="false" ht="13.8" hidden="false" customHeight="false" outlineLevel="0" collapsed="false">
      <c r="A35" s="0" t="s">
        <v>44</v>
      </c>
      <c r="F35" s="0" t="n">
        <f aca="false">Tabla351081315368[[#This Row],[no_efec_cor]]+Tabla351081315368[[#This Row],[efec_cor]]</f>
        <v>0</v>
      </c>
      <c r="G35" s="0" t="n">
        <f aca="false">Tabla351081315368[[#This Row],[no_efec_inc]]+Tabla351081315368[[#This Row],[efect_inc]]</f>
        <v>0</v>
      </c>
      <c r="H35" s="9" t="e">
        <f aca="false">Tabla351081315368[[#This Row],[Correctos]]/Tabla351081315368[[#This Row],[total_sec]]</f>
        <v>#DIV/0!</v>
      </c>
      <c r="I35" s="9" t="e">
        <f aca="false">Tabla351081315368[[#This Row],[efec_cor]]/Tabla351081315368[[#This Row],[efec]]</f>
        <v>#DIV/0!</v>
      </c>
      <c r="J35" s="9" t="e">
        <f aca="false">Tabla351081315368[[#This Row],[efect_inc]]/Tabla351081315368[[#This Row],[efec]]</f>
        <v>#DIV/0!</v>
      </c>
      <c r="K35" s="9" t="e">
        <f aca="false">Tabla351081315368[[#This Row],[no_efec_cor]]/Tabla351081315368[[#This Row],[no_efe]]</f>
        <v>#DIV/0!</v>
      </c>
      <c r="L35" s="9" t="e">
        <f aca="false">Tabla351081315368[[#This Row],[no_efec_inc]]/Tabla351081315368[[#This Row],[no_efe]]</f>
        <v>#DIV/0!</v>
      </c>
      <c r="M35" s="9" t="e">
        <f aca="false">(Tabla351081315368[[#This Row],[% efe_cor]]+Tabla351081315368[[#This Row],[% no_efe_cor]])/2</f>
        <v>#DIV/0!</v>
      </c>
      <c r="N35" s="10" t="e">
        <f aca="false">(Tabla351081315368[[#This Row],[% efe_inc]]+Tabla351081315368[[#This Row],[% no_efect_inc]])/2</f>
        <v>#DIV/0!</v>
      </c>
      <c r="O35" s="11" t="e">
        <f aca="false">Tabla351081315368[[#This Row],[no_efec_cor]]/(Tabla351081315368[[#This Row],[efect_inc]]+Tabla351081315368[[#This Row],[no_efec_cor]])</f>
        <v>#DIV/0!</v>
      </c>
      <c r="P35" s="11" t="e">
        <f aca="false">Tabla351081315368[[#This Row],[efec_cor]]/(Tabla351081315368[[#This Row],[efec_cor]]+Tabla351081315368[[#This Row],[no_efec_inc]])</f>
        <v>#DIV/0!</v>
      </c>
      <c r="Q35" s="11" t="e">
        <f aca="false">(Tabla351081315368[[#This Row],[PNE]]+Tabla351081315368[[#This Row],[PE]])/2</f>
        <v>#DIV/0!</v>
      </c>
      <c r="T35" s="0" t="n">
        <f aca="false">Tabla351081315368[[#This Row],[efec]]+Tabla351081315368[[#This Row],[no_efe]]</f>
        <v>0</v>
      </c>
    </row>
    <row r="37" customFormat="false" ht="15" hidden="false" customHeight="false" outlineLevel="0" collapsed="false">
      <c r="A37" s="13" t="s">
        <v>5</v>
      </c>
      <c r="B37" s="13"/>
      <c r="C37" s="13"/>
      <c r="D37" s="13"/>
      <c r="E37" s="13"/>
      <c r="F37" s="13"/>
      <c r="G37" s="13"/>
    </row>
    <row r="38" customFormat="false" ht="16.5" hidden="false" customHeight="false" outlineLevel="0" collapsed="false">
      <c r="A38" s="14" t="s">
        <v>47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customFormat="false" ht="15.75" hidden="false" customHeight="false" outlineLevel="0" collapsed="false">
      <c r="A39" s="7" t="s">
        <v>38</v>
      </c>
      <c r="B39" s="8" t="s">
        <v>7</v>
      </c>
      <c r="C39" s="8" t="s">
        <v>8</v>
      </c>
      <c r="D39" s="8" t="s">
        <v>9</v>
      </c>
      <c r="E39" s="8" t="s">
        <v>10</v>
      </c>
      <c r="F39" s="8" t="s">
        <v>11</v>
      </c>
      <c r="G39" s="8" t="s">
        <v>12</v>
      </c>
      <c r="H39" s="7" t="s">
        <v>13</v>
      </c>
      <c r="I39" s="7" t="s">
        <v>14</v>
      </c>
      <c r="J39" s="7" t="s">
        <v>15</v>
      </c>
      <c r="K39" s="7" t="s">
        <v>16</v>
      </c>
      <c r="L39" s="7" t="s">
        <v>17</v>
      </c>
      <c r="M39" s="7" t="s">
        <v>18</v>
      </c>
      <c r="N39" s="7" t="s">
        <v>19</v>
      </c>
      <c r="O39" s="7" t="s">
        <v>20</v>
      </c>
      <c r="P39" s="7" t="s">
        <v>21</v>
      </c>
      <c r="Q39" s="7" t="s">
        <v>22</v>
      </c>
      <c r="R39" s="7" t="s">
        <v>23</v>
      </c>
      <c r="S39" s="7" t="s">
        <v>24</v>
      </c>
      <c r="T39" s="7" t="s">
        <v>25</v>
      </c>
    </row>
    <row r="40" customFormat="false" ht="13.8" hidden="false" customHeight="false" outlineLevel="0" collapsed="false">
      <c r="A40" s="0" t="s">
        <v>39</v>
      </c>
      <c r="F40" s="0" t="n">
        <f aca="false">Tabla351081315369[[#This Row],[no_efec_cor]]+Tabla351081315369[[#This Row],[efec_cor]]</f>
        <v>0</v>
      </c>
      <c r="G40" s="0" t="n">
        <f aca="false">Tabla351081315369[[#This Row],[no_efec_inc]]+Tabla351081315369[[#This Row],[efect_inc]]</f>
        <v>0</v>
      </c>
      <c r="H40" s="9" t="e">
        <f aca="false">Tabla351081315369[[#This Row],[Correctos]]/Tabla351081315369[[#This Row],[total_sec]]</f>
        <v>#DIV/0!</v>
      </c>
      <c r="I40" s="9" t="e">
        <f aca="false">Tabla351081315369[[#This Row],[efec_cor]]/Tabla351081315369[[#This Row],[efec]]</f>
        <v>#DIV/0!</v>
      </c>
      <c r="J40" s="9" t="e">
        <f aca="false">Tabla351081315369[[#This Row],[efect_inc]]/Tabla351081315369[[#This Row],[efec]]</f>
        <v>#DIV/0!</v>
      </c>
      <c r="K40" s="9" t="e">
        <f aca="false">Tabla351081315369[[#This Row],[no_efec_cor]]/Tabla351081315369[[#This Row],[no_efe]]</f>
        <v>#DIV/0!</v>
      </c>
      <c r="L40" s="9" t="e">
        <f aca="false">Tabla351081315369[[#This Row],[no_efec_inc]]/Tabla351081315369[[#This Row],[no_efe]]</f>
        <v>#DIV/0!</v>
      </c>
      <c r="M40" s="9" t="e">
        <f aca="false">(Tabla351081315369[[#This Row],[% efe_cor]]+Tabla351081315369[[#This Row],[% no_efe_cor]])/2</f>
        <v>#DIV/0!</v>
      </c>
      <c r="N40" s="10" t="e">
        <f aca="false">(Tabla351081315369[[#This Row],[% efe_inc]]+Tabla351081315369[[#This Row],[% no_efect_inc]])/2</f>
        <v>#DIV/0!</v>
      </c>
      <c r="O40" s="11" t="e">
        <f aca="false">Tabla351081315369[[#This Row],[no_efec_cor]]/(Tabla351081315369[[#This Row],[efect_inc]]+Tabla351081315369[[#This Row],[no_efec_cor]])</f>
        <v>#DIV/0!</v>
      </c>
      <c r="P40" s="11" t="e">
        <f aca="false">Tabla351081315369[[#This Row],[efec_cor]]/(Tabla351081315369[[#This Row],[efec_cor]]+Tabla351081315369[[#This Row],[no_efec_inc]])</f>
        <v>#DIV/0!</v>
      </c>
      <c r="Q40" s="11" t="e">
        <f aca="false">(Tabla351081315369[[#This Row],[PNE]]+Tabla351081315369[[#This Row],[PE]])/2</f>
        <v>#DIV/0!</v>
      </c>
      <c r="T40" s="0" t="n">
        <f aca="false">Tabla351081315369[[#This Row],[efec]]+Tabla351081315369[[#This Row],[no_efe]]</f>
        <v>0</v>
      </c>
    </row>
    <row r="41" customFormat="false" ht="13.8" hidden="false" customHeight="false" outlineLevel="0" collapsed="false">
      <c r="A41" s="0" t="s">
        <v>40</v>
      </c>
      <c r="F41" s="0" t="n">
        <f aca="false">Tabla351081315369[[#This Row],[no_efec_cor]]+Tabla351081315369[[#This Row],[efec_cor]]</f>
        <v>0</v>
      </c>
      <c r="G41" s="0" t="n">
        <f aca="false">Tabla351081315369[[#This Row],[no_efec_inc]]+Tabla351081315369[[#This Row],[efect_inc]]</f>
        <v>0</v>
      </c>
      <c r="H41" s="9" t="e">
        <f aca="false">Tabla351081315369[[#This Row],[Correctos]]/Tabla351081315369[[#This Row],[total_sec]]</f>
        <v>#DIV/0!</v>
      </c>
      <c r="I41" s="9" t="e">
        <f aca="false">Tabla351081315369[[#This Row],[efec_cor]]/Tabla351081315369[[#This Row],[efec]]</f>
        <v>#DIV/0!</v>
      </c>
      <c r="J41" s="9" t="e">
        <f aca="false">Tabla351081315369[[#This Row],[efect_inc]]/Tabla351081315369[[#This Row],[efec]]</f>
        <v>#DIV/0!</v>
      </c>
      <c r="K41" s="9" t="e">
        <f aca="false">Tabla351081315369[[#This Row],[no_efec_cor]]/Tabla351081315369[[#This Row],[no_efe]]</f>
        <v>#DIV/0!</v>
      </c>
      <c r="L41" s="9" t="e">
        <f aca="false">Tabla351081315369[[#This Row],[no_efec_inc]]/Tabla351081315369[[#This Row],[no_efe]]</f>
        <v>#DIV/0!</v>
      </c>
      <c r="M41" s="9" t="e">
        <f aca="false">(Tabla351081315369[[#This Row],[% efe_cor]]+Tabla351081315369[[#This Row],[% no_efe_cor]])/2</f>
        <v>#DIV/0!</v>
      </c>
      <c r="N41" s="10" t="e">
        <f aca="false">(Tabla351081315369[[#This Row],[% efe_inc]]+Tabla351081315369[[#This Row],[% no_efect_inc]])/2</f>
        <v>#DIV/0!</v>
      </c>
      <c r="O41" s="11" t="e">
        <f aca="false">Tabla351081315369[[#This Row],[no_efec_cor]]/(Tabla351081315369[[#This Row],[efect_inc]]+Tabla351081315369[[#This Row],[no_efec_cor]])</f>
        <v>#DIV/0!</v>
      </c>
      <c r="P41" s="11" t="e">
        <f aca="false">Tabla351081315369[[#This Row],[efec_cor]]/(Tabla351081315369[[#This Row],[efec_cor]]+Tabla351081315369[[#This Row],[no_efec_inc]])</f>
        <v>#DIV/0!</v>
      </c>
      <c r="Q41" s="11" t="e">
        <f aca="false">(Tabla351081315369[[#This Row],[PNE]]+Tabla351081315369[[#This Row],[PE]])/2</f>
        <v>#DIV/0!</v>
      </c>
      <c r="T41" s="0" t="n">
        <f aca="false">Tabla351081315369[[#This Row],[efec]]+Tabla351081315369[[#This Row],[no_efe]]</f>
        <v>0</v>
      </c>
    </row>
    <row r="42" customFormat="false" ht="13.8" hidden="false" customHeight="false" outlineLevel="0" collapsed="false">
      <c r="A42" s="0" t="s">
        <v>41</v>
      </c>
      <c r="F42" s="0" t="n">
        <f aca="false">Tabla351081315369[[#This Row],[no_efec_cor]]+Tabla351081315369[[#This Row],[efec_cor]]</f>
        <v>0</v>
      </c>
      <c r="G42" s="0" t="n">
        <f aca="false">Tabla351081315369[[#This Row],[no_efec_inc]]+Tabla351081315369[[#This Row],[efect_inc]]</f>
        <v>0</v>
      </c>
      <c r="H42" s="9" t="e">
        <f aca="false">Tabla351081315369[[#This Row],[Correctos]]/Tabla351081315369[[#This Row],[total_sec]]</f>
        <v>#DIV/0!</v>
      </c>
      <c r="I42" s="9" t="e">
        <f aca="false">Tabla351081315369[[#This Row],[efec_cor]]/Tabla351081315369[[#This Row],[efec]]</f>
        <v>#DIV/0!</v>
      </c>
      <c r="J42" s="9" t="e">
        <f aca="false">Tabla351081315369[[#This Row],[efect_inc]]/Tabla351081315369[[#This Row],[efec]]</f>
        <v>#DIV/0!</v>
      </c>
      <c r="K42" s="9" t="e">
        <f aca="false">Tabla351081315369[[#This Row],[no_efec_cor]]/Tabla351081315369[[#This Row],[no_efe]]</f>
        <v>#DIV/0!</v>
      </c>
      <c r="L42" s="9" t="e">
        <f aca="false">Tabla351081315369[[#This Row],[no_efec_inc]]/Tabla351081315369[[#This Row],[no_efe]]</f>
        <v>#DIV/0!</v>
      </c>
      <c r="M42" s="9" t="e">
        <f aca="false">(Tabla351081315369[[#This Row],[% efe_cor]]+Tabla351081315369[[#This Row],[% no_efe_cor]])/2</f>
        <v>#DIV/0!</v>
      </c>
      <c r="N42" s="10" t="e">
        <f aca="false">(Tabla351081315369[[#This Row],[% efe_inc]]+Tabla351081315369[[#This Row],[% no_efect_inc]])/2</f>
        <v>#DIV/0!</v>
      </c>
      <c r="O42" s="11" t="e">
        <f aca="false">Tabla351081315369[[#This Row],[no_efec_cor]]/(Tabla351081315369[[#This Row],[efect_inc]]+Tabla351081315369[[#This Row],[no_efec_cor]])</f>
        <v>#DIV/0!</v>
      </c>
      <c r="P42" s="11" t="e">
        <f aca="false">Tabla351081315369[[#This Row],[efec_cor]]/(Tabla351081315369[[#This Row],[efec_cor]]+Tabla351081315369[[#This Row],[no_efec_inc]])</f>
        <v>#DIV/0!</v>
      </c>
      <c r="Q42" s="11" t="e">
        <f aca="false">(Tabla351081315369[[#This Row],[PNE]]+Tabla351081315369[[#This Row],[PE]])/2</f>
        <v>#DIV/0!</v>
      </c>
      <c r="T42" s="0" t="n">
        <f aca="false">Tabla351081315369[[#This Row],[efec]]+Tabla351081315369[[#This Row],[no_efe]]</f>
        <v>0</v>
      </c>
    </row>
    <row r="43" customFormat="false" ht="13.8" hidden="false" customHeight="false" outlineLevel="0" collapsed="false">
      <c r="A43" s="0" t="s">
        <v>42</v>
      </c>
      <c r="F43" s="0" t="n">
        <f aca="false">Tabla351081315369[[#This Row],[no_efec_cor]]+Tabla351081315369[[#This Row],[efec_cor]]</f>
        <v>0</v>
      </c>
      <c r="G43" s="0" t="n">
        <f aca="false">Tabla351081315369[[#This Row],[no_efec_inc]]+Tabla351081315369[[#This Row],[efect_inc]]</f>
        <v>0</v>
      </c>
      <c r="H43" s="9" t="e">
        <f aca="false">Tabla351081315369[[#This Row],[Correctos]]/Tabla351081315369[[#This Row],[total_sec]]</f>
        <v>#DIV/0!</v>
      </c>
      <c r="I43" s="9" t="e">
        <f aca="false">Tabla351081315369[[#This Row],[efec_cor]]/Tabla351081315369[[#This Row],[efec]]</f>
        <v>#DIV/0!</v>
      </c>
      <c r="J43" s="9" t="e">
        <f aca="false">Tabla351081315369[[#This Row],[efect_inc]]/Tabla351081315369[[#This Row],[efec]]</f>
        <v>#DIV/0!</v>
      </c>
      <c r="K43" s="9" t="e">
        <f aca="false">Tabla351081315369[[#This Row],[no_efec_cor]]/Tabla351081315369[[#This Row],[no_efe]]</f>
        <v>#DIV/0!</v>
      </c>
      <c r="L43" s="9" t="e">
        <f aca="false">Tabla351081315369[[#This Row],[no_efec_inc]]/Tabla351081315369[[#This Row],[no_efe]]</f>
        <v>#DIV/0!</v>
      </c>
      <c r="M43" s="9" t="e">
        <f aca="false">(Tabla351081315369[[#This Row],[% efe_cor]]+Tabla351081315369[[#This Row],[% no_efe_cor]])/2</f>
        <v>#DIV/0!</v>
      </c>
      <c r="N43" s="10" t="e">
        <f aca="false">(Tabla351081315369[[#This Row],[% efe_inc]]+Tabla351081315369[[#This Row],[% no_efect_inc]])/2</f>
        <v>#DIV/0!</v>
      </c>
      <c r="O43" s="11" t="e">
        <f aca="false">Tabla351081315369[[#This Row],[no_efec_cor]]/(Tabla351081315369[[#This Row],[efect_inc]]+Tabla351081315369[[#This Row],[no_efec_cor]])</f>
        <v>#DIV/0!</v>
      </c>
      <c r="P43" s="11" t="e">
        <f aca="false">Tabla351081315369[[#This Row],[efec_cor]]/(Tabla351081315369[[#This Row],[efec_cor]]+Tabla351081315369[[#This Row],[no_efec_inc]])</f>
        <v>#DIV/0!</v>
      </c>
      <c r="Q43" s="11" t="e">
        <f aca="false">(Tabla351081315369[[#This Row],[PNE]]+Tabla351081315369[[#This Row],[PE]])/2</f>
        <v>#DIV/0!</v>
      </c>
      <c r="T43" s="0" t="n">
        <f aca="false">Tabla351081315369[[#This Row],[efec]]+Tabla351081315369[[#This Row],[no_efe]]</f>
        <v>0</v>
      </c>
    </row>
    <row r="44" customFormat="false" ht="13.8" hidden="false" customHeight="false" outlineLevel="0" collapsed="false">
      <c r="A44" s="0" t="s">
        <v>43</v>
      </c>
      <c r="F44" s="0" t="n">
        <f aca="false">Tabla351081315369[[#This Row],[no_efec_cor]]+Tabla351081315369[[#This Row],[efec_cor]]</f>
        <v>0</v>
      </c>
      <c r="G44" s="0" t="n">
        <f aca="false">Tabla351081315369[[#This Row],[no_efec_inc]]+Tabla351081315369[[#This Row],[efect_inc]]</f>
        <v>0</v>
      </c>
      <c r="H44" s="9" t="e">
        <f aca="false">Tabla351081315369[[#This Row],[Correctos]]/Tabla351081315369[[#This Row],[total_sec]]</f>
        <v>#DIV/0!</v>
      </c>
      <c r="I44" s="9" t="e">
        <f aca="false">Tabla351081315369[[#This Row],[efec_cor]]/Tabla351081315369[[#This Row],[efec]]</f>
        <v>#DIV/0!</v>
      </c>
      <c r="J44" s="9" t="e">
        <f aca="false">Tabla351081315369[[#This Row],[efect_inc]]/Tabla351081315369[[#This Row],[efec]]</f>
        <v>#DIV/0!</v>
      </c>
      <c r="K44" s="9" t="e">
        <f aca="false">Tabla351081315369[[#This Row],[no_efec_cor]]/Tabla351081315369[[#This Row],[no_efe]]</f>
        <v>#DIV/0!</v>
      </c>
      <c r="L44" s="9" t="e">
        <f aca="false">Tabla351081315369[[#This Row],[no_efec_inc]]/Tabla351081315369[[#This Row],[no_efe]]</f>
        <v>#DIV/0!</v>
      </c>
      <c r="M44" s="9" t="e">
        <f aca="false">(Tabla351081315369[[#This Row],[% efe_cor]]+Tabla351081315369[[#This Row],[% no_efe_cor]])/2</f>
        <v>#DIV/0!</v>
      </c>
      <c r="N44" s="10" t="e">
        <f aca="false">(Tabla351081315369[[#This Row],[% efe_inc]]+Tabla351081315369[[#This Row],[% no_efect_inc]])/2</f>
        <v>#DIV/0!</v>
      </c>
      <c r="O44" s="11" t="e">
        <f aca="false">Tabla351081315369[[#This Row],[no_efec_cor]]/(Tabla351081315369[[#This Row],[efect_inc]]+Tabla351081315369[[#This Row],[no_efec_cor]])</f>
        <v>#DIV/0!</v>
      </c>
      <c r="P44" s="11" t="e">
        <f aca="false">Tabla351081315369[[#This Row],[efec_cor]]/(Tabla351081315369[[#This Row],[efec_cor]]+Tabla351081315369[[#This Row],[no_efec_inc]])</f>
        <v>#DIV/0!</v>
      </c>
      <c r="Q44" s="11" t="e">
        <f aca="false">(Tabla351081315369[[#This Row],[PNE]]+Tabla351081315369[[#This Row],[PE]])/2</f>
        <v>#DIV/0!</v>
      </c>
      <c r="T44" s="0" t="n">
        <f aca="false">Tabla351081315369[[#This Row],[efec]]+Tabla351081315369[[#This Row],[no_efe]]</f>
        <v>0</v>
      </c>
    </row>
    <row r="45" customFormat="false" ht="13.8" hidden="false" customHeight="false" outlineLevel="0" collapsed="false">
      <c r="A45" s="0" t="s">
        <v>44</v>
      </c>
      <c r="F45" s="0" t="n">
        <f aca="false">Tabla351081315369[[#This Row],[no_efec_cor]]+Tabla351081315369[[#This Row],[efec_cor]]</f>
        <v>0</v>
      </c>
      <c r="G45" s="0" t="n">
        <f aca="false">Tabla351081315369[[#This Row],[no_efec_inc]]+Tabla351081315369[[#This Row],[efect_inc]]</f>
        <v>0</v>
      </c>
      <c r="H45" s="9" t="e">
        <f aca="false">Tabla351081315369[[#This Row],[Correctos]]/Tabla351081315369[[#This Row],[total_sec]]</f>
        <v>#DIV/0!</v>
      </c>
      <c r="I45" s="9" t="e">
        <f aca="false">Tabla351081315369[[#This Row],[efec_cor]]/Tabla351081315369[[#This Row],[efec]]</f>
        <v>#DIV/0!</v>
      </c>
      <c r="J45" s="9" t="e">
        <f aca="false">Tabla351081315369[[#This Row],[efect_inc]]/Tabla351081315369[[#This Row],[efec]]</f>
        <v>#DIV/0!</v>
      </c>
      <c r="K45" s="9" t="e">
        <f aca="false">Tabla351081315369[[#This Row],[no_efec_cor]]/Tabla351081315369[[#This Row],[no_efe]]</f>
        <v>#DIV/0!</v>
      </c>
      <c r="L45" s="9" t="e">
        <f aca="false">Tabla351081315369[[#This Row],[no_efec_inc]]/Tabla351081315369[[#This Row],[no_efe]]</f>
        <v>#DIV/0!</v>
      </c>
      <c r="M45" s="9" t="e">
        <f aca="false">(Tabla351081315369[[#This Row],[% efe_cor]]+Tabla351081315369[[#This Row],[% no_efe_cor]])/2</f>
        <v>#DIV/0!</v>
      </c>
      <c r="N45" s="10" t="e">
        <f aca="false">(Tabla351081315369[[#This Row],[% efe_inc]]+Tabla351081315369[[#This Row],[% no_efect_inc]])/2</f>
        <v>#DIV/0!</v>
      </c>
      <c r="O45" s="11" t="e">
        <f aca="false">Tabla351081315369[[#This Row],[no_efec_cor]]/(Tabla351081315369[[#This Row],[efect_inc]]+Tabla351081315369[[#This Row],[no_efec_cor]])</f>
        <v>#DIV/0!</v>
      </c>
      <c r="P45" s="11" t="e">
        <f aca="false">Tabla351081315369[[#This Row],[efec_cor]]/(Tabla351081315369[[#This Row],[efec_cor]]+Tabla351081315369[[#This Row],[no_efec_inc]])</f>
        <v>#DIV/0!</v>
      </c>
      <c r="Q45" s="11" t="e">
        <f aca="false">(Tabla351081315369[[#This Row],[PNE]]+Tabla351081315369[[#This Row],[PE]])/2</f>
        <v>#DIV/0!</v>
      </c>
      <c r="T45" s="0" t="n">
        <f aca="false">Tabla351081315369[[#This Row],[efec]]+Tabla351081315369[[#This Row],[no_efe]]</f>
        <v>0</v>
      </c>
    </row>
    <row r="47" customFormat="false" ht="15" hidden="false" customHeight="false" outlineLevel="0" collapsed="false">
      <c r="A47" s="13" t="s">
        <v>5</v>
      </c>
      <c r="B47" s="13"/>
      <c r="C47" s="13"/>
      <c r="D47" s="13"/>
      <c r="E47" s="13"/>
      <c r="F47" s="13"/>
      <c r="G47" s="13"/>
    </row>
    <row r="48" customFormat="false" ht="16.5" hidden="false" customHeight="false" outlineLevel="0" collapsed="false">
      <c r="A48" s="14" t="s">
        <v>48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customFormat="false" ht="15.75" hidden="false" customHeight="false" outlineLevel="0" collapsed="false">
      <c r="A49" s="7" t="s">
        <v>38</v>
      </c>
      <c r="B49" s="8" t="s">
        <v>7</v>
      </c>
      <c r="C49" s="8" t="s">
        <v>8</v>
      </c>
      <c r="D49" s="8" t="s">
        <v>9</v>
      </c>
      <c r="E49" s="8" t="s">
        <v>10</v>
      </c>
      <c r="F49" s="8" t="s">
        <v>11</v>
      </c>
      <c r="G49" s="8" t="s">
        <v>12</v>
      </c>
      <c r="H49" s="7" t="s">
        <v>13</v>
      </c>
      <c r="I49" s="7" t="s">
        <v>14</v>
      </c>
      <c r="J49" s="7" t="s">
        <v>15</v>
      </c>
      <c r="K49" s="7" t="s">
        <v>16</v>
      </c>
      <c r="L49" s="7" t="s">
        <v>17</v>
      </c>
      <c r="M49" s="7" t="s">
        <v>18</v>
      </c>
      <c r="N49" s="7" t="s">
        <v>19</v>
      </c>
      <c r="O49" s="7" t="s">
        <v>20</v>
      </c>
      <c r="P49" s="7" t="s">
        <v>21</v>
      </c>
      <c r="Q49" s="7" t="s">
        <v>22</v>
      </c>
      <c r="R49" s="7" t="s">
        <v>23</v>
      </c>
      <c r="S49" s="7" t="s">
        <v>24</v>
      </c>
      <c r="T49" s="7" t="s">
        <v>25</v>
      </c>
    </row>
    <row r="50" customFormat="false" ht="13.8" hidden="false" customHeight="false" outlineLevel="0" collapsed="false">
      <c r="A50" s="0" t="s">
        <v>39</v>
      </c>
      <c r="F50" s="0" t="n">
        <f aca="false">Tabla3510813153610[[#This Row],[no_efec_cor]]+Tabla3510813153610[[#This Row],[efec_cor]]</f>
        <v>0</v>
      </c>
      <c r="G50" s="0" t="n">
        <f aca="false">Tabla3510813153610[[#This Row],[no_efec_inc]]+Tabla3510813153610[[#This Row],[efect_inc]]</f>
        <v>0</v>
      </c>
      <c r="H50" s="9" t="e">
        <f aca="false">Tabla3510813153610[[#This Row],[Correctos]]/Tabla3510813153610[[#This Row],[total_sec]]</f>
        <v>#DIV/0!</v>
      </c>
      <c r="I50" s="9" t="e">
        <f aca="false">Tabla3510813153610[[#This Row],[efec_cor]]/Tabla3510813153610[[#This Row],[efec]]</f>
        <v>#DIV/0!</v>
      </c>
      <c r="J50" s="9" t="e">
        <f aca="false">Tabla3510813153610[[#This Row],[efect_inc]]/Tabla3510813153610[[#This Row],[efec]]</f>
        <v>#DIV/0!</v>
      </c>
      <c r="K50" s="9" t="e">
        <f aca="false">Tabla3510813153610[[#This Row],[no_efec_cor]]/Tabla3510813153610[[#This Row],[no_efe]]</f>
        <v>#DIV/0!</v>
      </c>
      <c r="L50" s="9" t="e">
        <f aca="false">Tabla3510813153610[[#This Row],[no_efec_inc]]/Tabla3510813153610[[#This Row],[no_efe]]</f>
        <v>#DIV/0!</v>
      </c>
      <c r="M50" s="9" t="e">
        <f aca="false">(Tabla3510813153610[[#This Row],[% efe_cor]]+Tabla3510813153610[[#This Row],[% no_efe_cor]])/2</f>
        <v>#DIV/0!</v>
      </c>
      <c r="N50" s="10" t="e">
        <f aca="false">(Tabla3510813153610[[#This Row],[% efe_inc]]+Tabla3510813153610[[#This Row],[% no_efect_inc]])/2</f>
        <v>#DIV/0!</v>
      </c>
      <c r="O50" s="11" t="e">
        <f aca="false">Tabla3510813153610[[#This Row],[no_efec_cor]]/(Tabla3510813153610[[#This Row],[efect_inc]]+Tabla3510813153610[[#This Row],[no_efec_cor]])</f>
        <v>#DIV/0!</v>
      </c>
      <c r="P50" s="11" t="e">
        <f aca="false">Tabla3510813153610[[#This Row],[efec_cor]]/(Tabla3510813153610[[#This Row],[efec_cor]]+Tabla3510813153610[[#This Row],[no_efec_inc]])</f>
        <v>#DIV/0!</v>
      </c>
      <c r="Q50" s="11" t="e">
        <f aca="false">(Tabla3510813153610[[#This Row],[PNE]]+Tabla3510813153610[[#This Row],[PE]])/2</f>
        <v>#DIV/0!</v>
      </c>
      <c r="T50" s="0" t="n">
        <f aca="false">Tabla3510813153610[[#This Row],[efec]]+Tabla3510813153610[[#This Row],[no_efe]]</f>
        <v>0</v>
      </c>
    </row>
    <row r="51" customFormat="false" ht="13.8" hidden="false" customHeight="false" outlineLevel="0" collapsed="false">
      <c r="A51" s="0" t="s">
        <v>40</v>
      </c>
      <c r="F51" s="0" t="n">
        <f aca="false">Tabla3510813153610[[#This Row],[no_efec_cor]]+Tabla3510813153610[[#This Row],[efec_cor]]</f>
        <v>0</v>
      </c>
      <c r="G51" s="0" t="n">
        <f aca="false">Tabla3510813153610[[#This Row],[no_efec_inc]]+Tabla3510813153610[[#This Row],[efect_inc]]</f>
        <v>0</v>
      </c>
      <c r="H51" s="9" t="e">
        <f aca="false">Tabla3510813153610[[#This Row],[Correctos]]/Tabla3510813153610[[#This Row],[total_sec]]</f>
        <v>#DIV/0!</v>
      </c>
      <c r="I51" s="9" t="e">
        <f aca="false">Tabla3510813153610[[#This Row],[efec_cor]]/Tabla3510813153610[[#This Row],[efec]]</f>
        <v>#DIV/0!</v>
      </c>
      <c r="J51" s="9" t="e">
        <f aca="false">Tabla3510813153610[[#This Row],[efect_inc]]/Tabla3510813153610[[#This Row],[efec]]</f>
        <v>#DIV/0!</v>
      </c>
      <c r="K51" s="9" t="e">
        <f aca="false">Tabla3510813153610[[#This Row],[no_efec_cor]]/Tabla3510813153610[[#This Row],[no_efe]]</f>
        <v>#DIV/0!</v>
      </c>
      <c r="L51" s="9" t="e">
        <f aca="false">Tabla3510813153610[[#This Row],[no_efec_inc]]/Tabla3510813153610[[#This Row],[no_efe]]</f>
        <v>#DIV/0!</v>
      </c>
      <c r="M51" s="9" t="e">
        <f aca="false">(Tabla3510813153610[[#This Row],[% efe_cor]]+Tabla3510813153610[[#This Row],[% no_efe_cor]])/2</f>
        <v>#DIV/0!</v>
      </c>
      <c r="N51" s="10" t="e">
        <f aca="false">(Tabla3510813153610[[#This Row],[% efe_inc]]+Tabla3510813153610[[#This Row],[% no_efect_inc]])/2</f>
        <v>#DIV/0!</v>
      </c>
      <c r="O51" s="11" t="e">
        <f aca="false">Tabla3510813153610[[#This Row],[no_efec_cor]]/(Tabla3510813153610[[#This Row],[efect_inc]]+Tabla3510813153610[[#This Row],[no_efec_cor]])</f>
        <v>#DIV/0!</v>
      </c>
      <c r="P51" s="11" t="e">
        <f aca="false">Tabla3510813153610[[#This Row],[efec_cor]]/(Tabla3510813153610[[#This Row],[efec_cor]]+Tabla3510813153610[[#This Row],[no_efec_inc]])</f>
        <v>#DIV/0!</v>
      </c>
      <c r="Q51" s="11" t="e">
        <f aca="false">(Tabla3510813153610[[#This Row],[PNE]]+Tabla3510813153610[[#This Row],[PE]])/2</f>
        <v>#DIV/0!</v>
      </c>
      <c r="T51" s="0" t="n">
        <f aca="false">Tabla3510813153610[[#This Row],[efec]]+Tabla3510813153610[[#This Row],[no_efe]]</f>
        <v>0</v>
      </c>
    </row>
    <row r="52" customFormat="false" ht="13.8" hidden="false" customHeight="false" outlineLevel="0" collapsed="false">
      <c r="A52" s="0" t="s">
        <v>41</v>
      </c>
      <c r="F52" s="0" t="n">
        <f aca="false">Tabla3510813153610[[#This Row],[no_efec_cor]]+Tabla3510813153610[[#This Row],[efec_cor]]</f>
        <v>0</v>
      </c>
      <c r="G52" s="0" t="n">
        <f aca="false">Tabla3510813153610[[#This Row],[no_efec_inc]]+Tabla3510813153610[[#This Row],[efect_inc]]</f>
        <v>0</v>
      </c>
      <c r="H52" s="9" t="e">
        <f aca="false">Tabla3510813153610[[#This Row],[Correctos]]/Tabla3510813153610[[#This Row],[total_sec]]</f>
        <v>#DIV/0!</v>
      </c>
      <c r="I52" s="9" t="e">
        <f aca="false">Tabla3510813153610[[#This Row],[efec_cor]]/Tabla3510813153610[[#This Row],[efec]]</f>
        <v>#DIV/0!</v>
      </c>
      <c r="J52" s="9" t="e">
        <f aca="false">Tabla3510813153610[[#This Row],[efect_inc]]/Tabla3510813153610[[#This Row],[efec]]</f>
        <v>#DIV/0!</v>
      </c>
      <c r="K52" s="9" t="e">
        <f aca="false">Tabla3510813153610[[#This Row],[no_efec_cor]]/Tabla3510813153610[[#This Row],[no_efe]]</f>
        <v>#DIV/0!</v>
      </c>
      <c r="L52" s="9" t="e">
        <f aca="false">Tabla3510813153610[[#This Row],[no_efec_inc]]/Tabla3510813153610[[#This Row],[no_efe]]</f>
        <v>#DIV/0!</v>
      </c>
      <c r="M52" s="9" t="e">
        <f aca="false">(Tabla3510813153610[[#This Row],[% efe_cor]]+Tabla3510813153610[[#This Row],[% no_efe_cor]])/2</f>
        <v>#DIV/0!</v>
      </c>
      <c r="N52" s="10" t="e">
        <f aca="false">(Tabla3510813153610[[#This Row],[% efe_inc]]+Tabla3510813153610[[#This Row],[% no_efect_inc]])/2</f>
        <v>#DIV/0!</v>
      </c>
      <c r="O52" s="11" t="e">
        <f aca="false">Tabla3510813153610[[#This Row],[no_efec_cor]]/(Tabla3510813153610[[#This Row],[efect_inc]]+Tabla3510813153610[[#This Row],[no_efec_cor]])</f>
        <v>#DIV/0!</v>
      </c>
      <c r="P52" s="11" t="e">
        <f aca="false">Tabla3510813153610[[#This Row],[efec_cor]]/(Tabla3510813153610[[#This Row],[efec_cor]]+Tabla3510813153610[[#This Row],[no_efec_inc]])</f>
        <v>#DIV/0!</v>
      </c>
      <c r="Q52" s="11" t="e">
        <f aca="false">(Tabla3510813153610[[#This Row],[PNE]]+Tabla3510813153610[[#This Row],[PE]])/2</f>
        <v>#DIV/0!</v>
      </c>
      <c r="T52" s="0" t="n">
        <f aca="false">Tabla3510813153610[[#This Row],[efec]]+Tabla3510813153610[[#This Row],[no_efe]]</f>
        <v>0</v>
      </c>
    </row>
    <row r="53" customFormat="false" ht="13.8" hidden="false" customHeight="false" outlineLevel="0" collapsed="false">
      <c r="A53" s="0" t="s">
        <v>42</v>
      </c>
      <c r="F53" s="0" t="n">
        <f aca="false">Tabla3510813153610[[#This Row],[no_efec_cor]]+Tabla3510813153610[[#This Row],[efec_cor]]</f>
        <v>0</v>
      </c>
      <c r="G53" s="0" t="n">
        <f aca="false">Tabla3510813153610[[#This Row],[no_efec_inc]]+Tabla3510813153610[[#This Row],[efect_inc]]</f>
        <v>0</v>
      </c>
      <c r="H53" s="9" t="e">
        <f aca="false">Tabla3510813153610[[#This Row],[Correctos]]/Tabla3510813153610[[#This Row],[total_sec]]</f>
        <v>#DIV/0!</v>
      </c>
      <c r="I53" s="9" t="e">
        <f aca="false">Tabla3510813153610[[#This Row],[efec_cor]]/Tabla3510813153610[[#This Row],[efec]]</f>
        <v>#DIV/0!</v>
      </c>
      <c r="J53" s="9" t="e">
        <f aca="false">Tabla3510813153610[[#This Row],[efect_inc]]/Tabla3510813153610[[#This Row],[efec]]</f>
        <v>#DIV/0!</v>
      </c>
      <c r="K53" s="9" t="e">
        <f aca="false">Tabla3510813153610[[#This Row],[no_efec_cor]]/Tabla3510813153610[[#This Row],[no_efe]]</f>
        <v>#DIV/0!</v>
      </c>
      <c r="L53" s="9" t="e">
        <f aca="false">Tabla3510813153610[[#This Row],[no_efec_inc]]/Tabla3510813153610[[#This Row],[no_efe]]</f>
        <v>#DIV/0!</v>
      </c>
      <c r="M53" s="9" t="e">
        <f aca="false">(Tabla3510813153610[[#This Row],[% efe_cor]]+Tabla3510813153610[[#This Row],[% no_efe_cor]])/2</f>
        <v>#DIV/0!</v>
      </c>
      <c r="N53" s="10" t="e">
        <f aca="false">(Tabla3510813153610[[#This Row],[% efe_inc]]+Tabla3510813153610[[#This Row],[% no_efect_inc]])/2</f>
        <v>#DIV/0!</v>
      </c>
      <c r="O53" s="11" t="e">
        <f aca="false">Tabla3510813153610[[#This Row],[no_efec_cor]]/(Tabla3510813153610[[#This Row],[efect_inc]]+Tabla3510813153610[[#This Row],[no_efec_cor]])</f>
        <v>#DIV/0!</v>
      </c>
      <c r="P53" s="11" t="e">
        <f aca="false">Tabla3510813153610[[#This Row],[efec_cor]]/(Tabla3510813153610[[#This Row],[efec_cor]]+Tabla3510813153610[[#This Row],[no_efec_inc]])</f>
        <v>#DIV/0!</v>
      </c>
      <c r="Q53" s="11" t="e">
        <f aca="false">(Tabla3510813153610[[#This Row],[PNE]]+Tabla3510813153610[[#This Row],[PE]])/2</f>
        <v>#DIV/0!</v>
      </c>
      <c r="T53" s="0" t="n">
        <f aca="false">Tabla3510813153610[[#This Row],[efec]]+Tabla3510813153610[[#This Row],[no_efe]]</f>
        <v>0</v>
      </c>
    </row>
    <row r="54" customFormat="false" ht="13.8" hidden="false" customHeight="false" outlineLevel="0" collapsed="false">
      <c r="A54" s="0" t="s">
        <v>43</v>
      </c>
      <c r="F54" s="0" t="n">
        <f aca="false">Tabla3510813153610[[#This Row],[no_efec_cor]]+Tabla3510813153610[[#This Row],[efec_cor]]</f>
        <v>0</v>
      </c>
      <c r="G54" s="0" t="n">
        <f aca="false">Tabla3510813153610[[#This Row],[no_efec_inc]]+Tabla3510813153610[[#This Row],[efect_inc]]</f>
        <v>0</v>
      </c>
      <c r="H54" s="9" t="e">
        <f aca="false">Tabla3510813153610[[#This Row],[Correctos]]/Tabla3510813153610[[#This Row],[total_sec]]</f>
        <v>#DIV/0!</v>
      </c>
      <c r="I54" s="9" t="e">
        <f aca="false">Tabla3510813153610[[#This Row],[efec_cor]]/Tabla3510813153610[[#This Row],[efec]]</f>
        <v>#DIV/0!</v>
      </c>
      <c r="J54" s="9" t="e">
        <f aca="false">Tabla3510813153610[[#This Row],[efect_inc]]/Tabla3510813153610[[#This Row],[efec]]</f>
        <v>#DIV/0!</v>
      </c>
      <c r="K54" s="9" t="e">
        <f aca="false">Tabla3510813153610[[#This Row],[no_efec_cor]]/Tabla3510813153610[[#This Row],[no_efe]]</f>
        <v>#DIV/0!</v>
      </c>
      <c r="L54" s="9" t="e">
        <f aca="false">Tabla3510813153610[[#This Row],[no_efec_inc]]/Tabla3510813153610[[#This Row],[no_efe]]</f>
        <v>#DIV/0!</v>
      </c>
      <c r="M54" s="9" t="e">
        <f aca="false">(Tabla3510813153610[[#This Row],[% efe_cor]]+Tabla3510813153610[[#This Row],[% no_efe_cor]])/2</f>
        <v>#DIV/0!</v>
      </c>
      <c r="N54" s="10" t="e">
        <f aca="false">(Tabla3510813153610[[#This Row],[% efe_inc]]+Tabla3510813153610[[#This Row],[% no_efect_inc]])/2</f>
        <v>#DIV/0!</v>
      </c>
      <c r="O54" s="11" t="e">
        <f aca="false">Tabla3510813153610[[#This Row],[no_efec_cor]]/(Tabla3510813153610[[#This Row],[efect_inc]]+Tabla3510813153610[[#This Row],[no_efec_cor]])</f>
        <v>#DIV/0!</v>
      </c>
      <c r="P54" s="11" t="e">
        <f aca="false">Tabla3510813153610[[#This Row],[efec_cor]]/(Tabla3510813153610[[#This Row],[efec_cor]]+Tabla3510813153610[[#This Row],[no_efec_inc]])</f>
        <v>#DIV/0!</v>
      </c>
      <c r="Q54" s="11" t="e">
        <f aca="false">(Tabla3510813153610[[#This Row],[PNE]]+Tabla3510813153610[[#This Row],[PE]])/2</f>
        <v>#DIV/0!</v>
      </c>
      <c r="T54" s="0" t="n">
        <f aca="false">Tabla3510813153610[[#This Row],[efec]]+Tabla3510813153610[[#This Row],[no_efe]]</f>
        <v>0</v>
      </c>
    </row>
    <row r="55" customFormat="false" ht="13.8" hidden="false" customHeight="false" outlineLevel="0" collapsed="false">
      <c r="A55" s="0" t="s">
        <v>44</v>
      </c>
      <c r="F55" s="0" t="n">
        <f aca="false">Tabla3510813153610[[#This Row],[no_efec_cor]]+Tabla3510813153610[[#This Row],[efec_cor]]</f>
        <v>0</v>
      </c>
      <c r="G55" s="0" t="n">
        <f aca="false">Tabla3510813153610[[#This Row],[no_efec_inc]]+Tabla3510813153610[[#This Row],[efect_inc]]</f>
        <v>0</v>
      </c>
      <c r="H55" s="9" t="e">
        <f aca="false">Tabla3510813153610[[#This Row],[Correctos]]/Tabla3510813153610[[#This Row],[total_sec]]</f>
        <v>#DIV/0!</v>
      </c>
      <c r="I55" s="9" t="e">
        <f aca="false">Tabla3510813153610[[#This Row],[efec_cor]]/Tabla3510813153610[[#This Row],[efec]]</f>
        <v>#DIV/0!</v>
      </c>
      <c r="J55" s="9" t="e">
        <f aca="false">Tabla3510813153610[[#This Row],[efect_inc]]/Tabla3510813153610[[#This Row],[efec]]</f>
        <v>#DIV/0!</v>
      </c>
      <c r="K55" s="9" t="e">
        <f aca="false">Tabla3510813153610[[#This Row],[no_efec_cor]]/Tabla3510813153610[[#This Row],[no_efe]]</f>
        <v>#DIV/0!</v>
      </c>
      <c r="L55" s="9" t="e">
        <f aca="false">Tabla3510813153610[[#This Row],[no_efec_inc]]/Tabla3510813153610[[#This Row],[no_efe]]</f>
        <v>#DIV/0!</v>
      </c>
      <c r="M55" s="9" t="e">
        <f aca="false">(Tabla3510813153610[[#This Row],[% efe_cor]]+Tabla3510813153610[[#This Row],[% no_efe_cor]])/2</f>
        <v>#DIV/0!</v>
      </c>
      <c r="N55" s="10" t="e">
        <f aca="false">(Tabla3510813153610[[#This Row],[% efe_inc]]+Tabla3510813153610[[#This Row],[% no_efect_inc]])/2</f>
        <v>#DIV/0!</v>
      </c>
      <c r="O55" s="11" t="e">
        <f aca="false">Tabla3510813153610[[#This Row],[no_efec_cor]]/(Tabla3510813153610[[#This Row],[efect_inc]]+Tabla3510813153610[[#This Row],[no_efec_cor]])</f>
        <v>#DIV/0!</v>
      </c>
      <c r="P55" s="11" t="e">
        <f aca="false">Tabla3510813153610[[#This Row],[efec_cor]]/(Tabla3510813153610[[#This Row],[efec_cor]]+Tabla3510813153610[[#This Row],[no_efec_inc]])</f>
        <v>#DIV/0!</v>
      </c>
      <c r="Q55" s="11" t="e">
        <f aca="false">(Tabla3510813153610[[#This Row],[PNE]]+Tabla3510813153610[[#This Row],[PE]])/2</f>
        <v>#DIV/0!</v>
      </c>
      <c r="T55" s="0" t="n">
        <f aca="false">Tabla3510813153610[[#This Row],[efec]]+Tabla3510813153610[[#This Row],[no_efe]]</f>
        <v>0</v>
      </c>
    </row>
    <row r="58" customFormat="false" ht="15" hidden="false" customHeight="false" outlineLevel="0" collapsed="false">
      <c r="A58" s="0" t="s">
        <v>49</v>
      </c>
      <c r="B58" s="0" t="s">
        <v>50</v>
      </c>
    </row>
    <row r="59" customFormat="false" ht="15" hidden="false" customHeight="false" outlineLevel="0" collapsed="false">
      <c r="A59" s="0" t="s">
        <v>51</v>
      </c>
      <c r="B59" s="0" t="s">
        <v>52</v>
      </c>
    </row>
    <row r="60" customFormat="false" ht="15" hidden="false" customHeight="false" outlineLevel="0" collapsed="false">
      <c r="A60" s="0" t="s">
        <v>53</v>
      </c>
      <c r="B60" s="0" t="s">
        <v>54</v>
      </c>
    </row>
    <row r="61" customFormat="false" ht="15" hidden="false" customHeight="false" outlineLevel="0" collapsed="false">
      <c r="A61" s="0" t="s">
        <v>55</v>
      </c>
      <c r="B61" s="0" t="s">
        <v>56</v>
      </c>
    </row>
    <row r="62" customFormat="false" ht="15" hidden="false" customHeight="false" outlineLevel="0" collapsed="false">
      <c r="A62" s="0" t="s">
        <v>57</v>
      </c>
      <c r="B62" s="0" t="s">
        <v>58</v>
      </c>
    </row>
    <row r="64" customFormat="false" ht="15" hidden="false" customHeight="false" outlineLevel="0" collapsed="false">
      <c r="A64" s="15" t="s">
        <v>13</v>
      </c>
      <c r="B64" s="15"/>
      <c r="C64" s="15"/>
      <c r="D64" s="15"/>
      <c r="E64" s="15"/>
      <c r="F64" s="15"/>
      <c r="G64" s="15"/>
      <c r="I64" s="15" t="s">
        <v>22</v>
      </c>
      <c r="J64" s="15"/>
      <c r="K64" s="15"/>
      <c r="L64" s="15"/>
      <c r="M64" s="15"/>
      <c r="N64" s="15"/>
      <c r="O64" s="15"/>
    </row>
    <row r="65" customFormat="false" ht="15" hidden="false" customHeight="false" outlineLevel="0" collapsed="false">
      <c r="A65" s="7" t="s">
        <v>38</v>
      </c>
      <c r="B65" s="7" t="s">
        <v>49</v>
      </c>
      <c r="C65" s="7" t="s">
        <v>51</v>
      </c>
      <c r="D65" s="7" t="s">
        <v>53</v>
      </c>
      <c r="E65" s="7" t="s">
        <v>59</v>
      </c>
      <c r="F65" s="7" t="s">
        <v>57</v>
      </c>
      <c r="G65" s="7" t="s">
        <v>60</v>
      </c>
      <c r="I65" s="7" t="s">
        <v>38</v>
      </c>
      <c r="J65" s="7" t="s">
        <v>49</v>
      </c>
      <c r="K65" s="7" t="s">
        <v>51</v>
      </c>
      <c r="L65" s="7" t="s">
        <v>53</v>
      </c>
      <c r="M65" s="7" t="s">
        <v>59</v>
      </c>
      <c r="N65" s="7" t="s">
        <v>57</v>
      </c>
      <c r="O65" s="7" t="s">
        <v>60</v>
      </c>
    </row>
    <row r="66" customFormat="false" ht="13.8" hidden="false" customHeight="false" outlineLevel="0" collapsed="false">
      <c r="A66" s="0" t="s">
        <v>39</v>
      </c>
      <c r="G66" s="0" t="e">
        <f aca="false">AVERAGE(B66:F66)</f>
        <v>#DIV/0!</v>
      </c>
      <c r="I66" s="0" t="s">
        <v>43</v>
      </c>
      <c r="O66" s="16" t="e">
        <f aca="false">AVERAGE(J66:N66)</f>
        <v>#DIV/0!</v>
      </c>
    </row>
    <row r="67" customFormat="false" ht="13.8" hidden="false" customHeight="false" outlineLevel="0" collapsed="false">
      <c r="A67" s="0" t="s">
        <v>40</v>
      </c>
      <c r="G67" s="0" t="e">
        <f aca="false">AVERAGE(B67:F67)</f>
        <v>#DIV/0!</v>
      </c>
      <c r="I67" s="0" t="s">
        <v>44</v>
      </c>
      <c r="O67" s="17" t="e">
        <f aca="false">AVERAGE(J67:N67)</f>
        <v>#DIV/0!</v>
      </c>
    </row>
    <row r="68" customFormat="false" ht="13.8" hidden="false" customHeight="false" outlineLevel="0" collapsed="false">
      <c r="A68" s="0" t="s">
        <v>41</v>
      </c>
      <c r="G68" s="0" t="e">
        <f aca="false">AVERAGE(B68:F68)</f>
        <v>#DIV/0!</v>
      </c>
      <c r="I68" s="0" t="s">
        <v>42</v>
      </c>
      <c r="O68" s="16" t="e">
        <f aca="false">AVERAGE(J68:N68)</f>
        <v>#DIV/0!</v>
      </c>
    </row>
    <row r="69" customFormat="false" ht="13.8" hidden="false" customHeight="false" outlineLevel="0" collapsed="false">
      <c r="A69" s="0" t="s">
        <v>42</v>
      </c>
      <c r="G69" s="18" t="e">
        <f aca="false">AVERAGE(B69:F69)</f>
        <v>#DIV/0!</v>
      </c>
      <c r="I69" s="0" t="s">
        <v>39</v>
      </c>
      <c r="O69" s="19" t="e">
        <f aca="false">AVERAGE(J69:N69)</f>
        <v>#DIV/0!</v>
      </c>
    </row>
    <row r="70" customFormat="false" ht="13.8" hidden="false" customHeight="false" outlineLevel="0" collapsed="false">
      <c r="A70" s="0" t="s">
        <v>43</v>
      </c>
      <c r="G70" s="0" t="e">
        <f aca="false">AVERAGE(B70:F70)</f>
        <v>#DIV/0!</v>
      </c>
      <c r="I70" s="0" t="s">
        <v>41</v>
      </c>
      <c r="O70" s="16" t="e">
        <f aca="false">AVERAGE(J70:N70)</f>
        <v>#DIV/0!</v>
      </c>
    </row>
    <row r="71" customFormat="false" ht="13.8" hidden="false" customHeight="false" outlineLevel="0" collapsed="false">
      <c r="A71" s="0" t="s">
        <v>44</v>
      </c>
      <c r="G71" s="0" t="e">
        <f aca="false">AVERAGE(B71:F71)</f>
        <v>#DIV/0!</v>
      </c>
      <c r="I71" s="0" t="s">
        <v>40</v>
      </c>
      <c r="O71" s="17" t="e">
        <f aca="false">AVERAGE(J71:N71)</f>
        <v>#DIV/0!</v>
      </c>
    </row>
    <row r="72" customFormat="false" ht="15" hidden="false" customHeight="false" outlineLevel="0" collapsed="false">
      <c r="A72" s="0" t="s">
        <v>60</v>
      </c>
      <c r="B72" s="0" t="e">
        <f aca="false">AVERAGE(B66:B71)</f>
        <v>#DIV/0!</v>
      </c>
      <c r="C72" s="0" t="e">
        <f aca="false">AVERAGE(C66:C71)</f>
        <v>#DIV/0!</v>
      </c>
      <c r="D72" s="0" t="e">
        <f aca="false">AVERAGE(D66:D71)</f>
        <v>#DIV/0!</v>
      </c>
      <c r="E72" s="0" t="e">
        <f aca="false">AVERAGE(E66:E71)</f>
        <v>#DIV/0!</v>
      </c>
      <c r="F72" s="18" t="e">
        <f aca="false">AVERAGE(F66:F71)</f>
        <v>#DIV/0!</v>
      </c>
      <c r="G72" s="0" t="e">
        <f aca="false">AVERAGE(G66:G71)</f>
        <v>#DIV/0!</v>
      </c>
      <c r="I72" s="0" t="s">
        <v>60</v>
      </c>
      <c r="J72" s="20" t="e">
        <f aca="false">AVERAGE(J66:J71)</f>
        <v>#DIV/0!</v>
      </c>
      <c r="K72" s="20" t="e">
        <f aca="false">AVERAGE(K66:K71)</f>
        <v>#DIV/0!</v>
      </c>
      <c r="L72" s="20" t="e">
        <f aca="false">AVERAGE(L66:L71)</f>
        <v>#DIV/0!</v>
      </c>
      <c r="M72" s="20" t="e">
        <f aca="false">AVERAGE(M66:M71)</f>
        <v>#DIV/0!</v>
      </c>
      <c r="N72" s="21" t="e">
        <f aca="false">AVERAGE(N66:N71)</f>
        <v>#DIV/0!</v>
      </c>
      <c r="O72" s="22" t="e">
        <f aca="false">AVERAGE(O66:O71)</f>
        <v>#DIV/0!</v>
      </c>
    </row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9" customFormat="false" ht="13.8" hidden="false" customHeight="false" outlineLevel="0" collapsed="false">
      <c r="A89" s="0" t="s">
        <v>43</v>
      </c>
    </row>
    <row r="90" customFormat="false" ht="13.8" hidden="false" customHeight="false" outlineLevel="0" collapsed="false">
      <c r="A90" s="0" t="s">
        <v>44</v>
      </c>
    </row>
    <row r="91" customFormat="false" ht="13.8" hidden="false" customHeight="false" outlineLevel="0" collapsed="false">
      <c r="A91" s="0" t="s">
        <v>42</v>
      </c>
    </row>
    <row r="92" customFormat="false" ht="13.8" hidden="false" customHeight="false" outlineLevel="0" collapsed="false">
      <c r="A92" s="0" t="s">
        <v>39</v>
      </c>
    </row>
    <row r="93" customFormat="false" ht="13.8" hidden="false" customHeight="false" outlineLevel="0" collapsed="false">
      <c r="A93" s="0" t="s">
        <v>41</v>
      </c>
    </row>
    <row r="94" customFormat="false" ht="13.8" hidden="false" customHeight="false" outlineLevel="0" collapsed="false">
      <c r="A94" s="0" t="s">
        <v>40</v>
      </c>
    </row>
  </sheetData>
  <mergeCells count="16">
    <mergeCell ref="A1:T1"/>
    <mergeCell ref="A3:B3"/>
    <mergeCell ref="A4:B4"/>
    <mergeCell ref="A5:B5"/>
    <mergeCell ref="A7:G7"/>
    <mergeCell ref="A8:T8"/>
    <mergeCell ref="A17:G17"/>
    <mergeCell ref="A18:T18"/>
    <mergeCell ref="A27:G27"/>
    <mergeCell ref="A28:T28"/>
    <mergeCell ref="A37:G37"/>
    <mergeCell ref="A38:T38"/>
    <mergeCell ref="A47:G47"/>
    <mergeCell ref="A48:T48"/>
    <mergeCell ref="A64:G64"/>
    <mergeCell ref="I64:O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43C0B"/>
    <pageSetUpPr fitToPage="false"/>
  </sheetPr>
  <dimension ref="A1:V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3.14"/>
    <col collapsed="false" customWidth="true" hidden="false" outlineLevel="0" max="3" min="3" style="0" width="15.85"/>
    <col collapsed="false" customWidth="true" hidden="false" outlineLevel="0" max="4" min="4" style="0" width="14.14"/>
    <col collapsed="false" customWidth="true" hidden="false" outlineLevel="0" max="5" min="5" style="0" width="12.71"/>
    <col collapsed="false" customWidth="true" hidden="false" outlineLevel="0" max="6" min="6" style="0" width="14"/>
    <col collapsed="false" customWidth="true" hidden="false" outlineLevel="0" max="7" min="7" style="0" width="13.71"/>
  </cols>
  <sheetData>
    <row r="1" customFormat="false" ht="19.5" hidden="false" customHeight="false" outlineLevel="0" collapsed="false">
      <c r="A1" s="1" t="s">
        <v>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customFormat="false" ht="15" hidden="false" customHeight="false" outlineLevel="0" collapsed="false">
      <c r="A3" s="13" t="s">
        <v>5</v>
      </c>
      <c r="B3" s="13"/>
      <c r="C3" s="13"/>
      <c r="D3" s="13"/>
      <c r="E3" s="13"/>
      <c r="F3" s="13"/>
      <c r="G3" s="13"/>
    </row>
    <row r="4" customFormat="false" ht="15.75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5.75" hidden="false" customHeight="false" outlineLevel="0" collapsed="false">
      <c r="A5" s="7" t="s">
        <v>38</v>
      </c>
      <c r="B5" s="7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  <c r="O5" s="7" t="s">
        <v>19</v>
      </c>
      <c r="P5" s="7" t="s">
        <v>20</v>
      </c>
      <c r="Q5" s="7" t="s">
        <v>21</v>
      </c>
      <c r="R5" s="7" t="s">
        <v>22</v>
      </c>
      <c r="S5" s="7" t="s">
        <v>23</v>
      </c>
      <c r="T5" s="7" t="s">
        <v>24</v>
      </c>
      <c r="U5" s="7" t="s">
        <v>25</v>
      </c>
    </row>
    <row r="6" customFormat="false" ht="13.8" hidden="false" customHeight="false" outlineLevel="0" collapsed="false">
      <c r="A6" s="0" t="s">
        <v>39</v>
      </c>
      <c r="B6" s="0" t="n">
        <v>1</v>
      </c>
      <c r="G6" s="0" t="n">
        <f aca="false">Tabla351081315361014[[#This Row],[no_efec_cor]]+Tabla351081315361014[[#This Row],[efec_cor]]</f>
        <v>0</v>
      </c>
      <c r="H6" s="0" t="n">
        <f aca="false">Tabla351081315361014[[#This Row],[no_efec_inc]]+Tabla351081315361014[[#This Row],[efect_inc]]</f>
        <v>0</v>
      </c>
      <c r="I6" s="9" t="e">
        <f aca="false">Tabla351081315361014[[#This Row],[Correctos]]/Tabla351081315361014[[#This Row],[total_sec]]</f>
        <v>#DIV/0!</v>
      </c>
      <c r="J6" s="9" t="e">
        <f aca="false">Tabla351081315361014[[#This Row],[efec_cor]]/Tabla351081315361014[[#This Row],[efec]]</f>
        <v>#DIV/0!</v>
      </c>
      <c r="K6" s="9" t="e">
        <f aca="false">Tabla351081315361014[[#This Row],[efect_inc]]/Tabla351081315361014[[#This Row],[efec]]</f>
        <v>#DIV/0!</v>
      </c>
      <c r="L6" s="9" t="e">
        <f aca="false">Tabla351081315361014[[#This Row],[no_efec_cor]]/Tabla351081315361014[[#This Row],[no_efe]]</f>
        <v>#DIV/0!</v>
      </c>
      <c r="M6" s="9" t="e">
        <f aca="false">Tabla351081315361014[[#This Row],[no_efec_inc]]/Tabla351081315361014[[#This Row],[no_efe]]</f>
        <v>#DIV/0!</v>
      </c>
      <c r="N6" s="9" t="e">
        <f aca="false">(Tabla351081315361014[[#This Row],[% efe_cor]]+Tabla351081315361014[[#This Row],[% no_efe_cor]])/2</f>
        <v>#DIV/0!</v>
      </c>
      <c r="O6" s="10" t="e">
        <f aca="false">(Tabla351081315361014[[#This Row],[% efe_inc]]+Tabla351081315361014[[#This Row],[% no_efect_inc]])/2</f>
        <v>#DIV/0!</v>
      </c>
      <c r="P6" s="11" t="e">
        <f aca="false">Tabla351081315361014[[#This Row],[no_efec_cor]]/(Tabla351081315361014[[#This Row],[efect_inc]]+Tabla351081315361014[[#This Row],[no_efec_cor]])</f>
        <v>#DIV/0!</v>
      </c>
      <c r="Q6" s="11" t="e">
        <f aca="false">Tabla351081315361014[[#This Row],[efec_cor]]/(Tabla351081315361014[[#This Row],[efec_cor]]+Tabla351081315361014[[#This Row],[no_efec_inc]])</f>
        <v>#DIV/0!</v>
      </c>
      <c r="R6" s="11" t="e">
        <f aca="false">(Tabla351081315361014[[#This Row],[PNE]]+Tabla351081315361014[[#This Row],[PE]])/2</f>
        <v>#DIV/0!</v>
      </c>
      <c r="U6" s="0" t="n">
        <f aca="false">Tabla351081315361014[[#This Row],[efec]]+Tabla351081315361014[[#This Row],[no_efe]]</f>
        <v>0</v>
      </c>
    </row>
    <row r="7" customFormat="false" ht="13.8" hidden="false" customHeight="false" outlineLevel="0" collapsed="false">
      <c r="A7" s="0" t="s">
        <v>40</v>
      </c>
      <c r="B7" s="0" t="n">
        <v>2</v>
      </c>
      <c r="G7" s="0" t="n">
        <f aca="false">Tabla351081315361014[[#This Row],[no_efec_cor]]+Tabla351081315361014[[#This Row],[efec_cor]]</f>
        <v>0</v>
      </c>
      <c r="H7" s="0" t="n">
        <f aca="false">Tabla351081315361014[[#This Row],[no_efec_inc]]+Tabla351081315361014[[#This Row],[efect_inc]]</f>
        <v>0</v>
      </c>
      <c r="I7" s="9" t="e">
        <f aca="false">Tabla351081315361014[[#This Row],[Correctos]]/Tabla351081315361014[[#This Row],[total_sec]]</f>
        <v>#DIV/0!</v>
      </c>
      <c r="J7" s="9" t="e">
        <f aca="false">Tabla351081315361014[[#This Row],[efec_cor]]/Tabla351081315361014[[#This Row],[efec]]</f>
        <v>#DIV/0!</v>
      </c>
      <c r="K7" s="9" t="e">
        <f aca="false">Tabla351081315361014[[#This Row],[efect_inc]]/Tabla351081315361014[[#This Row],[efec]]</f>
        <v>#DIV/0!</v>
      </c>
      <c r="L7" s="9" t="e">
        <f aca="false">Tabla351081315361014[[#This Row],[no_efec_cor]]/Tabla351081315361014[[#This Row],[no_efe]]</f>
        <v>#DIV/0!</v>
      </c>
      <c r="M7" s="9" t="e">
        <f aca="false">Tabla351081315361014[[#This Row],[no_efec_inc]]/Tabla351081315361014[[#This Row],[no_efe]]</f>
        <v>#DIV/0!</v>
      </c>
      <c r="N7" s="9" t="e">
        <f aca="false">(Tabla351081315361014[[#This Row],[% efe_cor]]+Tabla351081315361014[[#This Row],[% no_efe_cor]])/2</f>
        <v>#DIV/0!</v>
      </c>
      <c r="O7" s="10" t="e">
        <f aca="false">(Tabla351081315361014[[#This Row],[% efe_inc]]+Tabla351081315361014[[#This Row],[% no_efect_inc]])/2</f>
        <v>#DIV/0!</v>
      </c>
      <c r="P7" s="11" t="e">
        <f aca="false">Tabla351081315361014[[#This Row],[no_efec_cor]]/(Tabla351081315361014[[#This Row],[efect_inc]]+Tabla351081315361014[[#This Row],[no_efec_cor]])</f>
        <v>#DIV/0!</v>
      </c>
      <c r="Q7" s="11" t="e">
        <f aca="false">Tabla351081315361014[[#This Row],[efec_cor]]/(Tabla351081315361014[[#This Row],[efec_cor]]+Tabla351081315361014[[#This Row],[no_efec_inc]])</f>
        <v>#DIV/0!</v>
      </c>
      <c r="R7" s="11" t="e">
        <f aca="false">(Tabla351081315361014[[#This Row],[PNE]]+Tabla351081315361014[[#This Row],[PE]])/2</f>
        <v>#DIV/0!</v>
      </c>
      <c r="U7" s="0" t="n">
        <f aca="false">Tabla351081315361014[[#This Row],[efec]]+Tabla351081315361014[[#This Row],[no_efe]]</f>
        <v>0</v>
      </c>
    </row>
    <row r="8" customFormat="false" ht="13.8" hidden="false" customHeight="false" outlineLevel="0" collapsed="false">
      <c r="A8" s="0" t="s">
        <v>41</v>
      </c>
      <c r="B8" s="0" t="n">
        <v>1</v>
      </c>
      <c r="G8" s="0" t="n">
        <f aca="false">Tabla351081315361014[[#This Row],[no_efec_cor]]+Tabla351081315361014[[#This Row],[efec_cor]]</f>
        <v>0</v>
      </c>
      <c r="H8" s="0" t="n">
        <f aca="false">Tabla351081315361014[[#This Row],[no_efec_inc]]+Tabla351081315361014[[#This Row],[efect_inc]]</f>
        <v>0</v>
      </c>
      <c r="I8" s="9" t="e">
        <f aca="false">Tabla351081315361014[[#This Row],[Correctos]]/Tabla351081315361014[[#This Row],[total_sec]]</f>
        <v>#DIV/0!</v>
      </c>
      <c r="J8" s="9" t="e">
        <f aca="false">Tabla351081315361014[[#This Row],[efec_cor]]/Tabla351081315361014[[#This Row],[efec]]</f>
        <v>#DIV/0!</v>
      </c>
      <c r="K8" s="9" t="e">
        <f aca="false">Tabla351081315361014[[#This Row],[efect_inc]]/Tabla351081315361014[[#This Row],[efec]]</f>
        <v>#DIV/0!</v>
      </c>
      <c r="L8" s="9" t="e">
        <f aca="false">Tabla351081315361014[[#This Row],[no_efec_cor]]/Tabla351081315361014[[#This Row],[no_efe]]</f>
        <v>#DIV/0!</v>
      </c>
      <c r="M8" s="9" t="e">
        <f aca="false">Tabla351081315361014[[#This Row],[no_efec_inc]]/Tabla351081315361014[[#This Row],[no_efe]]</f>
        <v>#DIV/0!</v>
      </c>
      <c r="N8" s="9" t="e">
        <f aca="false">(Tabla351081315361014[[#This Row],[% efe_cor]]+Tabla351081315361014[[#This Row],[% no_efe_cor]])/2</f>
        <v>#DIV/0!</v>
      </c>
      <c r="O8" s="10" t="e">
        <f aca="false">(Tabla351081315361014[[#This Row],[% efe_inc]]+Tabla351081315361014[[#This Row],[% no_efect_inc]])/2</f>
        <v>#DIV/0!</v>
      </c>
      <c r="P8" s="11" t="e">
        <f aca="false">Tabla351081315361014[[#This Row],[no_efec_cor]]/(Tabla351081315361014[[#This Row],[efect_inc]]+Tabla351081315361014[[#This Row],[no_efec_cor]])</f>
        <v>#DIV/0!</v>
      </c>
      <c r="Q8" s="11" t="e">
        <f aca="false">Tabla351081315361014[[#This Row],[efec_cor]]/(Tabla351081315361014[[#This Row],[efec_cor]]+Tabla351081315361014[[#This Row],[no_efec_inc]])</f>
        <v>#DIV/0!</v>
      </c>
      <c r="R8" s="11" t="e">
        <f aca="false">(Tabla351081315361014[[#This Row],[PNE]]+Tabla351081315361014[[#This Row],[PE]])/2</f>
        <v>#DIV/0!</v>
      </c>
      <c r="U8" s="0" t="n">
        <f aca="false">Tabla351081315361014[[#This Row],[efec]]+Tabla351081315361014[[#This Row],[no_efe]]</f>
        <v>0</v>
      </c>
    </row>
    <row r="9" customFormat="false" ht="13.8" hidden="false" customHeight="false" outlineLevel="0" collapsed="false">
      <c r="A9" s="0" t="s">
        <v>42</v>
      </c>
      <c r="B9" s="0" t="n">
        <v>1</v>
      </c>
      <c r="G9" s="0" t="n">
        <f aca="false">Tabla351081315361014[[#This Row],[no_efec_cor]]+Tabla351081315361014[[#This Row],[efec_cor]]</f>
        <v>0</v>
      </c>
      <c r="H9" s="0" t="n">
        <f aca="false">Tabla351081315361014[[#This Row],[no_efec_inc]]+Tabla351081315361014[[#This Row],[efect_inc]]</f>
        <v>0</v>
      </c>
      <c r="I9" s="9" t="e">
        <f aca="false">Tabla351081315361014[[#This Row],[Correctos]]/Tabla351081315361014[[#This Row],[total_sec]]</f>
        <v>#DIV/0!</v>
      </c>
      <c r="J9" s="9" t="e">
        <f aca="false">Tabla351081315361014[[#This Row],[efec_cor]]/Tabla351081315361014[[#This Row],[efec]]</f>
        <v>#DIV/0!</v>
      </c>
      <c r="K9" s="9" t="e">
        <f aca="false">Tabla351081315361014[[#This Row],[efect_inc]]/Tabla351081315361014[[#This Row],[efec]]</f>
        <v>#DIV/0!</v>
      </c>
      <c r="L9" s="9" t="e">
        <f aca="false">Tabla351081315361014[[#This Row],[no_efec_cor]]/Tabla351081315361014[[#This Row],[no_efe]]</f>
        <v>#DIV/0!</v>
      </c>
      <c r="M9" s="9" t="e">
        <f aca="false">Tabla351081315361014[[#This Row],[no_efec_inc]]/Tabla351081315361014[[#This Row],[no_efe]]</f>
        <v>#DIV/0!</v>
      </c>
      <c r="N9" s="9" t="e">
        <f aca="false">(Tabla351081315361014[[#This Row],[% efe_cor]]+Tabla351081315361014[[#This Row],[% no_efe_cor]])/2</f>
        <v>#DIV/0!</v>
      </c>
      <c r="O9" s="10" t="e">
        <f aca="false">(Tabla351081315361014[[#This Row],[% efe_inc]]+Tabla351081315361014[[#This Row],[% no_efect_inc]])/2</f>
        <v>#DIV/0!</v>
      </c>
      <c r="P9" s="11" t="e">
        <f aca="false">Tabla351081315361014[[#This Row],[no_efec_cor]]/(Tabla351081315361014[[#This Row],[efect_inc]]+Tabla351081315361014[[#This Row],[no_efec_cor]])</f>
        <v>#DIV/0!</v>
      </c>
      <c r="Q9" s="11" t="e">
        <f aca="false">Tabla351081315361014[[#This Row],[efec_cor]]/(Tabla351081315361014[[#This Row],[efec_cor]]+Tabla351081315361014[[#This Row],[no_efec_inc]])</f>
        <v>#DIV/0!</v>
      </c>
      <c r="R9" s="11" t="e">
        <f aca="false">(Tabla351081315361014[[#This Row],[PNE]]+Tabla351081315361014[[#This Row],[PE]])/2</f>
        <v>#DIV/0!</v>
      </c>
      <c r="U9" s="0" t="n">
        <f aca="false">Tabla351081315361014[[#This Row],[efec]]+Tabla351081315361014[[#This Row],[no_efe]]</f>
        <v>0</v>
      </c>
    </row>
    <row r="10" customFormat="false" ht="13.8" hidden="false" customHeight="false" outlineLevel="0" collapsed="false">
      <c r="A10" s="0" t="s">
        <v>43</v>
      </c>
      <c r="B10" s="0" t="n">
        <v>3</v>
      </c>
      <c r="G10" s="0" t="n">
        <f aca="false">Tabla351081315361014[[#This Row],[no_efec_cor]]+Tabla351081315361014[[#This Row],[efec_cor]]</f>
        <v>0</v>
      </c>
      <c r="H10" s="0" t="n">
        <f aca="false">Tabla351081315361014[[#This Row],[no_efec_inc]]+Tabla351081315361014[[#This Row],[efect_inc]]</f>
        <v>0</v>
      </c>
      <c r="I10" s="9" t="e">
        <f aca="false">Tabla351081315361014[[#This Row],[Correctos]]/Tabla351081315361014[[#This Row],[total_sec]]</f>
        <v>#DIV/0!</v>
      </c>
      <c r="J10" s="9" t="e">
        <f aca="false">Tabla351081315361014[[#This Row],[efec_cor]]/Tabla351081315361014[[#This Row],[efec]]</f>
        <v>#DIV/0!</v>
      </c>
      <c r="K10" s="9" t="e">
        <f aca="false">Tabla351081315361014[[#This Row],[efect_inc]]/Tabla351081315361014[[#This Row],[efec]]</f>
        <v>#DIV/0!</v>
      </c>
      <c r="L10" s="9" t="e">
        <f aca="false">Tabla351081315361014[[#This Row],[no_efec_cor]]/Tabla351081315361014[[#This Row],[no_efe]]</f>
        <v>#DIV/0!</v>
      </c>
      <c r="M10" s="9" t="e">
        <f aca="false">Tabla351081315361014[[#This Row],[no_efec_inc]]/Tabla351081315361014[[#This Row],[no_efe]]</f>
        <v>#DIV/0!</v>
      </c>
      <c r="N10" s="9" t="e">
        <f aca="false">(Tabla351081315361014[[#This Row],[% efe_cor]]+Tabla351081315361014[[#This Row],[% no_efe_cor]])/2</f>
        <v>#DIV/0!</v>
      </c>
      <c r="O10" s="10" t="e">
        <f aca="false">(Tabla351081315361014[[#This Row],[% efe_inc]]+Tabla351081315361014[[#This Row],[% no_efect_inc]])/2</f>
        <v>#DIV/0!</v>
      </c>
      <c r="P10" s="11" t="e">
        <f aca="false">Tabla351081315361014[[#This Row],[no_efec_cor]]/(Tabla351081315361014[[#This Row],[efect_inc]]+Tabla351081315361014[[#This Row],[no_efec_cor]])</f>
        <v>#DIV/0!</v>
      </c>
      <c r="Q10" s="11" t="e">
        <f aca="false">Tabla351081315361014[[#This Row],[efec_cor]]/(Tabla351081315361014[[#This Row],[efec_cor]]+Tabla351081315361014[[#This Row],[no_efec_inc]])</f>
        <v>#DIV/0!</v>
      </c>
      <c r="R10" s="11" t="e">
        <f aca="false">(Tabla351081315361014[[#This Row],[PNE]]+Tabla351081315361014[[#This Row],[PE]])/2</f>
        <v>#DIV/0!</v>
      </c>
      <c r="U10" s="0" t="n">
        <f aca="false">Tabla351081315361014[[#This Row],[efec]]+Tabla351081315361014[[#This Row],[no_efe]]</f>
        <v>0</v>
      </c>
    </row>
    <row r="11" customFormat="false" ht="13.8" hidden="false" customHeight="false" outlineLevel="0" collapsed="false">
      <c r="A11" s="0" t="s">
        <v>44</v>
      </c>
      <c r="B11" s="0" t="n">
        <v>1</v>
      </c>
      <c r="G11" s="0" t="n">
        <f aca="false">Tabla351081315361014[[#This Row],[no_efec_cor]]+Tabla351081315361014[[#This Row],[efec_cor]]</f>
        <v>0</v>
      </c>
      <c r="H11" s="0" t="n">
        <f aca="false">Tabla351081315361014[[#This Row],[no_efec_inc]]+Tabla351081315361014[[#This Row],[efect_inc]]</f>
        <v>0</v>
      </c>
      <c r="I11" s="9" t="e">
        <f aca="false">Tabla351081315361014[[#This Row],[Correctos]]/Tabla351081315361014[[#This Row],[total_sec]]</f>
        <v>#DIV/0!</v>
      </c>
      <c r="J11" s="9" t="e">
        <f aca="false">Tabla351081315361014[[#This Row],[efec_cor]]/Tabla351081315361014[[#This Row],[efec]]</f>
        <v>#DIV/0!</v>
      </c>
      <c r="K11" s="9" t="e">
        <f aca="false">Tabla351081315361014[[#This Row],[efect_inc]]/Tabla351081315361014[[#This Row],[efec]]</f>
        <v>#DIV/0!</v>
      </c>
      <c r="L11" s="9" t="e">
        <f aca="false">Tabla351081315361014[[#This Row],[no_efec_cor]]/Tabla351081315361014[[#This Row],[no_efe]]</f>
        <v>#DIV/0!</v>
      </c>
      <c r="M11" s="9" t="e">
        <f aca="false">Tabla351081315361014[[#This Row],[no_efec_inc]]/Tabla351081315361014[[#This Row],[no_efe]]</f>
        <v>#DIV/0!</v>
      </c>
      <c r="N11" s="9" t="e">
        <f aca="false">(Tabla351081315361014[[#This Row],[% efe_cor]]+Tabla351081315361014[[#This Row],[% no_efe_cor]])/2</f>
        <v>#DIV/0!</v>
      </c>
      <c r="O11" s="10" t="e">
        <f aca="false">(Tabla351081315361014[[#This Row],[% efe_inc]]+Tabla351081315361014[[#This Row],[% no_efect_inc]])/2</f>
        <v>#DIV/0!</v>
      </c>
      <c r="P11" s="11" t="e">
        <f aca="false">Tabla351081315361014[[#This Row],[no_efec_cor]]/(Tabla351081315361014[[#This Row],[efect_inc]]+Tabla351081315361014[[#This Row],[no_efec_cor]])</f>
        <v>#DIV/0!</v>
      </c>
      <c r="Q11" s="11" t="e">
        <f aca="false">Tabla351081315361014[[#This Row],[efec_cor]]/(Tabla351081315361014[[#This Row],[efec_cor]]+Tabla351081315361014[[#This Row],[no_efec_inc]])</f>
        <v>#DIV/0!</v>
      </c>
      <c r="R11" s="11" t="e">
        <f aca="false">(Tabla351081315361014[[#This Row],[PNE]]+Tabla351081315361014[[#This Row],[PE]])/2</f>
        <v>#DIV/0!</v>
      </c>
      <c r="U11" s="0" t="n">
        <f aca="false">Tabla351081315361014[[#This Row],[efec]]+Tabla351081315361014[[#This Row],[no_efe]]</f>
        <v>0</v>
      </c>
    </row>
    <row r="13" customFormat="false" ht="15" hidden="false" customHeight="false" outlineLevel="0" collapsed="false">
      <c r="A13" s="13" t="s">
        <v>5</v>
      </c>
      <c r="B13" s="13"/>
      <c r="C13" s="13"/>
      <c r="D13" s="13"/>
      <c r="E13" s="13"/>
      <c r="F13" s="13"/>
      <c r="G13" s="13"/>
    </row>
    <row r="14" customFormat="false" ht="15.75" hidden="false" customHeight="false" outlineLevel="0" collapsed="false">
      <c r="A14" s="2" t="s">
        <v>62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5.75" hidden="false" customHeight="false" outlineLevel="0" collapsed="false">
      <c r="A15" s="7" t="s">
        <v>38</v>
      </c>
      <c r="B15" s="7" t="s">
        <v>27</v>
      </c>
      <c r="C15" s="7" t="s">
        <v>28</v>
      </c>
      <c r="D15" s="8" t="s">
        <v>7</v>
      </c>
      <c r="E15" s="8" t="s">
        <v>8</v>
      </c>
      <c r="F15" s="8" t="s">
        <v>9</v>
      </c>
      <c r="G15" s="8" t="s">
        <v>10</v>
      </c>
      <c r="H15" s="8" t="s">
        <v>11</v>
      </c>
      <c r="I15" s="8" t="s">
        <v>12</v>
      </c>
      <c r="J15" s="7" t="s">
        <v>13</v>
      </c>
      <c r="K15" s="7" t="s">
        <v>14</v>
      </c>
      <c r="L15" s="7" t="s">
        <v>15</v>
      </c>
      <c r="M15" s="7" t="s">
        <v>16</v>
      </c>
      <c r="N15" s="7" t="s">
        <v>17</v>
      </c>
      <c r="O15" s="7" t="s">
        <v>18</v>
      </c>
      <c r="P15" s="7" t="s">
        <v>19</v>
      </c>
      <c r="Q15" s="7" t="s">
        <v>20</v>
      </c>
      <c r="R15" s="7" t="s">
        <v>21</v>
      </c>
      <c r="S15" s="7" t="s">
        <v>22</v>
      </c>
      <c r="T15" s="7" t="s">
        <v>23</v>
      </c>
      <c r="U15" s="7" t="s">
        <v>24</v>
      </c>
      <c r="V15" s="7" t="s">
        <v>25</v>
      </c>
    </row>
    <row r="16" customFormat="false" ht="13.8" hidden="false" customHeight="false" outlineLevel="0" collapsed="false">
      <c r="A16" s="0" t="s">
        <v>39</v>
      </c>
      <c r="B16" s="0" t="n">
        <v>3</v>
      </c>
      <c r="C16" s="0" t="n">
        <v>5</v>
      </c>
      <c r="H16" s="0" t="n">
        <f aca="false">Tabla35108131536101415[[#This Row],[no_efec_cor]]+Tabla35108131536101415[[#This Row],[efec_cor]]</f>
        <v>0</v>
      </c>
      <c r="I16" s="0" t="n">
        <f aca="false">Tabla35108131536101415[[#This Row],[no_efec_inc]]+Tabla35108131536101415[[#This Row],[efect_inc]]</f>
        <v>0</v>
      </c>
      <c r="J16" s="9" t="e">
        <f aca="false">Tabla35108131536101415[[#This Row],[Correctos]]/Tabla35108131536101415[[#This Row],[total_sec]]</f>
        <v>#DIV/0!</v>
      </c>
      <c r="K16" s="9" t="e">
        <f aca="false">Tabla35108131536101415[[#This Row],[efec_cor]]/Tabla35108131536101415[[#This Row],[efec]]</f>
        <v>#DIV/0!</v>
      </c>
      <c r="L16" s="9" t="e">
        <f aca="false">Tabla35108131536101415[[#This Row],[efect_inc]]/Tabla35108131536101415[[#This Row],[efec]]</f>
        <v>#DIV/0!</v>
      </c>
      <c r="M16" s="9" t="e">
        <f aca="false">Tabla35108131536101415[[#This Row],[no_efec_cor]]/Tabla35108131536101415[[#This Row],[no_efe]]</f>
        <v>#DIV/0!</v>
      </c>
      <c r="N16" s="9" t="e">
        <f aca="false">Tabla35108131536101415[[#This Row],[no_efec_inc]]/Tabla35108131536101415[[#This Row],[no_efe]]</f>
        <v>#DIV/0!</v>
      </c>
      <c r="O16" s="9" t="e">
        <f aca="false">(Tabla35108131536101415[[#This Row],[% efe_cor]]+Tabla35108131536101415[[#This Row],[% no_efe_cor]])/2</f>
        <v>#DIV/0!</v>
      </c>
      <c r="P16" s="10" t="e">
        <f aca="false">(Tabla35108131536101415[[#This Row],[% efe_inc]]+Tabla35108131536101415[[#This Row],[% no_efect_inc]])/2</f>
        <v>#DIV/0!</v>
      </c>
      <c r="Q16" s="11" t="e">
        <f aca="false">Tabla35108131536101415[[#This Row],[no_efec_cor]]/(Tabla35108131536101415[[#This Row],[efect_inc]]+Tabla35108131536101415[[#This Row],[no_efec_cor]])</f>
        <v>#DIV/0!</v>
      </c>
      <c r="R16" s="11" t="e">
        <f aca="false">Tabla35108131536101415[[#This Row],[efec_cor]]/(Tabla35108131536101415[[#This Row],[efec_cor]]+Tabla35108131536101415[[#This Row],[no_efec_inc]])</f>
        <v>#DIV/0!</v>
      </c>
      <c r="S16" s="11" t="e">
        <f aca="false">(Tabla35108131536101415[[#This Row],[PNE]]+Tabla35108131536101415[[#This Row],[PE]])/2</f>
        <v>#DIV/0!</v>
      </c>
      <c r="V16" s="0" t="n">
        <f aca="false">Tabla35108131536101415[[#This Row],[efec]]+Tabla35108131536101415[[#This Row],[no_efe]]</f>
        <v>0</v>
      </c>
    </row>
    <row r="17" customFormat="false" ht="13.8" hidden="false" customHeight="false" outlineLevel="0" collapsed="false">
      <c r="A17" s="0" t="s">
        <v>40</v>
      </c>
      <c r="B17" s="0" t="n">
        <v>2</v>
      </c>
      <c r="C17" s="0" t="n">
        <v>5</v>
      </c>
      <c r="H17" s="0" t="n">
        <f aca="false">Tabla35108131536101415[[#This Row],[no_efec_cor]]+Tabla35108131536101415[[#This Row],[efec_cor]]</f>
        <v>0</v>
      </c>
      <c r="I17" s="0" t="n">
        <f aca="false">Tabla35108131536101415[[#This Row],[no_efec_inc]]+Tabla35108131536101415[[#This Row],[efect_inc]]</f>
        <v>0</v>
      </c>
      <c r="J17" s="9" t="e">
        <f aca="false">Tabla35108131536101415[[#This Row],[Correctos]]/Tabla35108131536101415[[#This Row],[total_sec]]</f>
        <v>#DIV/0!</v>
      </c>
      <c r="K17" s="9" t="e">
        <f aca="false">Tabla35108131536101415[[#This Row],[efec_cor]]/Tabla35108131536101415[[#This Row],[efec]]</f>
        <v>#DIV/0!</v>
      </c>
      <c r="L17" s="9" t="e">
        <f aca="false">Tabla35108131536101415[[#This Row],[efect_inc]]/Tabla35108131536101415[[#This Row],[efec]]</f>
        <v>#DIV/0!</v>
      </c>
      <c r="M17" s="9" t="e">
        <f aca="false">Tabla35108131536101415[[#This Row],[no_efec_cor]]/Tabla35108131536101415[[#This Row],[no_efe]]</f>
        <v>#DIV/0!</v>
      </c>
      <c r="N17" s="9" t="e">
        <f aca="false">Tabla35108131536101415[[#This Row],[no_efec_inc]]/Tabla35108131536101415[[#This Row],[no_efe]]</f>
        <v>#DIV/0!</v>
      </c>
      <c r="O17" s="9" t="e">
        <f aca="false">(Tabla35108131536101415[[#This Row],[% efe_cor]]+Tabla35108131536101415[[#This Row],[% no_efe_cor]])/2</f>
        <v>#DIV/0!</v>
      </c>
      <c r="P17" s="10" t="e">
        <f aca="false">(Tabla35108131536101415[[#This Row],[% efe_inc]]+Tabla35108131536101415[[#This Row],[% no_efect_inc]])/2</f>
        <v>#DIV/0!</v>
      </c>
      <c r="Q17" s="11" t="e">
        <f aca="false">Tabla35108131536101415[[#This Row],[no_efec_cor]]/(Tabla35108131536101415[[#This Row],[efect_inc]]+Tabla35108131536101415[[#This Row],[no_efec_cor]])</f>
        <v>#DIV/0!</v>
      </c>
      <c r="R17" s="11" t="e">
        <f aca="false">Tabla35108131536101415[[#This Row],[efec_cor]]/(Tabla35108131536101415[[#This Row],[efec_cor]]+Tabla35108131536101415[[#This Row],[no_efec_inc]])</f>
        <v>#DIV/0!</v>
      </c>
      <c r="S17" s="11" t="e">
        <f aca="false">(Tabla35108131536101415[[#This Row],[PNE]]+Tabla35108131536101415[[#This Row],[PE]])/2</f>
        <v>#DIV/0!</v>
      </c>
      <c r="V17" s="0" t="n">
        <f aca="false">Tabla35108131536101415[[#This Row],[efec]]+Tabla35108131536101415[[#This Row],[no_efe]]</f>
        <v>0</v>
      </c>
    </row>
    <row r="18" customFormat="false" ht="13.8" hidden="false" customHeight="false" outlineLevel="0" collapsed="false">
      <c r="A18" s="0" t="s">
        <v>41</v>
      </c>
      <c r="B18" s="0" t="n">
        <v>2</v>
      </c>
      <c r="C18" s="0" t="n">
        <v>5</v>
      </c>
      <c r="H18" s="0" t="n">
        <f aca="false">Tabla35108131536101415[[#This Row],[no_efec_cor]]+Tabla35108131536101415[[#This Row],[efec_cor]]</f>
        <v>0</v>
      </c>
      <c r="I18" s="0" t="n">
        <f aca="false">Tabla35108131536101415[[#This Row],[no_efec_inc]]+Tabla35108131536101415[[#This Row],[efect_inc]]</f>
        <v>0</v>
      </c>
      <c r="J18" s="9" t="e">
        <f aca="false">Tabla35108131536101415[[#This Row],[Correctos]]/Tabla35108131536101415[[#This Row],[total_sec]]</f>
        <v>#DIV/0!</v>
      </c>
      <c r="K18" s="9" t="e">
        <f aca="false">Tabla35108131536101415[[#This Row],[efec_cor]]/Tabla35108131536101415[[#This Row],[efec]]</f>
        <v>#DIV/0!</v>
      </c>
      <c r="L18" s="9" t="e">
        <f aca="false">Tabla35108131536101415[[#This Row],[efect_inc]]/Tabla35108131536101415[[#This Row],[efec]]</f>
        <v>#DIV/0!</v>
      </c>
      <c r="M18" s="9" t="e">
        <f aca="false">Tabla35108131536101415[[#This Row],[no_efec_cor]]/Tabla35108131536101415[[#This Row],[no_efe]]</f>
        <v>#DIV/0!</v>
      </c>
      <c r="N18" s="9" t="e">
        <f aca="false">Tabla35108131536101415[[#This Row],[no_efec_inc]]/Tabla35108131536101415[[#This Row],[no_efe]]</f>
        <v>#DIV/0!</v>
      </c>
      <c r="O18" s="9" t="e">
        <f aca="false">(Tabla35108131536101415[[#This Row],[% efe_cor]]+Tabla35108131536101415[[#This Row],[% no_efe_cor]])/2</f>
        <v>#DIV/0!</v>
      </c>
      <c r="P18" s="10" t="e">
        <f aca="false">(Tabla35108131536101415[[#This Row],[% efe_inc]]+Tabla35108131536101415[[#This Row],[% no_efect_inc]])/2</f>
        <v>#DIV/0!</v>
      </c>
      <c r="Q18" s="11" t="e">
        <f aca="false">Tabla35108131536101415[[#This Row],[no_efec_cor]]/(Tabla35108131536101415[[#This Row],[efect_inc]]+Tabla35108131536101415[[#This Row],[no_efec_cor]])</f>
        <v>#DIV/0!</v>
      </c>
      <c r="R18" s="11" t="e">
        <f aca="false">Tabla35108131536101415[[#This Row],[efec_cor]]/(Tabla35108131536101415[[#This Row],[efec_cor]]+Tabla35108131536101415[[#This Row],[no_efec_inc]])</f>
        <v>#DIV/0!</v>
      </c>
      <c r="S18" s="11" t="e">
        <f aca="false">(Tabla35108131536101415[[#This Row],[PNE]]+Tabla35108131536101415[[#This Row],[PE]])/2</f>
        <v>#DIV/0!</v>
      </c>
      <c r="V18" s="0" t="n">
        <f aca="false">Tabla35108131536101415[[#This Row],[efec]]+Tabla35108131536101415[[#This Row],[no_efe]]</f>
        <v>0</v>
      </c>
    </row>
    <row r="19" customFormat="false" ht="13.8" hidden="false" customHeight="false" outlineLevel="0" collapsed="false">
      <c r="A19" s="0" t="s">
        <v>42</v>
      </c>
      <c r="B19" s="0" t="n">
        <v>5</v>
      </c>
      <c r="C19" s="0" t="n">
        <v>5</v>
      </c>
      <c r="H19" s="0" t="n">
        <f aca="false">Tabla35108131536101415[[#This Row],[no_efec_cor]]+Tabla35108131536101415[[#This Row],[efec_cor]]</f>
        <v>0</v>
      </c>
      <c r="I19" s="0" t="n">
        <f aca="false">Tabla35108131536101415[[#This Row],[no_efec_inc]]+Tabla35108131536101415[[#This Row],[efect_inc]]</f>
        <v>0</v>
      </c>
      <c r="J19" s="9" t="e">
        <f aca="false">Tabla35108131536101415[[#This Row],[Correctos]]/Tabla35108131536101415[[#This Row],[total_sec]]</f>
        <v>#DIV/0!</v>
      </c>
      <c r="K19" s="9" t="e">
        <f aca="false">Tabla35108131536101415[[#This Row],[efec_cor]]/Tabla35108131536101415[[#This Row],[efec]]</f>
        <v>#DIV/0!</v>
      </c>
      <c r="L19" s="9" t="e">
        <f aca="false">Tabla35108131536101415[[#This Row],[efect_inc]]/Tabla35108131536101415[[#This Row],[efec]]</f>
        <v>#DIV/0!</v>
      </c>
      <c r="M19" s="9" t="e">
        <f aca="false">Tabla35108131536101415[[#This Row],[no_efec_cor]]/Tabla35108131536101415[[#This Row],[no_efe]]</f>
        <v>#DIV/0!</v>
      </c>
      <c r="N19" s="9" t="e">
        <f aca="false">Tabla35108131536101415[[#This Row],[no_efec_inc]]/Tabla35108131536101415[[#This Row],[no_efe]]</f>
        <v>#DIV/0!</v>
      </c>
      <c r="O19" s="9" t="e">
        <f aca="false">(Tabla35108131536101415[[#This Row],[% efe_cor]]+Tabla35108131536101415[[#This Row],[% no_efe_cor]])/2</f>
        <v>#DIV/0!</v>
      </c>
      <c r="P19" s="10" t="e">
        <f aca="false">(Tabla35108131536101415[[#This Row],[% efe_inc]]+Tabla35108131536101415[[#This Row],[% no_efect_inc]])/2</f>
        <v>#DIV/0!</v>
      </c>
      <c r="Q19" s="11" t="e">
        <f aca="false">Tabla35108131536101415[[#This Row],[no_efec_cor]]/(Tabla35108131536101415[[#This Row],[efect_inc]]+Tabla35108131536101415[[#This Row],[no_efec_cor]])</f>
        <v>#DIV/0!</v>
      </c>
      <c r="R19" s="11" t="e">
        <f aca="false">Tabla35108131536101415[[#This Row],[efec_cor]]/(Tabla35108131536101415[[#This Row],[efec_cor]]+Tabla35108131536101415[[#This Row],[no_efec_inc]])</f>
        <v>#DIV/0!</v>
      </c>
      <c r="S19" s="11" t="e">
        <f aca="false">(Tabla35108131536101415[[#This Row],[PNE]]+Tabla35108131536101415[[#This Row],[PE]])/2</f>
        <v>#DIV/0!</v>
      </c>
      <c r="V19" s="0" t="n">
        <f aca="false">Tabla35108131536101415[[#This Row],[efec]]+Tabla35108131536101415[[#This Row],[no_efe]]</f>
        <v>0</v>
      </c>
    </row>
    <row r="20" customFormat="false" ht="13.8" hidden="false" customHeight="false" outlineLevel="0" collapsed="false">
      <c r="A20" s="0" t="s">
        <v>43</v>
      </c>
      <c r="B20" s="0" t="n">
        <v>1</v>
      </c>
      <c r="C20" s="0" t="n">
        <v>5</v>
      </c>
      <c r="H20" s="0" t="n">
        <f aca="false">Tabla35108131536101415[[#This Row],[no_efec_cor]]+Tabla35108131536101415[[#This Row],[efec_cor]]</f>
        <v>0</v>
      </c>
      <c r="I20" s="0" t="n">
        <f aca="false">Tabla35108131536101415[[#This Row],[no_efec_inc]]+Tabla35108131536101415[[#This Row],[efect_inc]]</f>
        <v>0</v>
      </c>
      <c r="J20" s="9" t="e">
        <f aca="false">Tabla35108131536101415[[#This Row],[Correctos]]/Tabla35108131536101415[[#This Row],[total_sec]]</f>
        <v>#DIV/0!</v>
      </c>
      <c r="K20" s="9" t="e">
        <f aca="false">Tabla35108131536101415[[#This Row],[efec_cor]]/Tabla35108131536101415[[#This Row],[efec]]</f>
        <v>#DIV/0!</v>
      </c>
      <c r="L20" s="9" t="e">
        <f aca="false">Tabla35108131536101415[[#This Row],[efect_inc]]/Tabla35108131536101415[[#This Row],[efec]]</f>
        <v>#DIV/0!</v>
      </c>
      <c r="M20" s="9" t="e">
        <f aca="false">Tabla35108131536101415[[#This Row],[no_efec_cor]]/Tabla35108131536101415[[#This Row],[no_efe]]</f>
        <v>#DIV/0!</v>
      </c>
      <c r="N20" s="9" t="e">
        <f aca="false">Tabla35108131536101415[[#This Row],[no_efec_inc]]/Tabla35108131536101415[[#This Row],[no_efe]]</f>
        <v>#DIV/0!</v>
      </c>
      <c r="O20" s="9" t="e">
        <f aca="false">(Tabla35108131536101415[[#This Row],[% efe_cor]]+Tabla35108131536101415[[#This Row],[% no_efe_cor]])/2</f>
        <v>#DIV/0!</v>
      </c>
      <c r="P20" s="10" t="e">
        <f aca="false">(Tabla35108131536101415[[#This Row],[% efe_inc]]+Tabla35108131536101415[[#This Row],[% no_efect_inc]])/2</f>
        <v>#DIV/0!</v>
      </c>
      <c r="Q20" s="11" t="e">
        <f aca="false">Tabla35108131536101415[[#This Row],[no_efec_cor]]/(Tabla35108131536101415[[#This Row],[efect_inc]]+Tabla35108131536101415[[#This Row],[no_efec_cor]])</f>
        <v>#DIV/0!</v>
      </c>
      <c r="R20" s="11" t="e">
        <f aca="false">Tabla35108131536101415[[#This Row],[efec_cor]]/(Tabla35108131536101415[[#This Row],[efec_cor]]+Tabla35108131536101415[[#This Row],[no_efec_inc]])</f>
        <v>#DIV/0!</v>
      </c>
      <c r="S20" s="11" t="e">
        <f aca="false">(Tabla35108131536101415[[#This Row],[PNE]]+Tabla35108131536101415[[#This Row],[PE]])/2</f>
        <v>#DIV/0!</v>
      </c>
      <c r="V20" s="0" t="n">
        <f aca="false">Tabla35108131536101415[[#This Row],[efec]]+Tabla35108131536101415[[#This Row],[no_efe]]</f>
        <v>0</v>
      </c>
    </row>
    <row r="21" customFormat="false" ht="13.8" hidden="false" customHeight="false" outlineLevel="0" collapsed="false">
      <c r="A21" s="0" t="s">
        <v>44</v>
      </c>
      <c r="B21" s="0" t="n">
        <v>2</v>
      </c>
      <c r="C21" s="0" t="n">
        <v>5</v>
      </c>
      <c r="H21" s="0" t="n">
        <f aca="false">Tabla35108131536101415[[#This Row],[no_efec_cor]]+Tabla35108131536101415[[#This Row],[efec_cor]]</f>
        <v>0</v>
      </c>
      <c r="I21" s="0" t="n">
        <f aca="false">Tabla35108131536101415[[#This Row],[no_efec_inc]]+Tabla35108131536101415[[#This Row],[efect_inc]]</f>
        <v>0</v>
      </c>
      <c r="J21" s="9" t="e">
        <f aca="false">Tabla35108131536101415[[#This Row],[Correctos]]/Tabla35108131536101415[[#This Row],[total_sec]]</f>
        <v>#DIV/0!</v>
      </c>
      <c r="K21" s="9" t="e">
        <f aca="false">Tabla35108131536101415[[#This Row],[efec_cor]]/Tabla35108131536101415[[#This Row],[efec]]</f>
        <v>#DIV/0!</v>
      </c>
      <c r="L21" s="9" t="e">
        <f aca="false">Tabla35108131536101415[[#This Row],[efect_inc]]/Tabla35108131536101415[[#This Row],[efec]]</f>
        <v>#DIV/0!</v>
      </c>
      <c r="M21" s="9" t="e">
        <f aca="false">Tabla35108131536101415[[#This Row],[no_efec_cor]]/Tabla35108131536101415[[#This Row],[no_efe]]</f>
        <v>#DIV/0!</v>
      </c>
      <c r="N21" s="9" t="e">
        <f aca="false">Tabla35108131536101415[[#This Row],[no_efec_inc]]/Tabla35108131536101415[[#This Row],[no_efe]]</f>
        <v>#DIV/0!</v>
      </c>
      <c r="O21" s="9" t="e">
        <f aca="false">(Tabla35108131536101415[[#This Row],[% efe_cor]]+Tabla35108131536101415[[#This Row],[% no_efe_cor]])/2</f>
        <v>#DIV/0!</v>
      </c>
      <c r="P21" s="10" t="e">
        <f aca="false">(Tabla35108131536101415[[#This Row],[% efe_inc]]+Tabla35108131536101415[[#This Row],[% no_efect_inc]])/2</f>
        <v>#DIV/0!</v>
      </c>
      <c r="Q21" s="11" t="e">
        <f aca="false">Tabla35108131536101415[[#This Row],[no_efec_cor]]/(Tabla35108131536101415[[#This Row],[efect_inc]]+Tabla35108131536101415[[#This Row],[no_efec_cor]])</f>
        <v>#DIV/0!</v>
      </c>
      <c r="R21" s="11" t="e">
        <f aca="false">Tabla35108131536101415[[#This Row],[efec_cor]]/(Tabla35108131536101415[[#This Row],[efec_cor]]+Tabla35108131536101415[[#This Row],[no_efec_inc]])</f>
        <v>#DIV/0!</v>
      </c>
      <c r="S21" s="11" t="e">
        <f aca="false">(Tabla35108131536101415[[#This Row],[PNE]]+Tabla35108131536101415[[#This Row],[PE]])/2</f>
        <v>#DIV/0!</v>
      </c>
      <c r="V21" s="0" t="n">
        <f aca="false">Tabla35108131536101415[[#This Row],[efec]]+Tabla35108131536101415[[#This Row],[no_efe]]</f>
        <v>0</v>
      </c>
    </row>
    <row r="24" customFormat="false" ht="15" hidden="false" customHeight="false" outlineLevel="0" collapsed="false">
      <c r="A24" s="23" t="s">
        <v>63</v>
      </c>
      <c r="B24" s="23"/>
      <c r="C24" s="23"/>
      <c r="D24" s="23"/>
      <c r="E24" s="23"/>
      <c r="F24" s="23"/>
      <c r="G24" s="23"/>
    </row>
    <row r="25" customFormat="false" ht="15" hidden="false" customHeight="false" outlineLevel="0" collapsed="false">
      <c r="A25" s="7" t="s">
        <v>38</v>
      </c>
      <c r="B25" s="7" t="s">
        <v>64</v>
      </c>
      <c r="C25" s="7" t="s">
        <v>65</v>
      </c>
      <c r="D25" s="7" t="s">
        <v>66</v>
      </c>
      <c r="E25" s="7" t="s">
        <v>67</v>
      </c>
      <c r="F25" s="7" t="s">
        <v>68</v>
      </c>
      <c r="G25" s="7" t="s">
        <v>69</v>
      </c>
    </row>
    <row r="26" customFormat="false" ht="13.8" hidden="false" customHeight="false" outlineLevel="0" collapsed="false">
      <c r="A26" s="0" t="s">
        <v>39</v>
      </c>
      <c r="B26" s="9"/>
      <c r="C26" s="9"/>
      <c r="D26" s="9"/>
      <c r="E26" s="9"/>
      <c r="F26" s="9"/>
      <c r="G26" s="9"/>
    </row>
    <row r="27" customFormat="false" ht="13.8" hidden="false" customHeight="false" outlineLevel="0" collapsed="false">
      <c r="A27" s="0" t="s">
        <v>40</v>
      </c>
      <c r="B27" s="9"/>
      <c r="C27" s="9"/>
      <c r="D27" s="9"/>
      <c r="E27" s="9"/>
      <c r="F27" s="9"/>
      <c r="G27" s="9"/>
    </row>
    <row r="28" customFormat="false" ht="13.8" hidden="false" customHeight="false" outlineLevel="0" collapsed="false">
      <c r="A28" s="0" t="s">
        <v>41</v>
      </c>
      <c r="B28" s="9"/>
      <c r="C28" s="9"/>
      <c r="D28" s="9"/>
      <c r="E28" s="9"/>
      <c r="F28" s="9"/>
      <c r="G28" s="9"/>
    </row>
    <row r="29" customFormat="false" ht="13.8" hidden="false" customHeight="false" outlineLevel="0" collapsed="false">
      <c r="A29" s="0" t="s">
        <v>42</v>
      </c>
      <c r="B29" s="9"/>
      <c r="C29" s="9"/>
      <c r="D29" s="9"/>
      <c r="E29" s="9"/>
      <c r="F29" s="9"/>
      <c r="G29" s="9"/>
    </row>
    <row r="30" customFormat="false" ht="13.8" hidden="false" customHeight="false" outlineLevel="0" collapsed="false">
      <c r="A30" s="0" t="s">
        <v>43</v>
      </c>
      <c r="B30" s="9"/>
      <c r="C30" s="9"/>
      <c r="D30" s="9"/>
      <c r="E30" s="9"/>
      <c r="F30" s="9"/>
      <c r="G30" s="9"/>
    </row>
    <row r="31" customFormat="false" ht="13.8" hidden="false" customHeight="false" outlineLevel="0" collapsed="false">
      <c r="A31" s="0" t="s">
        <v>44</v>
      </c>
      <c r="B31" s="9"/>
      <c r="C31" s="9"/>
      <c r="D31" s="9"/>
      <c r="E31" s="9"/>
      <c r="F31" s="9"/>
      <c r="G31" s="9"/>
    </row>
  </sheetData>
  <mergeCells count="6">
    <mergeCell ref="A1:V1"/>
    <mergeCell ref="A3:G3"/>
    <mergeCell ref="A4:U4"/>
    <mergeCell ref="A13:G13"/>
    <mergeCell ref="A14:V14"/>
    <mergeCell ref="A24:G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Ragnarök PC</dc:creator>
  <dc:description/>
  <dc:language>es-MX</dc:language>
  <cp:lastModifiedBy/>
  <dcterms:modified xsi:type="dcterms:W3CDTF">2021-02-13T05:27:47Z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