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za\OneDrive\Escritorio\"/>
    </mc:Choice>
  </mc:AlternateContent>
  <bookViews>
    <workbookView xWindow="0" yWindow="0" windowWidth="23040" windowHeight="9264"/>
  </bookViews>
  <sheets>
    <sheet name="Modelo" sheetId="8" r:id="rId1"/>
    <sheet name="Detalles de pedido" sheetId="2" r:id="rId2"/>
    <sheet name="Productos" sheetId="6" r:id="rId3"/>
    <sheet name="Empleados" sheetId="3" r:id="rId4"/>
    <sheet name="Clientes" sheetId="1" r:id="rId5"/>
    <sheet name="Pedidos" sheetId="5" r:id="rId6"/>
  </sheets>
  <definedNames>
    <definedName name="_xlnm._FilterDatabase" localSheetId="1" hidden="1">'Detalles de pedido'!$A$1:$E$1</definedName>
    <definedName name="_xlcn.WorksheetConnection_Neptuno_en_Excel_1.xlsxCliente1" hidden="1">Cliente[]</definedName>
    <definedName name="_xlcn.WorksheetConnection_Neptuno_en_Excel_1.xlsxDetalle_de_Pedido1" hidden="1">Detalle_de_Pedido[]</definedName>
    <definedName name="_xlcn.WorksheetConnection_Neptuno_en_Excel_1.xlsxEmpleado1" hidden="1">Empleado[]</definedName>
    <definedName name="_xlcn.WorksheetConnection_Neptuno_en_Excel_1.xlsxFactura1" hidden="1">Factura</definedName>
    <definedName name="_xlcn.WorksheetConnection_Neptuno_en_Excel_1.xlsxPedidos1" hidden="1">Pedidos[]</definedName>
    <definedName name="_xlcn.WorksheetConnection_Neptuno_en_Excel_1.xlsxProductos1" hidden="1">Productos[]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Productos-8227864e-dafb-4af6-82b1-335ba48932bf" name="Productos" connection="WorksheetConnection_Neptuno_en_Excel_1.xlsx!Productos"/>
          <x15:modelTable id="Pedidos-1a6b8ff9-f5f6-44a6-a553-a9b72c97a389" name="Pedidos" connection="WorksheetConnection_Neptuno_en_Excel_1.xlsx!Pedidos"/>
          <x15:modelTable id="Factura-852b0dd6-e9a0-4332-aa0e-5123be92d907" name="Factura" connection="WorksheetConnection_Neptuno_en_Excel_1.xlsx!Factura"/>
          <x15:modelTable id="Empleado-832d3040-1950-4747-b8b2-2d4bb8f20f2d" name="Empleado" connection="WorksheetConnection_Neptuno_en_Excel_1.xlsx!Empleado"/>
          <x15:modelTable id="Detalle_de_Pedido-2a45732f-cdc9-4c49-ba73-e35cfef81279" name="Detalle_de_Pedido" connection="WorksheetConnection_Neptuno_en_Excel_1.xlsx!Detalle_de_Pedido"/>
          <x15:modelTable id="Cliente-bf0d0c40-a789-4380-8089-80e2071c697e" name="Cliente" connection="WorksheetConnection_Neptuno_en_Excel_1.xlsx!Cliente"/>
        </x15:modelTables>
        <x15:modelRelationships>
          <x15:modelRelationship fromTable="Pedidos" fromColumn="Id de cliente" toTable="Cliente" toColumn="Id Cliente"/>
          <x15:modelRelationship fromTable="Pedidos" fromColumn="Id de empleado" toTable="Empleado" toColumn="Id de Empleado"/>
          <x15:modelRelationship fromTable="Detalle_de_Pedido" fromColumn="Id de pedido" toTable="Pedidos" toColumn="Id de pedido"/>
          <x15:modelRelationship fromTable="Detalle_de_Pedido" fromColumn="Id de producto" toTable="Productos" toColumn="Id Producto"/>
        </x15:modelRelationships>
      </x15:dataModel>
    </ext>
  </extLst>
</workbook>
</file>

<file path=xl/calcChain.xml><?xml version="1.0" encoding="utf-8"?>
<calcChain xmlns="http://schemas.openxmlformats.org/spreadsheetml/2006/main">
  <c r="N4" i="2" l="1"/>
  <c r="N5" i="2"/>
  <c r="N8" i="2"/>
  <c r="N9" i="2"/>
  <c r="N12" i="2"/>
  <c r="N13" i="2"/>
  <c r="N16" i="2"/>
  <c r="N17" i="2"/>
  <c r="N20" i="2"/>
  <c r="N21" i="2"/>
  <c r="N24" i="2"/>
  <c r="N25" i="2"/>
  <c r="N28" i="2"/>
  <c r="N29" i="2"/>
  <c r="N32" i="2"/>
  <c r="N33" i="2"/>
  <c r="N36" i="2"/>
  <c r="N37" i="2"/>
  <c r="N40" i="2"/>
  <c r="N41" i="2"/>
  <c r="N44" i="2"/>
  <c r="N45" i="2"/>
  <c r="N48" i="2"/>
  <c r="N49" i="2"/>
  <c r="N52" i="2"/>
  <c r="N53" i="2"/>
  <c r="N56" i="2"/>
  <c r="N57" i="2"/>
  <c r="N60" i="2"/>
  <c r="N61" i="2"/>
  <c r="N64" i="2"/>
  <c r="N65" i="2"/>
  <c r="M2" i="2"/>
  <c r="O2" i="2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M43" i="2"/>
  <c r="O43" i="2" s="1"/>
  <c r="M44" i="2"/>
  <c r="O44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M51" i="2"/>
  <c r="O51" i="2" s="1"/>
  <c r="M52" i="2"/>
  <c r="O52" i="2" s="1"/>
  <c r="M53" i="2"/>
  <c r="O53" i="2" s="1"/>
  <c r="M54" i="2"/>
  <c r="O54" i="2" s="1"/>
  <c r="M55" i="2"/>
  <c r="O55" i="2" s="1"/>
  <c r="M56" i="2"/>
  <c r="O56" i="2" s="1"/>
  <c r="M57" i="2"/>
  <c r="O57" i="2" s="1"/>
  <c r="M58" i="2"/>
  <c r="O58" i="2" s="1"/>
  <c r="M59" i="2"/>
  <c r="O59" i="2" s="1"/>
  <c r="M60" i="2"/>
  <c r="O60" i="2" s="1"/>
  <c r="M61" i="2"/>
  <c r="O61" i="2" s="1"/>
  <c r="M62" i="2"/>
  <c r="O62" i="2" s="1"/>
  <c r="M63" i="2"/>
  <c r="O63" i="2" s="1"/>
  <c r="M64" i="2"/>
  <c r="O64" i="2" s="1"/>
  <c r="M65" i="2"/>
  <c r="O65" i="2" s="1"/>
  <c r="M66" i="2"/>
  <c r="O66" i="2" s="1"/>
  <c r="M67" i="2"/>
  <c r="O67" i="2" s="1"/>
  <c r="L4" i="6"/>
  <c r="M4" i="6" s="1"/>
  <c r="L8" i="6"/>
  <c r="M8" i="6" s="1"/>
  <c r="L12" i="6"/>
  <c r="M12" i="6" s="1"/>
  <c r="L16" i="6"/>
  <c r="M16" i="6" s="1"/>
  <c r="L20" i="6"/>
  <c r="M20" i="6" s="1"/>
  <c r="L24" i="6"/>
  <c r="M24" i="6" s="1"/>
  <c r="L28" i="6"/>
  <c r="M28" i="6" s="1"/>
  <c r="L32" i="6"/>
  <c r="M32" i="6" s="1"/>
  <c r="L36" i="6"/>
  <c r="M36" i="6" s="1"/>
  <c r="L40" i="6"/>
  <c r="M40" i="6" s="1"/>
  <c r="L44" i="6"/>
  <c r="M44" i="6" s="1"/>
  <c r="K2" i="6"/>
  <c r="L2" i="6" s="1"/>
  <c r="M2" i="6" s="1"/>
  <c r="K3" i="6"/>
  <c r="L3" i="6" s="1"/>
  <c r="M3" i="6" s="1"/>
  <c r="K4" i="6"/>
  <c r="K5" i="6"/>
  <c r="L5" i="6" s="1"/>
  <c r="M5" i="6" s="1"/>
  <c r="K6" i="6"/>
  <c r="L6" i="6" s="1"/>
  <c r="M6" i="6" s="1"/>
  <c r="K7" i="6"/>
  <c r="L7" i="6" s="1"/>
  <c r="M7" i="6" s="1"/>
  <c r="K8" i="6"/>
  <c r="K9" i="6"/>
  <c r="L9" i="6" s="1"/>
  <c r="M9" i="6" s="1"/>
  <c r="K10" i="6"/>
  <c r="L10" i="6" s="1"/>
  <c r="M10" i="6" s="1"/>
  <c r="K11" i="6"/>
  <c r="L11" i="6" s="1"/>
  <c r="M11" i="6" s="1"/>
  <c r="K12" i="6"/>
  <c r="K13" i="6"/>
  <c r="L13" i="6" s="1"/>
  <c r="M13" i="6" s="1"/>
  <c r="K14" i="6"/>
  <c r="L14" i="6" s="1"/>
  <c r="M14" i="6" s="1"/>
  <c r="K15" i="6"/>
  <c r="L15" i="6" s="1"/>
  <c r="M15" i="6" s="1"/>
  <c r="K16" i="6"/>
  <c r="K17" i="6"/>
  <c r="L17" i="6" s="1"/>
  <c r="M17" i="6" s="1"/>
  <c r="K18" i="6"/>
  <c r="L18" i="6" s="1"/>
  <c r="M18" i="6" s="1"/>
  <c r="K19" i="6"/>
  <c r="L19" i="6" s="1"/>
  <c r="M19" i="6" s="1"/>
  <c r="K20" i="6"/>
  <c r="K21" i="6"/>
  <c r="L21" i="6" s="1"/>
  <c r="M21" i="6" s="1"/>
  <c r="K22" i="6"/>
  <c r="L22" i="6" s="1"/>
  <c r="M22" i="6" s="1"/>
  <c r="K23" i="6"/>
  <c r="L23" i="6" s="1"/>
  <c r="M23" i="6" s="1"/>
  <c r="K24" i="6"/>
  <c r="K25" i="6"/>
  <c r="L25" i="6" s="1"/>
  <c r="M25" i="6" s="1"/>
  <c r="K26" i="6"/>
  <c r="L26" i="6" s="1"/>
  <c r="M26" i="6" s="1"/>
  <c r="K27" i="6"/>
  <c r="L27" i="6" s="1"/>
  <c r="M27" i="6" s="1"/>
  <c r="K28" i="6"/>
  <c r="K29" i="6"/>
  <c r="L29" i="6" s="1"/>
  <c r="M29" i="6" s="1"/>
  <c r="K30" i="6"/>
  <c r="L30" i="6" s="1"/>
  <c r="M30" i="6" s="1"/>
  <c r="K31" i="6"/>
  <c r="L31" i="6" s="1"/>
  <c r="M31" i="6" s="1"/>
  <c r="K32" i="6"/>
  <c r="K33" i="6"/>
  <c r="L33" i="6" s="1"/>
  <c r="M33" i="6" s="1"/>
  <c r="K34" i="6"/>
  <c r="L34" i="6" s="1"/>
  <c r="M34" i="6" s="1"/>
  <c r="K35" i="6"/>
  <c r="L35" i="6" s="1"/>
  <c r="M35" i="6" s="1"/>
  <c r="K36" i="6"/>
  <c r="K37" i="6"/>
  <c r="L37" i="6" s="1"/>
  <c r="M37" i="6" s="1"/>
  <c r="K38" i="6"/>
  <c r="L38" i="6" s="1"/>
  <c r="M38" i="6" s="1"/>
  <c r="K39" i="6"/>
  <c r="L39" i="6" s="1"/>
  <c r="M39" i="6" s="1"/>
  <c r="K40" i="6"/>
  <c r="K41" i="6"/>
  <c r="L41" i="6" s="1"/>
  <c r="M41" i="6" s="1"/>
  <c r="K42" i="6"/>
  <c r="L42" i="6" s="1"/>
  <c r="M42" i="6" s="1"/>
  <c r="K43" i="6"/>
  <c r="L43" i="6" s="1"/>
  <c r="M43" i="6" s="1"/>
  <c r="K44" i="6"/>
  <c r="K45" i="6"/>
  <c r="L45" i="6" s="1"/>
  <c r="M45" i="6" s="1"/>
  <c r="K46" i="6"/>
  <c r="L46" i="6" s="1"/>
  <c r="M46" i="6" s="1"/>
  <c r="C2" i="2"/>
  <c r="K2" i="2" s="1"/>
  <c r="C3" i="2"/>
  <c r="K3" i="2" s="1"/>
  <c r="C4" i="2"/>
  <c r="K4" i="2" s="1"/>
  <c r="C5" i="2"/>
  <c r="K5" i="2" s="1"/>
  <c r="C6" i="2"/>
  <c r="K6" i="2" s="1"/>
  <c r="C7" i="2"/>
  <c r="K7" i="2" s="1"/>
  <c r="C8" i="2"/>
  <c r="K8" i="2" s="1"/>
  <c r="C9" i="2"/>
  <c r="K9" i="2" s="1"/>
  <c r="C10" i="2"/>
  <c r="K10" i="2" s="1"/>
  <c r="C11" i="2"/>
  <c r="K11" i="2" s="1"/>
  <c r="C12" i="2"/>
  <c r="K12" i="2" s="1"/>
  <c r="C13" i="2"/>
  <c r="K13" i="2" s="1"/>
  <c r="C14" i="2"/>
  <c r="K14" i="2" s="1"/>
  <c r="C15" i="2"/>
  <c r="K15" i="2" s="1"/>
  <c r="C16" i="2"/>
  <c r="K16" i="2" s="1"/>
  <c r="C17" i="2"/>
  <c r="K17" i="2" s="1"/>
  <c r="C18" i="2"/>
  <c r="K18" i="2" s="1"/>
  <c r="C19" i="2"/>
  <c r="K19" i="2" s="1"/>
  <c r="C20" i="2"/>
  <c r="K20" i="2" s="1"/>
  <c r="C21" i="2"/>
  <c r="K21" i="2" s="1"/>
  <c r="C22" i="2"/>
  <c r="K22" i="2" s="1"/>
  <c r="C23" i="2"/>
  <c r="K23" i="2" s="1"/>
  <c r="C24" i="2"/>
  <c r="K24" i="2" s="1"/>
  <c r="C25" i="2"/>
  <c r="K25" i="2" s="1"/>
  <c r="C26" i="2"/>
  <c r="K26" i="2" s="1"/>
  <c r="C27" i="2"/>
  <c r="K27" i="2" s="1"/>
  <c r="C28" i="2"/>
  <c r="K28" i="2" s="1"/>
  <c r="C29" i="2"/>
  <c r="K29" i="2" s="1"/>
  <c r="C30" i="2"/>
  <c r="K30" i="2" s="1"/>
  <c r="C31" i="2"/>
  <c r="K31" i="2" s="1"/>
  <c r="C32" i="2"/>
  <c r="K32" i="2" s="1"/>
  <c r="C33" i="2"/>
  <c r="K33" i="2" s="1"/>
  <c r="C34" i="2"/>
  <c r="K34" i="2" s="1"/>
  <c r="C35" i="2"/>
  <c r="K35" i="2" s="1"/>
  <c r="C36" i="2"/>
  <c r="K36" i="2" s="1"/>
  <c r="C37" i="2"/>
  <c r="K37" i="2" s="1"/>
  <c r="C38" i="2"/>
  <c r="K38" i="2" s="1"/>
  <c r="C39" i="2"/>
  <c r="K39" i="2" s="1"/>
  <c r="C40" i="2"/>
  <c r="K40" i="2" s="1"/>
  <c r="C41" i="2"/>
  <c r="K41" i="2" s="1"/>
  <c r="C42" i="2"/>
  <c r="K42" i="2" s="1"/>
  <c r="C43" i="2"/>
  <c r="K43" i="2" s="1"/>
  <c r="C44" i="2"/>
  <c r="K44" i="2" s="1"/>
  <c r="C45" i="2"/>
  <c r="K45" i="2" s="1"/>
  <c r="C46" i="2"/>
  <c r="K46" i="2" s="1"/>
  <c r="C47" i="2"/>
  <c r="K47" i="2" s="1"/>
  <c r="C48" i="2"/>
  <c r="K48" i="2" s="1"/>
  <c r="C49" i="2"/>
  <c r="K49" i="2" s="1"/>
  <c r="C50" i="2"/>
  <c r="K50" i="2" s="1"/>
  <c r="C51" i="2"/>
  <c r="K51" i="2" s="1"/>
  <c r="C52" i="2"/>
  <c r="K52" i="2" s="1"/>
  <c r="C53" i="2"/>
  <c r="K53" i="2" s="1"/>
  <c r="C54" i="2"/>
  <c r="K54" i="2" s="1"/>
  <c r="C55" i="2"/>
  <c r="K55" i="2" s="1"/>
  <c r="C56" i="2"/>
  <c r="K56" i="2" s="1"/>
  <c r="C57" i="2"/>
  <c r="K57" i="2" s="1"/>
  <c r="C58" i="2"/>
  <c r="K58" i="2" s="1"/>
  <c r="C59" i="2"/>
  <c r="K59" i="2" s="1"/>
  <c r="C60" i="2"/>
  <c r="K60" i="2" s="1"/>
  <c r="C61" i="2"/>
  <c r="K61" i="2" s="1"/>
  <c r="C62" i="2"/>
  <c r="K62" i="2" s="1"/>
  <c r="C63" i="2"/>
  <c r="K63" i="2" s="1"/>
  <c r="C64" i="2"/>
  <c r="K64" i="2" s="1"/>
  <c r="C65" i="2"/>
  <c r="K65" i="2" s="1"/>
  <c r="C66" i="2"/>
  <c r="K66" i="2" s="1"/>
  <c r="C67" i="2"/>
  <c r="K67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T2" i="5"/>
  <c r="M2" i="5"/>
  <c r="N2" i="5" s="1"/>
  <c r="M3" i="5"/>
  <c r="N3" i="5" s="1"/>
  <c r="M4" i="5"/>
  <c r="N4" i="5" s="1"/>
  <c r="M5" i="5"/>
  <c r="N5" i="5" s="1"/>
  <c r="M6" i="5"/>
  <c r="N6" i="5" s="1"/>
  <c r="M7" i="5"/>
  <c r="N7" i="5" s="1"/>
  <c r="M8" i="5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N21" i="5" s="1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32" i="5"/>
  <c r="N32" i="5" s="1"/>
  <c r="M33" i="5"/>
  <c r="N33" i="5" s="1"/>
  <c r="M34" i="5"/>
  <c r="N34" i="5" s="1"/>
  <c r="M35" i="5"/>
  <c r="N35" i="5" s="1"/>
  <c r="M36" i="5"/>
  <c r="N36" i="5" s="1"/>
  <c r="M37" i="5"/>
  <c r="N37" i="5" s="1"/>
  <c r="M38" i="5"/>
  <c r="N38" i="5" s="1"/>
  <c r="M39" i="5"/>
  <c r="N39" i="5" s="1"/>
  <c r="M40" i="5"/>
  <c r="N40" i="5" s="1"/>
  <c r="M41" i="5"/>
  <c r="N41" i="5" s="1"/>
  <c r="M42" i="5"/>
  <c r="N42" i="5" s="1"/>
  <c r="M43" i="5"/>
  <c r="N43" i="5" s="1"/>
  <c r="M44" i="5"/>
  <c r="N44" i="5" s="1"/>
  <c r="M45" i="5"/>
  <c r="N45" i="5" s="1"/>
  <c r="M46" i="5"/>
  <c r="N46" i="5" s="1"/>
  <c r="M47" i="5"/>
  <c r="N47" i="5" s="1"/>
  <c r="M48" i="5"/>
  <c r="N48" i="5" s="1"/>
  <c r="M49" i="5"/>
  <c r="N49" i="5" s="1"/>
  <c r="H59" i="2"/>
  <c r="I59" i="2" s="1"/>
  <c r="H60" i="2"/>
  <c r="I60" i="2" s="1"/>
  <c r="H61" i="2"/>
  <c r="I61" i="2" s="1"/>
  <c r="H63" i="2"/>
  <c r="I63" i="2" s="1"/>
  <c r="H66" i="2"/>
  <c r="I66" i="2" s="1"/>
  <c r="F67" i="2"/>
  <c r="G67" i="2"/>
  <c r="H67" i="2"/>
  <c r="I67" i="2" s="1"/>
  <c r="F64" i="2"/>
  <c r="F65" i="2"/>
  <c r="F66" i="2"/>
  <c r="G64" i="2"/>
  <c r="G65" i="2"/>
  <c r="G66" i="2"/>
  <c r="H64" i="2"/>
  <c r="I64" i="2" s="1"/>
  <c r="H65" i="2"/>
  <c r="I65" i="2" s="1"/>
  <c r="F62" i="2"/>
  <c r="F63" i="2"/>
  <c r="G62" i="2"/>
  <c r="G63" i="2"/>
  <c r="H62" i="2"/>
  <c r="I62" i="2" s="1"/>
  <c r="F61" i="2"/>
  <c r="G61" i="2"/>
  <c r="F60" i="2"/>
  <c r="G60" i="2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2" i="5"/>
  <c r="R53" i="5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N67" i="2" l="1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3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2" i="2"/>
  <c r="L67" i="2"/>
  <c r="L63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2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eptuno_en_Excel_1.xlsx!Cliente" type="102" refreshedVersion="5" minRefreshableVersion="5">
    <extLst>
      <ext xmlns:x15="http://schemas.microsoft.com/office/spreadsheetml/2010/11/main" uri="{DE250136-89BD-433C-8126-D09CA5730AF9}">
        <x15:connection id="Cliente-bf0d0c40-a789-4380-8089-80e2071c697e" autoDelete="1">
          <x15:rangePr sourceName="_xlcn.WorksheetConnection_Neptuno_en_Excel_1.xlsxCliente1"/>
        </x15:connection>
      </ext>
    </extLst>
  </connection>
  <connection id="3" name="WorksheetConnection_Neptuno_en_Excel_1.xlsx!Detalle_de_Pedido" type="102" refreshedVersion="5" minRefreshableVersion="5">
    <extLst>
      <ext xmlns:x15="http://schemas.microsoft.com/office/spreadsheetml/2010/11/main" uri="{DE250136-89BD-433C-8126-D09CA5730AF9}">
        <x15:connection id="Detalle_de_Pedido-2a45732f-cdc9-4c49-ba73-e35cfef81279">
          <x15:rangePr sourceName="_xlcn.WorksheetConnection_Neptuno_en_Excel_1.xlsxDetalle_de_Pedido1"/>
        </x15:connection>
      </ext>
    </extLst>
  </connection>
  <connection id="4" name="WorksheetConnection_Neptuno_en_Excel_1.xlsx!Empleado" type="102" refreshedVersion="5" minRefreshableVersion="5">
    <extLst>
      <ext xmlns:x15="http://schemas.microsoft.com/office/spreadsheetml/2010/11/main" uri="{DE250136-89BD-433C-8126-D09CA5730AF9}">
        <x15:connection id="Empleado-832d3040-1950-4747-b8b2-2d4bb8f20f2d">
          <x15:rangePr sourceName="_xlcn.WorksheetConnection_Neptuno_en_Excel_1.xlsxEmpleado1"/>
        </x15:connection>
      </ext>
    </extLst>
  </connection>
  <connection id="5" name="WorksheetConnection_Neptuno_en_Excel_1.xlsx!Factura" type="102" refreshedVersion="5" minRefreshableVersion="5">
    <extLst>
      <ext xmlns:x15="http://schemas.microsoft.com/office/spreadsheetml/2010/11/main" uri="{DE250136-89BD-433C-8126-D09CA5730AF9}">
        <x15:connection id="Factura-852b0dd6-e9a0-4332-aa0e-5123be92d907">
          <x15:rangePr sourceName="_xlcn.WorksheetConnection_Neptuno_en_Excel_1.xlsxFactura1"/>
        </x15:connection>
      </ext>
    </extLst>
  </connection>
  <connection id="6" name="WorksheetConnection_Neptuno_en_Excel_1.xlsx!Pedidos" type="102" refreshedVersion="5" minRefreshableVersion="5">
    <extLst>
      <ext xmlns:x15="http://schemas.microsoft.com/office/spreadsheetml/2010/11/main" uri="{DE250136-89BD-433C-8126-D09CA5730AF9}">
        <x15:connection id="Pedidos-1a6b8ff9-f5f6-44a6-a553-a9b72c97a389">
          <x15:rangePr sourceName="_xlcn.WorksheetConnection_Neptuno_en_Excel_1.xlsxPedidos1"/>
        </x15:connection>
      </ext>
    </extLst>
  </connection>
  <connection id="7" name="WorksheetConnection_Neptuno_en_Excel_1.xlsx!Productos" type="102" refreshedVersion="5" minRefreshableVersion="5">
    <extLst>
      <ext xmlns:x15="http://schemas.microsoft.com/office/spreadsheetml/2010/11/main" uri="{DE250136-89BD-433C-8126-D09CA5730AF9}">
        <x15:connection id="Productos-8227864e-dafb-4af6-82b1-335ba48932bf">
          <x15:rangePr sourceName="_xlcn.WorksheetConnection_Neptuno_en_Excel_1.xlsxProductos1"/>
        </x15:connection>
      </ext>
    </extLst>
  </connection>
</connections>
</file>

<file path=xl/sharedStrings.xml><?xml version="1.0" encoding="utf-8"?>
<sst xmlns="http://schemas.openxmlformats.org/spreadsheetml/2006/main" count="548" uniqueCount="201">
  <si>
    <t>Cargo</t>
  </si>
  <si>
    <t>Ciudad</t>
  </si>
  <si>
    <t>Estado o provincia</t>
  </si>
  <si>
    <t>País o región</t>
  </si>
  <si>
    <t>Propietario</t>
  </si>
  <si>
    <t>Seattle</t>
  </si>
  <si>
    <t>Boston</t>
  </si>
  <si>
    <t>MA</t>
  </si>
  <si>
    <t>Representante de compras</t>
  </si>
  <si>
    <t>Los Ángeles</t>
  </si>
  <si>
    <t>CA</t>
  </si>
  <si>
    <t>Jefe de compras</t>
  </si>
  <si>
    <t>Nueva York</t>
  </si>
  <si>
    <t>NY</t>
  </si>
  <si>
    <t>Minneapolis</t>
  </si>
  <si>
    <t>MN</t>
  </si>
  <si>
    <t>Milwaukee</t>
  </si>
  <si>
    <t>WI</t>
  </si>
  <si>
    <t>Boise</t>
  </si>
  <si>
    <t>ID</t>
  </si>
  <si>
    <t>Portland</t>
  </si>
  <si>
    <t>OR</t>
  </si>
  <si>
    <t>Salt Lake City</t>
  </si>
  <si>
    <t>UT</t>
  </si>
  <si>
    <t>Chicago</t>
  </si>
  <si>
    <t>IL</t>
  </si>
  <si>
    <t>Miami</t>
  </si>
  <si>
    <t>FL</t>
  </si>
  <si>
    <t>Las Vegas</t>
  </si>
  <si>
    <t>NV</t>
  </si>
  <si>
    <t>Memphis</t>
  </si>
  <si>
    <t>TN</t>
  </si>
  <si>
    <t>Denver</t>
  </si>
  <si>
    <t>CO</t>
  </si>
  <si>
    <t>Honolulu</t>
  </si>
  <si>
    <t>HI</t>
  </si>
  <si>
    <t>San Francisco</t>
  </si>
  <si>
    <t>Ayudante de contabilidad</t>
  </si>
  <si>
    <t>Jefe de contabilidad</t>
  </si>
  <si>
    <t>Ayudante de compras</t>
  </si>
  <si>
    <t>Id de pedido</t>
  </si>
  <si>
    <t>Id de producto</t>
  </si>
  <si>
    <t>Cantidad</t>
  </si>
  <si>
    <t>Precio</t>
  </si>
  <si>
    <t>Representante de ventas</t>
  </si>
  <si>
    <t>Vicepresidente de ventas</t>
  </si>
  <si>
    <t>Bellevue</t>
  </si>
  <si>
    <t>Redmond</t>
  </si>
  <si>
    <t>Kirkland</t>
  </si>
  <si>
    <t>Jefe de ventas</t>
  </si>
  <si>
    <t>Coordinador de ventas</t>
  </si>
  <si>
    <t>Id de empleado</t>
  </si>
  <si>
    <t>Id de cliente</t>
  </si>
  <si>
    <t>Fecha de pedido</t>
  </si>
  <si>
    <t>Fecha de envío</t>
  </si>
  <si>
    <t>Ciudad dest</t>
  </si>
  <si>
    <t>Edo/Prov dest</t>
  </si>
  <si>
    <t>País o región de envío</t>
  </si>
  <si>
    <t>Gastos de envío</t>
  </si>
  <si>
    <t>Tipo de pago</t>
  </si>
  <si>
    <t>Fecha de pago</t>
  </si>
  <si>
    <t>Cheque</t>
  </si>
  <si>
    <t>Tarjeta de crédito</t>
  </si>
  <si>
    <t>Efectivo</t>
  </si>
  <si>
    <t>Nombre del producto</t>
  </si>
  <si>
    <t>Costo estándar</t>
  </si>
  <si>
    <t>Precio listado</t>
  </si>
  <si>
    <t>Punto de pedido</t>
  </si>
  <si>
    <t>Nivel objetivo</t>
  </si>
  <si>
    <t>Cantidad por unidad</t>
  </si>
  <si>
    <t>Cantidad mínima de reposición</t>
  </si>
  <si>
    <t>Categoría</t>
  </si>
  <si>
    <t>Té Chai Northwind Traders</t>
  </si>
  <si>
    <t>10 cajas x 20 bolsas</t>
  </si>
  <si>
    <t>Bebidas</t>
  </si>
  <si>
    <t>Almíbar Northwind Traders</t>
  </si>
  <si>
    <t>12 botellas de 550 ml</t>
  </si>
  <si>
    <t>Condimentos</t>
  </si>
  <si>
    <t>Condimentos de Louisiana Northwind Traders</t>
  </si>
  <si>
    <t>48 botes de 180 g</t>
  </si>
  <si>
    <t>Aceite de oliva Northwind Traders</t>
  </si>
  <si>
    <t>36 cajas</t>
  </si>
  <si>
    <t>Aceite</t>
  </si>
  <si>
    <t>Mermelada de moras y frambuesas Northwind Traders</t>
  </si>
  <si>
    <t>12 botes de 250 g</t>
  </si>
  <si>
    <t>Mermeladas y confituras</t>
  </si>
  <si>
    <t>Peras secas Northwind Traders</t>
  </si>
  <si>
    <t>12 paq. de 1/2 kg</t>
  </si>
  <si>
    <t>Frutos secos</t>
  </si>
  <si>
    <t>Salsa curry Northwind Traders</t>
  </si>
  <si>
    <t>12 botes de 360 g</t>
  </si>
  <si>
    <t>Salsas</t>
  </si>
  <si>
    <t>Nueces Northwind Traders</t>
  </si>
  <si>
    <t>40 paq. de 100 g</t>
  </si>
  <si>
    <t>Macedonia Northwind Traders</t>
  </si>
  <si>
    <t>45,75 g</t>
  </si>
  <si>
    <t>Frutas y verduras enlatadas</t>
  </si>
  <si>
    <t>Galletas de chocolate surtidas Northwind Traders</t>
  </si>
  <si>
    <t>10 cajas x 12 piezas</t>
  </si>
  <si>
    <t>Productos horneados</t>
  </si>
  <si>
    <t>Mermelada Northwind Traders</t>
  </si>
  <si>
    <t>30 cajas regalo</t>
  </si>
  <si>
    <t>Bollos de pan Northwind Traders</t>
  </si>
  <si>
    <t>24 paq. x 4 piezas</t>
  </si>
  <si>
    <t>Cerveza Northwind Traders</t>
  </si>
  <si>
    <t>24 botellas de 350 ml</t>
  </si>
  <si>
    <t>Carne de cangrejo Northwind Traders</t>
  </si>
  <si>
    <t>24 latas de 120 g</t>
  </si>
  <si>
    <t>Carne enlatada</t>
  </si>
  <si>
    <t>Sopa de almejas Northwind Traders</t>
  </si>
  <si>
    <t>12 latas de 360 g</t>
  </si>
  <si>
    <t>Sopas</t>
  </si>
  <si>
    <t>Café Northwind Traders</t>
  </si>
  <si>
    <t>16 latas de 500 g</t>
  </si>
  <si>
    <t>Chocolate Northwind Traders</t>
  </si>
  <si>
    <t>10 paq.</t>
  </si>
  <si>
    <t>Golosinas</t>
  </si>
  <si>
    <t>Manzanas secas Northwind Traders</t>
  </si>
  <si>
    <t>50 paq. de 300 g</t>
  </si>
  <si>
    <t>Arroz de grano largo Northwind Traders</t>
  </si>
  <si>
    <t>16 cajas de 2 kg</t>
  </si>
  <si>
    <t>Granos</t>
  </si>
  <si>
    <t>Ñoquis Northwind Traders</t>
  </si>
  <si>
    <t>24 paq. de 250 g</t>
  </si>
  <si>
    <t>Pasta</t>
  </si>
  <si>
    <t>Ravioli Northwind Traders</t>
  </si>
  <si>
    <t>Salsa picante Northwind Traders</t>
  </si>
  <si>
    <t>32 botellas de 250 ml</t>
  </si>
  <si>
    <t>Salsa de tomate Northwind Traders</t>
  </si>
  <si>
    <t>24 botes de 240 g</t>
  </si>
  <si>
    <t>Mozzarella Northwind Traders</t>
  </si>
  <si>
    <t>24 paq. de 200 g</t>
  </si>
  <si>
    <t>Productos lácteos</t>
  </si>
  <si>
    <t>Almendras Northwind Traders</t>
  </si>
  <si>
    <t>Paq. de 5 kg</t>
  </si>
  <si>
    <t>Mostaza Northwind Traders</t>
  </si>
  <si>
    <t>12 cajas</t>
  </si>
  <si>
    <t>Ciruelas pasas Northwind Traders</t>
  </si>
  <si>
    <t>Bolsa de 500 g</t>
  </si>
  <si>
    <t>Té verde Northwind Traders</t>
  </si>
  <si>
    <t>20 bolsas por caja</t>
  </si>
  <si>
    <t>Cereales de avena Northwind Traders</t>
  </si>
  <si>
    <t>Cereales</t>
  </si>
  <si>
    <t>Patatas fritas Northwind Traders</t>
  </si>
  <si>
    <t>Patatas y tentempiés</t>
  </si>
  <si>
    <t>Bizcocho Northwind Traders</t>
  </si>
  <si>
    <t>3 cajas</t>
  </si>
  <si>
    <t>Pastel Northwind Traders</t>
  </si>
  <si>
    <t>4 cajas</t>
  </si>
  <si>
    <t>Té Northwind Traders</t>
  </si>
  <si>
    <t>100 por caja</t>
  </si>
  <si>
    <t>Peras Northwind Traders</t>
  </si>
  <si>
    <t>Melocotones Northwind Traders</t>
  </si>
  <si>
    <t>Piña Northwind Traders</t>
  </si>
  <si>
    <t>Relleno para tarta de cerezas Northwind Traders</t>
  </si>
  <si>
    <t>Judías verdes Northwind Traders</t>
  </si>
  <si>
    <t>435 g</t>
  </si>
  <si>
    <t>Maíz Northwind Traders</t>
  </si>
  <si>
    <t>Guisantes Northwind Traders</t>
  </si>
  <si>
    <t>Atún Northwind Traders</t>
  </si>
  <si>
    <t>150 g</t>
  </si>
  <si>
    <t>Salmón ahumado Northwind Traders</t>
  </si>
  <si>
    <t>Copos de avena Northwind Traders</t>
  </si>
  <si>
    <t>Sopa de verduras Northwind Traders</t>
  </si>
  <si>
    <t>Sopa de pollo Northwind Traders</t>
  </si>
  <si>
    <t>Id Cliente</t>
  </si>
  <si>
    <t>WA</t>
  </si>
  <si>
    <t>EEUU</t>
  </si>
  <si>
    <t>Id de Empleado</t>
  </si>
  <si>
    <t>Id Producto</t>
  </si>
  <si>
    <t>Detalle de Pedido</t>
  </si>
  <si>
    <t>pedidos</t>
  </si>
  <si>
    <t>id empeado</t>
  </si>
  <si>
    <t>Empleados</t>
  </si>
  <si>
    <t>CLIENTE</t>
  </si>
  <si>
    <t>ID CLIENTE</t>
  </si>
  <si>
    <t>ID PRODUCTOS</t>
  </si>
  <si>
    <t>PRODUCTOS</t>
  </si>
  <si>
    <t>ID PROD</t>
  </si>
  <si>
    <t>Gastos de envio</t>
  </si>
  <si>
    <t>Categoiria e Productos</t>
  </si>
  <si>
    <t xml:space="preserve"> Cantidad</t>
  </si>
  <si>
    <t>Categoria</t>
  </si>
  <si>
    <t>Costo estandar</t>
  </si>
  <si>
    <t>Columna1</t>
  </si>
  <si>
    <t>Columna2</t>
  </si>
  <si>
    <t>gastos de envio</t>
  </si>
  <si>
    <t>Demora</t>
  </si>
  <si>
    <t>Total de venta</t>
  </si>
  <si>
    <t>Costo estandar2</t>
  </si>
  <si>
    <t>Costo Total</t>
  </si>
  <si>
    <t>Margen</t>
  </si>
  <si>
    <t>cantidad en deposito</t>
  </si>
  <si>
    <t>pedimos si o no</t>
  </si>
  <si>
    <t>cuanto pedimos</t>
  </si>
  <si>
    <t>Aún no pago</t>
  </si>
  <si>
    <t>mes</t>
  </si>
  <si>
    <t>dia</t>
  </si>
  <si>
    <t>ID Empleados</t>
  </si>
  <si>
    <t>Id pedido</t>
  </si>
  <si>
    <t>Id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</si>
</sst>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0" xfId="0" applyFill="1"/>
    <xf numFmtId="0" fontId="0" fillId="3" borderId="0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5" fillId="2" borderId="0" xfId="0" applyFont="1" applyFill="1"/>
    <xf numFmtId="14" fontId="0" fillId="0" borderId="0" xfId="0" applyNumberFormat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" fillId="6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19" formatCode="dd/mm/yyyy"/>
      <alignment horizontal="general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 outline="0">
        <left/>
        <right/>
        <top style="thin">
          <color theme="7"/>
        </top>
        <bottom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</dxfs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571501</xdr:colOff>
      <xdr:row>2</xdr:row>
      <xdr:rowOff>138545</xdr:rowOff>
    </xdr:from>
    <xdr:to>
      <xdr:col>16</xdr:col>
      <xdr:colOff>381000</xdr:colOff>
      <xdr:row>4</xdr:row>
      <xdr:rowOff>121226</xdr:rowOff>
    </xdr:to>
    <xdr:cxnSp macro="">
      <xdr:nvCxnSpPr>
        <xdr:cNvPr id="5" name="Conector recto de flecha 4"/>
        <xdr:cNvCxnSpPr/>
      </xdr:nvCxnSpPr>
      <xdr:spPr>
        <a:xfrm flipH="1">
          <a:off x="9195956" y="519545"/>
          <a:ext cx="4381499" cy="502226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1108363</xdr:colOff>
      <xdr:row>4</xdr:row>
      <xdr:rowOff>155864</xdr:rowOff>
    </xdr:from>
    <xdr:to>
      <xdr:col>16</xdr:col>
      <xdr:colOff>363683</xdr:colOff>
      <xdr:row>11</xdr:row>
      <xdr:rowOff>121229</xdr:rowOff>
    </xdr:to>
    <xdr:cxnSp macro="">
      <xdr:nvCxnSpPr>
        <xdr:cNvPr id="6" name="Conector recto de flecha 5"/>
        <xdr:cNvCxnSpPr/>
      </xdr:nvCxnSpPr>
      <xdr:spPr>
        <a:xfrm flipH="1" flipV="1">
          <a:off x="10598727" y="1056409"/>
          <a:ext cx="2961411" cy="1506684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432956</xdr:colOff>
      <xdr:row>4</xdr:row>
      <xdr:rowOff>155864</xdr:rowOff>
    </xdr:from>
    <xdr:to>
      <xdr:col>9</xdr:col>
      <xdr:colOff>173181</xdr:colOff>
      <xdr:row>4</xdr:row>
      <xdr:rowOff>173182</xdr:rowOff>
    </xdr:to>
    <xdr:cxnSp macro="">
      <xdr:nvCxnSpPr>
        <xdr:cNvPr id="14" name="Conector recto de flecha 13"/>
        <xdr:cNvCxnSpPr/>
      </xdr:nvCxnSpPr>
      <xdr:spPr>
        <a:xfrm flipH="1">
          <a:off x="4242956" y="917864"/>
          <a:ext cx="3030680" cy="17318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692727</xdr:colOff>
      <xdr:row>4</xdr:row>
      <xdr:rowOff>155864</xdr:rowOff>
    </xdr:from>
    <xdr:to>
      <xdr:col>4</xdr:col>
      <xdr:colOff>329045</xdr:colOff>
      <xdr:row>24</xdr:row>
      <xdr:rowOff>51955</xdr:rowOff>
    </xdr:to>
    <xdr:cxnSp macro="">
      <xdr:nvCxnSpPr>
        <xdr:cNvPr id="16" name="Conector recto de flecha 15"/>
        <xdr:cNvCxnSpPr/>
      </xdr:nvCxnSpPr>
      <xdr:spPr>
        <a:xfrm flipH="1" flipV="1">
          <a:off x="2978727" y="917864"/>
          <a:ext cx="398318" cy="4121727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2" name="Detalle_de_Pedido" displayName="Detalle_de_Pedido" ref="A1:O67" totalsRowShown="0">
  <autoFilter ref="A1:O67"/>
  <tableColumns count="15">
    <tableColumn id="1" name="Id de pedido"/>
    <tableColumn id="2" name="Id de producto" dataDxfId="36"/>
    <tableColumn id="10" name="Costo estandar" dataDxfId="35">
      <calculatedColumnFormula>VLOOKUP(B2,Productos!A:C,3,0)</calculatedColumnFormula>
    </tableColumn>
    <tableColumn id="3" name="Cantidad"/>
    <tableColumn id="4" name="Precio" dataDxfId="34"/>
    <tableColumn id="5" name="Categoria" dataDxfId="33">
      <calculatedColumnFormula>VLOOKUP(Detalle_de_Pedido[[#This Row],[Id de producto]],Productos[],9,0)</calculatedColumnFormula>
    </tableColumn>
    <tableColumn id="6" name="Costo estandar2" dataDxfId="32">
      <calculatedColumnFormula>VLOOKUP(Detalle_de_Pedido[[#This Row],[Id de producto]],Productos[],3,0)</calculatedColumnFormula>
    </tableColumn>
    <tableColumn id="7" name="Columna1" dataDxfId="31">
      <calculatedColumnFormula>COUNTIF($A$2:A2,A2)</calculatedColumnFormula>
    </tableColumn>
    <tableColumn id="8" name="gastos de envio" dataDxfId="30">
      <calculatedColumnFormula>IFERROR(VALUE(IF(H2=1,VLOOKUP(A2,Pedidos!A:I,9,0),0)),0)</calculatedColumnFormula>
    </tableColumn>
    <tableColumn id="9" name="Total de venta" dataDxfId="29">
      <calculatedColumnFormula>Detalle_de_Pedido[[#This Row],[Precio]]*Detalle_de_Pedido[[#This Row],[Cantidad]]</calculatedColumnFormula>
    </tableColumn>
    <tableColumn id="11" name="Costo Total" dataDxfId="28">
      <calculatedColumnFormula>IFERROR(Detalle_de_Pedido[[#This Row],[Costo estandar]]*Detalle_de_Pedido[[#This Row],[Cantidad]],0)</calculatedColumnFormula>
    </tableColumn>
    <tableColumn id="12" name="Margen" dataDxfId="27">
      <calculatedColumnFormula>Detalle_de_Pedido[[#This Row],[Total de venta]]-Detalle_de_Pedido[[#This Row],[Costo Total]]</calculatedColumnFormula>
    </tableColumn>
    <tableColumn id="13" name="Fecha de pedido" dataDxfId="26">
      <calculatedColumnFormula>VLOOKUP(A2,Pedidos!A:D,4,0)</calculatedColumnFormula>
    </tableColumn>
    <tableColumn id="14" name="mes" dataDxfId="25">
      <calculatedColumnFormula>TEXT(Detalle_de_Pedido[[#This Row],[Fecha de pedido]],"mmmm")</calculatedColumnFormula>
    </tableColumn>
    <tableColumn id="15" name="dia" dataDxfId="24">
      <calculatedColumnFormula>TEXT(Detalle_de_Pedido[[#This Row],[Fecha de pedido]],"dddd")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Productos" displayName="Productos" ref="A1:M46" totalsRowShown="0">
  <autoFilter ref="A1:M46"/>
  <tableColumns count="13">
    <tableColumn id="1" name="Id Producto" dataDxfId="23"/>
    <tableColumn id="2" name="Nombre del producto"/>
    <tableColumn id="3" name="Costo estándar" dataDxfId="22"/>
    <tableColumn id="4" name="Precio listado" dataDxfId="21"/>
    <tableColumn id="5" name="Punto de pedido"/>
    <tableColumn id="6" name="Nivel objetivo"/>
    <tableColumn id="7" name="Cantidad por unidad"/>
    <tableColumn id="8" name="Cantidad mínima de reposición"/>
    <tableColumn id="9" name="Categoría"/>
    <tableColumn id="10" name="cantidad en deposito" dataDxfId="20"/>
    <tableColumn id="11" name="pedimos si o no" dataDxfId="19">
      <calculatedColumnFormula>IF(Productos[[#This Row],[cantidad en deposito]]&lt;Productos[[#This Row],[Punto de pedido]],"si","no")</calculatedColumnFormula>
    </tableColumn>
    <tableColumn id="12" name="cuanto pedimos" dataDxfId="18">
      <calculatedColumnFormula>IF(Productos[[#This Row],[pedimos si o no]]="si",Productos[[#This Row],[Nivel objetivo]]-Productos[[#This Row],[cantidad en deposito]],0)</calculatedColumnFormula>
    </tableColumn>
    <tableColumn id="13" name="Columna1" dataDxfId="17">
      <calculatedColumnFormula>Productos[[#This Row],[cuanto pedimos]]*Productos[[#This Row],[Costo estándar]]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Empleado" displayName="Empleado" ref="A1:E10" totalsRowShown="0">
  <autoFilter ref="A1:E10"/>
  <tableColumns count="5">
    <tableColumn id="1" name="Id de Empleado" dataDxfId="16"/>
    <tableColumn id="2" name="Cargo"/>
    <tableColumn id="3" name="Ciudad"/>
    <tableColumn id="4" name="Estado o provincia"/>
    <tableColumn id="5" name="País o regió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Cliente" displayName="Cliente" ref="A1:E30" totalsRowShown="0" headerRowDxfId="15" dataDxfId="14" tableBorderDxfId="13">
  <autoFilter ref="A1:E30"/>
  <tableColumns count="5">
    <tableColumn id="1" name="Id Cliente" dataDxfId="12"/>
    <tableColumn id="2" name="Cargo" dataDxfId="11"/>
    <tableColumn id="3" name="Ciudad" dataDxfId="10"/>
    <tableColumn id="4" name="Estado o provincia" dataDxfId="9"/>
    <tableColumn id="5" name="País o región" dataDxfId="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Pedidos" displayName="Pedidos" ref="A1:N49" totalsRowShown="0">
  <autoFilter ref="A1:N49"/>
  <tableColumns count="14">
    <tableColumn id="1" name="Id de pedido"/>
    <tableColumn id="2" name="Id de empleado" dataDxfId="7"/>
    <tableColumn id="3" name="Id de cliente" dataDxfId="6"/>
    <tableColumn id="4" name="Fecha de pedido" dataDxfId="5"/>
    <tableColumn id="5" name="Fecha de envío" dataDxfId="4"/>
    <tableColumn id="6" name="Ciudad dest"/>
    <tableColumn id="7" name="Edo/Prov dest"/>
    <tableColumn id="8" name="País o región de envío"/>
    <tableColumn id="9" name="Gastos de envío" dataDxfId="3"/>
    <tableColumn id="10" name="Tipo de pago"/>
    <tableColumn id="11" name="Fecha de pago" dataDxfId="2"/>
    <tableColumn id="12" name="Columna1">
      <calculatedColumnFormula>VLOOKUP(A2,'Detalles de pedido'!#REF!,1,0)</calculatedColumnFormula>
    </tableColumn>
    <tableColumn id="13" name="Demora" dataDxfId="1">
      <calculatedColumnFormula>Pedidos[[#This Row],[Fecha de envío]]-Pedidos[[#This Row],[Fecha de pedido]]</calculatedColumnFormula>
    </tableColumn>
    <tableColumn id="14" name="Columna2" dataDxfId="0">
      <calculatedColumnFormula>IF(M2&lt;0,"",M2)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1"/>
  <sheetViews>
    <sheetView showGridLines="0" tabSelected="1" zoomScale="70" zoomScaleNormal="70" workbookViewId="0">
      <selection activeCell="K24" sqref="K24"/>
    </sheetView>
  </sheetViews>
  <sheetFormatPr baseColWidth="10" defaultRowHeight="14.4" x14ac:dyDescent="0.3"/>
  <cols>
    <col min="7" max="7" width="15.109375" bestFit="1" customWidth="1"/>
    <col min="12" max="12" width="12.88671875" bestFit="1" customWidth="1"/>
    <col min="13" max="13" width="21.33203125" customWidth="1"/>
  </cols>
  <sheetData>
    <row r="2" spans="3:19" ht="15" thickBot="1" x14ac:dyDescent="0.35"/>
    <row r="3" spans="3:19" ht="15" thickTop="1" x14ac:dyDescent="0.3">
      <c r="C3" s="20"/>
      <c r="D3" s="21"/>
      <c r="E3" s="21"/>
      <c r="F3" s="21"/>
      <c r="G3" s="22"/>
      <c r="Q3" s="32" t="s">
        <v>175</v>
      </c>
      <c r="R3" s="33"/>
      <c r="S3" s="34"/>
    </row>
    <row r="4" spans="3:19" ht="26.25" customHeight="1" x14ac:dyDescent="0.3">
      <c r="C4" s="23"/>
      <c r="D4" s="19"/>
      <c r="E4" s="19"/>
      <c r="F4" s="19"/>
      <c r="G4" s="24"/>
      <c r="Q4" s="39" t="s">
        <v>174</v>
      </c>
      <c r="R4" s="40"/>
      <c r="S4" s="41"/>
    </row>
    <row r="5" spans="3:19" ht="21" customHeight="1" x14ac:dyDescent="0.4">
      <c r="C5" s="23"/>
      <c r="D5" s="31" t="s">
        <v>178</v>
      </c>
      <c r="E5" s="37" t="s">
        <v>200</v>
      </c>
      <c r="F5" s="38"/>
      <c r="G5" s="24"/>
      <c r="J5" s="35" t="s">
        <v>199</v>
      </c>
      <c r="K5" s="36"/>
      <c r="L5" s="29" t="s">
        <v>175</v>
      </c>
      <c r="M5" s="30" t="s">
        <v>198</v>
      </c>
      <c r="Q5" s="42"/>
      <c r="R5" s="43"/>
      <c r="S5" s="44"/>
    </row>
    <row r="6" spans="3:19" ht="15" customHeight="1" x14ac:dyDescent="0.3">
      <c r="C6" s="23"/>
      <c r="D6" s="50" t="s">
        <v>170</v>
      </c>
      <c r="E6" s="50"/>
      <c r="F6" s="50"/>
      <c r="G6" s="24"/>
      <c r="J6" s="51" t="s">
        <v>171</v>
      </c>
      <c r="K6" s="51"/>
      <c r="L6" s="51"/>
      <c r="M6" s="51"/>
      <c r="Q6" s="45"/>
      <c r="R6" s="46"/>
      <c r="S6" s="47"/>
    </row>
    <row r="7" spans="3:19" ht="15" customHeight="1" x14ac:dyDescent="0.3">
      <c r="C7" s="23"/>
      <c r="D7" s="50"/>
      <c r="E7" s="50"/>
      <c r="F7" s="50"/>
      <c r="G7" s="24"/>
      <c r="J7" s="51"/>
      <c r="K7" s="51"/>
      <c r="L7" s="51"/>
      <c r="M7" s="51"/>
    </row>
    <row r="8" spans="3:19" x14ac:dyDescent="0.3">
      <c r="C8" s="23"/>
      <c r="D8" s="50"/>
      <c r="E8" s="50"/>
      <c r="F8" s="50"/>
      <c r="G8" s="24"/>
      <c r="J8" s="51"/>
      <c r="K8" s="51"/>
      <c r="L8" s="51"/>
      <c r="M8" s="51"/>
    </row>
    <row r="9" spans="3:19" ht="21" x14ac:dyDescent="0.4">
      <c r="C9" s="23"/>
      <c r="D9" s="50"/>
      <c r="E9" s="50"/>
      <c r="F9" s="50"/>
      <c r="G9" s="25" t="s">
        <v>181</v>
      </c>
      <c r="J9" s="51"/>
      <c r="K9" s="51"/>
      <c r="L9" s="51"/>
      <c r="M9" s="51"/>
    </row>
    <row r="10" spans="3:19" ht="21" x14ac:dyDescent="0.4">
      <c r="C10" s="23"/>
      <c r="D10" s="50"/>
      <c r="E10" s="50"/>
      <c r="F10" s="50"/>
      <c r="G10" s="25" t="s">
        <v>43</v>
      </c>
      <c r="J10" s="51"/>
      <c r="K10" s="51"/>
      <c r="L10" s="51"/>
      <c r="M10" s="51"/>
    </row>
    <row r="11" spans="3:19" x14ac:dyDescent="0.3">
      <c r="C11" s="23"/>
      <c r="D11" s="50"/>
      <c r="E11" s="50"/>
      <c r="F11" s="50"/>
      <c r="G11" s="24"/>
      <c r="J11" s="51"/>
      <c r="K11" s="51"/>
      <c r="L11" s="51"/>
      <c r="M11" s="51"/>
    </row>
    <row r="12" spans="3:19" ht="21" x14ac:dyDescent="0.4">
      <c r="C12" s="23"/>
      <c r="D12" s="50"/>
      <c r="E12" s="50"/>
      <c r="F12" s="50"/>
      <c r="G12" s="24"/>
      <c r="J12" s="51"/>
      <c r="K12" s="51"/>
      <c r="L12" s="51"/>
      <c r="M12" s="51"/>
      <c r="Q12" s="53" t="s">
        <v>172</v>
      </c>
      <c r="R12" s="54"/>
      <c r="S12" s="55"/>
    </row>
    <row r="13" spans="3:19" x14ac:dyDescent="0.3">
      <c r="C13" s="23"/>
      <c r="D13" s="50"/>
      <c r="E13" s="50"/>
      <c r="F13" s="50"/>
      <c r="G13" s="24"/>
      <c r="J13" s="51"/>
      <c r="K13" s="51"/>
      <c r="L13" s="51"/>
      <c r="M13" s="51"/>
      <c r="Q13" s="52" t="s">
        <v>173</v>
      </c>
      <c r="R13" s="52"/>
      <c r="S13" s="52"/>
    </row>
    <row r="14" spans="3:19" x14ac:dyDescent="0.3">
      <c r="C14" s="23"/>
      <c r="D14" s="50"/>
      <c r="E14" s="50"/>
      <c r="F14" s="50"/>
      <c r="G14" s="24"/>
      <c r="J14" s="51"/>
      <c r="K14" s="51"/>
      <c r="L14" s="51"/>
      <c r="M14" s="51"/>
      <c r="Q14" s="52"/>
      <c r="R14" s="52"/>
      <c r="S14" s="52"/>
    </row>
    <row r="15" spans="3:19" x14ac:dyDescent="0.3">
      <c r="C15" s="23"/>
      <c r="D15" s="19"/>
      <c r="E15" s="19"/>
      <c r="F15" s="19"/>
      <c r="G15" s="24"/>
      <c r="Q15" s="52"/>
      <c r="R15" s="52"/>
      <c r="S15" s="52"/>
    </row>
    <row r="16" spans="3:19" ht="15" thickBot="1" x14ac:dyDescent="0.35">
      <c r="C16" s="26"/>
      <c r="D16" s="27"/>
      <c r="E16" s="27"/>
      <c r="F16" s="27"/>
      <c r="G16" s="28"/>
    </row>
    <row r="17" spans="4:12" ht="26.4" thickTop="1" x14ac:dyDescent="0.5">
      <c r="L17" s="15" t="s">
        <v>179</v>
      </c>
    </row>
    <row r="22" spans="4:12" x14ac:dyDescent="0.3">
      <c r="D22" s="48" t="s">
        <v>176</v>
      </c>
      <c r="E22" s="48"/>
      <c r="F22" s="48"/>
    </row>
    <row r="23" spans="4:12" x14ac:dyDescent="0.3">
      <c r="D23" s="49" t="s">
        <v>177</v>
      </c>
      <c r="E23" s="49"/>
      <c r="F23" s="49"/>
    </row>
    <row r="24" spans="4:12" x14ac:dyDescent="0.3">
      <c r="D24" s="49"/>
      <c r="E24" s="49"/>
      <c r="F24" s="49"/>
    </row>
    <row r="25" spans="4:12" x14ac:dyDescent="0.3">
      <c r="D25" s="49"/>
      <c r="E25" s="49"/>
      <c r="F25" s="49"/>
    </row>
    <row r="26" spans="4:12" x14ac:dyDescent="0.3">
      <c r="D26" s="49"/>
      <c r="E26" s="49"/>
      <c r="F26" s="49"/>
    </row>
    <row r="27" spans="4:12" x14ac:dyDescent="0.3">
      <c r="D27" s="49"/>
      <c r="E27" s="49"/>
      <c r="F27" s="49"/>
    </row>
    <row r="28" spans="4:12" x14ac:dyDescent="0.3">
      <c r="D28" s="49"/>
      <c r="E28" s="49"/>
      <c r="F28" s="49"/>
    </row>
    <row r="31" spans="4:12" ht="23.4" x14ac:dyDescent="0.45">
      <c r="E31" s="14" t="s">
        <v>180</v>
      </c>
    </row>
  </sheetData>
  <mergeCells count="10">
    <mergeCell ref="D23:F28"/>
    <mergeCell ref="D6:F14"/>
    <mergeCell ref="J6:M14"/>
    <mergeCell ref="Q13:S15"/>
    <mergeCell ref="Q12:S12"/>
    <mergeCell ref="Q3:S3"/>
    <mergeCell ref="J5:K5"/>
    <mergeCell ref="E5:F5"/>
    <mergeCell ref="Q4:S6"/>
    <mergeCell ref="D22: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A5" sqref="A5"/>
    </sheetView>
  </sheetViews>
  <sheetFormatPr baseColWidth="10" defaultColWidth="8.88671875" defaultRowHeight="14.4" x14ac:dyDescent="0.3"/>
  <cols>
    <col min="1" max="1" width="14.33203125" customWidth="1"/>
    <col min="2" max="2" width="16" style="12" customWidth="1"/>
    <col min="3" max="3" width="16.5546875" bestFit="1" customWidth="1"/>
    <col min="4" max="4" width="11" customWidth="1"/>
    <col min="5" max="5" width="8.6640625" customWidth="1"/>
    <col min="6" max="6" width="25.33203125" bestFit="1" customWidth="1"/>
    <col min="7" max="7" width="28.109375" customWidth="1"/>
    <col min="9" max="9" width="17" style="16" bestFit="1" customWidth="1"/>
    <col min="10" max="10" width="15.88671875" bestFit="1" customWidth="1"/>
    <col min="11" max="11" width="16.33203125" customWidth="1"/>
    <col min="13" max="13" width="18.5546875" style="18" customWidth="1"/>
  </cols>
  <sheetData>
    <row r="1" spans="1:15" x14ac:dyDescent="0.3">
      <c r="A1" t="s">
        <v>40</v>
      </c>
      <c r="B1" s="12" t="s">
        <v>41</v>
      </c>
      <c r="C1" t="s">
        <v>183</v>
      </c>
      <c r="D1" t="s">
        <v>42</v>
      </c>
      <c r="E1" t="s">
        <v>43</v>
      </c>
      <c r="F1" t="s">
        <v>182</v>
      </c>
      <c r="G1" t="s">
        <v>189</v>
      </c>
      <c r="H1" t="s">
        <v>184</v>
      </c>
      <c r="I1" s="16" t="s">
        <v>186</v>
      </c>
      <c r="J1" t="s">
        <v>188</v>
      </c>
      <c r="K1" t="s">
        <v>190</v>
      </c>
      <c r="L1" t="s">
        <v>191</v>
      </c>
      <c r="M1" s="18" t="s">
        <v>53</v>
      </c>
      <c r="N1" t="s">
        <v>196</v>
      </c>
      <c r="O1" t="s">
        <v>197</v>
      </c>
    </row>
    <row r="2" spans="1:15" x14ac:dyDescent="0.3">
      <c r="A2">
        <v>30</v>
      </c>
      <c r="B2" s="12">
        <v>34</v>
      </c>
      <c r="C2">
        <f>VLOOKUP(B2,Productos!A:C,3,0)</f>
        <v>10.5</v>
      </c>
      <c r="D2">
        <v>100</v>
      </c>
      <c r="E2" s="1">
        <v>14</v>
      </c>
      <c r="F2" t="str">
        <f>VLOOKUP(Detalle_de_Pedido[[#This Row],[Id de producto]],Productos[],9,0)</f>
        <v>Bebidas</v>
      </c>
      <c r="G2">
        <f>VLOOKUP(Detalle_de_Pedido[[#This Row],[Id de producto]],Productos[],3,0)</f>
        <v>10.5</v>
      </c>
      <c r="H2">
        <f>COUNTIF($A$2:A2,A2)</f>
        <v>1</v>
      </c>
      <c r="I2" s="16">
        <f>IFERROR(VALUE(IF(H2=1,VLOOKUP(A2,Pedidos!A:I,9,0),0)),0)</f>
        <v>200</v>
      </c>
      <c r="J2" s="13">
        <f>Detalle_de_Pedido[[#This Row],[Precio]]*Detalle_de_Pedido[[#This Row],[Cantidad]]</f>
        <v>1400</v>
      </c>
      <c r="K2" s="13">
        <f>IFERROR(Detalle_de_Pedido[[#This Row],[Costo estandar]]*Detalle_de_Pedido[[#This Row],[Cantidad]],0)</f>
        <v>1050</v>
      </c>
      <c r="L2" s="13">
        <f>Detalle_de_Pedido[[#This Row],[Total de venta]]-Detalle_de_Pedido[[#This Row],[Costo Total]]</f>
        <v>350</v>
      </c>
      <c r="M2" s="18">
        <f>VLOOKUP(A2,Pedidos!A:D,4,0)</f>
        <v>38732</v>
      </c>
      <c r="N2" s="13" t="str">
        <f>TEXT(Detalle_de_Pedido[[#This Row],[Fecha de pedido]],"mmmm")</f>
        <v>enero</v>
      </c>
      <c r="O2" s="13" t="str">
        <f>TEXT(Detalle_de_Pedido[[#This Row],[Fecha de pedido]],"dddd")</f>
        <v>domingo</v>
      </c>
    </row>
    <row r="3" spans="1:15" x14ac:dyDescent="0.3">
      <c r="A3">
        <v>30</v>
      </c>
      <c r="B3" s="12">
        <v>80</v>
      </c>
      <c r="C3">
        <f>VLOOKUP(B3,Productos!A:C,3,0)</f>
        <v>3</v>
      </c>
      <c r="D3">
        <v>30</v>
      </c>
      <c r="E3" s="1">
        <v>3.5</v>
      </c>
      <c r="F3" t="str">
        <f>VLOOKUP(Detalle_de_Pedido[[#This Row],[Id de producto]],Productos[],9,0)</f>
        <v>Frutos secos</v>
      </c>
      <c r="G3">
        <f>VLOOKUP(Detalle_de_Pedido[[#This Row],[Id de producto]],Productos[],3,0)</f>
        <v>3</v>
      </c>
      <c r="H3">
        <f>COUNTIF($A$2:A3,A3)</f>
        <v>2</v>
      </c>
      <c r="I3" s="16">
        <f>IFERROR(VALUE(IF(H3=1,VLOOKUP(A3,Pedidos!A:I,9,0),0)),0)</f>
        <v>0</v>
      </c>
      <c r="J3" s="13">
        <f>Detalle_de_Pedido[[#This Row],[Precio]]*Detalle_de_Pedido[[#This Row],[Cantidad]]</f>
        <v>105</v>
      </c>
      <c r="K3" s="13">
        <f>IFERROR(Detalle_de_Pedido[[#This Row],[Costo estandar]]*Detalle_de_Pedido[[#This Row],[Cantidad]],0)</f>
        <v>90</v>
      </c>
      <c r="L3" s="13">
        <f>Detalle_de_Pedido[[#This Row],[Total de venta]]-Detalle_de_Pedido[[#This Row],[Costo Total]]</f>
        <v>15</v>
      </c>
      <c r="M3" s="18">
        <f>VLOOKUP(A3,Pedidos!A:D,4,0)</f>
        <v>38732</v>
      </c>
      <c r="N3" s="13" t="str">
        <f>TEXT(Detalle_de_Pedido[[#This Row],[Fecha de pedido]],"mmmm")</f>
        <v>enero</v>
      </c>
      <c r="O3" s="13" t="str">
        <f>TEXT(Detalle_de_Pedido[[#This Row],[Fecha de pedido]],"dddd")</f>
        <v>domingo</v>
      </c>
    </row>
    <row r="4" spans="1:15" x14ac:dyDescent="0.3">
      <c r="A4">
        <v>31</v>
      </c>
      <c r="B4" s="12">
        <v>7</v>
      </c>
      <c r="C4">
        <f>VLOOKUP(B4,Productos!A:C,3,0)</f>
        <v>22.5</v>
      </c>
      <c r="D4">
        <v>10</v>
      </c>
      <c r="E4" s="1">
        <v>30</v>
      </c>
      <c r="F4" t="str">
        <f>VLOOKUP(Detalle_de_Pedido[[#This Row],[Id de producto]],Productos[],9,0)</f>
        <v>Frutos secos</v>
      </c>
      <c r="G4">
        <f>VLOOKUP(Detalle_de_Pedido[[#This Row],[Id de producto]],Productos[],3,0)</f>
        <v>22.5</v>
      </c>
      <c r="H4">
        <f>COUNTIF($A$2:A4,A4)</f>
        <v>1</v>
      </c>
      <c r="I4" s="16">
        <f>IFERROR(VALUE(IF(H4=1,VLOOKUP(A4,Pedidos!A:I,9,0),0)),0)</f>
        <v>5</v>
      </c>
      <c r="J4" s="13">
        <f>Detalle_de_Pedido[[#This Row],[Precio]]*Detalle_de_Pedido[[#This Row],[Cantidad]]</f>
        <v>300</v>
      </c>
      <c r="K4" s="13">
        <f>IFERROR(Detalle_de_Pedido[[#This Row],[Costo estandar]]*Detalle_de_Pedido[[#This Row],[Cantidad]],0)</f>
        <v>225</v>
      </c>
      <c r="L4" s="13">
        <f>Detalle_de_Pedido[[#This Row],[Total de venta]]-Detalle_de_Pedido[[#This Row],[Costo Total]]</f>
        <v>75</v>
      </c>
      <c r="M4" s="18">
        <f>VLOOKUP(A4,Pedidos!A:D,4,0)</f>
        <v>38737</v>
      </c>
      <c r="N4" s="13" t="str">
        <f>TEXT(Detalle_de_Pedido[[#This Row],[Fecha de pedido]],"mmmm")</f>
        <v>enero</v>
      </c>
      <c r="O4" s="13" t="str">
        <f>TEXT(Detalle_de_Pedido[[#This Row],[Fecha de pedido]],"dddd")</f>
        <v>viernes</v>
      </c>
    </row>
    <row r="5" spans="1:15" x14ac:dyDescent="0.3">
      <c r="A5">
        <v>31</v>
      </c>
      <c r="B5" s="12">
        <v>51</v>
      </c>
      <c r="C5">
        <f>VLOOKUP(B5,Productos!A:C,3,0)</f>
        <v>39.75</v>
      </c>
      <c r="D5">
        <v>10</v>
      </c>
      <c r="E5" s="1">
        <v>53</v>
      </c>
      <c r="F5" t="str">
        <f>VLOOKUP(Detalle_de_Pedido[[#This Row],[Id de producto]],Productos[],9,0)</f>
        <v>Frutos secos</v>
      </c>
      <c r="G5">
        <f>VLOOKUP(Detalle_de_Pedido[[#This Row],[Id de producto]],Productos[],3,0)</f>
        <v>39.75</v>
      </c>
      <c r="H5">
        <f>COUNTIF($A$2:A5,A5)</f>
        <v>2</v>
      </c>
      <c r="I5" s="16">
        <f>IFERROR(VALUE(IF(H5=1,VLOOKUP(A5,Pedidos!A:I,9,0),0)),0)</f>
        <v>0</v>
      </c>
      <c r="J5" s="13">
        <f>Detalle_de_Pedido[[#This Row],[Precio]]*Detalle_de_Pedido[[#This Row],[Cantidad]]</f>
        <v>530</v>
      </c>
      <c r="K5" s="13">
        <f>IFERROR(Detalle_de_Pedido[[#This Row],[Costo estandar]]*Detalle_de_Pedido[[#This Row],[Cantidad]],0)</f>
        <v>397.5</v>
      </c>
      <c r="L5" s="13">
        <f>Detalle_de_Pedido[[#This Row],[Total de venta]]-Detalle_de_Pedido[[#This Row],[Costo Total]]</f>
        <v>132.5</v>
      </c>
      <c r="M5" s="18">
        <f>VLOOKUP(A5,Pedidos!A:D,4,0)</f>
        <v>38737</v>
      </c>
      <c r="N5" s="13" t="str">
        <f>TEXT(Detalle_de_Pedido[[#This Row],[Fecha de pedido]],"mmmm")</f>
        <v>enero</v>
      </c>
      <c r="O5" s="13" t="str">
        <f>TEXT(Detalle_de_Pedido[[#This Row],[Fecha de pedido]],"dddd")</f>
        <v>viernes</v>
      </c>
    </row>
    <row r="6" spans="1:15" x14ac:dyDescent="0.3">
      <c r="A6">
        <v>31</v>
      </c>
      <c r="B6" s="12">
        <v>80</v>
      </c>
      <c r="C6">
        <f>VLOOKUP(B6,Productos!A:C,3,0)</f>
        <v>3</v>
      </c>
      <c r="D6">
        <v>10</v>
      </c>
      <c r="E6" s="1">
        <v>3.5</v>
      </c>
      <c r="F6" t="str">
        <f>VLOOKUP(Detalle_de_Pedido[[#This Row],[Id de producto]],Productos[],9,0)</f>
        <v>Frutos secos</v>
      </c>
      <c r="G6">
        <f>VLOOKUP(Detalle_de_Pedido[[#This Row],[Id de producto]],Productos[],3,0)</f>
        <v>3</v>
      </c>
      <c r="H6">
        <f>COUNTIF($A$2:A6,A6)</f>
        <v>3</v>
      </c>
      <c r="I6" s="16">
        <f>IFERROR(VALUE(IF(H6=1,VLOOKUP(A6,Pedidos!A:I,9,0),0)),0)</f>
        <v>0</v>
      </c>
      <c r="J6" s="13">
        <f>Detalle_de_Pedido[[#This Row],[Precio]]*Detalle_de_Pedido[[#This Row],[Cantidad]]</f>
        <v>35</v>
      </c>
      <c r="K6" s="13">
        <f>IFERROR(Detalle_de_Pedido[[#This Row],[Costo estandar]]*Detalle_de_Pedido[[#This Row],[Cantidad]],0)</f>
        <v>30</v>
      </c>
      <c r="L6" s="13">
        <f>Detalle_de_Pedido[[#This Row],[Total de venta]]-Detalle_de_Pedido[[#This Row],[Costo Total]]</f>
        <v>5</v>
      </c>
      <c r="M6" s="18">
        <f>VLOOKUP(A6,Pedidos!A:D,4,0)</f>
        <v>38737</v>
      </c>
      <c r="N6" s="13" t="str">
        <f>TEXT(Detalle_de_Pedido[[#This Row],[Fecha de pedido]],"mmmm")</f>
        <v>enero</v>
      </c>
      <c r="O6" s="13" t="str">
        <f>TEXT(Detalle_de_Pedido[[#This Row],[Fecha de pedido]],"dddd")</f>
        <v>viernes</v>
      </c>
    </row>
    <row r="7" spans="1:15" x14ac:dyDescent="0.3">
      <c r="A7">
        <v>32</v>
      </c>
      <c r="B7" s="12">
        <v>1</v>
      </c>
      <c r="C7">
        <f>VLOOKUP(B7,Productos!A:C,3,0)</f>
        <v>13.5</v>
      </c>
      <c r="D7">
        <v>15</v>
      </c>
      <c r="E7" s="1">
        <v>18</v>
      </c>
      <c r="F7" t="str">
        <f>VLOOKUP(Detalle_de_Pedido[[#This Row],[Id de producto]],Productos[],9,0)</f>
        <v>Bebidas</v>
      </c>
      <c r="G7">
        <f>VLOOKUP(Detalle_de_Pedido[[#This Row],[Id de producto]],Productos[],3,0)</f>
        <v>13.5</v>
      </c>
      <c r="H7">
        <f>COUNTIF($A$2:A7,A7)</f>
        <v>1</v>
      </c>
      <c r="I7" s="16">
        <f>IFERROR(VALUE(IF(H7=1,VLOOKUP(A7,Pedidos!A:I,9,0),0)),0)</f>
        <v>5</v>
      </c>
      <c r="J7" s="13">
        <f>Detalle_de_Pedido[[#This Row],[Precio]]*Detalle_de_Pedido[[#This Row],[Cantidad]]</f>
        <v>270</v>
      </c>
      <c r="K7" s="13">
        <f>IFERROR(Detalle_de_Pedido[[#This Row],[Costo estandar]]*Detalle_de_Pedido[[#This Row],[Cantidad]],0)</f>
        <v>202.5</v>
      </c>
      <c r="L7" s="13">
        <f>Detalle_de_Pedido[[#This Row],[Total de venta]]-Detalle_de_Pedido[[#This Row],[Costo Total]]</f>
        <v>67.5</v>
      </c>
      <c r="M7" s="18">
        <f>VLOOKUP(A7,Pedidos!A:D,4,0)</f>
        <v>38739</v>
      </c>
      <c r="N7" s="13" t="str">
        <f>TEXT(Detalle_de_Pedido[[#This Row],[Fecha de pedido]],"mmmm")</f>
        <v>enero</v>
      </c>
      <c r="O7" s="13" t="str">
        <f>TEXT(Detalle_de_Pedido[[#This Row],[Fecha de pedido]],"dddd")</f>
        <v>domingo</v>
      </c>
    </row>
    <row r="8" spans="1:15" x14ac:dyDescent="0.3">
      <c r="A8">
        <v>32</v>
      </c>
      <c r="B8" s="12">
        <v>43</v>
      </c>
      <c r="C8">
        <f>VLOOKUP(B8,Productos!A:C,3,0)</f>
        <v>34.5</v>
      </c>
      <c r="D8">
        <v>20</v>
      </c>
      <c r="E8" s="1">
        <v>46</v>
      </c>
      <c r="F8" t="str">
        <f>VLOOKUP(Detalle_de_Pedido[[#This Row],[Id de producto]],Productos[],9,0)</f>
        <v>Bebidas</v>
      </c>
      <c r="G8">
        <f>VLOOKUP(Detalle_de_Pedido[[#This Row],[Id de producto]],Productos[],3,0)</f>
        <v>34.5</v>
      </c>
      <c r="H8">
        <f>COUNTIF($A$2:A8,A8)</f>
        <v>2</v>
      </c>
      <c r="I8" s="16">
        <f>IFERROR(VALUE(IF(H8=1,VLOOKUP(A8,Pedidos!A:I,9,0),0)),0)</f>
        <v>0</v>
      </c>
      <c r="J8" s="13">
        <f>Detalle_de_Pedido[[#This Row],[Precio]]*Detalle_de_Pedido[[#This Row],[Cantidad]]</f>
        <v>920</v>
      </c>
      <c r="K8" s="13">
        <f>IFERROR(Detalle_de_Pedido[[#This Row],[Costo estandar]]*Detalle_de_Pedido[[#This Row],[Cantidad]],0)</f>
        <v>690</v>
      </c>
      <c r="L8" s="13">
        <f>Detalle_de_Pedido[[#This Row],[Total de venta]]-Detalle_de_Pedido[[#This Row],[Costo Total]]</f>
        <v>230</v>
      </c>
      <c r="M8" s="18">
        <f>VLOOKUP(A8,Pedidos!A:D,4,0)</f>
        <v>38739</v>
      </c>
      <c r="N8" s="13" t="str">
        <f>TEXT(Detalle_de_Pedido[[#This Row],[Fecha de pedido]],"mmmm")</f>
        <v>enero</v>
      </c>
      <c r="O8" s="13" t="str">
        <f>TEXT(Detalle_de_Pedido[[#This Row],[Fecha de pedido]],"dddd")</f>
        <v>domingo</v>
      </c>
    </row>
    <row r="9" spans="1:15" x14ac:dyDescent="0.3">
      <c r="A9">
        <v>33</v>
      </c>
      <c r="B9" s="12">
        <v>19</v>
      </c>
      <c r="C9">
        <f>VLOOKUP(B9,Productos!A:C,3,0)</f>
        <v>6.9</v>
      </c>
      <c r="D9">
        <v>30</v>
      </c>
      <c r="E9" s="1">
        <v>9.1999999999999993</v>
      </c>
      <c r="F9" t="str">
        <f>VLOOKUP(Detalle_de_Pedido[[#This Row],[Id de producto]],Productos[],9,0)</f>
        <v>Productos horneados</v>
      </c>
      <c r="G9">
        <f>VLOOKUP(Detalle_de_Pedido[[#This Row],[Id de producto]],Productos[],3,0)</f>
        <v>6.9</v>
      </c>
      <c r="H9">
        <f>COUNTIF($A$2:A9,A9)</f>
        <v>1</v>
      </c>
      <c r="I9" s="16">
        <f>IFERROR(VALUE(IF(H9=1,VLOOKUP(A9,Pedidos!A:I,9,0),0)),0)</f>
        <v>50</v>
      </c>
      <c r="J9" s="13">
        <f>Detalle_de_Pedido[[#This Row],[Precio]]*Detalle_de_Pedido[[#This Row],[Cantidad]]</f>
        <v>276</v>
      </c>
      <c r="K9" s="13">
        <f>IFERROR(Detalle_de_Pedido[[#This Row],[Costo estandar]]*Detalle_de_Pedido[[#This Row],[Cantidad]],0)</f>
        <v>207</v>
      </c>
      <c r="L9" s="13">
        <f>Detalle_de_Pedido[[#This Row],[Total de venta]]-Detalle_de_Pedido[[#This Row],[Costo Total]]</f>
        <v>69</v>
      </c>
      <c r="M9" s="18">
        <f>VLOOKUP(A9,Pedidos!A:D,4,0)</f>
        <v>38747</v>
      </c>
      <c r="N9" s="13" t="str">
        <f>TEXT(Detalle_de_Pedido[[#This Row],[Fecha de pedido]],"mmmm")</f>
        <v>enero</v>
      </c>
      <c r="O9" s="13" t="str">
        <f>TEXT(Detalle_de_Pedido[[#This Row],[Fecha de pedido]],"dddd")</f>
        <v>lunes</v>
      </c>
    </row>
    <row r="10" spans="1:15" x14ac:dyDescent="0.3">
      <c r="A10">
        <v>34</v>
      </c>
      <c r="B10" s="12">
        <v>19</v>
      </c>
      <c r="C10">
        <f>VLOOKUP(B10,Productos!A:C,3,0)</f>
        <v>6.9</v>
      </c>
      <c r="D10">
        <v>20</v>
      </c>
      <c r="E10" s="1">
        <v>9.1999999999999993</v>
      </c>
      <c r="F10" t="str">
        <f>VLOOKUP(Detalle_de_Pedido[[#This Row],[Id de producto]],Productos[],9,0)</f>
        <v>Productos horneados</v>
      </c>
      <c r="G10">
        <f>VLOOKUP(Detalle_de_Pedido[[#This Row],[Id de producto]],Productos[],3,0)</f>
        <v>6.9</v>
      </c>
      <c r="H10">
        <f>COUNTIF($A$2:A10,A10)</f>
        <v>1</v>
      </c>
      <c r="I10" s="16">
        <f>IFERROR(VALUE(IF(H10=1,VLOOKUP(A10,Pedidos!A:I,9,0),0)),0)</f>
        <v>4</v>
      </c>
      <c r="J10" s="13">
        <f>Detalle_de_Pedido[[#This Row],[Precio]]*Detalle_de_Pedido[[#This Row],[Cantidad]]</f>
        <v>184</v>
      </c>
      <c r="K10" s="13">
        <f>IFERROR(Detalle_de_Pedido[[#This Row],[Costo estandar]]*Detalle_de_Pedido[[#This Row],[Cantidad]],0)</f>
        <v>138</v>
      </c>
      <c r="L10" s="13">
        <f>Detalle_de_Pedido[[#This Row],[Total de venta]]-Detalle_de_Pedido[[#This Row],[Costo Total]]</f>
        <v>46</v>
      </c>
      <c r="M10" s="18">
        <f>VLOOKUP(A10,Pedidos!A:D,4,0)</f>
        <v>38754</v>
      </c>
      <c r="N10" s="13" t="str">
        <f>TEXT(Detalle_de_Pedido[[#This Row],[Fecha de pedido]],"mmmm")</f>
        <v>febrero</v>
      </c>
      <c r="O10" s="13" t="str">
        <f>TEXT(Detalle_de_Pedido[[#This Row],[Fecha de pedido]],"dddd")</f>
        <v>lunes</v>
      </c>
    </row>
    <row r="11" spans="1:15" x14ac:dyDescent="0.3">
      <c r="A11">
        <v>35</v>
      </c>
      <c r="B11" s="12">
        <v>48</v>
      </c>
      <c r="C11">
        <f>VLOOKUP(B11,Productos!A:C,3,0)</f>
        <v>9.5625</v>
      </c>
      <c r="D11">
        <v>10</v>
      </c>
      <c r="E11" s="1">
        <v>12.75</v>
      </c>
      <c r="F11" t="str">
        <f>VLOOKUP(Detalle_de_Pedido[[#This Row],[Id de producto]],Productos[],9,0)</f>
        <v>Golosinas</v>
      </c>
      <c r="G11">
        <f>VLOOKUP(Detalle_de_Pedido[[#This Row],[Id de producto]],Productos[],3,0)</f>
        <v>9.5625</v>
      </c>
      <c r="H11">
        <f>COUNTIF($A$2:A11,A11)</f>
        <v>1</v>
      </c>
      <c r="I11" s="16">
        <f>IFERROR(VALUE(IF(H11=1,VLOOKUP(A11,Pedidos!A:I,9,0),0)),0)</f>
        <v>7</v>
      </c>
      <c r="J11" s="13">
        <f>Detalle_de_Pedido[[#This Row],[Precio]]*Detalle_de_Pedido[[#This Row],[Cantidad]]</f>
        <v>127.5</v>
      </c>
      <c r="K11" s="13">
        <f>IFERROR(Detalle_de_Pedido[[#This Row],[Costo estandar]]*Detalle_de_Pedido[[#This Row],[Cantidad]],0)</f>
        <v>95.625</v>
      </c>
      <c r="L11" s="13">
        <f>Detalle_de_Pedido[[#This Row],[Total de venta]]-Detalle_de_Pedido[[#This Row],[Costo Total]]</f>
        <v>31.875</v>
      </c>
      <c r="M11" s="18">
        <f>VLOOKUP(A11,Pedidos!A:D,4,0)</f>
        <v>38758</v>
      </c>
      <c r="N11" s="13" t="str">
        <f>TEXT(Detalle_de_Pedido[[#This Row],[Fecha de pedido]],"mmmm")</f>
        <v>febrero</v>
      </c>
      <c r="O11" s="13" t="str">
        <f>TEXT(Detalle_de_Pedido[[#This Row],[Fecha de pedido]],"dddd")</f>
        <v>viernes</v>
      </c>
    </row>
    <row r="12" spans="1:15" x14ac:dyDescent="0.3">
      <c r="A12">
        <v>36</v>
      </c>
      <c r="B12" s="12">
        <v>41</v>
      </c>
      <c r="C12">
        <f>VLOOKUP(B12,Productos!A:C,3,0)</f>
        <v>7.2374999999999998</v>
      </c>
      <c r="D12">
        <v>200</v>
      </c>
      <c r="E12" s="1">
        <v>9.65</v>
      </c>
      <c r="F12" t="str">
        <f>VLOOKUP(Detalle_de_Pedido[[#This Row],[Id de producto]],Productos[],9,0)</f>
        <v>Sopas</v>
      </c>
      <c r="G12">
        <f>VLOOKUP(Detalle_de_Pedido[[#This Row],[Id de producto]],Productos[],3,0)</f>
        <v>7.2374999999999998</v>
      </c>
      <c r="H12">
        <f>COUNTIF($A$2:A12,A12)</f>
        <v>1</v>
      </c>
      <c r="I12" s="16">
        <f>IFERROR(VALUE(IF(H12=1,VLOOKUP(A12,Pedidos!A:I,9,0),0)),0)</f>
        <v>7</v>
      </c>
      <c r="J12" s="13">
        <f>Detalle_de_Pedido[[#This Row],[Precio]]*Detalle_de_Pedido[[#This Row],[Cantidad]]</f>
        <v>1930</v>
      </c>
      <c r="K12" s="13">
        <f>IFERROR(Detalle_de_Pedido[[#This Row],[Costo estandar]]*Detalle_de_Pedido[[#This Row],[Cantidad]],0)</f>
        <v>1447.5</v>
      </c>
      <c r="L12" s="13">
        <f>Detalle_de_Pedido[[#This Row],[Total de venta]]-Detalle_de_Pedido[[#This Row],[Costo Total]]</f>
        <v>482.5</v>
      </c>
      <c r="M12" s="18">
        <f>VLOOKUP(A12,Pedidos!A:D,4,0)</f>
        <v>38771</v>
      </c>
      <c r="N12" s="13" t="str">
        <f>TEXT(Detalle_de_Pedido[[#This Row],[Fecha de pedido]],"mmmm")</f>
        <v>febrero</v>
      </c>
      <c r="O12" s="13" t="str">
        <f>TEXT(Detalle_de_Pedido[[#This Row],[Fecha de pedido]],"dddd")</f>
        <v>jueves</v>
      </c>
    </row>
    <row r="13" spans="1:15" x14ac:dyDescent="0.3">
      <c r="A13">
        <v>37</v>
      </c>
      <c r="B13" s="12">
        <v>8</v>
      </c>
      <c r="C13">
        <f>VLOOKUP(B13,Productos!A:C,3,0)</f>
        <v>30</v>
      </c>
      <c r="D13">
        <v>17</v>
      </c>
      <c r="E13" s="1">
        <v>40</v>
      </c>
      <c r="F13" t="str">
        <f>VLOOKUP(Detalle_de_Pedido[[#This Row],[Id de producto]],Productos[],9,0)</f>
        <v>Salsas</v>
      </c>
      <c r="G13">
        <f>VLOOKUP(Detalle_de_Pedido[[#This Row],[Id de producto]],Productos[],3,0)</f>
        <v>30</v>
      </c>
      <c r="H13">
        <f>COUNTIF($A$2:A13,A13)</f>
        <v>1</v>
      </c>
      <c r="I13" s="16">
        <f>IFERROR(VALUE(IF(H13=1,VLOOKUP(A13,Pedidos!A:I,9,0),0)),0)</f>
        <v>12</v>
      </c>
      <c r="J13" s="13">
        <f>Detalle_de_Pedido[[#This Row],[Precio]]*Detalle_de_Pedido[[#This Row],[Cantidad]]</f>
        <v>680</v>
      </c>
      <c r="K13" s="13">
        <f>IFERROR(Detalle_de_Pedido[[#This Row],[Costo estandar]]*Detalle_de_Pedido[[#This Row],[Cantidad]],0)</f>
        <v>510</v>
      </c>
      <c r="L13" s="13">
        <f>Detalle_de_Pedido[[#This Row],[Total de venta]]-Detalle_de_Pedido[[#This Row],[Costo Total]]</f>
        <v>170</v>
      </c>
      <c r="M13" s="18">
        <f>VLOOKUP(A13,Pedidos!A:D,4,0)</f>
        <v>38782</v>
      </c>
      <c r="N13" s="13" t="str">
        <f>TEXT(Detalle_de_Pedido[[#This Row],[Fecha de pedido]],"mmmm")</f>
        <v>marzo</v>
      </c>
      <c r="O13" s="13" t="str">
        <f>TEXT(Detalle_de_Pedido[[#This Row],[Fecha de pedido]],"dddd")</f>
        <v>lunes</v>
      </c>
    </row>
    <row r="14" spans="1:15" x14ac:dyDescent="0.3">
      <c r="A14">
        <v>38</v>
      </c>
      <c r="B14" s="12">
        <v>43</v>
      </c>
      <c r="C14">
        <f>VLOOKUP(B14,Productos!A:C,3,0)</f>
        <v>34.5</v>
      </c>
      <c r="D14">
        <v>300</v>
      </c>
      <c r="E14" s="1">
        <v>46</v>
      </c>
      <c r="F14" t="str">
        <f>VLOOKUP(Detalle_de_Pedido[[#This Row],[Id de producto]],Productos[],9,0)</f>
        <v>Bebidas</v>
      </c>
      <c r="G14">
        <f>VLOOKUP(Detalle_de_Pedido[[#This Row],[Id de producto]],Productos[],3,0)</f>
        <v>34.5</v>
      </c>
      <c r="H14">
        <f>COUNTIF($A$2:A14,A14)</f>
        <v>1</v>
      </c>
      <c r="I14" s="16">
        <f>IFERROR(VALUE(IF(H14=1,VLOOKUP(A14,Pedidos!A:I,9,0),0)),0)</f>
        <v>10</v>
      </c>
      <c r="J14" s="13">
        <f>Detalle_de_Pedido[[#This Row],[Precio]]*Detalle_de_Pedido[[#This Row],[Cantidad]]</f>
        <v>13800</v>
      </c>
      <c r="K14" s="13">
        <f>IFERROR(Detalle_de_Pedido[[#This Row],[Costo estandar]]*Detalle_de_Pedido[[#This Row],[Cantidad]],0)</f>
        <v>10350</v>
      </c>
      <c r="L14" s="13">
        <f>Detalle_de_Pedido[[#This Row],[Total de venta]]-Detalle_de_Pedido[[#This Row],[Costo Total]]</f>
        <v>3450</v>
      </c>
      <c r="M14" s="18">
        <f>VLOOKUP(A14,Pedidos!A:D,4,0)</f>
        <v>38786</v>
      </c>
      <c r="N14" s="13" t="str">
        <f>TEXT(Detalle_de_Pedido[[#This Row],[Fecha de pedido]],"mmmm")</f>
        <v>marzo</v>
      </c>
      <c r="O14" s="13" t="str">
        <f>TEXT(Detalle_de_Pedido[[#This Row],[Fecha de pedido]],"dddd")</f>
        <v>viernes</v>
      </c>
    </row>
    <row r="15" spans="1:15" x14ac:dyDescent="0.3">
      <c r="A15">
        <v>39</v>
      </c>
      <c r="B15" s="12">
        <v>48</v>
      </c>
      <c r="C15">
        <f>VLOOKUP(B15,Productos!A:C,3,0)</f>
        <v>9.5625</v>
      </c>
      <c r="D15">
        <v>100</v>
      </c>
      <c r="E15" s="1">
        <v>12.75</v>
      </c>
      <c r="F15" t="str">
        <f>VLOOKUP(Detalle_de_Pedido[[#This Row],[Id de producto]],Productos[],9,0)</f>
        <v>Golosinas</v>
      </c>
      <c r="G15">
        <f>VLOOKUP(Detalle_de_Pedido[[#This Row],[Id de producto]],Productos[],3,0)</f>
        <v>9.5625</v>
      </c>
      <c r="H15">
        <f>COUNTIF($A$2:A15,A15)</f>
        <v>1</v>
      </c>
      <c r="I15" s="16">
        <f>IFERROR(VALUE(IF(H15=1,VLOOKUP(A15,Pedidos!A:I,9,0),0)),0)</f>
        <v>5</v>
      </c>
      <c r="J15" s="13">
        <f>Detalle_de_Pedido[[#This Row],[Precio]]*Detalle_de_Pedido[[#This Row],[Cantidad]]</f>
        <v>1275</v>
      </c>
      <c r="K15" s="13">
        <f>IFERROR(Detalle_de_Pedido[[#This Row],[Costo estandar]]*Detalle_de_Pedido[[#This Row],[Cantidad]],0)</f>
        <v>956.25</v>
      </c>
      <c r="L15" s="13">
        <f>Detalle_de_Pedido[[#This Row],[Total de venta]]-Detalle_de_Pedido[[#This Row],[Costo Total]]</f>
        <v>318.75</v>
      </c>
      <c r="M15" s="18">
        <f>VLOOKUP(A15,Pedidos!A:D,4,0)</f>
        <v>38798</v>
      </c>
      <c r="N15" s="13" t="str">
        <f>TEXT(Detalle_de_Pedido[[#This Row],[Fecha de pedido]],"mmmm")</f>
        <v>marzo</v>
      </c>
      <c r="O15" s="13" t="str">
        <f>TEXT(Detalle_de_Pedido[[#This Row],[Fecha de pedido]],"dddd")</f>
        <v>miércoles</v>
      </c>
    </row>
    <row r="16" spans="1:15" x14ac:dyDescent="0.3">
      <c r="A16">
        <v>40</v>
      </c>
      <c r="B16" s="12">
        <v>81</v>
      </c>
      <c r="C16">
        <f>VLOOKUP(B16,Productos!A:C,3,0)</f>
        <v>2</v>
      </c>
      <c r="D16">
        <v>200</v>
      </c>
      <c r="E16" s="1">
        <v>2.99</v>
      </c>
      <c r="F16" t="str">
        <f>VLOOKUP(Detalle_de_Pedido[[#This Row],[Id de producto]],Productos[],9,0)</f>
        <v>Bebidas</v>
      </c>
      <c r="G16">
        <f>VLOOKUP(Detalle_de_Pedido[[#This Row],[Id de producto]],Productos[],3,0)</f>
        <v>2</v>
      </c>
      <c r="H16">
        <f>COUNTIF($A$2:A16,A16)</f>
        <v>1</v>
      </c>
      <c r="I16" s="16">
        <f>IFERROR(VALUE(IF(H16=1,VLOOKUP(A16,Pedidos!A:I,9,0),0)),0)</f>
        <v>9</v>
      </c>
      <c r="J16" s="13">
        <f>Detalle_de_Pedido[[#This Row],[Precio]]*Detalle_de_Pedido[[#This Row],[Cantidad]]</f>
        <v>598</v>
      </c>
      <c r="K16" s="13">
        <f>IFERROR(Detalle_de_Pedido[[#This Row],[Costo estandar]]*Detalle_de_Pedido[[#This Row],[Cantidad]],0)</f>
        <v>400</v>
      </c>
      <c r="L16" s="13">
        <f>Detalle_de_Pedido[[#This Row],[Total de venta]]-Detalle_de_Pedido[[#This Row],[Costo Total]]</f>
        <v>198</v>
      </c>
      <c r="M16" s="18">
        <f>VLOOKUP(A16,Pedidos!A:D,4,0)</f>
        <v>38800</v>
      </c>
      <c r="N16" s="13" t="str">
        <f>TEXT(Detalle_de_Pedido[[#This Row],[Fecha de pedido]],"mmmm")</f>
        <v>marzo</v>
      </c>
      <c r="O16" s="13" t="str">
        <f>TEXT(Detalle_de_Pedido[[#This Row],[Fecha de pedido]],"dddd")</f>
        <v>viernes</v>
      </c>
    </row>
    <row r="17" spans="1:15" x14ac:dyDescent="0.3">
      <c r="A17">
        <v>41</v>
      </c>
      <c r="B17" s="12">
        <v>43</v>
      </c>
      <c r="C17">
        <f>VLOOKUP(B17,Productos!A:C,3,0)</f>
        <v>34.5</v>
      </c>
      <c r="D17">
        <v>300</v>
      </c>
      <c r="E17" s="1">
        <v>46</v>
      </c>
      <c r="F17" t="str">
        <f>VLOOKUP(Detalle_de_Pedido[[#This Row],[Id de producto]],Productos[],9,0)</f>
        <v>Bebidas</v>
      </c>
      <c r="G17">
        <f>VLOOKUP(Detalle_de_Pedido[[#This Row],[Id de producto]],Productos[],3,0)</f>
        <v>34.5</v>
      </c>
      <c r="H17">
        <f>COUNTIF($A$2:A17,A17)</f>
        <v>1</v>
      </c>
      <c r="I17" s="16">
        <f>IFERROR(VALUE(IF(H17=1,VLOOKUP(A17,Pedidos!A:I,9,0),0)),0)</f>
        <v>0</v>
      </c>
      <c r="J17" s="13">
        <f>Detalle_de_Pedido[[#This Row],[Precio]]*Detalle_de_Pedido[[#This Row],[Cantidad]]</f>
        <v>13800</v>
      </c>
      <c r="K17" s="13">
        <f>IFERROR(Detalle_de_Pedido[[#This Row],[Costo estandar]]*Detalle_de_Pedido[[#This Row],[Cantidad]],0)</f>
        <v>10350</v>
      </c>
      <c r="L17" s="13">
        <f>Detalle_de_Pedido[[#This Row],[Total de venta]]-Detalle_de_Pedido[[#This Row],[Costo Total]]</f>
        <v>3450</v>
      </c>
      <c r="M17" s="18">
        <f>VLOOKUP(A17,Pedidos!A:D,4,0)</f>
        <v>38800</v>
      </c>
      <c r="N17" s="13" t="str">
        <f>TEXT(Detalle_de_Pedido[[#This Row],[Fecha de pedido]],"mmmm")</f>
        <v>marzo</v>
      </c>
      <c r="O17" s="13" t="str">
        <f>TEXT(Detalle_de_Pedido[[#This Row],[Fecha de pedido]],"dddd")</f>
        <v>viernes</v>
      </c>
    </row>
    <row r="18" spans="1:15" x14ac:dyDescent="0.3">
      <c r="A18">
        <v>42</v>
      </c>
      <c r="B18" s="12">
        <v>6</v>
      </c>
      <c r="C18">
        <f>VLOOKUP(B18,Productos!A:C,3,0)</f>
        <v>18.75</v>
      </c>
      <c r="D18">
        <v>10</v>
      </c>
      <c r="E18" s="1">
        <v>25</v>
      </c>
      <c r="F18" t="str">
        <f>VLOOKUP(Detalle_de_Pedido[[#This Row],[Id de producto]],Productos[],9,0)</f>
        <v>Mermeladas y confituras</v>
      </c>
      <c r="G18">
        <f>VLOOKUP(Detalle_de_Pedido[[#This Row],[Id de producto]],Productos[],3,0)</f>
        <v>18.75</v>
      </c>
      <c r="H18">
        <f>COUNTIF($A$2:A18,A18)</f>
        <v>1</v>
      </c>
      <c r="I18" s="16">
        <f>IFERROR(VALUE(IF(H18=1,VLOOKUP(A18,Pedidos!A:I,9,0),0)),0)</f>
        <v>0</v>
      </c>
      <c r="J18" s="13">
        <f>Detalle_de_Pedido[[#This Row],[Precio]]*Detalle_de_Pedido[[#This Row],[Cantidad]]</f>
        <v>250</v>
      </c>
      <c r="K18" s="13">
        <f>IFERROR(Detalle_de_Pedido[[#This Row],[Costo estandar]]*Detalle_de_Pedido[[#This Row],[Cantidad]],0)</f>
        <v>187.5</v>
      </c>
      <c r="L18" s="13">
        <f>Detalle_de_Pedido[[#This Row],[Total de venta]]-Detalle_de_Pedido[[#This Row],[Costo Total]]</f>
        <v>62.5</v>
      </c>
      <c r="M18" s="18">
        <f>VLOOKUP(A18,Pedidos!A:D,4,0)</f>
        <v>38800</v>
      </c>
      <c r="N18" s="13" t="str">
        <f>TEXT(Detalle_de_Pedido[[#This Row],[Fecha de pedido]],"mmmm")</f>
        <v>marzo</v>
      </c>
      <c r="O18" s="13" t="str">
        <f>TEXT(Detalle_de_Pedido[[#This Row],[Fecha de pedido]],"dddd")</f>
        <v>viernes</v>
      </c>
    </row>
    <row r="19" spans="1:15" x14ac:dyDescent="0.3">
      <c r="A19">
        <v>42</v>
      </c>
      <c r="B19" s="12">
        <v>4</v>
      </c>
      <c r="C19">
        <f>VLOOKUP(B19,Productos!A:C,3,0)</f>
        <v>16.5</v>
      </c>
      <c r="D19">
        <v>10</v>
      </c>
      <c r="E19" s="1">
        <v>22</v>
      </c>
      <c r="F19" t="str">
        <f>VLOOKUP(Detalle_de_Pedido[[#This Row],[Id de producto]],Productos[],9,0)</f>
        <v>Condimentos</v>
      </c>
      <c r="G19">
        <f>VLOOKUP(Detalle_de_Pedido[[#This Row],[Id de producto]],Productos[],3,0)</f>
        <v>16.5</v>
      </c>
      <c r="H19">
        <f>COUNTIF($A$2:A19,A19)</f>
        <v>2</v>
      </c>
      <c r="I19" s="16">
        <f>IFERROR(VALUE(IF(H19=1,VLOOKUP(A19,Pedidos!A:I,9,0),0)),0)</f>
        <v>0</v>
      </c>
      <c r="J19" s="13">
        <f>Detalle_de_Pedido[[#This Row],[Precio]]*Detalle_de_Pedido[[#This Row],[Cantidad]]</f>
        <v>220</v>
      </c>
      <c r="K19" s="13">
        <f>IFERROR(Detalle_de_Pedido[[#This Row],[Costo estandar]]*Detalle_de_Pedido[[#This Row],[Cantidad]],0)</f>
        <v>165</v>
      </c>
      <c r="L19" s="13">
        <f>Detalle_de_Pedido[[#This Row],[Total de venta]]-Detalle_de_Pedido[[#This Row],[Costo Total]]</f>
        <v>55</v>
      </c>
      <c r="M19" s="18">
        <f>VLOOKUP(A19,Pedidos!A:D,4,0)</f>
        <v>38800</v>
      </c>
      <c r="N19" s="13" t="str">
        <f>TEXT(Detalle_de_Pedido[[#This Row],[Fecha de pedido]],"mmmm")</f>
        <v>marzo</v>
      </c>
      <c r="O19" s="13" t="str">
        <f>TEXT(Detalle_de_Pedido[[#This Row],[Fecha de pedido]],"dddd")</f>
        <v>viernes</v>
      </c>
    </row>
    <row r="20" spans="1:15" x14ac:dyDescent="0.3">
      <c r="A20">
        <v>42</v>
      </c>
      <c r="B20" s="12">
        <v>19</v>
      </c>
      <c r="C20">
        <f>VLOOKUP(B20,Productos!A:C,3,0)</f>
        <v>6.9</v>
      </c>
      <c r="D20">
        <v>10</v>
      </c>
      <c r="E20" s="1">
        <v>9.1999999999999993</v>
      </c>
      <c r="F20" t="str">
        <f>VLOOKUP(Detalle_de_Pedido[[#This Row],[Id de producto]],Productos[],9,0)</f>
        <v>Productos horneados</v>
      </c>
      <c r="G20">
        <f>VLOOKUP(Detalle_de_Pedido[[#This Row],[Id de producto]],Productos[],3,0)</f>
        <v>6.9</v>
      </c>
      <c r="H20">
        <f>COUNTIF($A$2:A20,A20)</f>
        <v>3</v>
      </c>
      <c r="I20" s="16">
        <f>IFERROR(VALUE(IF(H20=1,VLOOKUP(A20,Pedidos!A:I,9,0),0)),0)</f>
        <v>0</v>
      </c>
      <c r="J20" s="13">
        <f>Detalle_de_Pedido[[#This Row],[Precio]]*Detalle_de_Pedido[[#This Row],[Cantidad]]</f>
        <v>92</v>
      </c>
      <c r="K20" s="13">
        <f>IFERROR(Detalle_de_Pedido[[#This Row],[Costo estandar]]*Detalle_de_Pedido[[#This Row],[Cantidad]],0)</f>
        <v>69</v>
      </c>
      <c r="L20" s="13">
        <f>Detalle_de_Pedido[[#This Row],[Total de venta]]-Detalle_de_Pedido[[#This Row],[Costo Total]]</f>
        <v>23</v>
      </c>
      <c r="M20" s="18">
        <f>VLOOKUP(A20,Pedidos!A:D,4,0)</f>
        <v>38800</v>
      </c>
      <c r="N20" s="13" t="str">
        <f>TEXT(Detalle_de_Pedido[[#This Row],[Fecha de pedido]],"mmmm")</f>
        <v>marzo</v>
      </c>
      <c r="O20" s="13" t="str">
        <f>TEXT(Detalle_de_Pedido[[#This Row],[Fecha de pedido]],"dddd")</f>
        <v>viernes</v>
      </c>
    </row>
    <row r="21" spans="1:15" x14ac:dyDescent="0.3">
      <c r="A21">
        <v>43</v>
      </c>
      <c r="B21" s="12">
        <v>80</v>
      </c>
      <c r="C21">
        <f>VLOOKUP(B21,Productos!A:C,3,0)</f>
        <v>3</v>
      </c>
      <c r="D21">
        <v>20</v>
      </c>
      <c r="E21" s="1">
        <v>3.5</v>
      </c>
      <c r="F21" t="str">
        <f>VLOOKUP(Detalle_de_Pedido[[#This Row],[Id de producto]],Productos[],9,0)</f>
        <v>Frutos secos</v>
      </c>
      <c r="G21">
        <f>VLOOKUP(Detalle_de_Pedido[[#This Row],[Id de producto]],Productos[],3,0)</f>
        <v>3</v>
      </c>
      <c r="H21">
        <f>COUNTIF($A$2:A21,A21)</f>
        <v>1</v>
      </c>
      <c r="I21" s="16">
        <f>IFERROR(VALUE(IF(H21=1,VLOOKUP(A21,Pedidos!A:I,9,0),0)),0)</f>
        <v>0</v>
      </c>
      <c r="J21" s="13">
        <f>Detalle_de_Pedido[[#This Row],[Precio]]*Detalle_de_Pedido[[#This Row],[Cantidad]]</f>
        <v>70</v>
      </c>
      <c r="K21" s="13">
        <f>IFERROR(Detalle_de_Pedido[[#This Row],[Costo estandar]]*Detalle_de_Pedido[[#This Row],[Cantidad]],0)</f>
        <v>60</v>
      </c>
      <c r="L21" s="13">
        <f>Detalle_de_Pedido[[#This Row],[Total de venta]]-Detalle_de_Pedido[[#This Row],[Costo Total]]</f>
        <v>10</v>
      </c>
      <c r="M21" s="18">
        <f>VLOOKUP(A21,Pedidos!A:D,4,0)</f>
        <v>38800</v>
      </c>
      <c r="N21" s="13" t="str">
        <f>TEXT(Detalle_de_Pedido[[#This Row],[Fecha de pedido]],"mmmm")</f>
        <v>marzo</v>
      </c>
      <c r="O21" s="13" t="str">
        <f>TEXT(Detalle_de_Pedido[[#This Row],[Fecha de pedido]],"dddd")</f>
        <v>viernes</v>
      </c>
    </row>
    <row r="22" spans="1:15" x14ac:dyDescent="0.3">
      <c r="A22">
        <v>43</v>
      </c>
      <c r="B22" s="12">
        <v>81</v>
      </c>
      <c r="C22">
        <f>VLOOKUP(B22,Productos!A:C,3,0)</f>
        <v>2</v>
      </c>
      <c r="D22">
        <v>50</v>
      </c>
      <c r="E22" s="1">
        <v>2.99</v>
      </c>
      <c r="F22" t="str">
        <f>VLOOKUP(Detalle_de_Pedido[[#This Row],[Id de producto]],Productos[],9,0)</f>
        <v>Bebidas</v>
      </c>
      <c r="G22">
        <f>VLOOKUP(Detalle_de_Pedido[[#This Row],[Id de producto]],Productos[],3,0)</f>
        <v>2</v>
      </c>
      <c r="H22">
        <f>COUNTIF($A$2:A22,A22)</f>
        <v>2</v>
      </c>
      <c r="I22" s="16">
        <f>IFERROR(VALUE(IF(H22=1,VLOOKUP(A22,Pedidos!A:I,9,0),0)),0)</f>
        <v>0</v>
      </c>
      <c r="J22" s="13">
        <f>Detalle_de_Pedido[[#This Row],[Precio]]*Detalle_de_Pedido[[#This Row],[Cantidad]]</f>
        <v>149.5</v>
      </c>
      <c r="K22" s="13">
        <f>IFERROR(Detalle_de_Pedido[[#This Row],[Costo estandar]]*Detalle_de_Pedido[[#This Row],[Cantidad]],0)</f>
        <v>100</v>
      </c>
      <c r="L22" s="13">
        <f>Detalle_de_Pedido[[#This Row],[Total de venta]]-Detalle_de_Pedido[[#This Row],[Costo Total]]</f>
        <v>49.5</v>
      </c>
      <c r="M22" s="18">
        <f>VLOOKUP(A22,Pedidos!A:D,4,0)</f>
        <v>38800</v>
      </c>
      <c r="N22" s="13" t="str">
        <f>TEXT(Detalle_de_Pedido[[#This Row],[Fecha de pedido]],"mmmm")</f>
        <v>marzo</v>
      </c>
      <c r="O22" s="13" t="str">
        <f>TEXT(Detalle_de_Pedido[[#This Row],[Fecha de pedido]],"dddd")</f>
        <v>viernes</v>
      </c>
    </row>
    <row r="23" spans="1:15" x14ac:dyDescent="0.3">
      <c r="A23">
        <v>44</v>
      </c>
      <c r="B23" s="12">
        <v>1</v>
      </c>
      <c r="C23">
        <f>VLOOKUP(B23,Productos!A:C,3,0)</f>
        <v>13.5</v>
      </c>
      <c r="D23">
        <v>25</v>
      </c>
      <c r="E23" s="1">
        <v>18</v>
      </c>
      <c r="F23" t="str">
        <f>VLOOKUP(Detalle_de_Pedido[[#This Row],[Id de producto]],Productos[],9,0)</f>
        <v>Bebidas</v>
      </c>
      <c r="G23">
        <f>VLOOKUP(Detalle_de_Pedido[[#This Row],[Id de producto]],Productos[],3,0)</f>
        <v>13.5</v>
      </c>
      <c r="H23">
        <f>COUNTIF($A$2:A23,A23)</f>
        <v>1</v>
      </c>
      <c r="I23" s="16">
        <f>IFERROR(VALUE(IF(H23=1,VLOOKUP(A23,Pedidos!A:I,9,0),0)),0)</f>
        <v>0</v>
      </c>
      <c r="J23" s="13">
        <f>Detalle_de_Pedido[[#This Row],[Precio]]*Detalle_de_Pedido[[#This Row],[Cantidad]]</f>
        <v>450</v>
      </c>
      <c r="K23" s="13">
        <f>IFERROR(Detalle_de_Pedido[[#This Row],[Costo estandar]]*Detalle_de_Pedido[[#This Row],[Cantidad]],0)</f>
        <v>337.5</v>
      </c>
      <c r="L23" s="13">
        <f>Detalle_de_Pedido[[#This Row],[Total de venta]]-Detalle_de_Pedido[[#This Row],[Costo Total]]</f>
        <v>112.5</v>
      </c>
      <c r="M23" s="18">
        <f>VLOOKUP(A23,Pedidos!A:D,4,0)</f>
        <v>38800</v>
      </c>
      <c r="N23" s="13" t="str">
        <f>TEXT(Detalle_de_Pedido[[#This Row],[Fecha de pedido]],"mmmm")</f>
        <v>marzo</v>
      </c>
      <c r="O23" s="13" t="str">
        <f>TEXT(Detalle_de_Pedido[[#This Row],[Fecha de pedido]],"dddd")</f>
        <v>viernes</v>
      </c>
    </row>
    <row r="24" spans="1:15" x14ac:dyDescent="0.3">
      <c r="A24">
        <v>44</v>
      </c>
      <c r="B24" s="12">
        <v>43</v>
      </c>
      <c r="C24">
        <f>VLOOKUP(B24,Productos!A:C,3,0)</f>
        <v>34.5</v>
      </c>
      <c r="D24">
        <v>25</v>
      </c>
      <c r="E24" s="1">
        <v>46</v>
      </c>
      <c r="F24" t="str">
        <f>VLOOKUP(Detalle_de_Pedido[[#This Row],[Id de producto]],Productos[],9,0)</f>
        <v>Bebidas</v>
      </c>
      <c r="G24">
        <f>VLOOKUP(Detalle_de_Pedido[[#This Row],[Id de producto]],Productos[],3,0)</f>
        <v>34.5</v>
      </c>
      <c r="H24">
        <f>COUNTIF($A$2:A24,A24)</f>
        <v>2</v>
      </c>
      <c r="I24" s="16">
        <f>IFERROR(VALUE(IF(H24=1,VLOOKUP(A24,Pedidos!A:I,9,0),0)),0)</f>
        <v>0</v>
      </c>
      <c r="J24" s="13">
        <f>Detalle_de_Pedido[[#This Row],[Precio]]*Detalle_de_Pedido[[#This Row],[Cantidad]]</f>
        <v>1150</v>
      </c>
      <c r="K24" s="13">
        <f>IFERROR(Detalle_de_Pedido[[#This Row],[Costo estandar]]*Detalle_de_Pedido[[#This Row],[Cantidad]],0)</f>
        <v>862.5</v>
      </c>
      <c r="L24" s="13">
        <f>Detalle_de_Pedido[[#This Row],[Total de venta]]-Detalle_de_Pedido[[#This Row],[Costo Total]]</f>
        <v>287.5</v>
      </c>
      <c r="M24" s="18">
        <f>VLOOKUP(A24,Pedidos!A:D,4,0)</f>
        <v>38800</v>
      </c>
      <c r="N24" s="13" t="str">
        <f>TEXT(Detalle_de_Pedido[[#This Row],[Fecha de pedido]],"mmmm")</f>
        <v>marzo</v>
      </c>
      <c r="O24" s="13" t="str">
        <f>TEXT(Detalle_de_Pedido[[#This Row],[Fecha de pedido]],"dddd")</f>
        <v>viernes</v>
      </c>
    </row>
    <row r="25" spans="1:15" x14ac:dyDescent="0.3">
      <c r="A25">
        <v>44</v>
      </c>
      <c r="B25" s="12">
        <v>81</v>
      </c>
      <c r="C25">
        <f>VLOOKUP(B25,Productos!A:C,3,0)</f>
        <v>2</v>
      </c>
      <c r="D25">
        <v>25</v>
      </c>
      <c r="E25" s="1">
        <v>2.99</v>
      </c>
      <c r="F25" t="str">
        <f>VLOOKUP(Detalle_de_Pedido[[#This Row],[Id de producto]],Productos[],9,0)</f>
        <v>Bebidas</v>
      </c>
      <c r="G25">
        <f>VLOOKUP(Detalle_de_Pedido[[#This Row],[Id de producto]],Productos[],3,0)</f>
        <v>2</v>
      </c>
      <c r="H25">
        <f>COUNTIF($A$2:A25,A25)</f>
        <v>3</v>
      </c>
      <c r="I25" s="16">
        <f>IFERROR(VALUE(IF(H25=1,VLOOKUP(A25,Pedidos!A:I,9,0),0)),0)</f>
        <v>0</v>
      </c>
      <c r="J25" s="13">
        <f>Detalle_de_Pedido[[#This Row],[Precio]]*Detalle_de_Pedido[[#This Row],[Cantidad]]</f>
        <v>74.75</v>
      </c>
      <c r="K25" s="13">
        <f>IFERROR(Detalle_de_Pedido[[#This Row],[Costo estandar]]*Detalle_de_Pedido[[#This Row],[Cantidad]],0)</f>
        <v>50</v>
      </c>
      <c r="L25" s="13">
        <f>Detalle_de_Pedido[[#This Row],[Total de venta]]-Detalle_de_Pedido[[#This Row],[Costo Total]]</f>
        <v>24.75</v>
      </c>
      <c r="M25" s="18">
        <f>VLOOKUP(A25,Pedidos!A:D,4,0)</f>
        <v>38800</v>
      </c>
      <c r="N25" s="13" t="str">
        <f>TEXT(Detalle_de_Pedido[[#This Row],[Fecha de pedido]],"mmmm")</f>
        <v>marzo</v>
      </c>
      <c r="O25" s="13" t="str">
        <f>TEXT(Detalle_de_Pedido[[#This Row],[Fecha de pedido]],"dddd")</f>
        <v>viernes</v>
      </c>
    </row>
    <row r="26" spans="1:15" x14ac:dyDescent="0.3">
      <c r="A26">
        <v>45</v>
      </c>
      <c r="B26" s="12">
        <v>41</v>
      </c>
      <c r="C26">
        <f>VLOOKUP(B26,Productos!A:C,3,0)</f>
        <v>7.2374999999999998</v>
      </c>
      <c r="D26">
        <v>50</v>
      </c>
      <c r="E26" s="1">
        <v>9.65</v>
      </c>
      <c r="F26" t="str">
        <f>VLOOKUP(Detalle_de_Pedido[[#This Row],[Id de producto]],Productos[],9,0)</f>
        <v>Sopas</v>
      </c>
      <c r="G26">
        <f>VLOOKUP(Detalle_de_Pedido[[#This Row],[Id de producto]],Productos[],3,0)</f>
        <v>7.2374999999999998</v>
      </c>
      <c r="H26">
        <f>COUNTIF($A$2:A26,A26)</f>
        <v>1</v>
      </c>
      <c r="I26" s="16">
        <f>IFERROR(VALUE(IF(H26=1,VLOOKUP(A26,Pedidos!A:I,9,0),0)),0)</f>
        <v>40</v>
      </c>
      <c r="J26" s="13">
        <f>Detalle_de_Pedido[[#This Row],[Precio]]*Detalle_de_Pedido[[#This Row],[Cantidad]]</f>
        <v>482.5</v>
      </c>
      <c r="K26" s="13">
        <f>IFERROR(Detalle_de_Pedido[[#This Row],[Costo estandar]]*Detalle_de_Pedido[[#This Row],[Cantidad]],0)</f>
        <v>361.875</v>
      </c>
      <c r="L26" s="13">
        <f>Detalle_de_Pedido[[#This Row],[Total de venta]]-Detalle_de_Pedido[[#This Row],[Costo Total]]</f>
        <v>120.625</v>
      </c>
      <c r="M26" s="18">
        <f>VLOOKUP(A26,Pedidos!A:D,4,0)</f>
        <v>38814</v>
      </c>
      <c r="N26" s="13" t="str">
        <f>TEXT(Detalle_de_Pedido[[#This Row],[Fecha de pedido]],"mmmm")</f>
        <v>abril</v>
      </c>
      <c r="O26" s="13" t="str">
        <f>TEXT(Detalle_de_Pedido[[#This Row],[Fecha de pedido]],"dddd")</f>
        <v>viernes</v>
      </c>
    </row>
    <row r="27" spans="1:15" x14ac:dyDescent="0.3">
      <c r="A27">
        <v>45</v>
      </c>
      <c r="B27" s="12">
        <v>40</v>
      </c>
      <c r="C27">
        <f>VLOOKUP(B27,Productos!A:C,3,0)</f>
        <v>13.8</v>
      </c>
      <c r="D27">
        <v>50</v>
      </c>
      <c r="E27" s="1">
        <v>18.399999999999999</v>
      </c>
      <c r="F27" t="str">
        <f>VLOOKUP(Detalle_de_Pedido[[#This Row],[Id de producto]],Productos[],9,0)</f>
        <v>Carne enlatada</v>
      </c>
      <c r="G27">
        <f>VLOOKUP(Detalle_de_Pedido[[#This Row],[Id de producto]],Productos[],3,0)</f>
        <v>13.8</v>
      </c>
      <c r="H27">
        <f>COUNTIF($A$2:A27,A27)</f>
        <v>2</v>
      </c>
      <c r="I27" s="16">
        <f>IFERROR(VALUE(IF(H27=1,VLOOKUP(A27,Pedidos!A:I,9,0),0)),0)</f>
        <v>0</v>
      </c>
      <c r="J27" s="13">
        <f>Detalle_de_Pedido[[#This Row],[Precio]]*Detalle_de_Pedido[[#This Row],[Cantidad]]</f>
        <v>919.99999999999989</v>
      </c>
      <c r="K27" s="13">
        <f>IFERROR(Detalle_de_Pedido[[#This Row],[Costo estandar]]*Detalle_de_Pedido[[#This Row],[Cantidad]],0)</f>
        <v>690</v>
      </c>
      <c r="L27" s="13">
        <f>Detalle_de_Pedido[[#This Row],[Total de venta]]-Detalle_de_Pedido[[#This Row],[Costo Total]]</f>
        <v>229.99999999999989</v>
      </c>
      <c r="M27" s="18">
        <f>VLOOKUP(A27,Pedidos!A:D,4,0)</f>
        <v>38814</v>
      </c>
      <c r="N27" s="13" t="str">
        <f>TEXT(Detalle_de_Pedido[[#This Row],[Fecha de pedido]],"mmmm")</f>
        <v>abril</v>
      </c>
      <c r="O27" s="13" t="str">
        <f>TEXT(Detalle_de_Pedido[[#This Row],[Fecha de pedido]],"dddd")</f>
        <v>viernes</v>
      </c>
    </row>
    <row r="28" spans="1:15" x14ac:dyDescent="0.3">
      <c r="A28">
        <v>46</v>
      </c>
      <c r="B28" s="12">
        <v>57</v>
      </c>
      <c r="C28">
        <f>VLOOKUP(B28,Productos!A:C,3,0)</f>
        <v>14.625</v>
      </c>
      <c r="D28">
        <v>100</v>
      </c>
      <c r="E28" s="1">
        <v>19.5</v>
      </c>
      <c r="F28" t="str">
        <f>VLOOKUP(Detalle_de_Pedido[[#This Row],[Id de producto]],Productos[],9,0)</f>
        <v>Pasta</v>
      </c>
      <c r="G28">
        <f>VLOOKUP(Detalle_de_Pedido[[#This Row],[Id de producto]],Productos[],3,0)</f>
        <v>14.625</v>
      </c>
      <c r="H28">
        <f>COUNTIF($A$2:A28,A28)</f>
        <v>1</v>
      </c>
      <c r="I28" s="16">
        <f>IFERROR(VALUE(IF(H28=1,VLOOKUP(A28,Pedidos!A:I,9,0),0)),0)</f>
        <v>100</v>
      </c>
      <c r="J28" s="13">
        <f>Detalle_de_Pedido[[#This Row],[Precio]]*Detalle_de_Pedido[[#This Row],[Cantidad]]</f>
        <v>1950</v>
      </c>
      <c r="K28" s="13">
        <f>IFERROR(Detalle_de_Pedido[[#This Row],[Costo estandar]]*Detalle_de_Pedido[[#This Row],[Cantidad]],0)</f>
        <v>1462.5</v>
      </c>
      <c r="L28" s="13">
        <f>Detalle_de_Pedido[[#This Row],[Total de venta]]-Detalle_de_Pedido[[#This Row],[Costo Total]]</f>
        <v>487.5</v>
      </c>
      <c r="M28" s="18">
        <f>VLOOKUP(A28,Pedidos!A:D,4,0)</f>
        <v>38812</v>
      </c>
      <c r="N28" s="13" t="str">
        <f>TEXT(Detalle_de_Pedido[[#This Row],[Fecha de pedido]],"mmmm")</f>
        <v>abril</v>
      </c>
      <c r="O28" s="13" t="str">
        <f>TEXT(Detalle_de_Pedido[[#This Row],[Fecha de pedido]],"dddd")</f>
        <v>miércoles</v>
      </c>
    </row>
    <row r="29" spans="1:15" x14ac:dyDescent="0.3">
      <c r="A29">
        <v>46</v>
      </c>
      <c r="B29" s="12">
        <v>72</v>
      </c>
      <c r="C29">
        <f>VLOOKUP(B29,Productos!A:C,3,0)</f>
        <v>26.1</v>
      </c>
      <c r="D29">
        <v>50</v>
      </c>
      <c r="E29" s="1">
        <v>34.799999999999997</v>
      </c>
      <c r="F29" t="str">
        <f>VLOOKUP(Detalle_de_Pedido[[#This Row],[Id de producto]],Productos[],9,0)</f>
        <v>Productos lácteos</v>
      </c>
      <c r="G29">
        <f>VLOOKUP(Detalle_de_Pedido[[#This Row],[Id de producto]],Productos[],3,0)</f>
        <v>26.1</v>
      </c>
      <c r="H29">
        <f>COUNTIF($A$2:A29,A29)</f>
        <v>2</v>
      </c>
      <c r="I29" s="16">
        <f>IFERROR(VALUE(IF(H29=1,VLOOKUP(A29,Pedidos!A:I,9,0),0)),0)</f>
        <v>0</v>
      </c>
      <c r="J29" s="13">
        <f>Detalle_de_Pedido[[#This Row],[Precio]]*Detalle_de_Pedido[[#This Row],[Cantidad]]</f>
        <v>1739.9999999999998</v>
      </c>
      <c r="K29" s="13">
        <f>IFERROR(Detalle_de_Pedido[[#This Row],[Costo estandar]]*Detalle_de_Pedido[[#This Row],[Cantidad]],0)</f>
        <v>1305</v>
      </c>
      <c r="L29" s="13">
        <f>Detalle_de_Pedido[[#This Row],[Total de venta]]-Detalle_de_Pedido[[#This Row],[Costo Total]]</f>
        <v>434.99999999999977</v>
      </c>
      <c r="M29" s="18">
        <f>VLOOKUP(A29,Pedidos!A:D,4,0)</f>
        <v>38812</v>
      </c>
      <c r="N29" s="13" t="str">
        <f>TEXT(Detalle_de_Pedido[[#This Row],[Fecha de pedido]],"mmmm")</f>
        <v>abril</v>
      </c>
      <c r="O29" s="13" t="str">
        <f>TEXT(Detalle_de_Pedido[[#This Row],[Fecha de pedido]],"dddd")</f>
        <v>miércoles</v>
      </c>
    </row>
    <row r="30" spans="1:15" x14ac:dyDescent="0.3">
      <c r="A30">
        <v>47</v>
      </c>
      <c r="B30" s="12">
        <v>34</v>
      </c>
      <c r="C30">
        <f>VLOOKUP(B30,Productos!A:C,3,0)</f>
        <v>10.5</v>
      </c>
      <c r="D30">
        <v>300</v>
      </c>
      <c r="E30" s="1">
        <v>14</v>
      </c>
      <c r="F30" t="str">
        <f>VLOOKUP(Detalle_de_Pedido[[#This Row],[Id de producto]],Productos[],9,0)</f>
        <v>Bebidas</v>
      </c>
      <c r="G30">
        <f>VLOOKUP(Detalle_de_Pedido[[#This Row],[Id de producto]],Productos[],3,0)</f>
        <v>10.5</v>
      </c>
      <c r="H30">
        <f>COUNTIF($A$2:A30,A30)</f>
        <v>1</v>
      </c>
      <c r="I30" s="16">
        <f>IFERROR(VALUE(IF(H30=1,VLOOKUP(A30,Pedidos!A:I,9,0),0)),0)</f>
        <v>300</v>
      </c>
      <c r="J30" s="13">
        <f>Detalle_de_Pedido[[#This Row],[Precio]]*Detalle_de_Pedido[[#This Row],[Cantidad]]</f>
        <v>4200</v>
      </c>
      <c r="K30" s="13">
        <f>IFERROR(Detalle_de_Pedido[[#This Row],[Costo estandar]]*Detalle_de_Pedido[[#This Row],[Cantidad]],0)</f>
        <v>3150</v>
      </c>
      <c r="L30" s="13">
        <f>Detalle_de_Pedido[[#This Row],[Total de venta]]-Detalle_de_Pedido[[#This Row],[Costo Total]]</f>
        <v>1050</v>
      </c>
      <c r="M30" s="18">
        <f>VLOOKUP(A30,Pedidos!A:D,4,0)</f>
        <v>38815</v>
      </c>
      <c r="N30" s="13" t="str">
        <f>TEXT(Detalle_de_Pedido[[#This Row],[Fecha de pedido]],"mmmm")</f>
        <v>abril</v>
      </c>
      <c r="O30" s="13" t="str">
        <f>TEXT(Detalle_de_Pedido[[#This Row],[Fecha de pedido]],"dddd")</f>
        <v>sábado</v>
      </c>
    </row>
    <row r="31" spans="1:15" x14ac:dyDescent="0.3">
      <c r="A31">
        <v>48</v>
      </c>
      <c r="B31" s="12">
        <v>8</v>
      </c>
      <c r="C31">
        <f>VLOOKUP(B31,Productos!A:C,3,0)</f>
        <v>30</v>
      </c>
      <c r="D31">
        <v>25</v>
      </c>
      <c r="E31" s="1">
        <v>40</v>
      </c>
      <c r="F31" t="str">
        <f>VLOOKUP(Detalle_de_Pedido[[#This Row],[Id de producto]],Productos[],9,0)</f>
        <v>Salsas</v>
      </c>
      <c r="G31">
        <f>VLOOKUP(Detalle_de_Pedido[[#This Row],[Id de producto]],Productos[],3,0)</f>
        <v>30</v>
      </c>
      <c r="H31">
        <f>COUNTIF($A$2:A31,A31)</f>
        <v>1</v>
      </c>
      <c r="I31" s="16">
        <f>IFERROR(VALUE(IF(H31=1,VLOOKUP(A31,Pedidos!A:I,9,0),0)),0)</f>
        <v>50</v>
      </c>
      <c r="J31" s="13">
        <f>Detalle_de_Pedido[[#This Row],[Precio]]*Detalle_de_Pedido[[#This Row],[Cantidad]]</f>
        <v>1000</v>
      </c>
      <c r="K31" s="13">
        <f>IFERROR(Detalle_de_Pedido[[#This Row],[Costo estandar]]*Detalle_de_Pedido[[#This Row],[Cantidad]],0)</f>
        <v>750</v>
      </c>
      <c r="L31" s="13">
        <f>Detalle_de_Pedido[[#This Row],[Total de venta]]-Detalle_de_Pedido[[#This Row],[Costo Total]]</f>
        <v>250</v>
      </c>
      <c r="M31" s="18">
        <f>VLOOKUP(A31,Pedidos!A:D,4,0)</f>
        <v>38812</v>
      </c>
      <c r="N31" s="13" t="str">
        <f>TEXT(Detalle_de_Pedido[[#This Row],[Fecha de pedido]],"mmmm")</f>
        <v>abril</v>
      </c>
      <c r="O31" s="13" t="str">
        <f>TEXT(Detalle_de_Pedido[[#This Row],[Fecha de pedido]],"dddd")</f>
        <v>miércoles</v>
      </c>
    </row>
    <row r="32" spans="1:15" x14ac:dyDescent="0.3">
      <c r="A32">
        <v>48</v>
      </c>
      <c r="B32" s="12">
        <v>19</v>
      </c>
      <c r="C32">
        <f>VLOOKUP(B32,Productos!A:C,3,0)</f>
        <v>6.9</v>
      </c>
      <c r="D32">
        <v>25</v>
      </c>
      <c r="E32" s="1">
        <v>9.1999999999999993</v>
      </c>
      <c r="F32" t="str">
        <f>VLOOKUP(Detalle_de_Pedido[[#This Row],[Id de producto]],Productos[],9,0)</f>
        <v>Productos horneados</v>
      </c>
      <c r="G32">
        <f>VLOOKUP(Detalle_de_Pedido[[#This Row],[Id de producto]],Productos[],3,0)</f>
        <v>6.9</v>
      </c>
      <c r="H32">
        <f>COUNTIF($A$2:A32,A32)</f>
        <v>2</v>
      </c>
      <c r="I32" s="16">
        <f>IFERROR(VALUE(IF(H32=1,VLOOKUP(A32,Pedidos!A:I,9,0),0)),0)</f>
        <v>0</v>
      </c>
      <c r="J32" s="13">
        <f>Detalle_de_Pedido[[#This Row],[Precio]]*Detalle_de_Pedido[[#This Row],[Cantidad]]</f>
        <v>229.99999999999997</v>
      </c>
      <c r="K32" s="13">
        <f>IFERROR(Detalle_de_Pedido[[#This Row],[Costo estandar]]*Detalle_de_Pedido[[#This Row],[Cantidad]],0)</f>
        <v>172.5</v>
      </c>
      <c r="L32" s="13">
        <f>Detalle_de_Pedido[[#This Row],[Total de venta]]-Detalle_de_Pedido[[#This Row],[Costo Total]]</f>
        <v>57.499999999999972</v>
      </c>
      <c r="M32" s="18">
        <f>VLOOKUP(A32,Pedidos!A:D,4,0)</f>
        <v>38812</v>
      </c>
      <c r="N32" s="13" t="str">
        <f>TEXT(Detalle_de_Pedido[[#This Row],[Fecha de pedido]],"mmmm")</f>
        <v>abril</v>
      </c>
      <c r="O32" s="13" t="str">
        <f>TEXT(Detalle_de_Pedido[[#This Row],[Fecha de pedido]],"dddd")</f>
        <v>miércoles</v>
      </c>
    </row>
    <row r="33" spans="1:15" x14ac:dyDescent="0.3">
      <c r="A33">
        <v>50</v>
      </c>
      <c r="B33" s="12">
        <v>21</v>
      </c>
      <c r="C33">
        <f>VLOOKUP(B33,Productos!A:C,3,0)</f>
        <v>7.5</v>
      </c>
      <c r="D33">
        <v>20</v>
      </c>
      <c r="E33" s="1">
        <v>10</v>
      </c>
      <c r="F33" t="str">
        <f>VLOOKUP(Detalle_de_Pedido[[#This Row],[Id de producto]],Productos[],9,0)</f>
        <v>Productos horneados</v>
      </c>
      <c r="G33">
        <f>VLOOKUP(Detalle_de_Pedido[[#This Row],[Id de producto]],Productos[],3,0)</f>
        <v>7.5</v>
      </c>
      <c r="H33">
        <f>COUNTIF($A$2:A33,A33)</f>
        <v>1</v>
      </c>
      <c r="I33" s="16">
        <f>IFERROR(VALUE(IF(H33=1,VLOOKUP(A33,Pedidos!A:I,9,0),0)),0)</f>
        <v>5</v>
      </c>
      <c r="J33" s="13">
        <f>Detalle_de_Pedido[[#This Row],[Precio]]*Detalle_de_Pedido[[#This Row],[Cantidad]]</f>
        <v>200</v>
      </c>
      <c r="K33" s="13">
        <f>IFERROR(Detalle_de_Pedido[[#This Row],[Costo estandar]]*Detalle_de_Pedido[[#This Row],[Cantidad]],0)</f>
        <v>150</v>
      </c>
      <c r="L33" s="13">
        <f>Detalle_de_Pedido[[#This Row],[Total de venta]]-Detalle_de_Pedido[[#This Row],[Costo Total]]</f>
        <v>50</v>
      </c>
      <c r="M33" s="18">
        <f>VLOOKUP(A33,Pedidos!A:D,4,0)</f>
        <v>38812</v>
      </c>
      <c r="N33" s="13" t="str">
        <f>TEXT(Detalle_de_Pedido[[#This Row],[Fecha de pedido]],"mmmm")</f>
        <v>abril</v>
      </c>
      <c r="O33" s="13" t="str">
        <f>TEXT(Detalle_de_Pedido[[#This Row],[Fecha de pedido]],"dddd")</f>
        <v>miércoles</v>
      </c>
    </row>
    <row r="34" spans="1:15" x14ac:dyDescent="0.3">
      <c r="A34">
        <v>51</v>
      </c>
      <c r="B34" s="12">
        <v>5</v>
      </c>
      <c r="C34">
        <f>VLOOKUP(B34,Productos!A:C,3,0)</f>
        <v>16.012499999999999</v>
      </c>
      <c r="D34">
        <v>25</v>
      </c>
      <c r="E34" s="1">
        <v>21.35</v>
      </c>
      <c r="F34" t="str">
        <f>VLOOKUP(Detalle_de_Pedido[[#This Row],[Id de producto]],Productos[],9,0)</f>
        <v>Aceite</v>
      </c>
      <c r="G34">
        <f>VLOOKUP(Detalle_de_Pedido[[#This Row],[Id de producto]],Productos[],3,0)</f>
        <v>16.012499999999999</v>
      </c>
      <c r="H34">
        <f>COUNTIF($A$2:A34,A34)</f>
        <v>1</v>
      </c>
      <c r="I34" s="16">
        <f>IFERROR(VALUE(IF(H34=1,VLOOKUP(A34,Pedidos!A:I,9,0),0)),0)</f>
        <v>60</v>
      </c>
      <c r="J34" s="13">
        <f>Detalle_de_Pedido[[#This Row],[Precio]]*Detalle_de_Pedido[[#This Row],[Cantidad]]</f>
        <v>533.75</v>
      </c>
      <c r="K34" s="13">
        <f>IFERROR(Detalle_de_Pedido[[#This Row],[Costo estandar]]*Detalle_de_Pedido[[#This Row],[Cantidad]],0)</f>
        <v>400.3125</v>
      </c>
      <c r="L34" s="13">
        <f>Detalle_de_Pedido[[#This Row],[Total de venta]]-Detalle_de_Pedido[[#This Row],[Costo Total]]</f>
        <v>133.4375</v>
      </c>
      <c r="M34" s="18">
        <f>VLOOKUP(A34,Pedidos!A:D,4,0)</f>
        <v>38812</v>
      </c>
      <c r="N34" s="13" t="str">
        <f>TEXT(Detalle_de_Pedido[[#This Row],[Fecha de pedido]],"mmmm")</f>
        <v>abril</v>
      </c>
      <c r="O34" s="13" t="str">
        <f>TEXT(Detalle_de_Pedido[[#This Row],[Fecha de pedido]],"dddd")</f>
        <v>miércoles</v>
      </c>
    </row>
    <row r="35" spans="1:15" x14ac:dyDescent="0.3">
      <c r="A35">
        <v>51</v>
      </c>
      <c r="B35" s="12">
        <v>41</v>
      </c>
      <c r="C35">
        <f>VLOOKUP(B35,Productos!A:C,3,0)</f>
        <v>7.2374999999999998</v>
      </c>
      <c r="D35">
        <v>30</v>
      </c>
      <c r="E35" s="1">
        <v>9.65</v>
      </c>
      <c r="F35" t="str">
        <f>VLOOKUP(Detalle_de_Pedido[[#This Row],[Id de producto]],Productos[],9,0)</f>
        <v>Sopas</v>
      </c>
      <c r="G35">
        <f>VLOOKUP(Detalle_de_Pedido[[#This Row],[Id de producto]],Productos[],3,0)</f>
        <v>7.2374999999999998</v>
      </c>
      <c r="H35">
        <f>COUNTIF($A$2:A35,A35)</f>
        <v>2</v>
      </c>
      <c r="I35" s="16">
        <f>IFERROR(VALUE(IF(H35=1,VLOOKUP(A35,Pedidos!A:I,9,0),0)),0)</f>
        <v>0</v>
      </c>
      <c r="J35" s="13">
        <f>Detalle_de_Pedido[[#This Row],[Precio]]*Detalle_de_Pedido[[#This Row],[Cantidad]]</f>
        <v>289.5</v>
      </c>
      <c r="K35" s="13">
        <f>IFERROR(Detalle_de_Pedido[[#This Row],[Costo estandar]]*Detalle_de_Pedido[[#This Row],[Cantidad]],0)</f>
        <v>217.125</v>
      </c>
      <c r="L35" s="13">
        <f>Detalle_de_Pedido[[#This Row],[Total de venta]]-Detalle_de_Pedido[[#This Row],[Costo Total]]</f>
        <v>72.375</v>
      </c>
      <c r="M35" s="18">
        <f>VLOOKUP(A35,Pedidos!A:D,4,0)</f>
        <v>38812</v>
      </c>
      <c r="N35" s="13" t="str">
        <f>TEXT(Detalle_de_Pedido[[#This Row],[Fecha de pedido]],"mmmm")</f>
        <v>abril</v>
      </c>
      <c r="O35" s="13" t="str">
        <f>TEXT(Detalle_de_Pedido[[#This Row],[Fecha de pedido]],"dddd")</f>
        <v>miércoles</v>
      </c>
    </row>
    <row r="36" spans="1:15" x14ac:dyDescent="0.3">
      <c r="A36">
        <v>51</v>
      </c>
      <c r="B36" s="12">
        <v>40</v>
      </c>
      <c r="C36">
        <f>VLOOKUP(B36,Productos!A:C,3,0)</f>
        <v>13.8</v>
      </c>
      <c r="D36">
        <v>30</v>
      </c>
      <c r="E36" s="1">
        <v>18.399999999999999</v>
      </c>
      <c r="F36" t="str">
        <f>VLOOKUP(Detalle_de_Pedido[[#This Row],[Id de producto]],Productos[],9,0)</f>
        <v>Carne enlatada</v>
      </c>
      <c r="G36">
        <f>VLOOKUP(Detalle_de_Pedido[[#This Row],[Id de producto]],Productos[],3,0)</f>
        <v>13.8</v>
      </c>
      <c r="H36">
        <f>COUNTIF($A$2:A36,A36)</f>
        <v>3</v>
      </c>
      <c r="I36" s="16">
        <f>IFERROR(VALUE(IF(H36=1,VLOOKUP(A36,Pedidos!A:I,9,0),0)),0)</f>
        <v>0</v>
      </c>
      <c r="J36" s="13">
        <f>Detalle_de_Pedido[[#This Row],[Precio]]*Detalle_de_Pedido[[#This Row],[Cantidad]]</f>
        <v>552</v>
      </c>
      <c r="K36" s="13">
        <f>IFERROR(Detalle_de_Pedido[[#This Row],[Costo estandar]]*Detalle_de_Pedido[[#This Row],[Cantidad]],0)</f>
        <v>414</v>
      </c>
      <c r="L36" s="13">
        <f>Detalle_de_Pedido[[#This Row],[Total de venta]]-Detalle_de_Pedido[[#This Row],[Costo Total]]</f>
        <v>138</v>
      </c>
      <c r="M36" s="18">
        <f>VLOOKUP(A36,Pedidos!A:D,4,0)</f>
        <v>38812</v>
      </c>
      <c r="N36" s="13" t="str">
        <f>TEXT(Detalle_de_Pedido[[#This Row],[Fecha de pedido]],"mmmm")</f>
        <v>abril</v>
      </c>
      <c r="O36" s="13" t="str">
        <f>TEXT(Detalle_de_Pedido[[#This Row],[Fecha de pedido]],"dddd")</f>
        <v>miércoles</v>
      </c>
    </row>
    <row r="37" spans="1:15" x14ac:dyDescent="0.3">
      <c r="A37">
        <v>56</v>
      </c>
      <c r="B37" s="12">
        <v>48</v>
      </c>
      <c r="C37">
        <f>VLOOKUP(B37,Productos!A:C,3,0)</f>
        <v>9.5625</v>
      </c>
      <c r="D37">
        <v>10</v>
      </c>
      <c r="E37" s="1">
        <v>12.75</v>
      </c>
      <c r="F37" t="str">
        <f>VLOOKUP(Detalle_de_Pedido[[#This Row],[Id de producto]],Productos[],9,0)</f>
        <v>Golosinas</v>
      </c>
      <c r="G37">
        <f>VLOOKUP(Detalle_de_Pedido[[#This Row],[Id de producto]],Productos[],3,0)</f>
        <v>9.5625</v>
      </c>
      <c r="H37">
        <f>COUNTIF($A$2:A37,A37)</f>
        <v>1</v>
      </c>
      <c r="I37" s="16">
        <f>IFERROR(VALUE(IF(H37=1,VLOOKUP(A37,Pedidos!A:I,9,0),0)),0)</f>
        <v>0</v>
      </c>
      <c r="J37" s="13">
        <f>Detalle_de_Pedido[[#This Row],[Precio]]*Detalle_de_Pedido[[#This Row],[Cantidad]]</f>
        <v>127.5</v>
      </c>
      <c r="K37" s="13">
        <f>IFERROR(Detalle_de_Pedido[[#This Row],[Costo estandar]]*Detalle_de_Pedido[[#This Row],[Cantidad]],0)</f>
        <v>95.625</v>
      </c>
      <c r="L37" s="13">
        <f>Detalle_de_Pedido[[#This Row],[Total de venta]]-Detalle_de_Pedido[[#This Row],[Costo Total]]</f>
        <v>31.875</v>
      </c>
      <c r="M37" s="18">
        <f>VLOOKUP(A37,Pedidos!A:D,4,0)</f>
        <v>38810</v>
      </c>
      <c r="N37" s="13" t="str">
        <f>TEXT(Detalle_de_Pedido[[#This Row],[Fecha de pedido]],"mmmm")</f>
        <v>abril</v>
      </c>
      <c r="O37" s="13" t="str">
        <f>TEXT(Detalle_de_Pedido[[#This Row],[Fecha de pedido]],"dddd")</f>
        <v>lunes</v>
      </c>
    </row>
    <row r="38" spans="1:15" x14ac:dyDescent="0.3">
      <c r="A38">
        <v>55</v>
      </c>
      <c r="B38" s="12">
        <v>34</v>
      </c>
      <c r="C38">
        <f>VLOOKUP(B38,Productos!A:C,3,0)</f>
        <v>10.5</v>
      </c>
      <c r="D38">
        <v>87</v>
      </c>
      <c r="E38" s="1">
        <v>14</v>
      </c>
      <c r="F38" t="str">
        <f>VLOOKUP(Detalle_de_Pedido[[#This Row],[Id de producto]],Productos[],9,0)</f>
        <v>Bebidas</v>
      </c>
      <c r="G38">
        <f>VLOOKUP(Detalle_de_Pedido[[#This Row],[Id de producto]],Productos[],3,0)</f>
        <v>10.5</v>
      </c>
      <c r="H38">
        <f>COUNTIF($A$2:A38,A38)</f>
        <v>1</v>
      </c>
      <c r="I38" s="16">
        <f>IFERROR(VALUE(IF(H38=1,VLOOKUP(A38,Pedidos!A:I,9,0),0)),0)</f>
        <v>200</v>
      </c>
      <c r="J38" s="13">
        <f>Detalle_de_Pedido[[#This Row],[Precio]]*Detalle_de_Pedido[[#This Row],[Cantidad]]</f>
        <v>1218</v>
      </c>
      <c r="K38" s="13">
        <f>IFERROR(Detalle_de_Pedido[[#This Row],[Costo estandar]]*Detalle_de_Pedido[[#This Row],[Cantidad]],0)</f>
        <v>913.5</v>
      </c>
      <c r="L38" s="13">
        <f>Detalle_de_Pedido[[#This Row],[Total de venta]]-Detalle_de_Pedido[[#This Row],[Costo Total]]</f>
        <v>304.5</v>
      </c>
      <c r="M38" s="18">
        <f>VLOOKUP(A38,Pedidos!A:D,4,0)</f>
        <v>38812</v>
      </c>
      <c r="N38" s="13" t="str">
        <f>TEXT(Detalle_de_Pedido[[#This Row],[Fecha de pedido]],"mmmm")</f>
        <v>abril</v>
      </c>
      <c r="O38" s="13" t="str">
        <f>TEXT(Detalle_de_Pedido[[#This Row],[Fecha de pedido]],"dddd")</f>
        <v>miércoles</v>
      </c>
    </row>
    <row r="39" spans="1:15" x14ac:dyDescent="0.3">
      <c r="A39">
        <v>79</v>
      </c>
      <c r="B39" s="12">
        <v>7</v>
      </c>
      <c r="C39">
        <f>VLOOKUP(B39,Productos!A:C,3,0)</f>
        <v>22.5</v>
      </c>
      <c r="D39">
        <v>30</v>
      </c>
      <c r="E39" s="1">
        <v>30</v>
      </c>
      <c r="F39" t="str">
        <f>VLOOKUP(Detalle_de_Pedido[[#This Row],[Id de producto]],Productos[],9,0)</f>
        <v>Frutos secos</v>
      </c>
      <c r="G39">
        <f>VLOOKUP(Detalle_de_Pedido[[#This Row],[Id de producto]],Productos[],3,0)</f>
        <v>22.5</v>
      </c>
      <c r="H39">
        <f>COUNTIF($A$2:A39,A39)</f>
        <v>1</v>
      </c>
      <c r="I39" s="16">
        <f>IFERROR(VALUE(IF(H39=1,VLOOKUP(A39,Pedidos!A:I,9,0),0)),0)</f>
        <v>0</v>
      </c>
      <c r="J39" s="13">
        <f>Detalle_de_Pedido[[#This Row],[Precio]]*Detalle_de_Pedido[[#This Row],[Cantidad]]</f>
        <v>900</v>
      </c>
      <c r="K39" s="13">
        <f>IFERROR(Detalle_de_Pedido[[#This Row],[Costo estandar]]*Detalle_de_Pedido[[#This Row],[Cantidad]],0)</f>
        <v>675</v>
      </c>
      <c r="L39" s="13">
        <f>Detalle_de_Pedido[[#This Row],[Total de venta]]-Detalle_de_Pedido[[#This Row],[Costo Total]]</f>
        <v>225</v>
      </c>
      <c r="M39" s="18">
        <f>VLOOKUP(A39,Pedidos!A:D,4,0)</f>
        <v>38891</v>
      </c>
      <c r="N39" s="13" t="str">
        <f>TEXT(Detalle_de_Pedido[[#This Row],[Fecha de pedido]],"mmmm")</f>
        <v>junio</v>
      </c>
      <c r="O39" s="13" t="str">
        <f>TEXT(Detalle_de_Pedido[[#This Row],[Fecha de pedido]],"dddd")</f>
        <v>viernes</v>
      </c>
    </row>
    <row r="40" spans="1:15" x14ac:dyDescent="0.3">
      <c r="A40">
        <v>79</v>
      </c>
      <c r="B40" s="12">
        <v>51</v>
      </c>
      <c r="C40">
        <f>VLOOKUP(B40,Productos!A:C,3,0)</f>
        <v>39.75</v>
      </c>
      <c r="D40">
        <v>30</v>
      </c>
      <c r="E40" s="1">
        <v>53</v>
      </c>
      <c r="F40" t="str">
        <f>VLOOKUP(Detalle_de_Pedido[[#This Row],[Id de producto]],Productos[],9,0)</f>
        <v>Frutos secos</v>
      </c>
      <c r="G40">
        <f>VLOOKUP(Detalle_de_Pedido[[#This Row],[Id de producto]],Productos[],3,0)</f>
        <v>39.75</v>
      </c>
      <c r="H40">
        <f>COUNTIF($A$2:A40,A40)</f>
        <v>2</v>
      </c>
      <c r="I40" s="16">
        <f>IFERROR(VALUE(IF(H40=1,VLOOKUP(A40,Pedidos!A:I,9,0),0)),0)</f>
        <v>0</v>
      </c>
      <c r="J40" s="13">
        <f>Detalle_de_Pedido[[#This Row],[Precio]]*Detalle_de_Pedido[[#This Row],[Cantidad]]</f>
        <v>1590</v>
      </c>
      <c r="K40" s="13">
        <f>IFERROR(Detalle_de_Pedido[[#This Row],[Costo estandar]]*Detalle_de_Pedido[[#This Row],[Cantidad]],0)</f>
        <v>1192.5</v>
      </c>
      <c r="L40" s="13">
        <f>Detalle_de_Pedido[[#This Row],[Total de venta]]-Detalle_de_Pedido[[#This Row],[Costo Total]]</f>
        <v>397.5</v>
      </c>
      <c r="M40" s="18">
        <f>VLOOKUP(A40,Pedidos!A:D,4,0)</f>
        <v>38891</v>
      </c>
      <c r="N40" s="13" t="str">
        <f>TEXT(Detalle_de_Pedido[[#This Row],[Fecha de pedido]],"mmmm")</f>
        <v>junio</v>
      </c>
      <c r="O40" s="13" t="str">
        <f>TEXT(Detalle_de_Pedido[[#This Row],[Fecha de pedido]],"dddd")</f>
        <v>viernes</v>
      </c>
    </row>
    <row r="41" spans="1:15" x14ac:dyDescent="0.3">
      <c r="A41">
        <v>78</v>
      </c>
      <c r="B41" s="12">
        <v>17</v>
      </c>
      <c r="C41">
        <f>VLOOKUP(B41,Productos!A:C,3,0)</f>
        <v>29.25</v>
      </c>
      <c r="D41">
        <v>40</v>
      </c>
      <c r="E41" s="1">
        <v>39</v>
      </c>
      <c r="F41" t="str">
        <f>VLOOKUP(Detalle_de_Pedido[[#This Row],[Id de producto]],Productos[],9,0)</f>
        <v>Frutas y verduras enlatadas</v>
      </c>
      <c r="G41">
        <f>VLOOKUP(Detalle_de_Pedido[[#This Row],[Id de producto]],Productos[],3,0)</f>
        <v>29.25</v>
      </c>
      <c r="H41">
        <f>COUNTIF($A$2:A41,A41)</f>
        <v>1</v>
      </c>
      <c r="I41" s="16">
        <f>IFERROR(VALUE(IF(H41=1,VLOOKUP(A41,Pedidos!A:I,9,0),0)),0)</f>
        <v>200</v>
      </c>
      <c r="J41" s="13">
        <f>Detalle_de_Pedido[[#This Row],[Precio]]*Detalle_de_Pedido[[#This Row],[Cantidad]]</f>
        <v>1560</v>
      </c>
      <c r="K41" s="13">
        <f>IFERROR(Detalle_de_Pedido[[#This Row],[Costo estandar]]*Detalle_de_Pedido[[#This Row],[Cantidad]],0)</f>
        <v>1170</v>
      </c>
      <c r="L41" s="13">
        <f>Detalle_de_Pedido[[#This Row],[Total de venta]]-Detalle_de_Pedido[[#This Row],[Costo Total]]</f>
        <v>390</v>
      </c>
      <c r="M41" s="18">
        <f>VLOOKUP(A41,Pedidos!A:D,4,0)</f>
        <v>38873</v>
      </c>
      <c r="N41" s="13" t="str">
        <f>TEXT(Detalle_de_Pedido[[#This Row],[Fecha de pedido]],"mmmm")</f>
        <v>junio</v>
      </c>
      <c r="O41" s="13" t="str">
        <f>TEXT(Detalle_de_Pedido[[#This Row],[Fecha de pedido]],"dddd")</f>
        <v>lunes</v>
      </c>
    </row>
    <row r="42" spans="1:15" x14ac:dyDescent="0.3">
      <c r="A42">
        <v>77</v>
      </c>
      <c r="B42" s="12">
        <v>6</v>
      </c>
      <c r="C42">
        <f>VLOOKUP(B42,Productos!A:C,3,0)</f>
        <v>18.75</v>
      </c>
      <c r="D42">
        <v>90</v>
      </c>
      <c r="E42" s="1">
        <v>25</v>
      </c>
      <c r="F42" t="str">
        <f>VLOOKUP(Detalle_de_Pedido[[#This Row],[Id de producto]],Productos[],9,0)</f>
        <v>Mermeladas y confituras</v>
      </c>
      <c r="G42">
        <f>VLOOKUP(Detalle_de_Pedido[[#This Row],[Id de producto]],Productos[],3,0)</f>
        <v>18.75</v>
      </c>
      <c r="H42">
        <f>COUNTIF($A$2:A42,A42)</f>
        <v>1</v>
      </c>
      <c r="I42" s="16">
        <f>IFERROR(VALUE(IF(H42=1,VLOOKUP(A42,Pedidos!A:I,9,0),0)),0)</f>
        <v>60</v>
      </c>
      <c r="J42" s="13">
        <f>Detalle_de_Pedido[[#This Row],[Precio]]*Detalle_de_Pedido[[#This Row],[Cantidad]]</f>
        <v>2250</v>
      </c>
      <c r="K42" s="13">
        <f>IFERROR(Detalle_de_Pedido[[#This Row],[Costo estandar]]*Detalle_de_Pedido[[#This Row],[Cantidad]],0)</f>
        <v>1687.5</v>
      </c>
      <c r="L42" s="13">
        <f>Detalle_de_Pedido[[#This Row],[Total de venta]]-Detalle_de_Pedido[[#This Row],[Costo Total]]</f>
        <v>562.5</v>
      </c>
      <c r="M42" s="18">
        <f>VLOOKUP(A42,Pedidos!A:D,4,0)</f>
        <v>38873</v>
      </c>
      <c r="N42" s="13" t="str">
        <f>TEXT(Detalle_de_Pedido[[#This Row],[Fecha de pedido]],"mmmm")</f>
        <v>junio</v>
      </c>
      <c r="O42" s="13" t="str">
        <f>TEXT(Detalle_de_Pedido[[#This Row],[Fecha de pedido]],"dddd")</f>
        <v>lunes</v>
      </c>
    </row>
    <row r="43" spans="1:15" x14ac:dyDescent="0.3">
      <c r="A43">
        <v>76</v>
      </c>
      <c r="B43" s="12">
        <v>4</v>
      </c>
      <c r="C43">
        <f>VLOOKUP(B43,Productos!A:C,3,0)</f>
        <v>16.5</v>
      </c>
      <c r="D43">
        <v>30</v>
      </c>
      <c r="E43" s="1">
        <v>22</v>
      </c>
      <c r="F43" t="str">
        <f>VLOOKUP(Detalle_de_Pedido[[#This Row],[Id de producto]],Productos[],9,0)</f>
        <v>Condimentos</v>
      </c>
      <c r="G43">
        <f>VLOOKUP(Detalle_de_Pedido[[#This Row],[Id de producto]],Productos[],3,0)</f>
        <v>16.5</v>
      </c>
      <c r="H43">
        <f>COUNTIF($A$2:A43,A43)</f>
        <v>1</v>
      </c>
      <c r="I43" s="16">
        <f>IFERROR(VALUE(IF(H43=1,VLOOKUP(A43,Pedidos!A:I,9,0),0)),0)</f>
        <v>5</v>
      </c>
      <c r="J43" s="13">
        <f>Detalle_de_Pedido[[#This Row],[Precio]]*Detalle_de_Pedido[[#This Row],[Cantidad]]</f>
        <v>660</v>
      </c>
      <c r="K43" s="13">
        <f>IFERROR(Detalle_de_Pedido[[#This Row],[Costo estandar]]*Detalle_de_Pedido[[#This Row],[Cantidad]],0)</f>
        <v>495</v>
      </c>
      <c r="L43" s="13">
        <f>Detalle_de_Pedido[[#This Row],[Total de venta]]-Detalle_de_Pedido[[#This Row],[Costo Total]]</f>
        <v>165</v>
      </c>
      <c r="M43" s="18">
        <f>VLOOKUP(A43,Pedidos!A:D,4,0)</f>
        <v>38873</v>
      </c>
      <c r="N43" s="13" t="str">
        <f>TEXT(Detalle_de_Pedido[[#This Row],[Fecha de pedido]],"mmmm")</f>
        <v>junio</v>
      </c>
      <c r="O43" s="13" t="str">
        <f>TEXT(Detalle_de_Pedido[[#This Row],[Fecha de pedido]],"dddd")</f>
        <v>lunes</v>
      </c>
    </row>
    <row r="44" spans="1:15" x14ac:dyDescent="0.3">
      <c r="A44">
        <v>75</v>
      </c>
      <c r="B44" s="12">
        <v>48</v>
      </c>
      <c r="C44">
        <f>VLOOKUP(B44,Productos!A:C,3,0)</f>
        <v>9.5625</v>
      </c>
      <c r="D44">
        <v>40</v>
      </c>
      <c r="E44" s="1">
        <v>12.75</v>
      </c>
      <c r="F44" t="str">
        <f>VLOOKUP(Detalle_de_Pedido[[#This Row],[Id de producto]],Productos[],9,0)</f>
        <v>Golosinas</v>
      </c>
      <c r="G44">
        <f>VLOOKUP(Detalle_de_Pedido[[#This Row],[Id de producto]],Productos[],3,0)</f>
        <v>9.5625</v>
      </c>
      <c r="H44">
        <f>COUNTIF($A$2:A44,A44)</f>
        <v>1</v>
      </c>
      <c r="I44" s="16">
        <f>IFERROR(VALUE(IF(H44=1,VLOOKUP(A44,Pedidos!A:I,9,0),0)),0)</f>
        <v>50</v>
      </c>
      <c r="J44" s="13">
        <f>Detalle_de_Pedido[[#This Row],[Precio]]*Detalle_de_Pedido[[#This Row],[Cantidad]]</f>
        <v>510</v>
      </c>
      <c r="K44" s="13">
        <f>IFERROR(Detalle_de_Pedido[[#This Row],[Costo estandar]]*Detalle_de_Pedido[[#This Row],[Cantidad]],0)</f>
        <v>382.5</v>
      </c>
      <c r="L44" s="13">
        <f>Detalle_de_Pedido[[#This Row],[Total de venta]]-Detalle_de_Pedido[[#This Row],[Costo Total]]</f>
        <v>127.5</v>
      </c>
      <c r="M44" s="18">
        <f>VLOOKUP(A44,Pedidos!A:D,4,0)</f>
        <v>38873</v>
      </c>
      <c r="N44" s="13" t="str">
        <f>TEXT(Detalle_de_Pedido[[#This Row],[Fecha de pedido]],"mmmm")</f>
        <v>junio</v>
      </c>
      <c r="O44" s="13" t="str">
        <f>TEXT(Detalle_de_Pedido[[#This Row],[Fecha de pedido]],"dddd")</f>
        <v>lunes</v>
      </c>
    </row>
    <row r="45" spans="1:15" x14ac:dyDescent="0.3">
      <c r="A45">
        <v>74</v>
      </c>
      <c r="B45" s="12">
        <v>48</v>
      </c>
      <c r="C45">
        <f>VLOOKUP(B45,Productos!A:C,3,0)</f>
        <v>9.5625</v>
      </c>
      <c r="D45">
        <v>40</v>
      </c>
      <c r="E45" s="1">
        <v>12.75</v>
      </c>
      <c r="F45" t="str">
        <f>VLOOKUP(Detalle_de_Pedido[[#This Row],[Id de producto]],Productos[],9,0)</f>
        <v>Golosinas</v>
      </c>
      <c r="G45">
        <f>VLOOKUP(Detalle_de_Pedido[[#This Row],[Id de producto]],Productos[],3,0)</f>
        <v>9.5625</v>
      </c>
      <c r="H45">
        <f>COUNTIF($A$2:A45,A45)</f>
        <v>1</v>
      </c>
      <c r="I45" s="16">
        <f>IFERROR(VALUE(IF(H45=1,VLOOKUP(A45,Pedidos!A:I,9,0),0)),0)</f>
        <v>300</v>
      </c>
      <c r="J45" s="13">
        <f>Detalle_de_Pedido[[#This Row],[Precio]]*Detalle_de_Pedido[[#This Row],[Cantidad]]</f>
        <v>510</v>
      </c>
      <c r="K45" s="13">
        <f>IFERROR(Detalle_de_Pedido[[#This Row],[Costo estandar]]*Detalle_de_Pedido[[#This Row],[Cantidad]],0)</f>
        <v>382.5</v>
      </c>
      <c r="L45" s="13">
        <f>Detalle_de_Pedido[[#This Row],[Total de venta]]-Detalle_de_Pedido[[#This Row],[Costo Total]]</f>
        <v>127.5</v>
      </c>
      <c r="M45" s="18">
        <f>VLOOKUP(A45,Pedidos!A:D,4,0)</f>
        <v>38876</v>
      </c>
      <c r="N45" s="13" t="str">
        <f>TEXT(Detalle_de_Pedido[[#This Row],[Fecha de pedido]],"mmmm")</f>
        <v>junio</v>
      </c>
      <c r="O45" s="13" t="str">
        <f>TEXT(Detalle_de_Pedido[[#This Row],[Fecha de pedido]],"dddd")</f>
        <v>jueves</v>
      </c>
    </row>
    <row r="46" spans="1:15" x14ac:dyDescent="0.3">
      <c r="A46">
        <v>73</v>
      </c>
      <c r="B46" s="12">
        <v>41</v>
      </c>
      <c r="C46">
        <f>VLOOKUP(B46,Productos!A:C,3,0)</f>
        <v>7.2374999999999998</v>
      </c>
      <c r="D46">
        <v>10</v>
      </c>
      <c r="E46" s="1">
        <v>9.65</v>
      </c>
      <c r="F46" t="str">
        <f>VLOOKUP(Detalle_de_Pedido[[#This Row],[Id de producto]],Productos[],9,0)</f>
        <v>Sopas</v>
      </c>
      <c r="G46">
        <f>VLOOKUP(Detalle_de_Pedido[[#This Row],[Id de producto]],Productos[],3,0)</f>
        <v>7.2374999999999998</v>
      </c>
      <c r="H46">
        <f>COUNTIF($A$2:A46,A46)</f>
        <v>1</v>
      </c>
      <c r="I46" s="16">
        <f>IFERROR(VALUE(IF(H46=1,VLOOKUP(A46,Pedidos!A:I,9,0),0)),0)</f>
        <v>100</v>
      </c>
      <c r="J46" s="13">
        <f>Detalle_de_Pedido[[#This Row],[Precio]]*Detalle_de_Pedido[[#This Row],[Cantidad]]</f>
        <v>96.5</v>
      </c>
      <c r="K46" s="13">
        <f>IFERROR(Detalle_de_Pedido[[#This Row],[Costo estandar]]*Detalle_de_Pedido[[#This Row],[Cantidad]],0)</f>
        <v>72.375</v>
      </c>
      <c r="L46" s="13">
        <f>Detalle_de_Pedido[[#This Row],[Total de venta]]-Detalle_de_Pedido[[#This Row],[Costo Total]]</f>
        <v>24.125</v>
      </c>
      <c r="M46" s="18">
        <f>VLOOKUP(A46,Pedidos!A:D,4,0)</f>
        <v>38873</v>
      </c>
      <c r="N46" s="13" t="str">
        <f>TEXT(Detalle_de_Pedido[[#This Row],[Fecha de pedido]],"mmmm")</f>
        <v>junio</v>
      </c>
      <c r="O46" s="13" t="str">
        <f>TEXT(Detalle_de_Pedido[[#This Row],[Fecha de pedido]],"dddd")</f>
        <v>lunes</v>
      </c>
    </row>
    <row r="47" spans="1:15" x14ac:dyDescent="0.3">
      <c r="A47">
        <v>72</v>
      </c>
      <c r="B47" s="12">
        <v>43</v>
      </c>
      <c r="C47">
        <f>VLOOKUP(B47,Productos!A:C,3,0)</f>
        <v>34.5</v>
      </c>
      <c r="D47">
        <v>5</v>
      </c>
      <c r="E47" s="1">
        <v>46</v>
      </c>
      <c r="F47" t="str">
        <f>VLOOKUP(Detalle_de_Pedido[[#This Row],[Id de producto]],Productos[],9,0)</f>
        <v>Bebidas</v>
      </c>
      <c r="G47">
        <f>VLOOKUP(Detalle_de_Pedido[[#This Row],[Id de producto]],Productos[],3,0)</f>
        <v>34.5</v>
      </c>
      <c r="H47">
        <f>COUNTIF($A$2:A47,A47)</f>
        <v>1</v>
      </c>
      <c r="I47" s="16">
        <f>IFERROR(VALUE(IF(H47=1,VLOOKUP(A47,Pedidos!A:I,9,0),0)),0)</f>
        <v>40</v>
      </c>
      <c r="J47" s="13">
        <f>Detalle_de_Pedido[[#This Row],[Precio]]*Detalle_de_Pedido[[#This Row],[Cantidad]]</f>
        <v>230</v>
      </c>
      <c r="K47" s="13">
        <f>IFERROR(Detalle_de_Pedido[[#This Row],[Costo estandar]]*Detalle_de_Pedido[[#This Row],[Cantidad]],0)</f>
        <v>172.5</v>
      </c>
      <c r="L47" s="13">
        <f>Detalle_de_Pedido[[#This Row],[Total de venta]]-Detalle_de_Pedido[[#This Row],[Costo Total]]</f>
        <v>57.5</v>
      </c>
      <c r="M47" s="18">
        <f>VLOOKUP(A47,Pedidos!A:D,4,0)</f>
        <v>38875</v>
      </c>
      <c r="N47" s="13" t="str">
        <f>TEXT(Detalle_de_Pedido[[#This Row],[Fecha de pedido]],"mmmm")</f>
        <v>junio</v>
      </c>
      <c r="O47" s="13" t="str">
        <f>TEXT(Detalle_de_Pedido[[#This Row],[Fecha de pedido]],"dddd")</f>
        <v>miércoles</v>
      </c>
    </row>
    <row r="48" spans="1:15" x14ac:dyDescent="0.3">
      <c r="A48">
        <v>71</v>
      </c>
      <c r="B48" s="12">
        <v>40</v>
      </c>
      <c r="C48">
        <f>VLOOKUP(B48,Productos!A:C,3,0)</f>
        <v>13.8</v>
      </c>
      <c r="D48">
        <v>40</v>
      </c>
      <c r="E48" s="1">
        <v>18.399999999999999</v>
      </c>
      <c r="F48" t="str">
        <f>VLOOKUP(Detalle_de_Pedido[[#This Row],[Id de producto]],Productos[],9,0)</f>
        <v>Carne enlatada</v>
      </c>
      <c r="G48">
        <f>VLOOKUP(Detalle_de_Pedido[[#This Row],[Id de producto]],Productos[],3,0)</f>
        <v>13.8</v>
      </c>
      <c r="H48">
        <f>COUNTIF($A$2:A48,A48)</f>
        <v>1</v>
      </c>
      <c r="I48" s="16">
        <f>IFERROR(VALUE(IF(H48=1,VLOOKUP(A48,Pedidos!A:I,9,0),0)),0)</f>
        <v>0</v>
      </c>
      <c r="J48" s="13">
        <f>Detalle_de_Pedido[[#This Row],[Precio]]*Detalle_de_Pedido[[#This Row],[Cantidad]]</f>
        <v>736</v>
      </c>
      <c r="K48" s="13">
        <f>IFERROR(Detalle_de_Pedido[[#This Row],[Costo estandar]]*Detalle_de_Pedido[[#This Row],[Cantidad]],0)</f>
        <v>552</v>
      </c>
      <c r="L48" s="13">
        <f>Detalle_de_Pedido[[#This Row],[Total de venta]]-Detalle_de_Pedido[[#This Row],[Costo Total]]</f>
        <v>184</v>
      </c>
      <c r="M48" s="18">
        <f>VLOOKUP(A48,Pedidos!A:D,4,0)</f>
        <v>38861</v>
      </c>
      <c r="N48" s="13" t="str">
        <f>TEXT(Detalle_de_Pedido[[#This Row],[Fecha de pedido]],"mmmm")</f>
        <v>mayo</v>
      </c>
      <c r="O48" s="13" t="str">
        <f>TEXT(Detalle_de_Pedido[[#This Row],[Fecha de pedido]],"dddd")</f>
        <v>miércoles</v>
      </c>
    </row>
    <row r="49" spans="1:15" x14ac:dyDescent="0.3">
      <c r="A49">
        <v>70</v>
      </c>
      <c r="B49" s="12">
        <v>8</v>
      </c>
      <c r="C49">
        <f>VLOOKUP(B49,Productos!A:C,3,0)</f>
        <v>30</v>
      </c>
      <c r="D49">
        <v>20</v>
      </c>
      <c r="E49" s="1">
        <v>40</v>
      </c>
      <c r="F49" t="str">
        <f>VLOOKUP(Detalle_de_Pedido[[#This Row],[Id de producto]],Productos[],9,0)</f>
        <v>Salsas</v>
      </c>
      <c r="G49">
        <f>VLOOKUP(Detalle_de_Pedido[[#This Row],[Id de producto]],Productos[],3,0)</f>
        <v>30</v>
      </c>
      <c r="H49">
        <f>COUNTIF($A$2:A49,A49)</f>
        <v>1</v>
      </c>
      <c r="I49" s="16">
        <f>IFERROR(VALUE(IF(H49=1,VLOOKUP(A49,Pedidos!A:I,9,0),0)),0)</f>
        <v>0</v>
      </c>
      <c r="J49" s="13">
        <f>Detalle_de_Pedido[[#This Row],[Precio]]*Detalle_de_Pedido[[#This Row],[Cantidad]]</f>
        <v>800</v>
      </c>
      <c r="K49" s="13">
        <f>IFERROR(Detalle_de_Pedido[[#This Row],[Costo estandar]]*Detalle_de_Pedido[[#This Row],[Cantidad]],0)</f>
        <v>600</v>
      </c>
      <c r="L49" s="13">
        <f>Detalle_de_Pedido[[#This Row],[Total de venta]]-Detalle_de_Pedido[[#This Row],[Costo Total]]</f>
        <v>200</v>
      </c>
      <c r="M49" s="18">
        <f>VLOOKUP(A49,Pedidos!A:D,4,0)</f>
        <v>38861</v>
      </c>
      <c r="N49" s="13" t="str">
        <f>TEXT(Detalle_de_Pedido[[#This Row],[Fecha de pedido]],"mmmm")</f>
        <v>mayo</v>
      </c>
      <c r="O49" s="13" t="str">
        <f>TEXT(Detalle_de_Pedido[[#This Row],[Fecha de pedido]],"dddd")</f>
        <v>miércoles</v>
      </c>
    </row>
    <row r="50" spans="1:15" x14ac:dyDescent="0.3">
      <c r="A50">
        <v>69</v>
      </c>
      <c r="B50" s="12">
        <v>80</v>
      </c>
      <c r="C50">
        <f>VLOOKUP(B50,Productos!A:C,3,0)</f>
        <v>3</v>
      </c>
      <c r="D50">
        <v>15</v>
      </c>
      <c r="E50" s="1">
        <v>3.5</v>
      </c>
      <c r="F50" t="str">
        <f>VLOOKUP(Detalle_de_Pedido[[#This Row],[Id de producto]],Productos[],9,0)</f>
        <v>Frutos secos</v>
      </c>
      <c r="G50">
        <f>VLOOKUP(Detalle_de_Pedido[[#This Row],[Id de producto]],Productos[],3,0)</f>
        <v>3</v>
      </c>
      <c r="H50">
        <f>COUNTIF($A$2:A50,A50)</f>
        <v>1</v>
      </c>
      <c r="I50" s="16">
        <f>IFERROR(VALUE(IF(H50=1,VLOOKUP(A50,Pedidos!A:I,9,0),0)),0)</f>
        <v>0</v>
      </c>
      <c r="J50" s="13">
        <f>Detalle_de_Pedido[[#This Row],[Precio]]*Detalle_de_Pedido[[#This Row],[Cantidad]]</f>
        <v>52.5</v>
      </c>
      <c r="K50" s="13">
        <f>IFERROR(Detalle_de_Pedido[[#This Row],[Costo estandar]]*Detalle_de_Pedido[[#This Row],[Cantidad]],0)</f>
        <v>45</v>
      </c>
      <c r="L50" s="13">
        <f>Detalle_de_Pedido[[#This Row],[Total de venta]]-Detalle_de_Pedido[[#This Row],[Costo Total]]</f>
        <v>7.5</v>
      </c>
      <c r="M50" s="18">
        <f>VLOOKUP(A50,Pedidos!A:D,4,0)</f>
        <v>38861</v>
      </c>
      <c r="N50" s="13" t="str">
        <f>TEXT(Detalle_de_Pedido[[#This Row],[Fecha de pedido]],"mmmm")</f>
        <v>mayo</v>
      </c>
      <c r="O50" s="13" t="str">
        <f>TEXT(Detalle_de_Pedido[[#This Row],[Fecha de pedido]],"dddd")</f>
        <v>miércoles</v>
      </c>
    </row>
    <row r="51" spans="1:15" x14ac:dyDescent="0.3">
      <c r="A51">
        <v>67</v>
      </c>
      <c r="B51" s="12">
        <v>74</v>
      </c>
      <c r="C51">
        <f>VLOOKUP(B51,Productos!A:C,3,0)</f>
        <v>7.5</v>
      </c>
      <c r="D51">
        <v>20</v>
      </c>
      <c r="E51" s="1">
        <v>10</v>
      </c>
      <c r="F51" t="str">
        <f>VLOOKUP(Detalle_de_Pedido[[#This Row],[Id de producto]],Productos[],9,0)</f>
        <v>Frutos secos</v>
      </c>
      <c r="G51">
        <f>VLOOKUP(Detalle_de_Pedido[[#This Row],[Id de producto]],Productos[],3,0)</f>
        <v>7.5</v>
      </c>
      <c r="H51">
        <f>COUNTIF($A$2:A51,A51)</f>
        <v>1</v>
      </c>
      <c r="I51" s="16">
        <f>IFERROR(VALUE(IF(H51=1,VLOOKUP(A51,Pedidos!A:I,9,0),0)),0)</f>
        <v>9</v>
      </c>
      <c r="J51" s="13">
        <f>Detalle_de_Pedido[[#This Row],[Precio]]*Detalle_de_Pedido[[#This Row],[Cantidad]]</f>
        <v>200</v>
      </c>
      <c r="K51" s="13">
        <f>IFERROR(Detalle_de_Pedido[[#This Row],[Costo estandar]]*Detalle_de_Pedido[[#This Row],[Cantidad]],0)</f>
        <v>150</v>
      </c>
      <c r="L51" s="13">
        <f>Detalle_de_Pedido[[#This Row],[Total de venta]]-Detalle_de_Pedido[[#This Row],[Costo Total]]</f>
        <v>50</v>
      </c>
      <c r="M51" s="18">
        <f>VLOOKUP(A51,Pedidos!A:D,4,0)</f>
        <v>38861</v>
      </c>
      <c r="N51" s="13" t="str">
        <f>TEXT(Detalle_de_Pedido[[#This Row],[Fecha de pedido]],"mmmm")</f>
        <v>mayo</v>
      </c>
      <c r="O51" s="13" t="str">
        <f>TEXT(Detalle_de_Pedido[[#This Row],[Fecha de pedido]],"dddd")</f>
        <v>miércoles</v>
      </c>
    </row>
    <row r="52" spans="1:15" x14ac:dyDescent="0.3">
      <c r="A52">
        <v>60</v>
      </c>
      <c r="B52" s="12">
        <v>72</v>
      </c>
      <c r="C52">
        <f>VLOOKUP(B52,Productos!A:C,3,0)</f>
        <v>26.1</v>
      </c>
      <c r="D52">
        <v>40</v>
      </c>
      <c r="E52" s="1">
        <v>34.799999999999997</v>
      </c>
      <c r="F52" t="str">
        <f>VLOOKUP(Detalle_de_Pedido[[#This Row],[Id de producto]],Productos[],9,0)</f>
        <v>Productos lácteos</v>
      </c>
      <c r="G52">
        <f>VLOOKUP(Detalle_de_Pedido[[#This Row],[Id de producto]],Productos[],3,0)</f>
        <v>26.1</v>
      </c>
      <c r="H52">
        <f>COUNTIF($A$2:A52,A52)</f>
        <v>1</v>
      </c>
      <c r="I52" s="16">
        <f>IFERROR(VALUE(IF(H52=1,VLOOKUP(A52,Pedidos!A:I,9,0),0)),0)</f>
        <v>50</v>
      </c>
      <c r="J52" s="13">
        <f>Detalle_de_Pedido[[#This Row],[Precio]]*Detalle_de_Pedido[[#This Row],[Cantidad]]</f>
        <v>1392</v>
      </c>
      <c r="K52" s="13">
        <f>IFERROR(Detalle_de_Pedido[[#This Row],[Costo estandar]]*Detalle_de_Pedido[[#This Row],[Cantidad]],0)</f>
        <v>1044</v>
      </c>
      <c r="L52" s="13">
        <f>Detalle_de_Pedido[[#This Row],[Total de venta]]-Detalle_de_Pedido[[#This Row],[Costo Total]]</f>
        <v>348</v>
      </c>
      <c r="M52" s="18">
        <f>VLOOKUP(A52,Pedidos!A:D,4,0)</f>
        <v>38837</v>
      </c>
      <c r="N52" s="13" t="str">
        <f>TEXT(Detalle_de_Pedido[[#This Row],[Fecha de pedido]],"mmmm")</f>
        <v>abril</v>
      </c>
      <c r="O52" s="13" t="str">
        <f>TEXT(Detalle_de_Pedido[[#This Row],[Fecha de pedido]],"dddd")</f>
        <v>domingo</v>
      </c>
    </row>
    <row r="53" spans="1:15" x14ac:dyDescent="0.3">
      <c r="A53">
        <v>63</v>
      </c>
      <c r="B53" s="12">
        <v>3</v>
      </c>
      <c r="C53">
        <f>VLOOKUP(B53,Productos!A:C,3,0)</f>
        <v>7.5</v>
      </c>
      <c r="D53">
        <v>50</v>
      </c>
      <c r="E53" s="1">
        <v>10</v>
      </c>
      <c r="F53" t="str">
        <f>VLOOKUP(Detalle_de_Pedido[[#This Row],[Id de producto]],Productos[],9,0)</f>
        <v>Condimentos</v>
      </c>
      <c r="G53">
        <f>VLOOKUP(Detalle_de_Pedido[[#This Row],[Id de producto]],Productos[],3,0)</f>
        <v>7.5</v>
      </c>
      <c r="H53">
        <f>COUNTIF($A$2:A53,A53)</f>
        <v>1</v>
      </c>
      <c r="I53" s="16">
        <f>IFERROR(VALUE(IF(H53=1,VLOOKUP(A53,Pedidos!A:I,9,0),0)),0)</f>
        <v>7</v>
      </c>
      <c r="J53" s="13">
        <f>Detalle_de_Pedido[[#This Row],[Precio]]*Detalle_de_Pedido[[#This Row],[Cantidad]]</f>
        <v>500</v>
      </c>
      <c r="K53" s="13">
        <f>IFERROR(Detalle_de_Pedido[[#This Row],[Costo estandar]]*Detalle_de_Pedido[[#This Row],[Cantidad]],0)</f>
        <v>375</v>
      </c>
      <c r="L53" s="13">
        <f>Detalle_de_Pedido[[#This Row],[Total de venta]]-Detalle_de_Pedido[[#This Row],[Costo Total]]</f>
        <v>125</v>
      </c>
      <c r="M53" s="18">
        <f>VLOOKUP(A53,Pedidos!A:D,4,0)</f>
        <v>38832</v>
      </c>
      <c r="N53" s="13" t="str">
        <f>TEXT(Detalle_de_Pedido[[#This Row],[Fecha de pedido]],"mmmm")</f>
        <v>abril</v>
      </c>
      <c r="O53" s="13" t="str">
        <f>TEXT(Detalle_de_Pedido[[#This Row],[Fecha de pedido]],"dddd")</f>
        <v>martes</v>
      </c>
    </row>
    <row r="54" spans="1:15" x14ac:dyDescent="0.3">
      <c r="A54">
        <v>63</v>
      </c>
      <c r="B54" s="12">
        <v>8</v>
      </c>
      <c r="C54">
        <f>VLOOKUP(B54,Productos!A:C,3,0)</f>
        <v>30</v>
      </c>
      <c r="D54">
        <v>3</v>
      </c>
      <c r="E54" s="1">
        <v>40</v>
      </c>
      <c r="F54" t="str">
        <f>VLOOKUP(Detalle_de_Pedido[[#This Row],[Id de producto]],Productos[],9,0)</f>
        <v>Salsas</v>
      </c>
      <c r="G54">
        <f>VLOOKUP(Detalle_de_Pedido[[#This Row],[Id de producto]],Productos[],3,0)</f>
        <v>30</v>
      </c>
      <c r="H54">
        <f>COUNTIF($A$2:A54,A54)</f>
        <v>2</v>
      </c>
      <c r="I54" s="16">
        <f>IFERROR(VALUE(IF(H54=1,VLOOKUP(A54,Pedidos!A:I,9,0),0)),0)</f>
        <v>0</v>
      </c>
      <c r="J54" s="13">
        <f>Detalle_de_Pedido[[#This Row],[Precio]]*Detalle_de_Pedido[[#This Row],[Cantidad]]</f>
        <v>120</v>
      </c>
      <c r="K54" s="13">
        <f>IFERROR(Detalle_de_Pedido[[#This Row],[Costo estandar]]*Detalle_de_Pedido[[#This Row],[Cantidad]],0)</f>
        <v>90</v>
      </c>
      <c r="L54" s="13">
        <f>Detalle_de_Pedido[[#This Row],[Total de venta]]-Detalle_de_Pedido[[#This Row],[Costo Total]]</f>
        <v>30</v>
      </c>
      <c r="M54" s="18">
        <f>VLOOKUP(A54,Pedidos!A:D,4,0)</f>
        <v>38832</v>
      </c>
      <c r="N54" s="13" t="str">
        <f>TEXT(Detalle_de_Pedido[[#This Row],[Fecha de pedido]],"mmmm")</f>
        <v>abril</v>
      </c>
      <c r="O54" s="13" t="str">
        <f>TEXT(Detalle_de_Pedido[[#This Row],[Fecha de pedido]],"dddd")</f>
        <v>martes</v>
      </c>
    </row>
    <row r="55" spans="1:15" x14ac:dyDescent="0.3">
      <c r="A55">
        <v>58</v>
      </c>
      <c r="B55" s="12">
        <v>20</v>
      </c>
      <c r="C55">
        <f>VLOOKUP(B55,Productos!A:C,3,0)</f>
        <v>60.75</v>
      </c>
      <c r="D55">
        <v>40</v>
      </c>
      <c r="E55" s="1">
        <v>81</v>
      </c>
      <c r="F55" t="str">
        <f>VLOOKUP(Detalle_de_Pedido[[#This Row],[Id de producto]],Productos[],9,0)</f>
        <v>Mermeladas y confituras</v>
      </c>
      <c r="G55">
        <f>VLOOKUP(Detalle_de_Pedido[[#This Row],[Id de producto]],Productos[],3,0)</f>
        <v>60.75</v>
      </c>
      <c r="H55">
        <f>COUNTIF($A$2:A55,A55)</f>
        <v>1</v>
      </c>
      <c r="I55" s="16">
        <f>IFERROR(VALUE(IF(H55=1,VLOOKUP(A55,Pedidos!A:I,9,0),0)),0)</f>
        <v>5</v>
      </c>
      <c r="J55" s="13">
        <f>Detalle_de_Pedido[[#This Row],[Precio]]*Detalle_de_Pedido[[#This Row],[Cantidad]]</f>
        <v>3240</v>
      </c>
      <c r="K55" s="13">
        <f>IFERROR(Detalle_de_Pedido[[#This Row],[Costo estandar]]*Detalle_de_Pedido[[#This Row],[Cantidad]],0)</f>
        <v>2430</v>
      </c>
      <c r="L55" s="13">
        <f>Detalle_de_Pedido[[#This Row],[Total de venta]]-Detalle_de_Pedido[[#This Row],[Costo Total]]</f>
        <v>810</v>
      </c>
      <c r="M55" s="18">
        <f>VLOOKUP(A55,Pedidos!A:D,4,0)</f>
        <v>38829</v>
      </c>
      <c r="N55" s="13" t="str">
        <f>TEXT(Detalle_de_Pedido[[#This Row],[Fecha de pedido]],"mmmm")</f>
        <v>abril</v>
      </c>
      <c r="O55" s="13" t="str">
        <f>TEXT(Detalle_de_Pedido[[#This Row],[Fecha de pedido]],"dddd")</f>
        <v>sábado</v>
      </c>
    </row>
    <row r="56" spans="1:15" x14ac:dyDescent="0.3">
      <c r="A56">
        <v>58</v>
      </c>
      <c r="B56" s="12">
        <v>52</v>
      </c>
      <c r="C56">
        <f>VLOOKUP(B56,Productos!A:C,3,0)</f>
        <v>5.25</v>
      </c>
      <c r="D56">
        <v>40</v>
      </c>
      <c r="E56" s="1">
        <v>7</v>
      </c>
      <c r="F56" t="str">
        <f>VLOOKUP(Detalle_de_Pedido[[#This Row],[Id de producto]],Productos[],9,0)</f>
        <v>Granos</v>
      </c>
      <c r="G56">
        <f>VLOOKUP(Detalle_de_Pedido[[#This Row],[Id de producto]],Productos[],3,0)</f>
        <v>5.25</v>
      </c>
      <c r="H56">
        <f>COUNTIF($A$2:A56,A56)</f>
        <v>2</v>
      </c>
      <c r="I56" s="16">
        <f>IFERROR(VALUE(IF(H56=1,VLOOKUP(A56,Pedidos!A:I,9,0),0)),0)</f>
        <v>0</v>
      </c>
      <c r="J56" s="13">
        <f>Detalle_de_Pedido[[#This Row],[Precio]]*Detalle_de_Pedido[[#This Row],[Cantidad]]</f>
        <v>280</v>
      </c>
      <c r="K56" s="13">
        <f>IFERROR(Detalle_de_Pedido[[#This Row],[Costo estandar]]*Detalle_de_Pedido[[#This Row],[Cantidad]],0)</f>
        <v>210</v>
      </c>
      <c r="L56" s="13">
        <f>Detalle_de_Pedido[[#This Row],[Total de venta]]-Detalle_de_Pedido[[#This Row],[Costo Total]]</f>
        <v>70</v>
      </c>
      <c r="M56" s="18">
        <f>VLOOKUP(A56,Pedidos!A:D,4,0)</f>
        <v>38829</v>
      </c>
      <c r="N56" s="13" t="str">
        <f>TEXT(Detalle_de_Pedido[[#This Row],[Fecha de pedido]],"mmmm")</f>
        <v>abril</v>
      </c>
      <c r="O56" s="13" t="str">
        <f>TEXT(Detalle_de_Pedido[[#This Row],[Fecha de pedido]],"dddd")</f>
        <v>sábado</v>
      </c>
    </row>
    <row r="57" spans="1:15" x14ac:dyDescent="0.3">
      <c r="A57">
        <v>80</v>
      </c>
      <c r="B57" s="12">
        <v>56</v>
      </c>
      <c r="C57">
        <f>VLOOKUP(B57,Productos!A:C,3,0)</f>
        <v>28.5</v>
      </c>
      <c r="D57">
        <v>10</v>
      </c>
      <c r="E57" s="1">
        <v>38</v>
      </c>
      <c r="F57" t="str">
        <f>VLOOKUP(Detalle_de_Pedido[[#This Row],[Id de producto]],Productos[],9,0)</f>
        <v>Pasta</v>
      </c>
      <c r="G57">
        <f>VLOOKUP(Detalle_de_Pedido[[#This Row],[Id de producto]],Productos[],3,0)</f>
        <v>28.5</v>
      </c>
      <c r="H57">
        <f>COUNTIF($A$2:A57,A57)</f>
        <v>1</v>
      </c>
      <c r="I57" s="16">
        <f>IFERROR(VALUE(IF(H57=1,VLOOKUP(A57,Pedidos!A:I,9,0),0)),0)</f>
        <v>0</v>
      </c>
      <c r="J57" s="13">
        <f>Detalle_de_Pedido[[#This Row],[Precio]]*Detalle_de_Pedido[[#This Row],[Cantidad]]</f>
        <v>380</v>
      </c>
      <c r="K57" s="13">
        <f>IFERROR(Detalle_de_Pedido[[#This Row],[Costo estandar]]*Detalle_de_Pedido[[#This Row],[Cantidad]],0)</f>
        <v>285</v>
      </c>
      <c r="L57" s="13">
        <f>Detalle_de_Pedido[[#This Row],[Total de venta]]-Detalle_de_Pedido[[#This Row],[Costo Total]]</f>
        <v>95</v>
      </c>
      <c r="M57" s="18">
        <f>VLOOKUP(A57,Pedidos!A:D,4,0)</f>
        <v>38832.711053240702</v>
      </c>
      <c r="N57" s="13" t="str">
        <f>TEXT(Detalle_de_Pedido[[#This Row],[Fecha de pedido]],"mmmm")</f>
        <v>abril</v>
      </c>
      <c r="O57" s="13" t="str">
        <f>TEXT(Detalle_de_Pedido[[#This Row],[Fecha de pedido]],"dddd")</f>
        <v>martes</v>
      </c>
    </row>
    <row r="58" spans="1:15" x14ac:dyDescent="0.3">
      <c r="A58">
        <v>81</v>
      </c>
      <c r="B58" s="12">
        <v>81</v>
      </c>
      <c r="C58">
        <f>VLOOKUP(B58,Productos!A:C,3,0)</f>
        <v>2</v>
      </c>
      <c r="D58">
        <v>0</v>
      </c>
      <c r="E58" s="1">
        <v>2.99</v>
      </c>
      <c r="F58" t="str">
        <f>VLOOKUP(Detalle_de_Pedido[[#This Row],[Id de producto]],Productos[],9,0)</f>
        <v>Bebidas</v>
      </c>
      <c r="G58">
        <f>VLOOKUP(Detalle_de_Pedido[[#This Row],[Id de producto]],Productos[],3,0)</f>
        <v>2</v>
      </c>
      <c r="H58">
        <f>COUNTIF($A$2:A58,A58)</f>
        <v>1</v>
      </c>
      <c r="I58" s="16">
        <f>IFERROR(VALUE(IF(H58=1,VLOOKUP(A58,Pedidos!A:I,9,0),0)),0)</f>
        <v>0</v>
      </c>
      <c r="J58" s="13">
        <f>Detalle_de_Pedido[[#This Row],[Precio]]*Detalle_de_Pedido[[#This Row],[Cantidad]]</f>
        <v>0</v>
      </c>
      <c r="K58" s="13">
        <f>IFERROR(Detalle_de_Pedido[[#This Row],[Costo estandar]]*Detalle_de_Pedido[[#This Row],[Cantidad]],0)</f>
        <v>0</v>
      </c>
      <c r="L58" s="13">
        <f>Detalle_de_Pedido[[#This Row],[Total de venta]]-Detalle_de_Pedido[[#This Row],[Costo Total]]</f>
        <v>0</v>
      </c>
      <c r="M58" s="18">
        <f>VLOOKUP(A58,Pedidos!A:D,4,0)</f>
        <v>38832.727002314801</v>
      </c>
      <c r="N58" s="13" t="str">
        <f>TEXT(Detalle_de_Pedido[[#This Row],[Fecha de pedido]],"mmmm")</f>
        <v>abril</v>
      </c>
      <c r="O58" s="13" t="str">
        <f>TEXT(Detalle_de_Pedido[[#This Row],[Fecha de pedido]],"dddd")</f>
        <v>martes</v>
      </c>
    </row>
    <row r="59" spans="1:15" x14ac:dyDescent="0.3">
      <c r="A59">
        <v>81</v>
      </c>
      <c r="B59" s="12">
        <v>56</v>
      </c>
      <c r="C59">
        <f>VLOOKUP(B59,Productos!A:C,3,0)</f>
        <v>28.5</v>
      </c>
      <c r="D59">
        <v>0</v>
      </c>
      <c r="E59" s="1">
        <v>38</v>
      </c>
      <c r="F59" t="str">
        <f>VLOOKUP(Detalle_de_Pedido[[#This Row],[Id de producto]],Productos[],9,0)</f>
        <v>Pasta</v>
      </c>
      <c r="G59">
        <f>VLOOKUP(Detalle_de_Pedido[[#This Row],[Id de producto]],Productos[],3,0)</f>
        <v>28.5</v>
      </c>
      <c r="H59">
        <f>COUNTIF($A$2:A67,A59)</f>
        <v>2</v>
      </c>
      <c r="I59" s="16">
        <f>IFERROR(VALUE(IF(H59=1,VLOOKUP(A59,Pedidos!A:I,9,0),0)),0)</f>
        <v>0</v>
      </c>
      <c r="J59" s="13">
        <f>Detalle_de_Pedido[[#This Row],[Precio]]*Detalle_de_Pedido[[#This Row],[Cantidad]]</f>
        <v>0</v>
      </c>
      <c r="K59" s="13">
        <f>IFERROR(Detalle_de_Pedido[[#This Row],[Costo estandar]]*Detalle_de_Pedido[[#This Row],[Cantidad]],0)</f>
        <v>0</v>
      </c>
      <c r="L59" s="13">
        <f>Detalle_de_Pedido[[#This Row],[Total de venta]]-Detalle_de_Pedido[[#This Row],[Costo Total]]</f>
        <v>0</v>
      </c>
      <c r="M59" s="18">
        <f>VLOOKUP(A59,Pedidos!A:D,4,0)</f>
        <v>38832.727002314801</v>
      </c>
      <c r="N59" s="13" t="str">
        <f>TEXT(Detalle_de_Pedido[[#This Row],[Fecha de pedido]],"mmmm")</f>
        <v>abril</v>
      </c>
      <c r="O59" s="13" t="str">
        <f>TEXT(Detalle_de_Pedido[[#This Row],[Fecha de pedido]],"dddd")</f>
        <v>martes</v>
      </c>
    </row>
    <row r="60" spans="1:15" x14ac:dyDescent="0.3">
      <c r="A60">
        <v>57</v>
      </c>
      <c r="C60" t="e">
        <f>VLOOKUP(B60,Productos!A:C,3,0)</f>
        <v>#N/A</v>
      </c>
      <c r="E60" s="1"/>
      <c r="F60" s="13" t="e">
        <f>VLOOKUP(Detalle_de_Pedido[[#This Row],[Id de producto]],Productos[],9,0)</f>
        <v>#N/A</v>
      </c>
      <c r="G60" s="13" t="e">
        <f>VLOOKUP(Detalle_de_Pedido[[#This Row],[Id de producto]],Productos[],3,0)</f>
        <v>#N/A</v>
      </c>
      <c r="H60" s="13">
        <f>COUNTIF($A$2:A67,A60)</f>
        <v>1</v>
      </c>
      <c r="I60" s="16">
        <f>IFERROR(VALUE(IF(H60=1,VLOOKUP(A60,Pedidos!A:I,9,0),0)),0)</f>
        <v>200</v>
      </c>
      <c r="J60" s="13">
        <f>Detalle_de_Pedido[[#This Row],[Precio]]*Detalle_de_Pedido[[#This Row],[Cantidad]]</f>
        <v>0</v>
      </c>
      <c r="K60" s="13">
        <f>IFERROR(Detalle_de_Pedido[[#This Row],[Costo estandar]]*Detalle_de_Pedido[[#This Row],[Cantidad]],0)</f>
        <v>0</v>
      </c>
      <c r="L60" s="13">
        <f>Detalle_de_Pedido[[#This Row],[Total de venta]]-Detalle_de_Pedido[[#This Row],[Costo Total]]</f>
        <v>0</v>
      </c>
      <c r="M60" s="18">
        <f>VLOOKUP(A60,Pedidos!A:D,4,0)</f>
        <v>38829</v>
      </c>
      <c r="N60" s="13" t="str">
        <f>TEXT(Detalle_de_Pedido[[#This Row],[Fecha de pedido]],"mmmm")</f>
        <v>abril</v>
      </c>
      <c r="O60" s="13" t="str">
        <f>TEXT(Detalle_de_Pedido[[#This Row],[Fecha de pedido]],"dddd")</f>
        <v>sábado</v>
      </c>
    </row>
    <row r="61" spans="1:15" x14ac:dyDescent="0.3">
      <c r="A61">
        <v>59</v>
      </c>
      <c r="C61" t="e">
        <f>VLOOKUP(B61,Productos!A:C,3,0)</f>
        <v>#N/A</v>
      </c>
      <c r="E61" s="1"/>
      <c r="F61" s="13" t="e">
        <f>VLOOKUP(Detalle_de_Pedido[[#This Row],[Id de producto]],Productos[],9,0)</f>
        <v>#N/A</v>
      </c>
      <c r="G61" s="13" t="e">
        <f>VLOOKUP(Detalle_de_Pedido[[#This Row],[Id de producto]],Productos[],3,0)</f>
        <v>#N/A</v>
      </c>
      <c r="H61" s="13">
        <f>COUNTIF($A$2:A67,A61)</f>
        <v>1</v>
      </c>
      <c r="I61" s="16">
        <f>IFERROR(VALUE(IF(H61=1,VLOOKUP(A61,Pedidos!A:I,9,0),0)),0)</f>
        <v>5</v>
      </c>
      <c r="J61" s="13">
        <f>Detalle_de_Pedido[[#This Row],[Precio]]*Detalle_de_Pedido[[#This Row],[Cantidad]]</f>
        <v>0</v>
      </c>
      <c r="K61" s="13">
        <f>IFERROR(Detalle_de_Pedido[[#This Row],[Costo estandar]]*Detalle_de_Pedido[[#This Row],[Cantidad]],0)</f>
        <v>0</v>
      </c>
      <c r="L61" s="13">
        <f>Detalle_de_Pedido[[#This Row],[Total de venta]]-Detalle_de_Pedido[[#This Row],[Costo Total]]</f>
        <v>0</v>
      </c>
      <c r="M61" s="18">
        <f>VLOOKUP(A61,Pedidos!A:D,4,0)</f>
        <v>38829</v>
      </c>
      <c r="N61" s="13" t="str">
        <f>TEXT(Detalle_de_Pedido[[#This Row],[Fecha de pedido]],"mmmm")</f>
        <v>abril</v>
      </c>
      <c r="O61" s="13" t="str">
        <f>TEXT(Detalle_de_Pedido[[#This Row],[Fecha de pedido]],"dddd")</f>
        <v>sábado</v>
      </c>
    </row>
    <row r="62" spans="1:15" x14ac:dyDescent="0.3">
      <c r="A62">
        <v>61</v>
      </c>
      <c r="C62" t="e">
        <f>VLOOKUP(B62,Productos!A:C,3,0)</f>
        <v>#N/A</v>
      </c>
      <c r="E62" s="1"/>
      <c r="F62" s="13" t="e">
        <f>VLOOKUP(Detalle_de_Pedido[[#This Row],[Id de producto]],Productos[],9,0)</f>
        <v>#N/A</v>
      </c>
      <c r="G62" s="13" t="e">
        <f>VLOOKUP(Detalle_de_Pedido[[#This Row],[Id de producto]],Productos[],3,0)</f>
        <v>#N/A</v>
      </c>
      <c r="H62" s="13">
        <f>COUNTIF($A$2:A62,A62)</f>
        <v>1</v>
      </c>
      <c r="I62" s="16">
        <f>IFERROR(VALUE(IF(H62=1,VLOOKUP(A62,Pedidos!A:I,9,0),0)),0)</f>
        <v>4</v>
      </c>
      <c r="J62" s="13">
        <f>Detalle_de_Pedido[[#This Row],[Precio]]*Detalle_de_Pedido[[#This Row],[Cantidad]]</f>
        <v>0</v>
      </c>
      <c r="K62" s="13">
        <f>IFERROR(Detalle_de_Pedido[[#This Row],[Costo estandar]]*Detalle_de_Pedido[[#This Row],[Cantidad]],0)</f>
        <v>0</v>
      </c>
      <c r="L62" s="13">
        <f>Detalle_de_Pedido[[#This Row],[Total de venta]]-Detalle_de_Pedido[[#This Row],[Costo Total]]</f>
        <v>0</v>
      </c>
      <c r="M62" s="18">
        <f>VLOOKUP(A62,Pedidos!A:D,4,0)</f>
        <v>38814</v>
      </c>
      <c r="N62" s="13" t="str">
        <f>TEXT(Detalle_de_Pedido[[#This Row],[Fecha de pedido]],"mmmm")</f>
        <v>abril</v>
      </c>
      <c r="O62" s="13" t="str">
        <f>TEXT(Detalle_de_Pedido[[#This Row],[Fecha de pedido]],"dddd")</f>
        <v>viernes</v>
      </c>
    </row>
    <row r="63" spans="1:15" x14ac:dyDescent="0.3">
      <c r="A63">
        <v>62</v>
      </c>
      <c r="C63" t="e">
        <f>VLOOKUP(B63,Productos!A:C,3,0)</f>
        <v>#N/A</v>
      </c>
      <c r="E63" s="1"/>
      <c r="F63" s="13" t="e">
        <f>VLOOKUP(Detalle_de_Pedido[[#This Row],[Id de producto]],Productos[],9,0)</f>
        <v>#N/A</v>
      </c>
      <c r="G63" s="13" t="e">
        <f>VLOOKUP(Detalle_de_Pedido[[#This Row],[Id de producto]],Productos[],3,0)</f>
        <v>#N/A</v>
      </c>
      <c r="H63" s="13">
        <f>COUNTIF($A$2:A67,A63)</f>
        <v>1</v>
      </c>
      <c r="I63" s="16">
        <f>IFERROR(VALUE(IF(H63=1,VLOOKUP(A63,Pedidos!A:I,9,0),0)),0)</f>
        <v>7</v>
      </c>
      <c r="J63" s="13">
        <f>Detalle_de_Pedido[[#This Row],[Precio]]*Detalle_de_Pedido[[#This Row],[Cantidad]]</f>
        <v>0</v>
      </c>
      <c r="K63" s="13">
        <f>IFERROR(Detalle_de_Pedido[[#This Row],[Costo estandar]]*Detalle_de_Pedido[[#This Row],[Cantidad]],0)</f>
        <v>0</v>
      </c>
      <c r="L63" s="13">
        <f>Detalle_de_Pedido[[#This Row],[Total de venta]]-Detalle_de_Pedido[[#This Row],[Costo Total]]</f>
        <v>0</v>
      </c>
      <c r="M63" s="18">
        <f>VLOOKUP(A63,Pedidos!A:D,4,0)</f>
        <v>38819</v>
      </c>
      <c r="N63" s="13" t="str">
        <f>TEXT(Detalle_de_Pedido[[#This Row],[Fecha de pedido]],"mmmm")</f>
        <v>abril</v>
      </c>
      <c r="O63" s="13" t="str">
        <f>TEXT(Detalle_de_Pedido[[#This Row],[Fecha de pedido]],"dddd")</f>
        <v>miércoles</v>
      </c>
    </row>
    <row r="64" spans="1:15" x14ac:dyDescent="0.3">
      <c r="A64">
        <v>64</v>
      </c>
      <c r="C64" t="e">
        <f>VLOOKUP(B64,Productos!A:C,3,0)</f>
        <v>#N/A</v>
      </c>
      <c r="E64" s="1"/>
      <c r="F64" s="13" t="e">
        <f>VLOOKUP(Detalle_de_Pedido[[#This Row],[Id de producto]],Productos[],9,0)</f>
        <v>#N/A</v>
      </c>
      <c r="G64" s="13" t="e">
        <f>VLOOKUP(Detalle_de_Pedido[[#This Row],[Id de producto]],Productos[],3,0)</f>
        <v>#N/A</v>
      </c>
      <c r="H64" s="13">
        <f>COUNTIF($A$2:A64,A64)</f>
        <v>1</v>
      </c>
      <c r="I64" s="16">
        <f>IFERROR(VALUE(IF(H64=1,VLOOKUP(A64,Pedidos!A:I,9,0),0)),0)</f>
        <v>12</v>
      </c>
      <c r="J64" s="13">
        <f>Detalle_de_Pedido[[#This Row],[Precio]]*Detalle_de_Pedido[[#This Row],[Cantidad]]</f>
        <v>0</v>
      </c>
      <c r="K64" s="13">
        <f>IFERROR(Detalle_de_Pedido[[#This Row],[Costo estandar]]*Detalle_de_Pedido[[#This Row],[Cantidad]],0)</f>
        <v>0</v>
      </c>
      <c r="L64" s="13">
        <f>Detalle_de_Pedido[[#This Row],[Total de venta]]-Detalle_de_Pedido[[#This Row],[Costo Total]]</f>
        <v>0</v>
      </c>
      <c r="M64" s="18">
        <f>VLOOKUP(A64,Pedidos!A:D,4,0)</f>
        <v>38846</v>
      </c>
      <c r="N64" s="13" t="str">
        <f>TEXT(Detalle_de_Pedido[[#This Row],[Fecha de pedido]],"mmmm")</f>
        <v>mayo</v>
      </c>
      <c r="O64" s="13" t="str">
        <f>TEXT(Detalle_de_Pedido[[#This Row],[Fecha de pedido]],"dddd")</f>
        <v>martes</v>
      </c>
    </row>
    <row r="65" spans="1:15" x14ac:dyDescent="0.3">
      <c r="A65">
        <v>65</v>
      </c>
      <c r="C65" t="e">
        <f>VLOOKUP(B65,Productos!A:C,3,0)</f>
        <v>#N/A</v>
      </c>
      <c r="E65" s="1"/>
      <c r="F65" s="13" t="e">
        <f>VLOOKUP(Detalle_de_Pedido[[#This Row],[Id de producto]],Productos[],9,0)</f>
        <v>#N/A</v>
      </c>
      <c r="G65" s="13" t="e">
        <f>VLOOKUP(Detalle_de_Pedido[[#This Row],[Id de producto]],Productos[],3,0)</f>
        <v>#N/A</v>
      </c>
      <c r="H65" s="13">
        <f>COUNTIF($A$2:A65,A65)</f>
        <v>1</v>
      </c>
      <c r="I65" s="16">
        <f>IFERROR(VALUE(IF(H65=1,VLOOKUP(A65,Pedidos!A:I,9,0),0)),0)</f>
        <v>10</v>
      </c>
      <c r="J65" s="13">
        <f>Detalle_de_Pedido[[#This Row],[Precio]]*Detalle_de_Pedido[[#This Row],[Cantidad]]</f>
        <v>0</v>
      </c>
      <c r="K65" s="13">
        <f>IFERROR(Detalle_de_Pedido[[#This Row],[Costo estandar]]*Detalle_de_Pedido[[#This Row],[Cantidad]],0)</f>
        <v>0</v>
      </c>
      <c r="L65" s="13">
        <f>Detalle_de_Pedido[[#This Row],[Total de venta]]-Detalle_de_Pedido[[#This Row],[Costo Total]]</f>
        <v>0</v>
      </c>
      <c r="M65" s="18">
        <f>VLOOKUP(A65,Pedidos!A:D,4,0)</f>
        <v>38848</v>
      </c>
      <c r="N65" s="13" t="str">
        <f>TEXT(Detalle_de_Pedido[[#This Row],[Fecha de pedido]],"mmmm")</f>
        <v>mayo</v>
      </c>
      <c r="O65" s="13" t="str">
        <f>TEXT(Detalle_de_Pedido[[#This Row],[Fecha de pedido]],"dddd")</f>
        <v>jueves</v>
      </c>
    </row>
    <row r="66" spans="1:15" x14ac:dyDescent="0.3">
      <c r="A66">
        <v>66</v>
      </c>
      <c r="C66" t="e">
        <f>VLOOKUP(B66,Productos!A:C,3,0)</f>
        <v>#N/A</v>
      </c>
      <c r="E66" s="1"/>
      <c r="F66" s="13" t="e">
        <f>VLOOKUP(Detalle_de_Pedido[[#This Row],[Id de producto]],Productos[],9,0)</f>
        <v>#N/A</v>
      </c>
      <c r="G66" s="13" t="e">
        <f>VLOOKUP(Detalle_de_Pedido[[#This Row],[Id de producto]],Productos[],3,0)</f>
        <v>#N/A</v>
      </c>
      <c r="H66" s="13">
        <f>COUNTIF($A$2:A67,A66)</f>
        <v>1</v>
      </c>
      <c r="I66" s="16">
        <f>IFERROR(VALUE(IF(H66=1,VLOOKUP(A66,Pedidos!A:I,9,0),0)),0)</f>
        <v>5</v>
      </c>
      <c r="J66" s="13">
        <f>Detalle_de_Pedido[[#This Row],[Precio]]*Detalle_de_Pedido[[#This Row],[Cantidad]]</f>
        <v>0</v>
      </c>
      <c r="K66" s="13">
        <f>IFERROR(Detalle_de_Pedido[[#This Row],[Costo estandar]]*Detalle_de_Pedido[[#This Row],[Cantidad]],0)</f>
        <v>0</v>
      </c>
      <c r="L66" s="13">
        <f>Detalle_de_Pedido[[#This Row],[Total de venta]]-Detalle_de_Pedido[[#This Row],[Costo Total]]</f>
        <v>0</v>
      </c>
      <c r="M66" s="18">
        <f>VLOOKUP(A66,Pedidos!A:D,4,0)</f>
        <v>38861</v>
      </c>
      <c r="N66" s="13" t="str">
        <f>TEXT(Detalle_de_Pedido[[#This Row],[Fecha de pedido]],"mmmm")</f>
        <v>mayo</v>
      </c>
      <c r="O66" s="13" t="str">
        <f>TEXT(Detalle_de_Pedido[[#This Row],[Fecha de pedido]],"dddd")</f>
        <v>miércoles</v>
      </c>
    </row>
    <row r="67" spans="1:15" x14ac:dyDescent="0.3">
      <c r="A67">
        <v>68</v>
      </c>
      <c r="C67" t="e">
        <f>VLOOKUP(B67,Productos!A:C,3,0)</f>
        <v>#N/A</v>
      </c>
      <c r="E67" s="1"/>
      <c r="F67" s="13" t="e">
        <f>VLOOKUP(Detalle_de_Pedido[[#This Row],[Id de producto]],Productos[],9,0)</f>
        <v>#N/A</v>
      </c>
      <c r="G67" s="13" t="e">
        <f>VLOOKUP(Detalle_de_Pedido[[#This Row],[Id de producto]],Productos[],3,0)</f>
        <v>#N/A</v>
      </c>
      <c r="H67" s="13">
        <f>COUNTIF($A$2:A67,A67)</f>
        <v>1</v>
      </c>
      <c r="I67" s="16">
        <f>IFERROR(VALUE(IF(H67=1,VLOOKUP(A67,Pedidos!A:I,9,0),0)),0)</f>
        <v>0</v>
      </c>
      <c r="J67" s="13">
        <f>Detalle_de_Pedido[[#This Row],[Precio]]*Detalle_de_Pedido[[#This Row],[Cantidad]]</f>
        <v>0</v>
      </c>
      <c r="K67" s="13">
        <f>IFERROR(Detalle_de_Pedido[[#This Row],[Costo estandar]]*Detalle_de_Pedido[[#This Row],[Cantidad]],0)</f>
        <v>0</v>
      </c>
      <c r="L67" s="13">
        <f>Detalle_de_Pedido[[#This Row],[Total de venta]]-Detalle_de_Pedido[[#This Row],[Costo Total]]</f>
        <v>0</v>
      </c>
      <c r="M67" s="18">
        <f>VLOOKUP(A67,Pedidos!A:D,4,0)</f>
        <v>38861</v>
      </c>
      <c r="N67" s="13" t="str">
        <f>TEXT(Detalle_de_Pedido[[#This Row],[Fecha de pedido]],"mmmm")</f>
        <v>mayo</v>
      </c>
      <c r="O67" s="13" t="str">
        <f>TEXT(Detalle_de_Pedido[[#This Row],[Fecha de pedido]],"dddd")</f>
        <v>miércoles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B30" sqref="B30"/>
    </sheetView>
  </sheetViews>
  <sheetFormatPr baseColWidth="10" defaultColWidth="8.88671875" defaultRowHeight="14.4" x14ac:dyDescent="0.3"/>
  <cols>
    <col min="1" max="1" width="13.33203125" customWidth="1"/>
    <col min="2" max="2" width="45.33203125" bestFit="1" customWidth="1"/>
    <col min="3" max="3" width="16.33203125" customWidth="1"/>
    <col min="4" max="4" width="15.109375" customWidth="1"/>
    <col min="5" max="5" width="17.88671875" customWidth="1"/>
    <col min="6" max="6" width="15.6640625" customWidth="1"/>
    <col min="7" max="7" width="21" customWidth="1"/>
    <col min="8" max="8" width="30.44140625" customWidth="1"/>
    <col min="9" max="9" width="25.33203125" bestFit="1" customWidth="1"/>
    <col min="10" max="10" width="22" bestFit="1" customWidth="1"/>
    <col min="11" max="11" width="13.88671875" customWidth="1"/>
    <col min="12" max="12" width="17.44140625" bestFit="1" customWidth="1"/>
  </cols>
  <sheetData>
    <row r="1" spans="1:13" x14ac:dyDescent="0.3">
      <c r="A1" t="s">
        <v>169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192</v>
      </c>
      <c r="K1" t="s">
        <v>193</v>
      </c>
      <c r="L1" t="s">
        <v>194</v>
      </c>
      <c r="M1" t="s">
        <v>184</v>
      </c>
    </row>
    <row r="2" spans="1:13" x14ac:dyDescent="0.3">
      <c r="A2" s="12">
        <v>1</v>
      </c>
      <c r="B2" t="s">
        <v>72</v>
      </c>
      <c r="C2" s="1">
        <v>13.5</v>
      </c>
      <c r="D2" s="1">
        <v>18</v>
      </c>
      <c r="E2">
        <v>10</v>
      </c>
      <c r="F2">
        <v>40</v>
      </c>
      <c r="G2" t="s">
        <v>73</v>
      </c>
      <c r="H2">
        <v>10</v>
      </c>
      <c r="I2" t="s">
        <v>74</v>
      </c>
      <c r="J2">
        <v>143</v>
      </c>
      <c r="K2" t="str">
        <f>IF(Productos[[#This Row],[cantidad en deposito]]&lt;Productos[[#This Row],[Punto de pedido]],"si","no")</f>
        <v>no</v>
      </c>
      <c r="L2">
        <f>IF(Productos[[#This Row],[pedimos si o no]]="si",Productos[[#This Row],[Nivel objetivo]]-Productos[[#This Row],[cantidad en deposito]],0)</f>
        <v>0</v>
      </c>
      <c r="M2" s="13">
        <f>Productos[[#This Row],[cuanto pedimos]]*Productos[[#This Row],[Costo estándar]]</f>
        <v>0</v>
      </c>
    </row>
    <row r="3" spans="1:13" x14ac:dyDescent="0.3">
      <c r="A3" s="12">
        <v>3</v>
      </c>
      <c r="B3" t="s">
        <v>75</v>
      </c>
      <c r="C3" s="1">
        <v>7.5</v>
      </c>
      <c r="D3" s="1">
        <v>10</v>
      </c>
      <c r="E3">
        <v>25</v>
      </c>
      <c r="F3">
        <v>100</v>
      </c>
      <c r="G3" t="s">
        <v>76</v>
      </c>
      <c r="H3">
        <v>25</v>
      </c>
      <c r="I3" t="s">
        <v>77</v>
      </c>
      <c r="J3">
        <v>106</v>
      </c>
      <c r="K3" t="str">
        <f>IF(Productos[[#This Row],[cantidad en deposito]]&lt;Productos[[#This Row],[Punto de pedido]],"si","no")</f>
        <v>no</v>
      </c>
      <c r="L3">
        <f>IF(Productos[[#This Row],[pedimos si o no]]="si",Productos[[#This Row],[Nivel objetivo]]-Productos[[#This Row],[cantidad en deposito]],0)</f>
        <v>0</v>
      </c>
      <c r="M3" s="13">
        <f>Productos[[#This Row],[cuanto pedimos]]*Productos[[#This Row],[Costo estándar]]</f>
        <v>0</v>
      </c>
    </row>
    <row r="4" spans="1:13" x14ac:dyDescent="0.3">
      <c r="A4" s="12">
        <v>4</v>
      </c>
      <c r="B4" t="s">
        <v>78</v>
      </c>
      <c r="C4" s="1">
        <v>16.5</v>
      </c>
      <c r="D4" s="1">
        <v>22</v>
      </c>
      <c r="E4">
        <v>10</v>
      </c>
      <c r="F4">
        <v>40</v>
      </c>
      <c r="G4" t="s">
        <v>79</v>
      </c>
      <c r="H4">
        <v>10</v>
      </c>
      <c r="I4" t="s">
        <v>77</v>
      </c>
      <c r="J4">
        <v>64</v>
      </c>
      <c r="K4" t="str">
        <f>IF(Productos[[#This Row],[cantidad en deposito]]&lt;Productos[[#This Row],[Punto de pedido]],"si","no")</f>
        <v>no</v>
      </c>
      <c r="L4">
        <f>IF(Productos[[#This Row],[pedimos si o no]]="si",Productos[[#This Row],[Nivel objetivo]]-Productos[[#This Row],[cantidad en deposito]],0)</f>
        <v>0</v>
      </c>
      <c r="M4" s="13">
        <f>Productos[[#This Row],[cuanto pedimos]]*Productos[[#This Row],[Costo estándar]]</f>
        <v>0</v>
      </c>
    </row>
    <row r="5" spans="1:13" x14ac:dyDescent="0.3">
      <c r="A5" s="12">
        <v>5</v>
      </c>
      <c r="B5" t="s">
        <v>80</v>
      </c>
      <c r="C5" s="1">
        <v>16.012499999999999</v>
      </c>
      <c r="D5" s="1">
        <v>21.35</v>
      </c>
      <c r="E5">
        <v>10</v>
      </c>
      <c r="F5">
        <v>40</v>
      </c>
      <c r="G5" t="s">
        <v>81</v>
      </c>
      <c r="H5">
        <v>10</v>
      </c>
      <c r="I5" t="s">
        <v>82</v>
      </c>
      <c r="J5">
        <v>98</v>
      </c>
      <c r="K5" t="str">
        <f>IF(Productos[[#This Row],[cantidad en deposito]]&lt;Productos[[#This Row],[Punto de pedido]],"si","no")</f>
        <v>no</v>
      </c>
      <c r="L5">
        <f>IF(Productos[[#This Row],[pedimos si o no]]="si",Productos[[#This Row],[Nivel objetivo]]-Productos[[#This Row],[cantidad en deposito]],0)</f>
        <v>0</v>
      </c>
      <c r="M5" s="13">
        <f>Productos[[#This Row],[cuanto pedimos]]*Productos[[#This Row],[Costo estándar]]</f>
        <v>0</v>
      </c>
    </row>
    <row r="6" spans="1:13" x14ac:dyDescent="0.3">
      <c r="A6" s="12">
        <v>6</v>
      </c>
      <c r="B6" t="s">
        <v>83</v>
      </c>
      <c r="C6" s="1">
        <v>18.75</v>
      </c>
      <c r="D6" s="1">
        <v>25</v>
      </c>
      <c r="E6">
        <v>25</v>
      </c>
      <c r="F6">
        <v>100</v>
      </c>
      <c r="G6" t="s">
        <v>84</v>
      </c>
      <c r="H6">
        <v>25</v>
      </c>
      <c r="I6" t="s">
        <v>85</v>
      </c>
      <c r="J6">
        <v>20</v>
      </c>
      <c r="K6" t="str">
        <f>IF(Productos[[#This Row],[cantidad en deposito]]&lt;Productos[[#This Row],[Punto de pedido]],"si","no")</f>
        <v>si</v>
      </c>
      <c r="L6">
        <f>IF(Productos[[#This Row],[pedimos si o no]]="si",Productos[[#This Row],[Nivel objetivo]]-Productos[[#This Row],[cantidad en deposito]],0)</f>
        <v>80</v>
      </c>
      <c r="M6" s="13">
        <f>Productos[[#This Row],[cuanto pedimos]]*Productos[[#This Row],[Costo estándar]]</f>
        <v>1500</v>
      </c>
    </row>
    <row r="7" spans="1:13" x14ac:dyDescent="0.3">
      <c r="A7" s="12">
        <v>7</v>
      </c>
      <c r="B7" t="s">
        <v>86</v>
      </c>
      <c r="C7" s="1">
        <v>22.5</v>
      </c>
      <c r="D7" s="1">
        <v>30</v>
      </c>
      <c r="E7">
        <v>10</v>
      </c>
      <c r="F7">
        <v>40</v>
      </c>
      <c r="G7" t="s">
        <v>87</v>
      </c>
      <c r="H7">
        <v>10</v>
      </c>
      <c r="I7" t="s">
        <v>88</v>
      </c>
      <c r="J7">
        <v>31</v>
      </c>
      <c r="K7" t="str">
        <f>IF(Productos[[#This Row],[cantidad en deposito]]&lt;Productos[[#This Row],[Punto de pedido]],"si","no")</f>
        <v>no</v>
      </c>
      <c r="L7">
        <f>IF(Productos[[#This Row],[pedimos si o no]]="si",Productos[[#This Row],[Nivel objetivo]]-Productos[[#This Row],[cantidad en deposito]],0)</f>
        <v>0</v>
      </c>
      <c r="M7" s="13">
        <f>Productos[[#This Row],[cuanto pedimos]]*Productos[[#This Row],[Costo estándar]]</f>
        <v>0</v>
      </c>
    </row>
    <row r="8" spans="1:13" x14ac:dyDescent="0.3">
      <c r="A8" s="12">
        <v>8</v>
      </c>
      <c r="B8" t="s">
        <v>89</v>
      </c>
      <c r="C8" s="1">
        <v>30</v>
      </c>
      <c r="D8" s="1">
        <v>40</v>
      </c>
      <c r="E8">
        <v>10</v>
      </c>
      <c r="F8">
        <v>40</v>
      </c>
      <c r="G8" t="s">
        <v>90</v>
      </c>
      <c r="H8">
        <v>10</v>
      </c>
      <c r="I8" t="s">
        <v>91</v>
      </c>
      <c r="J8">
        <v>95</v>
      </c>
      <c r="K8" t="str">
        <f>IF(Productos[[#This Row],[cantidad en deposito]]&lt;Productos[[#This Row],[Punto de pedido]],"si","no")</f>
        <v>no</v>
      </c>
      <c r="L8">
        <f>IF(Productos[[#This Row],[pedimos si o no]]="si",Productos[[#This Row],[Nivel objetivo]]-Productos[[#This Row],[cantidad en deposito]],0)</f>
        <v>0</v>
      </c>
      <c r="M8" s="13">
        <f>Productos[[#This Row],[cuanto pedimos]]*Productos[[#This Row],[Costo estándar]]</f>
        <v>0</v>
      </c>
    </row>
    <row r="9" spans="1:13" x14ac:dyDescent="0.3">
      <c r="A9" s="12">
        <v>14</v>
      </c>
      <c r="B9" t="s">
        <v>92</v>
      </c>
      <c r="C9" s="1">
        <v>17.4375</v>
      </c>
      <c r="D9" s="1">
        <v>23.25</v>
      </c>
      <c r="E9">
        <v>10</v>
      </c>
      <c r="F9">
        <v>40</v>
      </c>
      <c r="G9" t="s">
        <v>93</v>
      </c>
      <c r="H9">
        <v>10</v>
      </c>
      <c r="I9" t="s">
        <v>88</v>
      </c>
      <c r="J9">
        <v>133</v>
      </c>
      <c r="K9" t="str">
        <f>IF(Productos[[#This Row],[cantidad en deposito]]&lt;Productos[[#This Row],[Punto de pedido]],"si","no")</f>
        <v>no</v>
      </c>
      <c r="L9">
        <f>IF(Productos[[#This Row],[pedimos si o no]]="si",Productos[[#This Row],[Nivel objetivo]]-Productos[[#This Row],[cantidad en deposito]],0)</f>
        <v>0</v>
      </c>
      <c r="M9" s="13">
        <f>Productos[[#This Row],[cuanto pedimos]]*Productos[[#This Row],[Costo estándar]]</f>
        <v>0</v>
      </c>
    </row>
    <row r="10" spans="1:13" x14ac:dyDescent="0.3">
      <c r="A10" s="12">
        <v>17</v>
      </c>
      <c r="B10" t="s">
        <v>94</v>
      </c>
      <c r="C10" s="1">
        <v>29.25</v>
      </c>
      <c r="D10" s="1">
        <v>39</v>
      </c>
      <c r="E10">
        <v>10</v>
      </c>
      <c r="F10">
        <v>40</v>
      </c>
      <c r="G10" t="s">
        <v>95</v>
      </c>
      <c r="H10">
        <v>10</v>
      </c>
      <c r="I10" t="s">
        <v>96</v>
      </c>
      <c r="J10">
        <v>22</v>
      </c>
      <c r="K10" t="str">
        <f>IF(Productos[[#This Row],[cantidad en deposito]]&lt;Productos[[#This Row],[Punto de pedido]],"si","no")</f>
        <v>no</v>
      </c>
      <c r="L10">
        <f>IF(Productos[[#This Row],[pedimos si o no]]="si",Productos[[#This Row],[Nivel objetivo]]-Productos[[#This Row],[cantidad en deposito]],0)</f>
        <v>0</v>
      </c>
      <c r="M10" s="13">
        <f>Productos[[#This Row],[cuanto pedimos]]*Productos[[#This Row],[Costo estándar]]</f>
        <v>0</v>
      </c>
    </row>
    <row r="11" spans="1:13" x14ac:dyDescent="0.3">
      <c r="A11" s="12">
        <v>19</v>
      </c>
      <c r="B11" t="s">
        <v>97</v>
      </c>
      <c r="C11" s="1">
        <v>6.9</v>
      </c>
      <c r="D11" s="1">
        <v>9.1999999999999993</v>
      </c>
      <c r="E11">
        <v>5</v>
      </c>
      <c r="F11">
        <v>20</v>
      </c>
      <c r="G11" t="s">
        <v>98</v>
      </c>
      <c r="H11">
        <v>5</v>
      </c>
      <c r="I11" t="s">
        <v>99</v>
      </c>
      <c r="J11">
        <v>70</v>
      </c>
      <c r="K11" t="str">
        <f>IF(Productos[[#This Row],[cantidad en deposito]]&lt;Productos[[#This Row],[Punto de pedido]],"si","no")</f>
        <v>no</v>
      </c>
      <c r="L11">
        <f>IF(Productos[[#This Row],[pedimos si o no]]="si",Productos[[#This Row],[Nivel objetivo]]-Productos[[#This Row],[cantidad en deposito]],0)</f>
        <v>0</v>
      </c>
      <c r="M11" s="13">
        <f>Productos[[#This Row],[cuanto pedimos]]*Productos[[#This Row],[Costo estándar]]</f>
        <v>0</v>
      </c>
    </row>
    <row r="12" spans="1:13" x14ac:dyDescent="0.3">
      <c r="A12" s="12">
        <v>20</v>
      </c>
      <c r="B12" t="s">
        <v>100</v>
      </c>
      <c r="C12" s="1">
        <v>60.75</v>
      </c>
      <c r="D12" s="1">
        <v>81</v>
      </c>
      <c r="E12">
        <v>10</v>
      </c>
      <c r="F12">
        <v>40</v>
      </c>
      <c r="G12" t="s">
        <v>101</v>
      </c>
      <c r="H12">
        <v>10</v>
      </c>
      <c r="I12" t="s">
        <v>85</v>
      </c>
      <c r="J12">
        <v>102</v>
      </c>
      <c r="K12" t="str">
        <f>IF(Productos[[#This Row],[cantidad en deposito]]&lt;Productos[[#This Row],[Punto de pedido]],"si","no")</f>
        <v>no</v>
      </c>
      <c r="L12">
        <f>IF(Productos[[#This Row],[pedimos si o no]]="si",Productos[[#This Row],[Nivel objetivo]]-Productos[[#This Row],[cantidad en deposito]],0)</f>
        <v>0</v>
      </c>
      <c r="M12" s="13">
        <f>Productos[[#This Row],[cuanto pedimos]]*Productos[[#This Row],[Costo estándar]]</f>
        <v>0</v>
      </c>
    </row>
    <row r="13" spans="1:13" x14ac:dyDescent="0.3">
      <c r="A13" s="12">
        <v>21</v>
      </c>
      <c r="B13" t="s">
        <v>102</v>
      </c>
      <c r="C13" s="1">
        <v>7.5</v>
      </c>
      <c r="D13" s="1">
        <v>10</v>
      </c>
      <c r="E13">
        <v>5</v>
      </c>
      <c r="F13">
        <v>20</v>
      </c>
      <c r="G13" t="s">
        <v>103</v>
      </c>
      <c r="H13">
        <v>5</v>
      </c>
      <c r="I13" t="s">
        <v>99</v>
      </c>
      <c r="J13">
        <v>54</v>
      </c>
      <c r="K13" t="str">
        <f>IF(Productos[[#This Row],[cantidad en deposito]]&lt;Productos[[#This Row],[Punto de pedido]],"si","no")</f>
        <v>no</v>
      </c>
      <c r="L13">
        <f>IF(Productos[[#This Row],[pedimos si o no]]="si",Productos[[#This Row],[Nivel objetivo]]-Productos[[#This Row],[cantidad en deposito]],0)</f>
        <v>0</v>
      </c>
      <c r="M13" s="13">
        <f>Productos[[#This Row],[cuanto pedimos]]*Productos[[#This Row],[Costo estándar]]</f>
        <v>0</v>
      </c>
    </row>
    <row r="14" spans="1:13" x14ac:dyDescent="0.3">
      <c r="A14" s="12">
        <v>34</v>
      </c>
      <c r="B14" t="s">
        <v>104</v>
      </c>
      <c r="C14" s="1">
        <v>10.5</v>
      </c>
      <c r="D14" s="1">
        <v>14</v>
      </c>
      <c r="E14">
        <v>15</v>
      </c>
      <c r="F14">
        <v>60</v>
      </c>
      <c r="G14" t="s">
        <v>105</v>
      </c>
      <c r="H14">
        <v>15</v>
      </c>
      <c r="I14" t="s">
        <v>74</v>
      </c>
      <c r="J14">
        <v>98</v>
      </c>
      <c r="K14" t="str">
        <f>IF(Productos[[#This Row],[cantidad en deposito]]&lt;Productos[[#This Row],[Punto de pedido]],"si","no")</f>
        <v>no</v>
      </c>
      <c r="L14">
        <f>IF(Productos[[#This Row],[pedimos si o no]]="si",Productos[[#This Row],[Nivel objetivo]]-Productos[[#This Row],[cantidad en deposito]],0)</f>
        <v>0</v>
      </c>
      <c r="M14" s="13">
        <f>Productos[[#This Row],[cuanto pedimos]]*Productos[[#This Row],[Costo estándar]]</f>
        <v>0</v>
      </c>
    </row>
    <row r="15" spans="1:13" x14ac:dyDescent="0.3">
      <c r="A15" s="12">
        <v>40</v>
      </c>
      <c r="B15" t="s">
        <v>106</v>
      </c>
      <c r="C15" s="1">
        <v>13.8</v>
      </c>
      <c r="D15" s="1">
        <v>18.399999999999999</v>
      </c>
      <c r="E15">
        <v>30</v>
      </c>
      <c r="F15">
        <v>120</v>
      </c>
      <c r="G15" t="s">
        <v>107</v>
      </c>
      <c r="H15">
        <v>30</v>
      </c>
      <c r="I15" t="s">
        <v>108</v>
      </c>
      <c r="J15">
        <v>80</v>
      </c>
      <c r="K15" t="str">
        <f>IF(Productos[[#This Row],[cantidad en deposito]]&lt;Productos[[#This Row],[Punto de pedido]],"si","no")</f>
        <v>no</v>
      </c>
      <c r="L15">
        <f>IF(Productos[[#This Row],[pedimos si o no]]="si",Productos[[#This Row],[Nivel objetivo]]-Productos[[#This Row],[cantidad en deposito]],0)</f>
        <v>0</v>
      </c>
      <c r="M15" s="13">
        <f>Productos[[#This Row],[cuanto pedimos]]*Productos[[#This Row],[Costo estándar]]</f>
        <v>0</v>
      </c>
    </row>
    <row r="16" spans="1:13" x14ac:dyDescent="0.3">
      <c r="A16" s="12">
        <v>41</v>
      </c>
      <c r="B16" t="s">
        <v>109</v>
      </c>
      <c r="C16" s="1">
        <v>7.2374999999999998</v>
      </c>
      <c r="D16" s="1">
        <v>9.65</v>
      </c>
      <c r="E16">
        <v>10</v>
      </c>
      <c r="F16">
        <v>40</v>
      </c>
      <c r="G16" t="s">
        <v>110</v>
      </c>
      <c r="H16">
        <v>10</v>
      </c>
      <c r="I16" t="s">
        <v>111</v>
      </c>
      <c r="J16">
        <v>121</v>
      </c>
      <c r="K16" t="str">
        <f>IF(Productos[[#This Row],[cantidad en deposito]]&lt;Productos[[#This Row],[Punto de pedido]],"si","no")</f>
        <v>no</v>
      </c>
      <c r="L16">
        <f>IF(Productos[[#This Row],[pedimos si o no]]="si",Productos[[#This Row],[Nivel objetivo]]-Productos[[#This Row],[cantidad en deposito]],0)</f>
        <v>0</v>
      </c>
      <c r="M16" s="13">
        <f>Productos[[#This Row],[cuanto pedimos]]*Productos[[#This Row],[Costo estándar]]</f>
        <v>0</v>
      </c>
    </row>
    <row r="17" spans="1:13" x14ac:dyDescent="0.3">
      <c r="A17" s="12">
        <v>43</v>
      </c>
      <c r="B17" t="s">
        <v>112</v>
      </c>
      <c r="C17" s="1">
        <v>34.5</v>
      </c>
      <c r="D17" s="1">
        <v>46</v>
      </c>
      <c r="E17">
        <v>25</v>
      </c>
      <c r="F17">
        <v>100</v>
      </c>
      <c r="G17" t="s">
        <v>113</v>
      </c>
      <c r="H17">
        <v>25</v>
      </c>
      <c r="I17" t="s">
        <v>74</v>
      </c>
      <c r="J17">
        <v>12</v>
      </c>
      <c r="K17" t="str">
        <f>IF(Productos[[#This Row],[cantidad en deposito]]&lt;Productos[[#This Row],[Punto de pedido]],"si","no")</f>
        <v>si</v>
      </c>
      <c r="L17">
        <f>IF(Productos[[#This Row],[pedimos si o no]]="si",Productos[[#This Row],[Nivel objetivo]]-Productos[[#This Row],[cantidad en deposito]],0)</f>
        <v>88</v>
      </c>
      <c r="M17" s="13">
        <f>Productos[[#This Row],[cuanto pedimos]]*Productos[[#This Row],[Costo estándar]]</f>
        <v>3036</v>
      </c>
    </row>
    <row r="18" spans="1:13" x14ac:dyDescent="0.3">
      <c r="A18" s="12">
        <v>48</v>
      </c>
      <c r="B18" t="s">
        <v>114</v>
      </c>
      <c r="C18" s="1">
        <v>9.5625</v>
      </c>
      <c r="D18" s="1">
        <v>12.75</v>
      </c>
      <c r="E18">
        <v>25</v>
      </c>
      <c r="F18">
        <v>100</v>
      </c>
      <c r="G18" t="s">
        <v>115</v>
      </c>
      <c r="H18">
        <v>25</v>
      </c>
      <c r="I18" t="s">
        <v>116</v>
      </c>
      <c r="J18">
        <v>136</v>
      </c>
      <c r="K18" t="str">
        <f>IF(Productos[[#This Row],[cantidad en deposito]]&lt;Productos[[#This Row],[Punto de pedido]],"si","no")</f>
        <v>no</v>
      </c>
      <c r="L18">
        <f>IF(Productos[[#This Row],[pedimos si o no]]="si",Productos[[#This Row],[Nivel objetivo]]-Productos[[#This Row],[cantidad en deposito]],0)</f>
        <v>0</v>
      </c>
      <c r="M18" s="13">
        <f>Productos[[#This Row],[cuanto pedimos]]*Productos[[#This Row],[Costo estándar]]</f>
        <v>0</v>
      </c>
    </row>
    <row r="19" spans="1:13" x14ac:dyDescent="0.3">
      <c r="A19" s="12">
        <v>51</v>
      </c>
      <c r="B19" t="s">
        <v>117</v>
      </c>
      <c r="C19" s="1">
        <v>39.75</v>
      </c>
      <c r="D19" s="1">
        <v>53</v>
      </c>
      <c r="E19">
        <v>10</v>
      </c>
      <c r="F19">
        <v>40</v>
      </c>
      <c r="G19" t="s">
        <v>118</v>
      </c>
      <c r="H19">
        <v>10</v>
      </c>
      <c r="I19" t="s">
        <v>88</v>
      </c>
      <c r="J19">
        <v>49</v>
      </c>
      <c r="K19" t="str">
        <f>IF(Productos[[#This Row],[cantidad en deposito]]&lt;Productos[[#This Row],[Punto de pedido]],"si","no")</f>
        <v>no</v>
      </c>
      <c r="L19">
        <f>IF(Productos[[#This Row],[pedimos si o no]]="si",Productos[[#This Row],[Nivel objetivo]]-Productos[[#This Row],[cantidad en deposito]],0)</f>
        <v>0</v>
      </c>
      <c r="M19" s="13">
        <f>Productos[[#This Row],[cuanto pedimos]]*Productos[[#This Row],[Costo estándar]]</f>
        <v>0</v>
      </c>
    </row>
    <row r="20" spans="1:13" x14ac:dyDescent="0.3">
      <c r="A20" s="12">
        <v>52</v>
      </c>
      <c r="B20" t="s">
        <v>119</v>
      </c>
      <c r="C20" s="1">
        <v>5.25</v>
      </c>
      <c r="D20" s="1">
        <v>7</v>
      </c>
      <c r="E20">
        <v>25</v>
      </c>
      <c r="F20">
        <v>100</v>
      </c>
      <c r="G20" t="s">
        <v>120</v>
      </c>
      <c r="H20">
        <v>25</v>
      </c>
      <c r="I20" t="s">
        <v>121</v>
      </c>
      <c r="J20">
        <v>13</v>
      </c>
      <c r="K20" t="str">
        <f>IF(Productos[[#This Row],[cantidad en deposito]]&lt;Productos[[#This Row],[Punto de pedido]],"si","no")</f>
        <v>si</v>
      </c>
      <c r="L20">
        <f>IF(Productos[[#This Row],[pedimos si o no]]="si",Productos[[#This Row],[Nivel objetivo]]-Productos[[#This Row],[cantidad en deposito]],0)</f>
        <v>87</v>
      </c>
      <c r="M20" s="13">
        <f>Productos[[#This Row],[cuanto pedimos]]*Productos[[#This Row],[Costo estándar]]</f>
        <v>456.75</v>
      </c>
    </row>
    <row r="21" spans="1:13" x14ac:dyDescent="0.3">
      <c r="A21" s="12">
        <v>56</v>
      </c>
      <c r="B21" t="s">
        <v>122</v>
      </c>
      <c r="C21" s="1">
        <v>28.5</v>
      </c>
      <c r="D21" s="1">
        <v>38</v>
      </c>
      <c r="E21">
        <v>30</v>
      </c>
      <c r="F21">
        <v>120</v>
      </c>
      <c r="G21" t="s">
        <v>123</v>
      </c>
      <c r="H21">
        <v>30</v>
      </c>
      <c r="I21" t="s">
        <v>124</v>
      </c>
      <c r="J21">
        <v>57</v>
      </c>
      <c r="K21" t="str">
        <f>IF(Productos[[#This Row],[cantidad en deposito]]&lt;Productos[[#This Row],[Punto de pedido]],"si","no")</f>
        <v>no</v>
      </c>
      <c r="L21">
        <f>IF(Productos[[#This Row],[pedimos si o no]]="si",Productos[[#This Row],[Nivel objetivo]]-Productos[[#This Row],[cantidad en deposito]],0)</f>
        <v>0</v>
      </c>
      <c r="M21" s="13">
        <f>Productos[[#This Row],[cuanto pedimos]]*Productos[[#This Row],[Costo estándar]]</f>
        <v>0</v>
      </c>
    </row>
    <row r="22" spans="1:13" x14ac:dyDescent="0.3">
      <c r="A22" s="12">
        <v>57</v>
      </c>
      <c r="B22" t="s">
        <v>125</v>
      </c>
      <c r="C22" s="1">
        <v>14.625</v>
      </c>
      <c r="D22" s="1">
        <v>19.5</v>
      </c>
      <c r="E22">
        <v>20</v>
      </c>
      <c r="F22">
        <v>80</v>
      </c>
      <c r="G22" t="s">
        <v>123</v>
      </c>
      <c r="H22">
        <v>20</v>
      </c>
      <c r="I22" t="s">
        <v>124</v>
      </c>
      <c r="J22">
        <v>128</v>
      </c>
      <c r="K22" t="str">
        <f>IF(Productos[[#This Row],[cantidad en deposito]]&lt;Productos[[#This Row],[Punto de pedido]],"si","no")</f>
        <v>no</v>
      </c>
      <c r="L22">
        <f>IF(Productos[[#This Row],[pedimos si o no]]="si",Productos[[#This Row],[Nivel objetivo]]-Productos[[#This Row],[cantidad en deposito]],0)</f>
        <v>0</v>
      </c>
      <c r="M22" s="13">
        <f>Productos[[#This Row],[cuanto pedimos]]*Productos[[#This Row],[Costo estándar]]</f>
        <v>0</v>
      </c>
    </row>
    <row r="23" spans="1:13" x14ac:dyDescent="0.3">
      <c r="A23" s="12">
        <v>65</v>
      </c>
      <c r="B23" t="s">
        <v>126</v>
      </c>
      <c r="C23" s="1">
        <v>15.7875</v>
      </c>
      <c r="D23" s="1">
        <v>21.05</v>
      </c>
      <c r="E23">
        <v>10</v>
      </c>
      <c r="F23">
        <v>40</v>
      </c>
      <c r="G23" t="s">
        <v>127</v>
      </c>
      <c r="H23">
        <v>10</v>
      </c>
      <c r="I23" t="s">
        <v>91</v>
      </c>
      <c r="J23">
        <v>65</v>
      </c>
      <c r="K23" t="str">
        <f>IF(Productos[[#This Row],[cantidad en deposito]]&lt;Productos[[#This Row],[Punto de pedido]],"si","no")</f>
        <v>no</v>
      </c>
      <c r="L23">
        <f>IF(Productos[[#This Row],[pedimos si o no]]="si",Productos[[#This Row],[Nivel objetivo]]-Productos[[#This Row],[cantidad en deposito]],0)</f>
        <v>0</v>
      </c>
      <c r="M23" s="13">
        <f>Productos[[#This Row],[cuanto pedimos]]*Productos[[#This Row],[Costo estándar]]</f>
        <v>0</v>
      </c>
    </row>
    <row r="24" spans="1:13" x14ac:dyDescent="0.3">
      <c r="A24" s="12">
        <v>66</v>
      </c>
      <c r="B24" t="s">
        <v>128</v>
      </c>
      <c r="C24" s="1">
        <v>12.75</v>
      </c>
      <c r="D24" s="1">
        <v>17</v>
      </c>
      <c r="E24">
        <v>20</v>
      </c>
      <c r="F24">
        <v>80</v>
      </c>
      <c r="G24" t="s">
        <v>129</v>
      </c>
      <c r="H24">
        <v>20</v>
      </c>
      <c r="I24" t="s">
        <v>91</v>
      </c>
      <c r="J24">
        <v>84</v>
      </c>
      <c r="K24" t="str">
        <f>IF(Productos[[#This Row],[cantidad en deposito]]&lt;Productos[[#This Row],[Punto de pedido]],"si","no")</f>
        <v>no</v>
      </c>
      <c r="L24">
        <f>IF(Productos[[#This Row],[pedimos si o no]]="si",Productos[[#This Row],[Nivel objetivo]]-Productos[[#This Row],[cantidad en deposito]],0)</f>
        <v>0</v>
      </c>
      <c r="M24" s="13">
        <f>Productos[[#This Row],[cuanto pedimos]]*Productos[[#This Row],[Costo estándar]]</f>
        <v>0</v>
      </c>
    </row>
    <row r="25" spans="1:13" x14ac:dyDescent="0.3">
      <c r="A25" s="12">
        <v>72</v>
      </c>
      <c r="B25" t="s">
        <v>130</v>
      </c>
      <c r="C25" s="1">
        <v>26.1</v>
      </c>
      <c r="D25" s="1">
        <v>34.799999999999997</v>
      </c>
      <c r="E25">
        <v>10</v>
      </c>
      <c r="F25">
        <v>40</v>
      </c>
      <c r="G25" t="s">
        <v>131</v>
      </c>
      <c r="H25">
        <v>10</v>
      </c>
      <c r="I25" t="s">
        <v>132</v>
      </c>
      <c r="J25">
        <v>145</v>
      </c>
      <c r="K25" t="str">
        <f>IF(Productos[[#This Row],[cantidad en deposito]]&lt;Productos[[#This Row],[Punto de pedido]],"si","no")</f>
        <v>no</v>
      </c>
      <c r="L25">
        <f>IF(Productos[[#This Row],[pedimos si o no]]="si",Productos[[#This Row],[Nivel objetivo]]-Productos[[#This Row],[cantidad en deposito]],0)</f>
        <v>0</v>
      </c>
      <c r="M25" s="13">
        <f>Productos[[#This Row],[cuanto pedimos]]*Productos[[#This Row],[Costo estándar]]</f>
        <v>0</v>
      </c>
    </row>
    <row r="26" spans="1:13" x14ac:dyDescent="0.3">
      <c r="A26" s="12">
        <v>74</v>
      </c>
      <c r="B26" t="s">
        <v>133</v>
      </c>
      <c r="C26" s="1">
        <v>7.5</v>
      </c>
      <c r="D26" s="1">
        <v>10</v>
      </c>
      <c r="E26">
        <v>5</v>
      </c>
      <c r="F26">
        <v>20</v>
      </c>
      <c r="G26" t="s">
        <v>134</v>
      </c>
      <c r="H26">
        <v>5</v>
      </c>
      <c r="I26" t="s">
        <v>88</v>
      </c>
      <c r="J26">
        <v>140</v>
      </c>
      <c r="K26" t="str">
        <f>IF(Productos[[#This Row],[cantidad en deposito]]&lt;Productos[[#This Row],[Punto de pedido]],"si","no")</f>
        <v>no</v>
      </c>
      <c r="L26">
        <f>IF(Productos[[#This Row],[pedimos si o no]]="si",Productos[[#This Row],[Nivel objetivo]]-Productos[[#This Row],[cantidad en deposito]],0)</f>
        <v>0</v>
      </c>
      <c r="M26" s="13">
        <f>Productos[[#This Row],[cuanto pedimos]]*Productos[[#This Row],[Costo estándar]]</f>
        <v>0</v>
      </c>
    </row>
    <row r="27" spans="1:13" x14ac:dyDescent="0.3">
      <c r="A27" s="12">
        <v>77</v>
      </c>
      <c r="B27" t="s">
        <v>135</v>
      </c>
      <c r="C27" s="1">
        <v>9.75</v>
      </c>
      <c r="D27" s="1">
        <v>13</v>
      </c>
      <c r="E27">
        <v>15</v>
      </c>
      <c r="F27">
        <v>60</v>
      </c>
      <c r="G27" t="s">
        <v>136</v>
      </c>
      <c r="H27">
        <v>15</v>
      </c>
      <c r="I27" t="s">
        <v>77</v>
      </c>
      <c r="J27">
        <v>21</v>
      </c>
      <c r="K27" t="str">
        <f>IF(Productos[[#This Row],[cantidad en deposito]]&lt;Productos[[#This Row],[Punto de pedido]],"si","no")</f>
        <v>no</v>
      </c>
      <c r="L27">
        <f>IF(Productos[[#This Row],[pedimos si o no]]="si",Productos[[#This Row],[Nivel objetivo]]-Productos[[#This Row],[cantidad en deposito]],0)</f>
        <v>0</v>
      </c>
      <c r="M27" s="13">
        <f>Productos[[#This Row],[cuanto pedimos]]*Productos[[#This Row],[Costo estándar]]</f>
        <v>0</v>
      </c>
    </row>
    <row r="28" spans="1:13" x14ac:dyDescent="0.3">
      <c r="A28" s="12">
        <v>80</v>
      </c>
      <c r="B28" t="s">
        <v>137</v>
      </c>
      <c r="C28" s="1">
        <v>3</v>
      </c>
      <c r="D28" s="1">
        <v>3.5</v>
      </c>
      <c r="E28">
        <v>50</v>
      </c>
      <c r="F28">
        <v>75</v>
      </c>
      <c r="G28" t="s">
        <v>138</v>
      </c>
      <c r="H28">
        <v>25</v>
      </c>
      <c r="I28" t="s">
        <v>88</v>
      </c>
      <c r="J28">
        <v>137</v>
      </c>
      <c r="K28" t="str">
        <f>IF(Productos[[#This Row],[cantidad en deposito]]&lt;Productos[[#This Row],[Punto de pedido]],"si","no")</f>
        <v>no</v>
      </c>
      <c r="L28">
        <f>IF(Productos[[#This Row],[pedimos si o no]]="si",Productos[[#This Row],[Nivel objetivo]]-Productos[[#This Row],[cantidad en deposito]],0)</f>
        <v>0</v>
      </c>
      <c r="M28" s="13">
        <f>Productos[[#This Row],[cuanto pedimos]]*Productos[[#This Row],[Costo estándar]]</f>
        <v>0</v>
      </c>
    </row>
    <row r="29" spans="1:13" x14ac:dyDescent="0.3">
      <c r="A29" s="12">
        <v>81</v>
      </c>
      <c r="B29" t="s">
        <v>139</v>
      </c>
      <c r="C29" s="1">
        <v>2</v>
      </c>
      <c r="D29" s="1">
        <v>2.99</v>
      </c>
      <c r="E29">
        <v>100</v>
      </c>
      <c r="F29">
        <v>125</v>
      </c>
      <c r="G29" t="s">
        <v>140</v>
      </c>
      <c r="H29">
        <v>25</v>
      </c>
      <c r="I29" t="s">
        <v>74</v>
      </c>
      <c r="J29">
        <v>142</v>
      </c>
      <c r="K29" t="str">
        <f>IF(Productos[[#This Row],[cantidad en deposito]]&lt;Productos[[#This Row],[Punto de pedido]],"si","no")</f>
        <v>no</v>
      </c>
      <c r="L29">
        <f>IF(Productos[[#This Row],[pedimos si o no]]="si",Productos[[#This Row],[Nivel objetivo]]-Productos[[#This Row],[cantidad en deposito]],0)</f>
        <v>0</v>
      </c>
      <c r="M29" s="13">
        <f>Productos[[#This Row],[cuanto pedimos]]*Productos[[#This Row],[Costo estándar]]</f>
        <v>0</v>
      </c>
    </row>
    <row r="30" spans="1:13" x14ac:dyDescent="0.3">
      <c r="A30" s="12">
        <v>82</v>
      </c>
      <c r="B30" t="s">
        <v>141</v>
      </c>
      <c r="C30" s="1">
        <v>2</v>
      </c>
      <c r="D30" s="1">
        <v>4</v>
      </c>
      <c r="E30">
        <v>20</v>
      </c>
      <c r="F30">
        <v>100</v>
      </c>
      <c r="I30" t="s">
        <v>142</v>
      </c>
      <c r="J30">
        <v>52</v>
      </c>
      <c r="K30" t="str">
        <f>IF(Productos[[#This Row],[cantidad en deposito]]&lt;Productos[[#This Row],[Punto de pedido]],"si","no")</f>
        <v>no</v>
      </c>
      <c r="L30">
        <f>IF(Productos[[#This Row],[pedimos si o no]]="si",Productos[[#This Row],[Nivel objetivo]]-Productos[[#This Row],[cantidad en deposito]],0)</f>
        <v>0</v>
      </c>
      <c r="M30" s="13">
        <f>Productos[[#This Row],[cuanto pedimos]]*Productos[[#This Row],[Costo estándar]]</f>
        <v>0</v>
      </c>
    </row>
    <row r="31" spans="1:13" x14ac:dyDescent="0.3">
      <c r="A31" s="12">
        <v>83</v>
      </c>
      <c r="B31" t="s">
        <v>143</v>
      </c>
      <c r="C31" s="1">
        <v>0.5</v>
      </c>
      <c r="D31" s="1">
        <v>1.8</v>
      </c>
      <c r="E31">
        <v>30</v>
      </c>
      <c r="F31">
        <v>200</v>
      </c>
      <c r="I31" t="s">
        <v>144</v>
      </c>
      <c r="J31">
        <v>112</v>
      </c>
      <c r="K31" t="str">
        <f>IF(Productos[[#This Row],[cantidad en deposito]]&lt;Productos[[#This Row],[Punto de pedido]],"si","no")</f>
        <v>no</v>
      </c>
      <c r="L31">
        <f>IF(Productos[[#This Row],[pedimos si o no]]="si",Productos[[#This Row],[Nivel objetivo]]-Productos[[#This Row],[cantidad en deposito]],0)</f>
        <v>0</v>
      </c>
      <c r="M31" s="13">
        <f>Productos[[#This Row],[cuanto pedimos]]*Productos[[#This Row],[Costo estándar]]</f>
        <v>0</v>
      </c>
    </row>
    <row r="32" spans="1:13" x14ac:dyDescent="0.3">
      <c r="A32" s="12">
        <v>85</v>
      </c>
      <c r="B32" t="s">
        <v>145</v>
      </c>
      <c r="C32" s="1">
        <v>9</v>
      </c>
      <c r="D32" s="1">
        <v>12.49</v>
      </c>
      <c r="E32">
        <v>10</v>
      </c>
      <c r="F32">
        <v>20</v>
      </c>
      <c r="G32" t="s">
        <v>146</v>
      </c>
      <c r="H32">
        <v>5</v>
      </c>
      <c r="I32" t="s">
        <v>99</v>
      </c>
      <c r="J32">
        <v>124</v>
      </c>
      <c r="K32" t="str">
        <f>IF(Productos[[#This Row],[cantidad en deposito]]&lt;Productos[[#This Row],[Punto de pedido]],"si","no")</f>
        <v>no</v>
      </c>
      <c r="L32">
        <f>IF(Productos[[#This Row],[pedimos si o no]]="si",Productos[[#This Row],[Nivel objetivo]]-Productos[[#This Row],[cantidad en deposito]],0)</f>
        <v>0</v>
      </c>
      <c r="M32" s="13">
        <f>Productos[[#This Row],[cuanto pedimos]]*Productos[[#This Row],[Costo estándar]]</f>
        <v>0</v>
      </c>
    </row>
    <row r="33" spans="1:13" x14ac:dyDescent="0.3">
      <c r="A33" s="12">
        <v>86</v>
      </c>
      <c r="B33" t="s">
        <v>147</v>
      </c>
      <c r="C33" s="1">
        <v>10.5</v>
      </c>
      <c r="D33" s="1">
        <v>15.99</v>
      </c>
      <c r="E33">
        <v>10</v>
      </c>
      <c r="F33">
        <v>20</v>
      </c>
      <c r="G33" t="s">
        <v>148</v>
      </c>
      <c r="H33">
        <v>5</v>
      </c>
      <c r="I33" t="s">
        <v>99</v>
      </c>
      <c r="J33">
        <v>19</v>
      </c>
      <c r="K33" t="str">
        <f>IF(Productos[[#This Row],[cantidad en deposito]]&lt;Productos[[#This Row],[Punto de pedido]],"si","no")</f>
        <v>no</v>
      </c>
      <c r="L33">
        <f>IF(Productos[[#This Row],[pedimos si o no]]="si",Productos[[#This Row],[Nivel objetivo]]-Productos[[#This Row],[cantidad en deposito]],0)</f>
        <v>0</v>
      </c>
      <c r="M33" s="13">
        <f>Productos[[#This Row],[cuanto pedimos]]*Productos[[#This Row],[Costo estándar]]</f>
        <v>0</v>
      </c>
    </row>
    <row r="34" spans="1:13" x14ac:dyDescent="0.3">
      <c r="A34" s="12">
        <v>87</v>
      </c>
      <c r="B34" t="s">
        <v>149</v>
      </c>
      <c r="C34" s="1">
        <v>2</v>
      </c>
      <c r="D34" s="1">
        <v>4</v>
      </c>
      <c r="E34">
        <v>20</v>
      </c>
      <c r="F34">
        <v>50</v>
      </c>
      <c r="G34" t="s">
        <v>150</v>
      </c>
      <c r="I34" t="s">
        <v>74</v>
      </c>
      <c r="J34">
        <v>24</v>
      </c>
      <c r="K34" t="str">
        <f>IF(Productos[[#This Row],[cantidad en deposito]]&lt;Productos[[#This Row],[Punto de pedido]],"si","no")</f>
        <v>no</v>
      </c>
      <c r="L34">
        <f>IF(Productos[[#This Row],[pedimos si o no]]="si",Productos[[#This Row],[Nivel objetivo]]-Productos[[#This Row],[cantidad en deposito]],0)</f>
        <v>0</v>
      </c>
      <c r="M34" s="13">
        <f>Productos[[#This Row],[cuanto pedimos]]*Productos[[#This Row],[Costo estándar]]</f>
        <v>0</v>
      </c>
    </row>
    <row r="35" spans="1:13" x14ac:dyDescent="0.3">
      <c r="A35" s="12">
        <v>88</v>
      </c>
      <c r="B35" t="s">
        <v>151</v>
      </c>
      <c r="C35" s="1">
        <v>1</v>
      </c>
      <c r="D35" s="1">
        <v>1.3</v>
      </c>
      <c r="E35">
        <v>10</v>
      </c>
      <c r="F35">
        <v>40</v>
      </c>
      <c r="G35" t="s">
        <v>95</v>
      </c>
      <c r="I35" t="s">
        <v>96</v>
      </c>
      <c r="J35">
        <v>97</v>
      </c>
      <c r="K35" t="str">
        <f>IF(Productos[[#This Row],[cantidad en deposito]]&lt;Productos[[#This Row],[Punto de pedido]],"si","no")</f>
        <v>no</v>
      </c>
      <c r="L35">
        <f>IF(Productos[[#This Row],[pedimos si o no]]="si",Productos[[#This Row],[Nivel objetivo]]-Productos[[#This Row],[cantidad en deposito]],0)</f>
        <v>0</v>
      </c>
      <c r="M35" s="13">
        <f>Productos[[#This Row],[cuanto pedimos]]*Productos[[#This Row],[Costo estándar]]</f>
        <v>0</v>
      </c>
    </row>
    <row r="36" spans="1:13" x14ac:dyDescent="0.3">
      <c r="A36" s="12">
        <v>89</v>
      </c>
      <c r="B36" t="s">
        <v>152</v>
      </c>
      <c r="C36" s="1">
        <v>1</v>
      </c>
      <c r="D36" s="1">
        <v>1.5</v>
      </c>
      <c r="E36">
        <v>10</v>
      </c>
      <c r="F36">
        <v>40</v>
      </c>
      <c r="G36" t="s">
        <v>95</v>
      </c>
      <c r="I36" t="s">
        <v>96</v>
      </c>
      <c r="J36">
        <v>111</v>
      </c>
      <c r="K36" t="str">
        <f>IF(Productos[[#This Row],[cantidad en deposito]]&lt;Productos[[#This Row],[Punto de pedido]],"si","no")</f>
        <v>no</v>
      </c>
      <c r="L36">
        <f>IF(Productos[[#This Row],[pedimos si o no]]="si",Productos[[#This Row],[Nivel objetivo]]-Productos[[#This Row],[cantidad en deposito]],0)</f>
        <v>0</v>
      </c>
      <c r="M36" s="13">
        <f>Productos[[#This Row],[cuanto pedimos]]*Productos[[#This Row],[Costo estándar]]</f>
        <v>0</v>
      </c>
    </row>
    <row r="37" spans="1:13" x14ac:dyDescent="0.3">
      <c r="A37" s="12">
        <v>90</v>
      </c>
      <c r="B37" t="s">
        <v>153</v>
      </c>
      <c r="C37" s="1">
        <v>1</v>
      </c>
      <c r="D37" s="1">
        <v>1.8</v>
      </c>
      <c r="E37">
        <v>10</v>
      </c>
      <c r="F37">
        <v>40</v>
      </c>
      <c r="G37" t="s">
        <v>95</v>
      </c>
      <c r="I37" t="s">
        <v>96</v>
      </c>
      <c r="J37">
        <v>75</v>
      </c>
      <c r="K37" t="str">
        <f>IF(Productos[[#This Row],[cantidad en deposito]]&lt;Productos[[#This Row],[Punto de pedido]],"si","no")</f>
        <v>no</v>
      </c>
      <c r="L37">
        <f>IF(Productos[[#This Row],[pedimos si o no]]="si",Productos[[#This Row],[Nivel objetivo]]-Productos[[#This Row],[cantidad en deposito]],0)</f>
        <v>0</v>
      </c>
      <c r="M37" s="13">
        <f>Productos[[#This Row],[cuanto pedimos]]*Productos[[#This Row],[Costo estándar]]</f>
        <v>0</v>
      </c>
    </row>
    <row r="38" spans="1:13" x14ac:dyDescent="0.3">
      <c r="A38" s="12">
        <v>91</v>
      </c>
      <c r="B38" t="s">
        <v>154</v>
      </c>
      <c r="C38" s="1">
        <v>1</v>
      </c>
      <c r="D38" s="1">
        <v>2</v>
      </c>
      <c r="E38">
        <v>10</v>
      </c>
      <c r="F38">
        <v>40</v>
      </c>
      <c r="G38" t="s">
        <v>95</v>
      </c>
      <c r="I38" t="s">
        <v>96</v>
      </c>
      <c r="J38">
        <v>99</v>
      </c>
      <c r="K38" t="str">
        <f>IF(Productos[[#This Row],[cantidad en deposito]]&lt;Productos[[#This Row],[Punto de pedido]],"si","no")</f>
        <v>no</v>
      </c>
      <c r="L38">
        <f>IF(Productos[[#This Row],[pedimos si o no]]="si",Productos[[#This Row],[Nivel objetivo]]-Productos[[#This Row],[cantidad en deposito]],0)</f>
        <v>0</v>
      </c>
      <c r="M38" s="13">
        <f>Productos[[#This Row],[cuanto pedimos]]*Productos[[#This Row],[Costo estándar]]</f>
        <v>0</v>
      </c>
    </row>
    <row r="39" spans="1:13" x14ac:dyDescent="0.3">
      <c r="A39" s="12">
        <v>92</v>
      </c>
      <c r="B39" t="s">
        <v>155</v>
      </c>
      <c r="C39" s="1">
        <v>1</v>
      </c>
      <c r="D39" s="1">
        <v>1.2</v>
      </c>
      <c r="E39">
        <v>10</v>
      </c>
      <c r="F39">
        <v>40</v>
      </c>
      <c r="G39" t="s">
        <v>156</v>
      </c>
      <c r="I39" t="s">
        <v>96</v>
      </c>
      <c r="J39">
        <v>88</v>
      </c>
      <c r="K39" t="str">
        <f>IF(Productos[[#This Row],[cantidad en deposito]]&lt;Productos[[#This Row],[Punto de pedido]],"si","no")</f>
        <v>no</v>
      </c>
      <c r="L39">
        <f>IF(Productos[[#This Row],[pedimos si o no]]="si",Productos[[#This Row],[Nivel objetivo]]-Productos[[#This Row],[cantidad en deposito]],0)</f>
        <v>0</v>
      </c>
      <c r="M39" s="13">
        <f>Productos[[#This Row],[cuanto pedimos]]*Productos[[#This Row],[Costo estándar]]</f>
        <v>0</v>
      </c>
    </row>
    <row r="40" spans="1:13" x14ac:dyDescent="0.3">
      <c r="A40" s="12">
        <v>93</v>
      </c>
      <c r="B40" t="s">
        <v>157</v>
      </c>
      <c r="C40" s="1">
        <v>1</v>
      </c>
      <c r="D40" s="1">
        <v>1.2</v>
      </c>
      <c r="E40">
        <v>10</v>
      </c>
      <c r="F40">
        <v>40</v>
      </c>
      <c r="G40" t="s">
        <v>156</v>
      </c>
      <c r="I40" t="s">
        <v>96</v>
      </c>
      <c r="J40">
        <v>63</v>
      </c>
      <c r="K40" t="str">
        <f>IF(Productos[[#This Row],[cantidad en deposito]]&lt;Productos[[#This Row],[Punto de pedido]],"si","no")</f>
        <v>no</v>
      </c>
      <c r="L40">
        <f>IF(Productos[[#This Row],[pedimos si o no]]="si",Productos[[#This Row],[Nivel objetivo]]-Productos[[#This Row],[cantidad en deposito]],0)</f>
        <v>0</v>
      </c>
      <c r="M40" s="13">
        <f>Productos[[#This Row],[cuanto pedimos]]*Productos[[#This Row],[Costo estándar]]</f>
        <v>0</v>
      </c>
    </row>
    <row r="41" spans="1:13" x14ac:dyDescent="0.3">
      <c r="A41" s="12">
        <v>94</v>
      </c>
      <c r="B41" t="s">
        <v>158</v>
      </c>
      <c r="C41" s="1">
        <v>1</v>
      </c>
      <c r="D41" s="1">
        <v>1.5</v>
      </c>
      <c r="E41">
        <v>10</v>
      </c>
      <c r="F41">
        <v>40</v>
      </c>
      <c r="G41" t="s">
        <v>156</v>
      </c>
      <c r="I41" t="s">
        <v>96</v>
      </c>
      <c r="J41">
        <v>79</v>
      </c>
      <c r="K41" t="str">
        <f>IF(Productos[[#This Row],[cantidad en deposito]]&lt;Productos[[#This Row],[Punto de pedido]],"si","no")</f>
        <v>no</v>
      </c>
      <c r="L41">
        <f>IF(Productos[[#This Row],[pedimos si o no]]="si",Productos[[#This Row],[Nivel objetivo]]-Productos[[#This Row],[cantidad en deposito]],0)</f>
        <v>0</v>
      </c>
      <c r="M41" s="13">
        <f>Productos[[#This Row],[cuanto pedimos]]*Productos[[#This Row],[Costo estándar]]</f>
        <v>0</v>
      </c>
    </row>
    <row r="42" spans="1:13" x14ac:dyDescent="0.3">
      <c r="A42" s="12">
        <v>95</v>
      </c>
      <c r="B42" t="s">
        <v>159</v>
      </c>
      <c r="C42" s="1">
        <v>0.5</v>
      </c>
      <c r="D42" s="1">
        <v>2</v>
      </c>
      <c r="E42">
        <v>30</v>
      </c>
      <c r="F42">
        <v>50</v>
      </c>
      <c r="G42" t="s">
        <v>160</v>
      </c>
      <c r="I42" t="s">
        <v>108</v>
      </c>
      <c r="J42">
        <v>142</v>
      </c>
      <c r="K42" t="str">
        <f>IF(Productos[[#This Row],[cantidad en deposito]]&lt;Productos[[#This Row],[Punto de pedido]],"si","no")</f>
        <v>no</v>
      </c>
      <c r="L42">
        <f>IF(Productos[[#This Row],[pedimos si o no]]="si",Productos[[#This Row],[Nivel objetivo]]-Productos[[#This Row],[cantidad en deposito]],0)</f>
        <v>0</v>
      </c>
      <c r="M42" s="13">
        <f>Productos[[#This Row],[cuanto pedimos]]*Productos[[#This Row],[Costo estándar]]</f>
        <v>0</v>
      </c>
    </row>
    <row r="43" spans="1:13" x14ac:dyDescent="0.3">
      <c r="A43" s="12">
        <v>96</v>
      </c>
      <c r="B43" t="s">
        <v>161</v>
      </c>
      <c r="C43" s="1">
        <v>2</v>
      </c>
      <c r="D43" s="1">
        <v>4</v>
      </c>
      <c r="E43">
        <v>30</v>
      </c>
      <c r="F43">
        <v>50</v>
      </c>
      <c r="G43" t="s">
        <v>160</v>
      </c>
      <c r="I43" t="s">
        <v>108</v>
      </c>
      <c r="J43">
        <v>95</v>
      </c>
      <c r="K43" t="str">
        <f>IF(Productos[[#This Row],[cantidad en deposito]]&lt;Productos[[#This Row],[Punto de pedido]],"si","no")</f>
        <v>no</v>
      </c>
      <c r="L43">
        <f>IF(Productos[[#This Row],[pedimos si o no]]="si",Productos[[#This Row],[Nivel objetivo]]-Productos[[#This Row],[cantidad en deposito]],0)</f>
        <v>0</v>
      </c>
      <c r="M43" s="13">
        <f>Productos[[#This Row],[cuanto pedimos]]*Productos[[#This Row],[Costo estándar]]</f>
        <v>0</v>
      </c>
    </row>
    <row r="44" spans="1:13" x14ac:dyDescent="0.3">
      <c r="A44" s="12">
        <v>97</v>
      </c>
      <c r="B44" t="s">
        <v>162</v>
      </c>
      <c r="C44" s="1">
        <v>3</v>
      </c>
      <c r="D44" s="1">
        <v>5</v>
      </c>
      <c r="E44">
        <v>50</v>
      </c>
      <c r="F44">
        <v>200</v>
      </c>
      <c r="I44" t="s">
        <v>142</v>
      </c>
      <c r="J44">
        <v>28</v>
      </c>
      <c r="K44" t="str">
        <f>IF(Productos[[#This Row],[cantidad en deposito]]&lt;Productos[[#This Row],[Punto de pedido]],"si","no")</f>
        <v>si</v>
      </c>
      <c r="L44">
        <f>IF(Productos[[#This Row],[pedimos si o no]]="si",Productos[[#This Row],[Nivel objetivo]]-Productos[[#This Row],[cantidad en deposito]],0)</f>
        <v>172</v>
      </c>
      <c r="M44" s="13">
        <f>Productos[[#This Row],[cuanto pedimos]]*Productos[[#This Row],[Costo estándar]]</f>
        <v>516</v>
      </c>
    </row>
    <row r="45" spans="1:13" x14ac:dyDescent="0.3">
      <c r="A45" s="12">
        <v>98</v>
      </c>
      <c r="B45" t="s">
        <v>163</v>
      </c>
      <c r="C45" s="1">
        <v>1</v>
      </c>
      <c r="D45" s="1">
        <v>1.89</v>
      </c>
      <c r="E45">
        <v>100</v>
      </c>
      <c r="F45">
        <v>200</v>
      </c>
      <c r="I45" t="s">
        <v>111</v>
      </c>
      <c r="J45">
        <v>9</v>
      </c>
      <c r="K45" t="str">
        <f>IF(Productos[[#This Row],[cantidad en deposito]]&lt;Productos[[#This Row],[Punto de pedido]],"si","no")</f>
        <v>si</v>
      </c>
      <c r="L45">
        <f>IF(Productos[[#This Row],[pedimos si o no]]="si",Productos[[#This Row],[Nivel objetivo]]-Productos[[#This Row],[cantidad en deposito]],0)</f>
        <v>191</v>
      </c>
      <c r="M45" s="13">
        <f>Productos[[#This Row],[cuanto pedimos]]*Productos[[#This Row],[Costo estándar]]</f>
        <v>191</v>
      </c>
    </row>
    <row r="46" spans="1:13" x14ac:dyDescent="0.3">
      <c r="A46" s="12">
        <v>99</v>
      </c>
      <c r="B46" t="s">
        <v>164</v>
      </c>
      <c r="C46" s="1">
        <v>1</v>
      </c>
      <c r="D46" s="1">
        <v>1.95</v>
      </c>
      <c r="E46">
        <v>100</v>
      </c>
      <c r="F46">
        <v>200</v>
      </c>
      <c r="I46" t="s">
        <v>111</v>
      </c>
      <c r="J46">
        <v>49</v>
      </c>
      <c r="K46" t="str">
        <f>IF(Productos[[#This Row],[cantidad en deposito]]&lt;Productos[[#This Row],[Punto de pedido]],"si","no")</f>
        <v>si</v>
      </c>
      <c r="L46">
        <f>IF(Productos[[#This Row],[pedimos si o no]]="si",Productos[[#This Row],[Nivel objetivo]]-Productos[[#This Row],[cantidad en deposito]],0)</f>
        <v>151</v>
      </c>
      <c r="M46" s="13">
        <f>Productos[[#This Row],[cuanto pedimos]]*Productos[[#This Row],[Costo estándar]]</f>
        <v>151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5" sqref="E15"/>
    </sheetView>
  </sheetViews>
  <sheetFormatPr baseColWidth="10" defaultColWidth="8.88671875" defaultRowHeight="14.4" x14ac:dyDescent="0.3"/>
  <cols>
    <col min="1" max="1" width="16.88671875" customWidth="1"/>
    <col min="2" max="2" width="23.88671875" bestFit="1" customWidth="1"/>
    <col min="3" max="3" width="9.5546875" bestFit="1" customWidth="1"/>
    <col min="4" max="4" width="19.109375" customWidth="1"/>
    <col min="5" max="5" width="14.33203125" customWidth="1"/>
  </cols>
  <sheetData>
    <row r="1" spans="1:5" x14ac:dyDescent="0.3">
      <c r="A1" t="s">
        <v>168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6">
        <v>1</v>
      </c>
      <c r="B2" t="s">
        <v>44</v>
      </c>
      <c r="C2" t="s">
        <v>5</v>
      </c>
      <c r="D2" t="s">
        <v>166</v>
      </c>
      <c r="E2" t="s">
        <v>167</v>
      </c>
    </row>
    <row r="3" spans="1:5" x14ac:dyDescent="0.3">
      <c r="A3" s="6">
        <v>2</v>
      </c>
      <c r="B3" t="s">
        <v>45</v>
      </c>
      <c r="C3" t="s">
        <v>46</v>
      </c>
      <c r="D3" t="s">
        <v>166</v>
      </c>
      <c r="E3" t="s">
        <v>167</v>
      </c>
    </row>
    <row r="4" spans="1:5" x14ac:dyDescent="0.3">
      <c r="A4" s="6">
        <v>3</v>
      </c>
      <c r="B4" t="s">
        <v>44</v>
      </c>
      <c r="C4" t="s">
        <v>47</v>
      </c>
      <c r="D4" t="s">
        <v>166</v>
      </c>
      <c r="E4" t="s">
        <v>167</v>
      </c>
    </row>
    <row r="5" spans="1:5" x14ac:dyDescent="0.3">
      <c r="A5" s="6">
        <v>4</v>
      </c>
      <c r="B5" t="s">
        <v>44</v>
      </c>
      <c r="C5" t="s">
        <v>48</v>
      </c>
      <c r="D5" t="s">
        <v>166</v>
      </c>
      <c r="E5" t="s">
        <v>167</v>
      </c>
    </row>
    <row r="6" spans="1:5" x14ac:dyDescent="0.3">
      <c r="A6" s="6">
        <v>5</v>
      </c>
      <c r="B6" t="s">
        <v>49</v>
      </c>
      <c r="C6" t="s">
        <v>5</v>
      </c>
      <c r="D6" t="s">
        <v>166</v>
      </c>
      <c r="E6" t="s">
        <v>167</v>
      </c>
    </row>
    <row r="7" spans="1:5" x14ac:dyDescent="0.3">
      <c r="A7" s="6">
        <v>6</v>
      </c>
      <c r="B7" t="s">
        <v>44</v>
      </c>
      <c r="C7" t="s">
        <v>47</v>
      </c>
      <c r="D7" t="s">
        <v>166</v>
      </c>
      <c r="E7" t="s">
        <v>167</v>
      </c>
    </row>
    <row r="8" spans="1:5" x14ac:dyDescent="0.3">
      <c r="A8" s="6">
        <v>7</v>
      </c>
      <c r="B8" t="s">
        <v>44</v>
      </c>
      <c r="C8" t="s">
        <v>5</v>
      </c>
      <c r="D8" t="s">
        <v>166</v>
      </c>
      <c r="E8" t="s">
        <v>167</v>
      </c>
    </row>
    <row r="9" spans="1:5" x14ac:dyDescent="0.3">
      <c r="A9" s="6">
        <v>8</v>
      </c>
      <c r="B9" t="s">
        <v>50</v>
      </c>
      <c r="C9" t="s">
        <v>47</v>
      </c>
      <c r="D9" t="s">
        <v>166</v>
      </c>
      <c r="E9" t="s">
        <v>167</v>
      </c>
    </row>
    <row r="10" spans="1:5" x14ac:dyDescent="0.3">
      <c r="A10" s="6">
        <v>9</v>
      </c>
      <c r="B10" t="s">
        <v>44</v>
      </c>
      <c r="C10" t="s">
        <v>5</v>
      </c>
      <c r="D10" t="s">
        <v>166</v>
      </c>
      <c r="E10" t="s">
        <v>167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30" sqref="E30"/>
    </sheetView>
  </sheetViews>
  <sheetFormatPr baseColWidth="10" defaultColWidth="8.88671875" defaultRowHeight="14.4" x14ac:dyDescent="0.3"/>
  <cols>
    <col min="1" max="1" width="14.33203125" style="10" customWidth="1"/>
    <col min="2" max="2" width="25" style="3" bestFit="1" customWidth="1"/>
    <col min="3" max="3" width="12.6640625" style="3" bestFit="1" customWidth="1"/>
    <col min="4" max="4" width="19.109375" style="3" customWidth="1"/>
    <col min="5" max="5" width="14.33203125" style="3" customWidth="1"/>
    <col min="6" max="16384" width="8.88671875" style="3"/>
  </cols>
  <sheetData>
    <row r="1" spans="1:6" x14ac:dyDescent="0.3">
      <c r="A1" s="7" t="s">
        <v>165</v>
      </c>
      <c r="B1" s="5" t="s">
        <v>0</v>
      </c>
      <c r="C1" s="5" t="s">
        <v>1</v>
      </c>
      <c r="D1" s="5" t="s">
        <v>2</v>
      </c>
      <c r="E1" s="5" t="s">
        <v>3</v>
      </c>
      <c r="F1" s="4"/>
    </row>
    <row r="2" spans="1:6" x14ac:dyDescent="0.3">
      <c r="A2" s="8">
        <v>1</v>
      </c>
      <c r="B2" s="3" t="s">
        <v>4</v>
      </c>
      <c r="C2" s="3" t="s">
        <v>5</v>
      </c>
      <c r="D2" s="3" t="s">
        <v>166</v>
      </c>
      <c r="E2" s="3" t="s">
        <v>167</v>
      </c>
      <c r="F2" s="4"/>
    </row>
    <row r="3" spans="1:6" x14ac:dyDescent="0.3">
      <c r="A3" s="8">
        <v>2</v>
      </c>
      <c r="B3" s="3" t="s">
        <v>4</v>
      </c>
      <c r="C3" s="3" t="s">
        <v>6</v>
      </c>
      <c r="D3" s="3" t="s">
        <v>7</v>
      </c>
      <c r="E3" s="3" t="s">
        <v>167</v>
      </c>
      <c r="F3" s="4"/>
    </row>
    <row r="4" spans="1:6" x14ac:dyDescent="0.3">
      <c r="A4" s="8">
        <v>3</v>
      </c>
      <c r="B4" s="3" t="s">
        <v>8</v>
      </c>
      <c r="C4" s="3" t="s">
        <v>9</v>
      </c>
      <c r="D4" s="3" t="s">
        <v>10</v>
      </c>
      <c r="E4" s="3" t="s">
        <v>167</v>
      </c>
      <c r="F4" s="4"/>
    </row>
    <row r="5" spans="1:6" x14ac:dyDescent="0.3">
      <c r="A5" s="8">
        <v>4</v>
      </c>
      <c r="B5" s="3" t="s">
        <v>11</v>
      </c>
      <c r="C5" s="3" t="s">
        <v>12</v>
      </c>
      <c r="D5" s="3" t="s">
        <v>13</v>
      </c>
      <c r="E5" s="3" t="s">
        <v>167</v>
      </c>
      <c r="F5" s="4"/>
    </row>
    <row r="6" spans="1:6" x14ac:dyDescent="0.3">
      <c r="A6" s="8">
        <v>5</v>
      </c>
      <c r="B6" s="3" t="s">
        <v>4</v>
      </c>
      <c r="C6" s="3" t="s">
        <v>14</v>
      </c>
      <c r="D6" s="3" t="s">
        <v>15</v>
      </c>
      <c r="E6" s="3" t="s">
        <v>167</v>
      </c>
      <c r="F6" s="4"/>
    </row>
    <row r="7" spans="1:6" x14ac:dyDescent="0.3">
      <c r="A7" s="8">
        <v>6</v>
      </c>
      <c r="B7" s="3" t="s">
        <v>11</v>
      </c>
      <c r="C7" s="3" t="s">
        <v>16</v>
      </c>
      <c r="D7" s="3" t="s">
        <v>17</v>
      </c>
      <c r="E7" s="3" t="s">
        <v>167</v>
      </c>
      <c r="F7" s="4"/>
    </row>
    <row r="8" spans="1:6" x14ac:dyDescent="0.3">
      <c r="A8" s="8">
        <v>7</v>
      </c>
      <c r="B8" s="3" t="s">
        <v>4</v>
      </c>
      <c r="C8" s="3" t="s">
        <v>18</v>
      </c>
      <c r="D8" s="3" t="s">
        <v>19</v>
      </c>
      <c r="E8" s="3" t="s">
        <v>167</v>
      </c>
      <c r="F8" s="4"/>
    </row>
    <row r="9" spans="1:6" x14ac:dyDescent="0.3">
      <c r="A9" s="8">
        <v>8</v>
      </c>
      <c r="B9" s="3" t="s">
        <v>8</v>
      </c>
      <c r="C9" s="3" t="s">
        <v>20</v>
      </c>
      <c r="D9" s="3" t="s">
        <v>21</v>
      </c>
      <c r="E9" s="3" t="s">
        <v>167</v>
      </c>
      <c r="F9" s="4"/>
    </row>
    <row r="10" spans="1:6" x14ac:dyDescent="0.3">
      <c r="A10" s="8">
        <v>9</v>
      </c>
      <c r="B10" s="3" t="s">
        <v>11</v>
      </c>
      <c r="C10" s="3" t="s">
        <v>22</v>
      </c>
      <c r="D10" s="3" t="s">
        <v>23</v>
      </c>
      <c r="E10" s="3" t="s">
        <v>167</v>
      </c>
      <c r="F10" s="4"/>
    </row>
    <row r="11" spans="1:6" x14ac:dyDescent="0.3">
      <c r="A11" s="8">
        <v>10</v>
      </c>
      <c r="B11" s="3" t="s">
        <v>11</v>
      </c>
      <c r="C11" s="3" t="s">
        <v>24</v>
      </c>
      <c r="D11" s="3" t="s">
        <v>25</v>
      </c>
      <c r="E11" s="3" t="s">
        <v>167</v>
      </c>
      <c r="F11" s="4"/>
    </row>
    <row r="12" spans="1:6" x14ac:dyDescent="0.3">
      <c r="A12" s="8">
        <v>11</v>
      </c>
      <c r="B12" s="3" t="s">
        <v>11</v>
      </c>
      <c r="C12" s="3" t="s">
        <v>26</v>
      </c>
      <c r="D12" s="3" t="s">
        <v>27</v>
      </c>
      <c r="E12" s="3" t="s">
        <v>167</v>
      </c>
      <c r="F12" s="4"/>
    </row>
    <row r="13" spans="1:6" x14ac:dyDescent="0.3">
      <c r="A13" s="8">
        <v>12</v>
      </c>
      <c r="B13" s="3" t="s">
        <v>11</v>
      </c>
      <c r="C13" s="3" t="s">
        <v>28</v>
      </c>
      <c r="D13" s="3" t="s">
        <v>29</v>
      </c>
      <c r="E13" s="3" t="s">
        <v>167</v>
      </c>
      <c r="F13" s="4"/>
    </row>
    <row r="14" spans="1:6" x14ac:dyDescent="0.3">
      <c r="A14" s="8">
        <v>13</v>
      </c>
      <c r="B14" s="3" t="s">
        <v>8</v>
      </c>
      <c r="C14" s="3" t="s">
        <v>30</v>
      </c>
      <c r="D14" s="3" t="s">
        <v>31</v>
      </c>
      <c r="E14" s="3" t="s">
        <v>167</v>
      </c>
      <c r="F14" s="4"/>
    </row>
    <row r="15" spans="1:6" x14ac:dyDescent="0.3">
      <c r="A15" s="8">
        <v>14</v>
      </c>
      <c r="B15" s="3" t="s">
        <v>8</v>
      </c>
      <c r="C15" s="3" t="s">
        <v>32</v>
      </c>
      <c r="D15" s="3" t="s">
        <v>33</v>
      </c>
      <c r="E15" s="3" t="s">
        <v>167</v>
      </c>
      <c r="F15" s="4"/>
    </row>
    <row r="16" spans="1:6" x14ac:dyDescent="0.3">
      <c r="A16" s="8">
        <v>15</v>
      </c>
      <c r="B16" s="3" t="s">
        <v>11</v>
      </c>
      <c r="C16" s="3" t="s">
        <v>34</v>
      </c>
      <c r="D16" s="3" t="s">
        <v>35</v>
      </c>
      <c r="E16" s="3" t="s">
        <v>167</v>
      </c>
      <c r="F16" s="4"/>
    </row>
    <row r="17" spans="1:6" x14ac:dyDescent="0.3">
      <c r="A17" s="8">
        <v>16</v>
      </c>
      <c r="B17" s="3" t="s">
        <v>8</v>
      </c>
      <c r="C17" s="3" t="s">
        <v>36</v>
      </c>
      <c r="D17" s="3" t="s">
        <v>10</v>
      </c>
      <c r="E17" s="3" t="s">
        <v>167</v>
      </c>
      <c r="F17" s="4"/>
    </row>
    <row r="18" spans="1:6" x14ac:dyDescent="0.3">
      <c r="A18" s="8">
        <v>17</v>
      </c>
      <c r="B18" s="3" t="s">
        <v>4</v>
      </c>
      <c r="C18" s="3" t="s">
        <v>5</v>
      </c>
      <c r="D18" s="3" t="s">
        <v>166</v>
      </c>
      <c r="E18" s="3" t="s">
        <v>167</v>
      </c>
      <c r="F18" s="4"/>
    </row>
    <row r="19" spans="1:6" x14ac:dyDescent="0.3">
      <c r="A19" s="8">
        <v>18</v>
      </c>
      <c r="B19" s="3" t="s">
        <v>8</v>
      </c>
      <c r="C19" s="3" t="s">
        <v>6</v>
      </c>
      <c r="D19" s="3" t="s">
        <v>7</v>
      </c>
      <c r="E19" s="3" t="s">
        <v>167</v>
      </c>
      <c r="F19" s="4"/>
    </row>
    <row r="20" spans="1:6" x14ac:dyDescent="0.3">
      <c r="A20" s="8">
        <v>19</v>
      </c>
      <c r="B20" s="3" t="s">
        <v>37</v>
      </c>
      <c r="C20" s="3" t="s">
        <v>9</v>
      </c>
      <c r="D20" s="3" t="s">
        <v>10</v>
      </c>
      <c r="E20" s="3" t="s">
        <v>167</v>
      </c>
      <c r="F20" s="4"/>
    </row>
    <row r="21" spans="1:6" x14ac:dyDescent="0.3">
      <c r="A21" s="8">
        <v>20</v>
      </c>
      <c r="B21" s="3" t="s">
        <v>11</v>
      </c>
      <c r="C21" s="3" t="s">
        <v>12</v>
      </c>
      <c r="D21" s="3" t="s">
        <v>13</v>
      </c>
      <c r="E21" s="3" t="s">
        <v>167</v>
      </c>
      <c r="F21" s="4"/>
    </row>
    <row r="22" spans="1:6" x14ac:dyDescent="0.3">
      <c r="A22" s="8">
        <v>21</v>
      </c>
      <c r="B22" s="3" t="s">
        <v>38</v>
      </c>
      <c r="C22" s="3" t="s">
        <v>14</v>
      </c>
      <c r="D22" s="3" t="s">
        <v>15</v>
      </c>
      <c r="E22" s="3" t="s">
        <v>167</v>
      </c>
      <c r="F22" s="4"/>
    </row>
    <row r="23" spans="1:6" x14ac:dyDescent="0.3">
      <c r="A23" s="8">
        <v>22</v>
      </c>
      <c r="B23" s="3" t="s">
        <v>39</v>
      </c>
      <c r="C23" s="3" t="s">
        <v>16</v>
      </c>
      <c r="D23" s="3" t="s">
        <v>17</v>
      </c>
      <c r="E23" s="3" t="s">
        <v>167</v>
      </c>
      <c r="F23" s="4"/>
    </row>
    <row r="24" spans="1:6" x14ac:dyDescent="0.3">
      <c r="A24" s="8">
        <v>23</v>
      </c>
      <c r="B24" s="3" t="s">
        <v>11</v>
      </c>
      <c r="C24" s="3" t="s">
        <v>20</v>
      </c>
      <c r="D24" s="3" t="s">
        <v>21</v>
      </c>
      <c r="E24" s="3" t="s">
        <v>167</v>
      </c>
      <c r="F24" s="4"/>
    </row>
    <row r="25" spans="1:6" x14ac:dyDescent="0.3">
      <c r="A25" s="8">
        <v>24</v>
      </c>
      <c r="B25" s="3" t="s">
        <v>4</v>
      </c>
      <c r="C25" s="3" t="s">
        <v>22</v>
      </c>
      <c r="D25" s="3" t="s">
        <v>23</v>
      </c>
      <c r="E25" s="3" t="s">
        <v>167</v>
      </c>
      <c r="F25" s="4"/>
    </row>
    <row r="26" spans="1:6" x14ac:dyDescent="0.3">
      <c r="A26" s="8">
        <v>25</v>
      </c>
      <c r="B26" s="3" t="s">
        <v>11</v>
      </c>
      <c r="C26" s="3" t="s">
        <v>24</v>
      </c>
      <c r="D26" s="3" t="s">
        <v>25</v>
      </c>
      <c r="E26" s="3" t="s">
        <v>167</v>
      </c>
      <c r="F26" s="4"/>
    </row>
    <row r="27" spans="1:6" x14ac:dyDescent="0.3">
      <c r="A27" s="8">
        <v>26</v>
      </c>
      <c r="B27" s="3" t="s">
        <v>37</v>
      </c>
      <c r="C27" s="3" t="s">
        <v>26</v>
      </c>
      <c r="D27" s="3" t="s">
        <v>27</v>
      </c>
      <c r="E27" s="3" t="s">
        <v>167</v>
      </c>
      <c r="F27" s="4"/>
    </row>
    <row r="28" spans="1:6" x14ac:dyDescent="0.3">
      <c r="A28" s="8">
        <v>27</v>
      </c>
      <c r="B28" s="3" t="s">
        <v>11</v>
      </c>
      <c r="C28" s="3" t="s">
        <v>28</v>
      </c>
      <c r="D28" s="3" t="s">
        <v>29</v>
      </c>
      <c r="E28" s="3" t="s">
        <v>167</v>
      </c>
      <c r="F28" s="4"/>
    </row>
    <row r="29" spans="1:6" x14ac:dyDescent="0.3">
      <c r="A29" s="8">
        <v>28</v>
      </c>
      <c r="B29" s="3" t="s">
        <v>11</v>
      </c>
      <c r="C29" s="3" t="s">
        <v>30</v>
      </c>
      <c r="D29" s="3" t="s">
        <v>31</v>
      </c>
      <c r="E29" s="3" t="s">
        <v>167</v>
      </c>
      <c r="F29" s="4"/>
    </row>
    <row r="30" spans="1:6" x14ac:dyDescent="0.3">
      <c r="A30" s="8">
        <v>29</v>
      </c>
      <c r="B30" s="3" t="s">
        <v>11</v>
      </c>
      <c r="C30" s="3" t="s">
        <v>32</v>
      </c>
      <c r="D30" s="3" t="s">
        <v>33</v>
      </c>
      <c r="E30" s="3" t="s">
        <v>167</v>
      </c>
      <c r="F30" s="4"/>
    </row>
    <row r="31" spans="1:6" x14ac:dyDescent="0.3">
      <c r="A31" s="9"/>
      <c r="B31" s="5"/>
      <c r="C31" s="5"/>
      <c r="D31" s="5"/>
      <c r="E31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M1" sqref="M1:M1048576"/>
    </sheetView>
  </sheetViews>
  <sheetFormatPr baseColWidth="10" defaultColWidth="8.88671875" defaultRowHeight="14.4" x14ac:dyDescent="0.3"/>
  <cols>
    <col min="1" max="1" width="14.33203125" customWidth="1"/>
    <col min="2" max="2" width="17" style="6" customWidth="1"/>
    <col min="3" max="3" width="14.109375" style="11" customWidth="1"/>
    <col min="4" max="4" width="17.6640625" customWidth="1"/>
    <col min="5" max="5" width="16.33203125" customWidth="1"/>
    <col min="6" max="6" width="13.5546875" customWidth="1"/>
    <col min="7" max="7" width="15.5546875" customWidth="1"/>
    <col min="8" max="8" width="22.33203125" customWidth="1"/>
    <col min="9" max="9" width="17" customWidth="1"/>
    <col min="10" max="10" width="16.6640625" bestFit="1" customWidth="1"/>
    <col min="11" max="11" width="15.6640625" customWidth="1"/>
  </cols>
  <sheetData>
    <row r="1" spans="1:20" x14ac:dyDescent="0.3">
      <c r="A1" t="s">
        <v>40</v>
      </c>
      <c r="B1" s="6" t="s">
        <v>51</v>
      </c>
      <c r="C1" s="1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184</v>
      </c>
      <c r="M1" t="s">
        <v>187</v>
      </c>
      <c r="N1" t="s">
        <v>185</v>
      </c>
      <c r="R1" t="s">
        <v>40</v>
      </c>
    </row>
    <row r="2" spans="1:20" x14ac:dyDescent="0.3">
      <c r="A2">
        <v>30</v>
      </c>
      <c r="B2" s="6">
        <v>9</v>
      </c>
      <c r="C2" s="11">
        <v>27</v>
      </c>
      <c r="D2" s="2">
        <v>38732</v>
      </c>
      <c r="E2" s="2">
        <v>38739</v>
      </c>
      <c r="F2" t="s">
        <v>28</v>
      </c>
      <c r="G2" t="s">
        <v>29</v>
      </c>
      <c r="H2" t="s">
        <v>167</v>
      </c>
      <c r="I2" s="1">
        <v>200</v>
      </c>
      <c r="J2" t="s">
        <v>61</v>
      </c>
      <c r="K2" s="2">
        <v>38732</v>
      </c>
      <c r="L2" t="e">
        <f>VLOOKUP(A2,'Detalles de pedido'!#REF!,1,0)</f>
        <v>#REF!</v>
      </c>
      <c r="M2">
        <f>Pedidos[[#This Row],[Fecha de envío]]-Pedidos[[#This Row],[Fecha de pedido]]</f>
        <v>7</v>
      </c>
      <c r="N2">
        <f t="shared" ref="N2:N49" si="0">IF(M2&lt;0,"",M2)</f>
        <v>7</v>
      </c>
      <c r="R2">
        <v>30</v>
      </c>
      <c r="T2">
        <f>AVERAGE(Pedidos[Columna2])</f>
        <v>0.89743589743589747</v>
      </c>
    </row>
    <row r="3" spans="1:20" x14ac:dyDescent="0.3">
      <c r="A3">
        <v>31</v>
      </c>
      <c r="B3" s="6">
        <v>3</v>
      </c>
      <c r="C3" s="11">
        <v>4</v>
      </c>
      <c r="D3" s="2">
        <v>38737</v>
      </c>
      <c r="E3" s="2">
        <v>38739</v>
      </c>
      <c r="F3" t="s">
        <v>12</v>
      </c>
      <c r="G3" t="s">
        <v>13</v>
      </c>
      <c r="H3" t="s">
        <v>167</v>
      </c>
      <c r="I3" s="1">
        <v>5</v>
      </c>
      <c r="J3" t="s">
        <v>62</v>
      </c>
      <c r="K3" s="2">
        <v>38737</v>
      </c>
      <c r="L3" t="e">
        <f>VLOOKUP(A3,'Detalles de pedido'!#REF!,1,0)</f>
        <v>#REF!</v>
      </c>
      <c r="M3">
        <f>Pedidos[[#This Row],[Fecha de envío]]-Pedidos[[#This Row],[Fecha de pedido]]</f>
        <v>2</v>
      </c>
      <c r="N3">
        <f t="shared" si="0"/>
        <v>2</v>
      </c>
      <c r="R3">
        <v>31</v>
      </c>
    </row>
    <row r="4" spans="1:20" x14ac:dyDescent="0.3">
      <c r="A4">
        <v>32</v>
      </c>
      <c r="B4" s="6">
        <v>4</v>
      </c>
      <c r="C4" s="11">
        <v>12</v>
      </c>
      <c r="D4" s="2">
        <v>38739</v>
      </c>
      <c r="E4" s="2">
        <v>38739</v>
      </c>
      <c r="F4" t="s">
        <v>28</v>
      </c>
      <c r="G4" t="s">
        <v>29</v>
      </c>
      <c r="H4" t="s">
        <v>167</v>
      </c>
      <c r="I4" s="1">
        <v>5</v>
      </c>
      <c r="J4" t="s">
        <v>62</v>
      </c>
      <c r="K4" s="2">
        <v>38739</v>
      </c>
      <c r="L4" t="e">
        <f>VLOOKUP(A4,'Detalles de pedido'!#REF!,1,0)</f>
        <v>#REF!</v>
      </c>
      <c r="M4">
        <f>Pedidos[[#This Row],[Fecha de envío]]-Pedidos[[#This Row],[Fecha de pedido]]</f>
        <v>0</v>
      </c>
      <c r="N4">
        <f t="shared" si="0"/>
        <v>0</v>
      </c>
      <c r="R4">
        <v>32</v>
      </c>
    </row>
    <row r="5" spans="1:20" x14ac:dyDescent="0.3">
      <c r="A5">
        <v>33</v>
      </c>
      <c r="B5" s="6">
        <v>6</v>
      </c>
      <c r="C5" s="11">
        <v>8</v>
      </c>
      <c r="D5" s="2">
        <v>38747</v>
      </c>
      <c r="E5" s="2">
        <v>38748</v>
      </c>
      <c r="F5" t="s">
        <v>20</v>
      </c>
      <c r="G5" t="s">
        <v>21</v>
      </c>
      <c r="H5" t="s">
        <v>167</v>
      </c>
      <c r="I5" s="1">
        <v>50</v>
      </c>
      <c r="J5" t="s">
        <v>62</v>
      </c>
      <c r="K5" s="2">
        <v>38747</v>
      </c>
      <c r="L5" t="e">
        <f>VLOOKUP(A5,'Detalles de pedido'!#REF!,1,0)</f>
        <v>#REF!</v>
      </c>
      <c r="M5">
        <f>Pedidos[[#This Row],[Fecha de envío]]-Pedidos[[#This Row],[Fecha de pedido]]</f>
        <v>1</v>
      </c>
      <c r="N5">
        <f t="shared" si="0"/>
        <v>1</v>
      </c>
      <c r="R5">
        <v>33</v>
      </c>
    </row>
    <row r="6" spans="1:20" x14ac:dyDescent="0.3">
      <c r="A6">
        <v>34</v>
      </c>
      <c r="B6" s="6">
        <v>9</v>
      </c>
      <c r="C6" s="11">
        <v>4</v>
      </c>
      <c r="D6" s="2">
        <v>38754</v>
      </c>
      <c r="E6" s="2">
        <v>38755</v>
      </c>
      <c r="F6" t="s">
        <v>12</v>
      </c>
      <c r="G6" t="s">
        <v>13</v>
      </c>
      <c r="H6" t="s">
        <v>167</v>
      </c>
      <c r="I6" s="1">
        <v>4</v>
      </c>
      <c r="J6" t="s">
        <v>61</v>
      </c>
      <c r="K6" s="2">
        <v>38754</v>
      </c>
      <c r="L6" t="e">
        <f>VLOOKUP(A6,'Detalles de pedido'!#REF!,1,0)</f>
        <v>#REF!</v>
      </c>
      <c r="M6">
        <f>Pedidos[[#This Row],[Fecha de envío]]-Pedidos[[#This Row],[Fecha de pedido]]</f>
        <v>1</v>
      </c>
      <c r="N6">
        <f t="shared" si="0"/>
        <v>1</v>
      </c>
      <c r="R6">
        <v>34</v>
      </c>
    </row>
    <row r="7" spans="1:20" x14ac:dyDescent="0.3">
      <c r="A7">
        <v>35</v>
      </c>
      <c r="B7" s="6">
        <v>3</v>
      </c>
      <c r="C7" s="11">
        <v>29</v>
      </c>
      <c r="D7" s="2">
        <v>38758</v>
      </c>
      <c r="E7" s="2">
        <v>38760</v>
      </c>
      <c r="F7" t="s">
        <v>32</v>
      </c>
      <c r="G7" t="s">
        <v>33</v>
      </c>
      <c r="H7" t="s">
        <v>167</v>
      </c>
      <c r="I7" s="1">
        <v>7</v>
      </c>
      <c r="J7" t="s">
        <v>61</v>
      </c>
      <c r="K7" s="2">
        <v>38758</v>
      </c>
      <c r="L7" t="e">
        <f>VLOOKUP(A7,'Detalles de pedido'!#REF!,1,0)</f>
        <v>#REF!</v>
      </c>
      <c r="M7">
        <f>Pedidos[[#This Row],[Fecha de envío]]-Pedidos[[#This Row],[Fecha de pedido]]</f>
        <v>2</v>
      </c>
      <c r="N7">
        <f t="shared" si="0"/>
        <v>2</v>
      </c>
      <c r="R7">
        <v>35</v>
      </c>
    </row>
    <row r="8" spans="1:20" x14ac:dyDescent="0.3">
      <c r="A8">
        <v>36</v>
      </c>
      <c r="B8" s="6">
        <v>4</v>
      </c>
      <c r="C8" s="11">
        <v>3</v>
      </c>
      <c r="D8" s="2">
        <v>38771</v>
      </c>
      <c r="E8" s="2">
        <v>38773</v>
      </c>
      <c r="F8" t="s">
        <v>9</v>
      </c>
      <c r="G8" t="s">
        <v>10</v>
      </c>
      <c r="H8" t="s">
        <v>167</v>
      </c>
      <c r="I8" s="1">
        <v>7</v>
      </c>
      <c r="J8" t="s">
        <v>63</v>
      </c>
      <c r="K8" s="2">
        <v>38771</v>
      </c>
      <c r="L8" t="e">
        <f>VLOOKUP(A8,'Detalles de pedido'!#REF!,1,0)</f>
        <v>#REF!</v>
      </c>
      <c r="M8">
        <f>Pedidos[[#This Row],[Fecha de envío]]-Pedidos[[#This Row],[Fecha de pedido]]</f>
        <v>2</v>
      </c>
      <c r="N8">
        <f t="shared" si="0"/>
        <v>2</v>
      </c>
      <c r="R8">
        <v>36</v>
      </c>
    </row>
    <row r="9" spans="1:20" x14ac:dyDescent="0.3">
      <c r="A9">
        <v>37</v>
      </c>
      <c r="B9" s="6">
        <v>8</v>
      </c>
      <c r="C9" s="11">
        <v>6</v>
      </c>
      <c r="D9" s="2">
        <v>38782</v>
      </c>
      <c r="E9" s="2">
        <v>38785</v>
      </c>
      <c r="F9" t="s">
        <v>16</v>
      </c>
      <c r="G9" t="s">
        <v>17</v>
      </c>
      <c r="H9" t="s">
        <v>167</v>
      </c>
      <c r="I9" s="1">
        <v>12</v>
      </c>
      <c r="J9" t="s">
        <v>62</v>
      </c>
      <c r="K9" s="2">
        <v>38782</v>
      </c>
      <c r="L9" t="e">
        <f>VLOOKUP(A9,'Detalles de pedido'!#REF!,1,0)</f>
        <v>#REF!</v>
      </c>
      <c r="M9">
        <f>Pedidos[[#This Row],[Fecha de envío]]-Pedidos[[#This Row],[Fecha de pedido]]</f>
        <v>3</v>
      </c>
      <c r="N9">
        <f t="shared" si="0"/>
        <v>3</v>
      </c>
      <c r="R9">
        <v>37</v>
      </c>
    </row>
    <row r="10" spans="1:20" x14ac:dyDescent="0.3">
      <c r="A10">
        <v>38</v>
      </c>
      <c r="B10" s="6">
        <v>9</v>
      </c>
      <c r="C10" s="11">
        <v>28</v>
      </c>
      <c r="D10" s="2">
        <v>38786</v>
      </c>
      <c r="E10" s="2">
        <v>38787</v>
      </c>
      <c r="F10" t="s">
        <v>30</v>
      </c>
      <c r="G10" t="s">
        <v>31</v>
      </c>
      <c r="H10" t="s">
        <v>167</v>
      </c>
      <c r="I10" s="1">
        <v>10</v>
      </c>
      <c r="J10" t="s">
        <v>61</v>
      </c>
      <c r="K10" s="2">
        <v>38786</v>
      </c>
      <c r="L10" t="e">
        <f>VLOOKUP(A10,'Detalles de pedido'!#REF!,1,0)</f>
        <v>#REF!</v>
      </c>
      <c r="M10">
        <f>Pedidos[[#This Row],[Fecha de envío]]-Pedidos[[#This Row],[Fecha de pedido]]</f>
        <v>1</v>
      </c>
      <c r="N10">
        <f t="shared" si="0"/>
        <v>1</v>
      </c>
      <c r="R10">
        <v>38</v>
      </c>
    </row>
    <row r="11" spans="1:20" x14ac:dyDescent="0.3">
      <c r="A11">
        <v>39</v>
      </c>
      <c r="B11" s="6">
        <v>3</v>
      </c>
      <c r="C11" s="11">
        <v>8</v>
      </c>
      <c r="D11" s="2">
        <v>38798</v>
      </c>
      <c r="E11" s="2">
        <v>38800</v>
      </c>
      <c r="F11" t="s">
        <v>20</v>
      </c>
      <c r="G11" t="s">
        <v>21</v>
      </c>
      <c r="H11" t="s">
        <v>167</v>
      </c>
      <c r="I11" s="1">
        <v>5</v>
      </c>
      <c r="J11" t="s">
        <v>61</v>
      </c>
      <c r="K11" s="2">
        <v>38798</v>
      </c>
      <c r="L11" t="e">
        <f>VLOOKUP(A11,'Detalles de pedido'!#REF!,1,0)</f>
        <v>#REF!</v>
      </c>
      <c r="M11">
        <f>Pedidos[[#This Row],[Fecha de envío]]-Pedidos[[#This Row],[Fecha de pedido]]</f>
        <v>2</v>
      </c>
      <c r="N11">
        <f t="shared" si="0"/>
        <v>2</v>
      </c>
      <c r="R11">
        <v>39</v>
      </c>
    </row>
    <row r="12" spans="1:20" x14ac:dyDescent="0.3">
      <c r="A12">
        <v>40</v>
      </c>
      <c r="B12" s="6">
        <v>4</v>
      </c>
      <c r="C12" s="11">
        <v>10</v>
      </c>
      <c r="D12" s="2">
        <v>38800</v>
      </c>
      <c r="E12" s="2">
        <v>38800</v>
      </c>
      <c r="F12" t="s">
        <v>24</v>
      </c>
      <c r="G12" t="s">
        <v>25</v>
      </c>
      <c r="H12" t="s">
        <v>167</v>
      </c>
      <c r="I12" s="1">
        <v>9</v>
      </c>
      <c r="J12" t="s">
        <v>62</v>
      </c>
      <c r="K12" s="2">
        <v>38800</v>
      </c>
      <c r="L12" t="e">
        <f>VLOOKUP(A12,'Detalles de pedido'!#REF!,1,0)</f>
        <v>#REF!</v>
      </c>
      <c r="M12">
        <f>Pedidos[[#This Row],[Fecha de envío]]-Pedidos[[#This Row],[Fecha de pedido]]</f>
        <v>0</v>
      </c>
      <c r="N12">
        <f t="shared" si="0"/>
        <v>0</v>
      </c>
      <c r="R12">
        <v>40</v>
      </c>
    </row>
    <row r="13" spans="1:20" x14ac:dyDescent="0.3">
      <c r="A13">
        <v>41</v>
      </c>
      <c r="B13" s="6">
        <v>1</v>
      </c>
      <c r="C13" s="11">
        <v>7</v>
      </c>
      <c r="D13" s="2">
        <v>38800</v>
      </c>
      <c r="F13" t="s">
        <v>18</v>
      </c>
      <c r="G13" t="s">
        <v>19</v>
      </c>
      <c r="H13" t="s">
        <v>167</v>
      </c>
      <c r="I13" s="1">
        <v>0</v>
      </c>
      <c r="J13" t="s">
        <v>195</v>
      </c>
      <c r="L13" t="e">
        <f>VLOOKUP(A13,'Detalles de pedido'!#REF!,1,0)</f>
        <v>#REF!</v>
      </c>
      <c r="M13">
        <f>Pedidos[[#This Row],[Fecha de envío]]-Pedidos[[#This Row],[Fecha de pedido]]</f>
        <v>-38800</v>
      </c>
      <c r="N13" t="str">
        <f t="shared" si="0"/>
        <v/>
      </c>
      <c r="R13">
        <v>41</v>
      </c>
    </row>
    <row r="14" spans="1:20" x14ac:dyDescent="0.3">
      <c r="A14">
        <v>42</v>
      </c>
      <c r="B14" s="6">
        <v>1</v>
      </c>
      <c r="C14" s="11">
        <v>10</v>
      </c>
      <c r="D14" s="2">
        <v>38800</v>
      </c>
      <c r="E14" s="2">
        <v>38814</v>
      </c>
      <c r="F14" t="s">
        <v>24</v>
      </c>
      <c r="G14" t="s">
        <v>25</v>
      </c>
      <c r="H14" t="s">
        <v>167</v>
      </c>
      <c r="I14" s="1">
        <v>0</v>
      </c>
      <c r="J14" t="s">
        <v>195</v>
      </c>
      <c r="L14" t="e">
        <f>VLOOKUP(A14,'Detalles de pedido'!#REF!,1,0)</f>
        <v>#REF!</v>
      </c>
      <c r="M14">
        <f>Pedidos[[#This Row],[Fecha de envío]]-Pedidos[[#This Row],[Fecha de pedido]]</f>
        <v>14</v>
      </c>
      <c r="N14">
        <f t="shared" si="0"/>
        <v>14</v>
      </c>
      <c r="R14">
        <v>42</v>
      </c>
    </row>
    <row r="15" spans="1:20" x14ac:dyDescent="0.3">
      <c r="A15">
        <v>43</v>
      </c>
      <c r="B15" s="6">
        <v>1</v>
      </c>
      <c r="C15" s="11">
        <v>11</v>
      </c>
      <c r="D15" s="2">
        <v>38800</v>
      </c>
      <c r="F15" t="s">
        <v>26</v>
      </c>
      <c r="G15" t="s">
        <v>27</v>
      </c>
      <c r="H15" t="s">
        <v>167</v>
      </c>
      <c r="I15" s="1">
        <v>0</v>
      </c>
      <c r="J15" t="s">
        <v>195</v>
      </c>
      <c r="L15" t="e">
        <f>VLOOKUP(A15,'Detalles de pedido'!#REF!,1,0)</f>
        <v>#REF!</v>
      </c>
      <c r="M15">
        <f>Pedidos[[#This Row],[Fecha de envío]]-Pedidos[[#This Row],[Fecha de pedido]]</f>
        <v>-38800</v>
      </c>
      <c r="N15" t="str">
        <f t="shared" si="0"/>
        <v/>
      </c>
      <c r="R15">
        <v>43</v>
      </c>
    </row>
    <row r="16" spans="1:20" x14ac:dyDescent="0.3">
      <c r="A16">
        <v>44</v>
      </c>
      <c r="B16" s="6">
        <v>1</v>
      </c>
      <c r="C16" s="11">
        <v>1</v>
      </c>
      <c r="D16" s="2">
        <v>38800</v>
      </c>
      <c r="F16" t="s">
        <v>5</v>
      </c>
      <c r="G16" t="s">
        <v>166</v>
      </c>
      <c r="H16" t="s">
        <v>167</v>
      </c>
      <c r="I16" s="1">
        <v>0</v>
      </c>
      <c r="J16" t="s">
        <v>195</v>
      </c>
      <c r="L16" t="e">
        <f>VLOOKUP(A16,'Detalles de pedido'!#REF!,1,0)</f>
        <v>#REF!</v>
      </c>
      <c r="M16">
        <f>Pedidos[[#This Row],[Fecha de envío]]-Pedidos[[#This Row],[Fecha de pedido]]</f>
        <v>-38800</v>
      </c>
      <c r="N16" t="str">
        <f t="shared" si="0"/>
        <v/>
      </c>
      <c r="R16">
        <v>44</v>
      </c>
    </row>
    <row r="17" spans="1:18" x14ac:dyDescent="0.3">
      <c r="A17">
        <v>45</v>
      </c>
      <c r="B17" s="6">
        <v>1</v>
      </c>
      <c r="C17" s="11">
        <v>28</v>
      </c>
      <c r="D17" s="2">
        <v>38814</v>
      </c>
      <c r="E17" s="2">
        <v>38814</v>
      </c>
      <c r="F17" t="s">
        <v>30</v>
      </c>
      <c r="G17" t="s">
        <v>31</v>
      </c>
      <c r="H17" t="s">
        <v>167</v>
      </c>
      <c r="I17" s="1">
        <v>40</v>
      </c>
      <c r="J17" t="s">
        <v>62</v>
      </c>
      <c r="K17" s="2">
        <v>38814</v>
      </c>
      <c r="L17" t="e">
        <f>VLOOKUP(A17,'Detalles de pedido'!#REF!,1,0)</f>
        <v>#REF!</v>
      </c>
      <c r="M17">
        <f>Pedidos[[#This Row],[Fecha de envío]]-Pedidos[[#This Row],[Fecha de pedido]]</f>
        <v>0</v>
      </c>
      <c r="N17">
        <f t="shared" si="0"/>
        <v>0</v>
      </c>
      <c r="R17">
        <v>45</v>
      </c>
    </row>
    <row r="18" spans="1:18" x14ac:dyDescent="0.3">
      <c r="A18">
        <v>46</v>
      </c>
      <c r="B18" s="6">
        <v>7</v>
      </c>
      <c r="C18" s="11">
        <v>9</v>
      </c>
      <c r="D18" s="2">
        <v>38812</v>
      </c>
      <c r="E18" s="2">
        <v>38812</v>
      </c>
      <c r="F18" t="s">
        <v>22</v>
      </c>
      <c r="G18" t="s">
        <v>23</v>
      </c>
      <c r="H18" t="s">
        <v>167</v>
      </c>
      <c r="I18" s="1">
        <v>100</v>
      </c>
      <c r="J18" t="s">
        <v>61</v>
      </c>
      <c r="K18" s="2">
        <v>38812</v>
      </c>
      <c r="L18" t="e">
        <f>VLOOKUP(A18,'Detalles de pedido'!#REF!,1,0)</f>
        <v>#REF!</v>
      </c>
      <c r="M18">
        <f>Pedidos[[#This Row],[Fecha de envío]]-Pedidos[[#This Row],[Fecha de pedido]]</f>
        <v>0</v>
      </c>
      <c r="N18">
        <f t="shared" si="0"/>
        <v>0</v>
      </c>
      <c r="R18">
        <v>46</v>
      </c>
    </row>
    <row r="19" spans="1:18" x14ac:dyDescent="0.3">
      <c r="A19">
        <v>47</v>
      </c>
      <c r="B19" s="6">
        <v>6</v>
      </c>
      <c r="C19" s="11">
        <v>6</v>
      </c>
      <c r="D19" s="2">
        <v>38815</v>
      </c>
      <c r="E19" s="2">
        <v>38815</v>
      </c>
      <c r="F19" t="s">
        <v>16</v>
      </c>
      <c r="G19" t="s">
        <v>17</v>
      </c>
      <c r="H19" t="s">
        <v>167</v>
      </c>
      <c r="I19" s="1">
        <v>300</v>
      </c>
      <c r="J19" t="s">
        <v>62</v>
      </c>
      <c r="K19" s="2">
        <v>38815</v>
      </c>
      <c r="L19" t="e">
        <f>VLOOKUP(A19,'Detalles de pedido'!#REF!,1,0)</f>
        <v>#REF!</v>
      </c>
      <c r="M19">
        <f>Pedidos[[#This Row],[Fecha de envío]]-Pedidos[[#This Row],[Fecha de pedido]]</f>
        <v>0</v>
      </c>
      <c r="N19">
        <f t="shared" si="0"/>
        <v>0</v>
      </c>
      <c r="R19">
        <v>47</v>
      </c>
    </row>
    <row r="20" spans="1:18" x14ac:dyDescent="0.3">
      <c r="A20">
        <v>48</v>
      </c>
      <c r="B20" s="6">
        <v>4</v>
      </c>
      <c r="C20" s="11">
        <v>8</v>
      </c>
      <c r="D20" s="2">
        <v>38812</v>
      </c>
      <c r="E20" s="2">
        <v>38812</v>
      </c>
      <c r="F20" t="s">
        <v>20</v>
      </c>
      <c r="G20" t="s">
        <v>21</v>
      </c>
      <c r="H20" t="s">
        <v>167</v>
      </c>
      <c r="I20" s="1">
        <v>50</v>
      </c>
      <c r="J20" t="s">
        <v>61</v>
      </c>
      <c r="K20" s="2">
        <v>38812</v>
      </c>
      <c r="L20" t="e">
        <f>VLOOKUP(A20,'Detalles de pedido'!#REF!,1,0)</f>
        <v>#REF!</v>
      </c>
      <c r="M20">
        <f>Pedidos[[#This Row],[Fecha de envío]]-Pedidos[[#This Row],[Fecha de pedido]]</f>
        <v>0</v>
      </c>
      <c r="N20">
        <f t="shared" si="0"/>
        <v>0</v>
      </c>
      <c r="R20">
        <v>48</v>
      </c>
    </row>
    <row r="21" spans="1:18" x14ac:dyDescent="0.3">
      <c r="A21">
        <v>50</v>
      </c>
      <c r="B21" s="6">
        <v>9</v>
      </c>
      <c r="C21" s="11">
        <v>25</v>
      </c>
      <c r="D21" s="2">
        <v>38812</v>
      </c>
      <c r="E21" s="2">
        <v>38812</v>
      </c>
      <c r="F21" t="s">
        <v>24</v>
      </c>
      <c r="G21" t="s">
        <v>25</v>
      </c>
      <c r="H21" t="s">
        <v>167</v>
      </c>
      <c r="I21" s="1">
        <v>5</v>
      </c>
      <c r="J21" t="s">
        <v>63</v>
      </c>
      <c r="K21" s="2">
        <v>38812</v>
      </c>
      <c r="L21" t="e">
        <f>VLOOKUP(A21,'Detalles de pedido'!#REF!,1,0)</f>
        <v>#REF!</v>
      </c>
      <c r="M21">
        <f>Pedidos[[#This Row],[Fecha de envío]]-Pedidos[[#This Row],[Fecha de pedido]]</f>
        <v>0</v>
      </c>
      <c r="N21">
        <f t="shared" si="0"/>
        <v>0</v>
      </c>
      <c r="R21">
        <v>50</v>
      </c>
    </row>
    <row r="22" spans="1:18" x14ac:dyDescent="0.3">
      <c r="A22">
        <v>51</v>
      </c>
      <c r="B22" s="6">
        <v>9</v>
      </c>
      <c r="C22" s="11">
        <v>26</v>
      </c>
      <c r="D22" s="2">
        <v>38812</v>
      </c>
      <c r="E22" s="2">
        <v>38812</v>
      </c>
      <c r="F22" t="s">
        <v>26</v>
      </c>
      <c r="G22" t="s">
        <v>27</v>
      </c>
      <c r="H22" t="s">
        <v>167</v>
      </c>
      <c r="I22" s="1">
        <v>60</v>
      </c>
      <c r="J22" t="s">
        <v>62</v>
      </c>
      <c r="K22" s="2">
        <v>38812</v>
      </c>
      <c r="L22" t="e">
        <f>VLOOKUP(A22,'Detalles de pedido'!#REF!,1,0)</f>
        <v>#REF!</v>
      </c>
      <c r="M22">
        <f>Pedidos[[#This Row],[Fecha de envío]]-Pedidos[[#This Row],[Fecha de pedido]]</f>
        <v>0</v>
      </c>
      <c r="N22">
        <f t="shared" si="0"/>
        <v>0</v>
      </c>
      <c r="R22">
        <v>51</v>
      </c>
    </row>
    <row r="23" spans="1:18" x14ac:dyDescent="0.3">
      <c r="A23">
        <v>55</v>
      </c>
      <c r="B23" s="6">
        <v>1</v>
      </c>
      <c r="C23" s="11">
        <v>29</v>
      </c>
      <c r="D23" s="2">
        <v>38812</v>
      </c>
      <c r="E23" s="2">
        <v>38812</v>
      </c>
      <c r="F23" t="s">
        <v>32</v>
      </c>
      <c r="G23" t="s">
        <v>33</v>
      </c>
      <c r="H23" t="s">
        <v>167</v>
      </c>
      <c r="I23" s="1">
        <v>200</v>
      </c>
      <c r="J23" t="s">
        <v>61</v>
      </c>
      <c r="K23" s="2">
        <v>38812</v>
      </c>
      <c r="L23" t="e">
        <f>VLOOKUP(A23,'Detalles de pedido'!#REF!,1,0)</f>
        <v>#REF!</v>
      </c>
      <c r="M23">
        <f>Pedidos[[#This Row],[Fecha de envío]]-Pedidos[[#This Row],[Fecha de pedido]]</f>
        <v>0</v>
      </c>
      <c r="N23">
        <f t="shared" si="0"/>
        <v>0</v>
      </c>
      <c r="R23">
        <v>55</v>
      </c>
    </row>
    <row r="24" spans="1:18" x14ac:dyDescent="0.3">
      <c r="A24">
        <v>56</v>
      </c>
      <c r="B24" s="6">
        <v>2</v>
      </c>
      <c r="C24" s="11">
        <v>6</v>
      </c>
      <c r="D24" s="2">
        <v>38810</v>
      </c>
      <c r="E24" s="2">
        <v>38810</v>
      </c>
      <c r="F24" t="s">
        <v>16</v>
      </c>
      <c r="G24" t="s">
        <v>17</v>
      </c>
      <c r="H24" t="s">
        <v>167</v>
      </c>
      <c r="I24" s="1">
        <v>0</v>
      </c>
      <c r="J24" t="s">
        <v>61</v>
      </c>
      <c r="K24" s="2">
        <v>38810</v>
      </c>
      <c r="L24" t="e">
        <f>VLOOKUP(A24,'Detalles de pedido'!#REF!,1,0)</f>
        <v>#REF!</v>
      </c>
      <c r="M24">
        <f>Pedidos[[#This Row],[Fecha de envío]]-Pedidos[[#This Row],[Fecha de pedido]]</f>
        <v>0</v>
      </c>
      <c r="N24">
        <f t="shared" si="0"/>
        <v>0</v>
      </c>
      <c r="R24">
        <v>56</v>
      </c>
    </row>
    <row r="25" spans="1:18" x14ac:dyDescent="0.3">
      <c r="A25">
        <v>57</v>
      </c>
      <c r="B25" s="6">
        <v>9</v>
      </c>
      <c r="C25" s="11">
        <v>27</v>
      </c>
      <c r="D25" s="2">
        <v>38829</v>
      </c>
      <c r="E25" s="2">
        <v>38829</v>
      </c>
      <c r="F25" t="s">
        <v>28</v>
      </c>
      <c r="G25" t="s">
        <v>29</v>
      </c>
      <c r="H25" t="s">
        <v>167</v>
      </c>
      <c r="I25" s="1">
        <v>200</v>
      </c>
      <c r="J25" t="s">
        <v>61</v>
      </c>
      <c r="K25" s="2">
        <v>38829</v>
      </c>
      <c r="L25" t="e">
        <f>VLOOKUP(A25,'Detalles de pedido'!#REF!,1,0)</f>
        <v>#REF!</v>
      </c>
      <c r="M25">
        <f>Pedidos[[#This Row],[Fecha de envío]]-Pedidos[[#This Row],[Fecha de pedido]]</f>
        <v>0</v>
      </c>
      <c r="N25">
        <f t="shared" si="0"/>
        <v>0</v>
      </c>
      <c r="R25">
        <v>57</v>
      </c>
    </row>
    <row r="26" spans="1:18" x14ac:dyDescent="0.3">
      <c r="A26">
        <v>58</v>
      </c>
      <c r="B26" s="6">
        <v>3</v>
      </c>
      <c r="C26" s="11">
        <v>4</v>
      </c>
      <c r="D26" s="2">
        <v>38829</v>
      </c>
      <c r="E26" s="2">
        <v>38829</v>
      </c>
      <c r="F26" t="s">
        <v>12</v>
      </c>
      <c r="G26" t="s">
        <v>13</v>
      </c>
      <c r="H26" t="s">
        <v>167</v>
      </c>
      <c r="I26" s="1">
        <v>5</v>
      </c>
      <c r="J26" t="s">
        <v>62</v>
      </c>
      <c r="K26" s="2">
        <v>38829</v>
      </c>
      <c r="L26" t="e">
        <f>VLOOKUP(A26,'Detalles de pedido'!#REF!,1,0)</f>
        <v>#REF!</v>
      </c>
      <c r="M26">
        <f>Pedidos[[#This Row],[Fecha de envío]]-Pedidos[[#This Row],[Fecha de pedido]]</f>
        <v>0</v>
      </c>
      <c r="N26">
        <f t="shared" si="0"/>
        <v>0</v>
      </c>
      <c r="R26">
        <v>58</v>
      </c>
    </row>
    <row r="27" spans="1:18" x14ac:dyDescent="0.3">
      <c r="A27">
        <v>59</v>
      </c>
      <c r="B27" s="6">
        <v>4</v>
      </c>
      <c r="C27" s="11">
        <v>12</v>
      </c>
      <c r="D27" s="2">
        <v>38829</v>
      </c>
      <c r="E27" s="2">
        <v>38829</v>
      </c>
      <c r="F27" t="s">
        <v>28</v>
      </c>
      <c r="G27" t="s">
        <v>29</v>
      </c>
      <c r="H27" t="s">
        <v>167</v>
      </c>
      <c r="I27" s="1">
        <v>5</v>
      </c>
      <c r="J27" t="s">
        <v>62</v>
      </c>
      <c r="K27" s="2">
        <v>38829</v>
      </c>
      <c r="L27" t="e">
        <f>VLOOKUP(A27,'Detalles de pedido'!#REF!,1,0)</f>
        <v>#REF!</v>
      </c>
      <c r="M27">
        <f>Pedidos[[#This Row],[Fecha de envío]]-Pedidos[[#This Row],[Fecha de pedido]]</f>
        <v>0</v>
      </c>
      <c r="N27">
        <f t="shared" si="0"/>
        <v>0</v>
      </c>
      <c r="R27">
        <v>59</v>
      </c>
    </row>
    <row r="28" spans="1:18" x14ac:dyDescent="0.3">
      <c r="A28">
        <v>60</v>
      </c>
      <c r="B28" s="6">
        <v>6</v>
      </c>
      <c r="C28" s="11">
        <v>8</v>
      </c>
      <c r="D28" s="2">
        <v>38837</v>
      </c>
      <c r="E28" s="2">
        <v>38837</v>
      </c>
      <c r="F28" t="s">
        <v>20</v>
      </c>
      <c r="G28" t="s">
        <v>21</v>
      </c>
      <c r="H28" t="s">
        <v>167</v>
      </c>
      <c r="I28" s="1">
        <v>50</v>
      </c>
      <c r="J28" t="s">
        <v>62</v>
      </c>
      <c r="K28" s="2">
        <v>38837</v>
      </c>
      <c r="L28" t="e">
        <f>VLOOKUP(A28,'Detalles de pedido'!#REF!,1,0)</f>
        <v>#REF!</v>
      </c>
      <c r="M28">
        <f>Pedidos[[#This Row],[Fecha de envío]]-Pedidos[[#This Row],[Fecha de pedido]]</f>
        <v>0</v>
      </c>
      <c r="N28">
        <f t="shared" si="0"/>
        <v>0</v>
      </c>
      <c r="R28">
        <v>60</v>
      </c>
    </row>
    <row r="29" spans="1:18" x14ac:dyDescent="0.3">
      <c r="A29">
        <v>61</v>
      </c>
      <c r="B29" s="6">
        <v>9</v>
      </c>
      <c r="C29" s="11">
        <v>4</v>
      </c>
      <c r="D29" s="2">
        <v>38814</v>
      </c>
      <c r="E29" s="2">
        <v>38814</v>
      </c>
      <c r="F29" t="s">
        <v>12</v>
      </c>
      <c r="G29" t="s">
        <v>13</v>
      </c>
      <c r="H29" t="s">
        <v>167</v>
      </c>
      <c r="I29" s="1">
        <v>4</v>
      </c>
      <c r="J29" t="s">
        <v>61</v>
      </c>
      <c r="K29" s="2">
        <v>38814</v>
      </c>
      <c r="L29" t="e">
        <f>VLOOKUP(A29,'Detalles de pedido'!#REF!,1,0)</f>
        <v>#REF!</v>
      </c>
      <c r="M29">
        <f>Pedidos[[#This Row],[Fecha de envío]]-Pedidos[[#This Row],[Fecha de pedido]]</f>
        <v>0</v>
      </c>
      <c r="N29">
        <f t="shared" si="0"/>
        <v>0</v>
      </c>
      <c r="R29">
        <v>61</v>
      </c>
    </row>
    <row r="30" spans="1:18" x14ac:dyDescent="0.3">
      <c r="A30">
        <v>62</v>
      </c>
      <c r="B30" s="6">
        <v>3</v>
      </c>
      <c r="C30" s="11">
        <v>29</v>
      </c>
      <c r="D30" s="2">
        <v>38819</v>
      </c>
      <c r="E30" s="2">
        <v>38819</v>
      </c>
      <c r="F30" t="s">
        <v>32</v>
      </c>
      <c r="G30" t="s">
        <v>33</v>
      </c>
      <c r="H30" t="s">
        <v>167</v>
      </c>
      <c r="I30" s="1">
        <v>7</v>
      </c>
      <c r="J30" t="s">
        <v>61</v>
      </c>
      <c r="K30" s="2">
        <v>38819</v>
      </c>
      <c r="L30" t="e">
        <f>VLOOKUP(A30,'Detalles de pedido'!#REF!,1,0)</f>
        <v>#REF!</v>
      </c>
      <c r="M30">
        <f>Pedidos[[#This Row],[Fecha de envío]]-Pedidos[[#This Row],[Fecha de pedido]]</f>
        <v>0</v>
      </c>
      <c r="N30">
        <f t="shared" si="0"/>
        <v>0</v>
      </c>
      <c r="R30">
        <v>62</v>
      </c>
    </row>
    <row r="31" spans="1:18" x14ac:dyDescent="0.3">
      <c r="A31">
        <v>63</v>
      </c>
      <c r="B31" s="6">
        <v>4</v>
      </c>
      <c r="C31" s="11">
        <v>3</v>
      </c>
      <c r="D31" s="2">
        <v>38832</v>
      </c>
      <c r="E31" s="2">
        <v>38832</v>
      </c>
      <c r="F31" t="s">
        <v>9</v>
      </c>
      <c r="G31" t="s">
        <v>10</v>
      </c>
      <c r="H31" t="s">
        <v>167</v>
      </c>
      <c r="I31" s="1">
        <v>7</v>
      </c>
      <c r="J31" t="s">
        <v>63</v>
      </c>
      <c r="K31" s="2">
        <v>38832</v>
      </c>
      <c r="L31" t="e">
        <f>VLOOKUP(A31,'Detalles de pedido'!#REF!,1,0)</f>
        <v>#REF!</v>
      </c>
      <c r="M31">
        <f>Pedidos[[#This Row],[Fecha de envío]]-Pedidos[[#This Row],[Fecha de pedido]]</f>
        <v>0</v>
      </c>
      <c r="N31">
        <f t="shared" si="0"/>
        <v>0</v>
      </c>
      <c r="R31">
        <v>63</v>
      </c>
    </row>
    <row r="32" spans="1:18" x14ac:dyDescent="0.3">
      <c r="A32">
        <v>64</v>
      </c>
      <c r="B32" s="6">
        <v>8</v>
      </c>
      <c r="C32" s="11">
        <v>6</v>
      </c>
      <c r="D32" s="2">
        <v>38846</v>
      </c>
      <c r="E32" s="2">
        <v>38846</v>
      </c>
      <c r="F32" t="s">
        <v>16</v>
      </c>
      <c r="G32" t="s">
        <v>17</v>
      </c>
      <c r="H32" t="s">
        <v>167</v>
      </c>
      <c r="I32" s="1">
        <v>12</v>
      </c>
      <c r="J32" t="s">
        <v>62</v>
      </c>
      <c r="K32" s="2">
        <v>38846</v>
      </c>
      <c r="L32" t="e">
        <f>VLOOKUP(A32,'Detalles de pedido'!#REF!,1,0)</f>
        <v>#REF!</v>
      </c>
      <c r="M32">
        <f>Pedidos[[#This Row],[Fecha de envío]]-Pedidos[[#This Row],[Fecha de pedido]]</f>
        <v>0</v>
      </c>
      <c r="N32">
        <f t="shared" si="0"/>
        <v>0</v>
      </c>
      <c r="R32">
        <v>64</v>
      </c>
    </row>
    <row r="33" spans="1:18" x14ac:dyDescent="0.3">
      <c r="A33">
        <v>65</v>
      </c>
      <c r="B33" s="6">
        <v>9</v>
      </c>
      <c r="C33" s="11">
        <v>28</v>
      </c>
      <c r="D33" s="2">
        <v>38848</v>
      </c>
      <c r="E33" s="2">
        <v>38848</v>
      </c>
      <c r="F33" t="s">
        <v>30</v>
      </c>
      <c r="G33" t="s">
        <v>31</v>
      </c>
      <c r="H33" t="s">
        <v>167</v>
      </c>
      <c r="I33" s="1">
        <v>10</v>
      </c>
      <c r="J33" t="s">
        <v>61</v>
      </c>
      <c r="K33" s="2">
        <v>38848</v>
      </c>
      <c r="L33" t="e">
        <f>VLOOKUP(A33,'Detalles de pedido'!#REF!,1,0)</f>
        <v>#REF!</v>
      </c>
      <c r="M33">
        <f>Pedidos[[#This Row],[Fecha de envío]]-Pedidos[[#This Row],[Fecha de pedido]]</f>
        <v>0</v>
      </c>
      <c r="N33">
        <f t="shared" si="0"/>
        <v>0</v>
      </c>
      <c r="R33">
        <v>65</v>
      </c>
    </row>
    <row r="34" spans="1:18" x14ac:dyDescent="0.3">
      <c r="A34">
        <v>66</v>
      </c>
      <c r="B34" s="6">
        <v>3</v>
      </c>
      <c r="C34" s="11">
        <v>8</v>
      </c>
      <c r="D34" s="2">
        <v>38861</v>
      </c>
      <c r="E34" s="2">
        <v>38861</v>
      </c>
      <c r="F34" t="s">
        <v>20</v>
      </c>
      <c r="G34" t="s">
        <v>21</v>
      </c>
      <c r="H34" t="s">
        <v>167</v>
      </c>
      <c r="I34" s="1">
        <v>5</v>
      </c>
      <c r="J34" t="s">
        <v>61</v>
      </c>
      <c r="K34" s="2">
        <v>38861</v>
      </c>
      <c r="L34" t="e">
        <f>VLOOKUP(A34,'Detalles de pedido'!#REF!,1,0)</f>
        <v>#REF!</v>
      </c>
      <c r="M34">
        <f>Pedidos[[#This Row],[Fecha de envío]]-Pedidos[[#This Row],[Fecha de pedido]]</f>
        <v>0</v>
      </c>
      <c r="N34">
        <f t="shared" si="0"/>
        <v>0</v>
      </c>
      <c r="R34">
        <v>66</v>
      </c>
    </row>
    <row r="35" spans="1:18" x14ac:dyDescent="0.3">
      <c r="A35">
        <v>67</v>
      </c>
      <c r="B35" s="6">
        <v>4</v>
      </c>
      <c r="C35" s="11">
        <v>10</v>
      </c>
      <c r="D35" s="2">
        <v>38861</v>
      </c>
      <c r="E35" s="2">
        <v>38861</v>
      </c>
      <c r="F35" t="s">
        <v>24</v>
      </c>
      <c r="G35" t="s">
        <v>25</v>
      </c>
      <c r="H35" t="s">
        <v>167</v>
      </c>
      <c r="I35" s="1">
        <v>9</v>
      </c>
      <c r="J35" t="s">
        <v>62</v>
      </c>
      <c r="K35" s="2">
        <v>38861</v>
      </c>
      <c r="L35" t="e">
        <f>VLOOKUP(A35,'Detalles de pedido'!#REF!,1,0)</f>
        <v>#REF!</v>
      </c>
      <c r="M35">
        <f>Pedidos[[#This Row],[Fecha de envío]]-Pedidos[[#This Row],[Fecha de pedido]]</f>
        <v>0</v>
      </c>
      <c r="N35">
        <f t="shared" si="0"/>
        <v>0</v>
      </c>
      <c r="R35">
        <v>67</v>
      </c>
    </row>
    <row r="36" spans="1:18" x14ac:dyDescent="0.3">
      <c r="A36">
        <v>68</v>
      </c>
      <c r="B36" s="6">
        <v>1</v>
      </c>
      <c r="C36" s="11">
        <v>7</v>
      </c>
      <c r="D36" s="2">
        <v>38861</v>
      </c>
      <c r="F36" t="s">
        <v>18</v>
      </c>
      <c r="G36" t="s">
        <v>19</v>
      </c>
      <c r="H36" t="s">
        <v>167</v>
      </c>
      <c r="I36" s="1">
        <v>0</v>
      </c>
      <c r="J36" t="s">
        <v>195</v>
      </c>
      <c r="L36" t="e">
        <f>VLOOKUP(A36,'Detalles de pedido'!#REF!,1,0)</f>
        <v>#REF!</v>
      </c>
      <c r="M36">
        <f>Pedidos[[#This Row],[Fecha de envío]]-Pedidos[[#This Row],[Fecha de pedido]]</f>
        <v>-38861</v>
      </c>
      <c r="N36" t="str">
        <f t="shared" si="0"/>
        <v/>
      </c>
      <c r="R36">
        <v>68</v>
      </c>
    </row>
    <row r="37" spans="1:18" x14ac:dyDescent="0.3">
      <c r="A37">
        <v>69</v>
      </c>
      <c r="B37" s="6">
        <v>1</v>
      </c>
      <c r="C37" s="11">
        <v>10</v>
      </c>
      <c r="D37" s="2">
        <v>38861</v>
      </c>
      <c r="F37" t="s">
        <v>24</v>
      </c>
      <c r="G37" t="s">
        <v>25</v>
      </c>
      <c r="H37" t="s">
        <v>167</v>
      </c>
      <c r="I37" s="1">
        <v>0</v>
      </c>
      <c r="J37" t="s">
        <v>195</v>
      </c>
      <c r="L37" t="e">
        <f>VLOOKUP(A37,'Detalles de pedido'!#REF!,1,0)</f>
        <v>#REF!</v>
      </c>
      <c r="M37">
        <f>Pedidos[[#This Row],[Fecha de envío]]-Pedidos[[#This Row],[Fecha de pedido]]</f>
        <v>-38861</v>
      </c>
      <c r="N37" t="str">
        <f t="shared" si="0"/>
        <v/>
      </c>
      <c r="R37">
        <v>69</v>
      </c>
    </row>
    <row r="38" spans="1:18" x14ac:dyDescent="0.3">
      <c r="A38">
        <v>70</v>
      </c>
      <c r="B38" s="6">
        <v>1</v>
      </c>
      <c r="C38" s="11">
        <v>11</v>
      </c>
      <c r="D38" s="2">
        <v>38861</v>
      </c>
      <c r="F38" t="s">
        <v>26</v>
      </c>
      <c r="G38" t="s">
        <v>27</v>
      </c>
      <c r="H38" t="s">
        <v>167</v>
      </c>
      <c r="I38" s="1">
        <v>0</v>
      </c>
      <c r="J38" t="s">
        <v>195</v>
      </c>
      <c r="L38" t="e">
        <f>VLOOKUP(A38,'Detalles de pedido'!#REF!,1,0)</f>
        <v>#REF!</v>
      </c>
      <c r="M38">
        <f>Pedidos[[#This Row],[Fecha de envío]]-Pedidos[[#This Row],[Fecha de pedido]]</f>
        <v>-38861</v>
      </c>
      <c r="N38" t="str">
        <f t="shared" si="0"/>
        <v/>
      </c>
      <c r="R38">
        <v>70</v>
      </c>
    </row>
    <row r="39" spans="1:18" x14ac:dyDescent="0.3">
      <c r="A39">
        <v>71</v>
      </c>
      <c r="B39" s="6">
        <v>1</v>
      </c>
      <c r="C39" s="11">
        <v>1</v>
      </c>
      <c r="D39" s="2">
        <v>38861</v>
      </c>
      <c r="F39" t="s">
        <v>5</v>
      </c>
      <c r="G39" t="s">
        <v>166</v>
      </c>
      <c r="H39" t="s">
        <v>167</v>
      </c>
      <c r="I39" s="1">
        <v>0</v>
      </c>
      <c r="J39" t="s">
        <v>195</v>
      </c>
      <c r="L39" t="e">
        <f>VLOOKUP(A39,'Detalles de pedido'!#REF!,1,0)</f>
        <v>#REF!</v>
      </c>
      <c r="M39">
        <f>Pedidos[[#This Row],[Fecha de envío]]-Pedidos[[#This Row],[Fecha de pedido]]</f>
        <v>-38861</v>
      </c>
      <c r="N39" t="str">
        <f t="shared" si="0"/>
        <v/>
      </c>
      <c r="R39">
        <v>71</v>
      </c>
    </row>
    <row r="40" spans="1:18" x14ac:dyDescent="0.3">
      <c r="A40">
        <v>72</v>
      </c>
      <c r="B40" s="6">
        <v>1</v>
      </c>
      <c r="C40" s="11">
        <v>28</v>
      </c>
      <c r="D40" s="2">
        <v>38875</v>
      </c>
      <c r="E40" s="2">
        <v>38875</v>
      </c>
      <c r="F40" t="s">
        <v>30</v>
      </c>
      <c r="G40" t="s">
        <v>31</v>
      </c>
      <c r="H40" t="s">
        <v>167</v>
      </c>
      <c r="I40" s="1">
        <v>40</v>
      </c>
      <c r="J40" t="s">
        <v>62</v>
      </c>
      <c r="K40" s="2">
        <v>38875</v>
      </c>
      <c r="L40" t="e">
        <f>VLOOKUP(A40,'Detalles de pedido'!#REF!,1,0)</f>
        <v>#REF!</v>
      </c>
      <c r="M40">
        <f>Pedidos[[#This Row],[Fecha de envío]]-Pedidos[[#This Row],[Fecha de pedido]]</f>
        <v>0</v>
      </c>
      <c r="N40">
        <f t="shared" si="0"/>
        <v>0</v>
      </c>
      <c r="R40">
        <v>72</v>
      </c>
    </row>
    <row r="41" spans="1:18" x14ac:dyDescent="0.3">
      <c r="A41">
        <v>73</v>
      </c>
      <c r="B41" s="6">
        <v>7</v>
      </c>
      <c r="C41" s="11">
        <v>9</v>
      </c>
      <c r="D41" s="2">
        <v>38873</v>
      </c>
      <c r="E41" s="2">
        <v>38873</v>
      </c>
      <c r="F41" t="s">
        <v>22</v>
      </c>
      <c r="G41" t="s">
        <v>23</v>
      </c>
      <c r="H41" t="s">
        <v>167</v>
      </c>
      <c r="I41" s="1">
        <v>100</v>
      </c>
      <c r="J41" t="s">
        <v>61</v>
      </c>
      <c r="K41" s="2">
        <v>38873</v>
      </c>
      <c r="L41" t="e">
        <f>VLOOKUP(A41,'Detalles de pedido'!#REF!,1,0)</f>
        <v>#REF!</v>
      </c>
      <c r="M41">
        <f>Pedidos[[#This Row],[Fecha de envío]]-Pedidos[[#This Row],[Fecha de pedido]]</f>
        <v>0</v>
      </c>
      <c r="N41">
        <f t="shared" si="0"/>
        <v>0</v>
      </c>
      <c r="R41">
        <v>73</v>
      </c>
    </row>
    <row r="42" spans="1:18" x14ac:dyDescent="0.3">
      <c r="A42">
        <v>74</v>
      </c>
      <c r="B42" s="6">
        <v>6</v>
      </c>
      <c r="C42" s="11">
        <v>6</v>
      </c>
      <c r="D42" s="2">
        <v>38876</v>
      </c>
      <c r="E42" s="2">
        <v>38876</v>
      </c>
      <c r="F42" t="s">
        <v>16</v>
      </c>
      <c r="G42" t="s">
        <v>17</v>
      </c>
      <c r="H42" t="s">
        <v>167</v>
      </c>
      <c r="I42" s="1">
        <v>300</v>
      </c>
      <c r="J42" t="s">
        <v>62</v>
      </c>
      <c r="K42" s="2">
        <v>38876</v>
      </c>
      <c r="L42" t="e">
        <f>VLOOKUP(A42,'Detalles de pedido'!#REF!,1,0)</f>
        <v>#REF!</v>
      </c>
      <c r="M42">
        <f>Pedidos[[#This Row],[Fecha de envío]]-Pedidos[[#This Row],[Fecha de pedido]]</f>
        <v>0</v>
      </c>
      <c r="N42">
        <f t="shared" si="0"/>
        <v>0</v>
      </c>
      <c r="R42">
        <v>74</v>
      </c>
    </row>
    <row r="43" spans="1:18" x14ac:dyDescent="0.3">
      <c r="A43">
        <v>75</v>
      </c>
      <c r="B43" s="6">
        <v>4</v>
      </c>
      <c r="C43" s="11">
        <v>8</v>
      </c>
      <c r="D43" s="2">
        <v>38873</v>
      </c>
      <c r="E43" s="2">
        <v>38873</v>
      </c>
      <c r="F43" t="s">
        <v>20</v>
      </c>
      <c r="G43" t="s">
        <v>21</v>
      </c>
      <c r="H43" t="s">
        <v>167</v>
      </c>
      <c r="I43" s="1">
        <v>50</v>
      </c>
      <c r="J43" t="s">
        <v>61</v>
      </c>
      <c r="K43" s="2">
        <v>38873</v>
      </c>
      <c r="L43" t="e">
        <f>VLOOKUP(A43,'Detalles de pedido'!#REF!,1,0)</f>
        <v>#REF!</v>
      </c>
      <c r="M43">
        <f>Pedidos[[#This Row],[Fecha de envío]]-Pedidos[[#This Row],[Fecha de pedido]]</f>
        <v>0</v>
      </c>
      <c r="N43">
        <f t="shared" si="0"/>
        <v>0</v>
      </c>
      <c r="R43">
        <v>75</v>
      </c>
    </row>
    <row r="44" spans="1:18" x14ac:dyDescent="0.3">
      <c r="A44">
        <v>76</v>
      </c>
      <c r="B44" s="6">
        <v>9</v>
      </c>
      <c r="C44" s="11">
        <v>25</v>
      </c>
      <c r="D44" s="2">
        <v>38873</v>
      </c>
      <c r="E44" s="2">
        <v>38873</v>
      </c>
      <c r="F44" t="s">
        <v>24</v>
      </c>
      <c r="G44" t="s">
        <v>25</v>
      </c>
      <c r="H44" t="s">
        <v>167</v>
      </c>
      <c r="I44" s="1">
        <v>5</v>
      </c>
      <c r="J44" t="s">
        <v>63</v>
      </c>
      <c r="K44" s="2">
        <v>38873</v>
      </c>
      <c r="L44" t="e">
        <f>VLOOKUP(A44,'Detalles de pedido'!#REF!,1,0)</f>
        <v>#REF!</v>
      </c>
      <c r="M44">
        <f>Pedidos[[#This Row],[Fecha de envío]]-Pedidos[[#This Row],[Fecha de pedido]]</f>
        <v>0</v>
      </c>
      <c r="N44">
        <f t="shared" si="0"/>
        <v>0</v>
      </c>
      <c r="R44">
        <v>76</v>
      </c>
    </row>
    <row r="45" spans="1:18" x14ac:dyDescent="0.3">
      <c r="A45">
        <v>77</v>
      </c>
      <c r="B45" s="6">
        <v>9</v>
      </c>
      <c r="C45" s="11">
        <v>26</v>
      </c>
      <c r="D45" s="2">
        <v>38873</v>
      </c>
      <c r="E45" s="2">
        <v>38873</v>
      </c>
      <c r="F45" t="s">
        <v>26</v>
      </c>
      <c r="G45" t="s">
        <v>27</v>
      </c>
      <c r="H45" t="s">
        <v>167</v>
      </c>
      <c r="I45" s="1">
        <v>60</v>
      </c>
      <c r="J45" t="s">
        <v>62</v>
      </c>
      <c r="K45" s="2">
        <v>38873</v>
      </c>
      <c r="L45" t="e">
        <f>VLOOKUP(A45,'Detalles de pedido'!#REF!,1,0)</f>
        <v>#REF!</v>
      </c>
      <c r="M45">
        <f>Pedidos[[#This Row],[Fecha de envío]]-Pedidos[[#This Row],[Fecha de pedido]]</f>
        <v>0</v>
      </c>
      <c r="N45">
        <f t="shared" si="0"/>
        <v>0</v>
      </c>
      <c r="R45">
        <v>77</v>
      </c>
    </row>
    <row r="46" spans="1:18" x14ac:dyDescent="0.3">
      <c r="A46">
        <v>78</v>
      </c>
      <c r="B46" s="6">
        <v>1</v>
      </c>
      <c r="C46" s="11">
        <v>29</v>
      </c>
      <c r="D46" s="2">
        <v>38873</v>
      </c>
      <c r="E46" s="2">
        <v>38873</v>
      </c>
      <c r="F46" t="s">
        <v>32</v>
      </c>
      <c r="G46" t="s">
        <v>33</v>
      </c>
      <c r="H46" t="s">
        <v>167</v>
      </c>
      <c r="I46" s="1">
        <v>200</v>
      </c>
      <c r="J46" t="s">
        <v>61</v>
      </c>
      <c r="K46" s="2">
        <v>38873</v>
      </c>
      <c r="L46" t="e">
        <f>VLOOKUP(A46,'Detalles de pedido'!#REF!,1,0)</f>
        <v>#REF!</v>
      </c>
      <c r="M46">
        <f>Pedidos[[#This Row],[Fecha de envío]]-Pedidos[[#This Row],[Fecha de pedido]]</f>
        <v>0</v>
      </c>
      <c r="N46">
        <f t="shared" si="0"/>
        <v>0</v>
      </c>
      <c r="R46">
        <v>78</v>
      </c>
    </row>
    <row r="47" spans="1:18" x14ac:dyDescent="0.3">
      <c r="A47">
        <v>79</v>
      </c>
      <c r="B47" s="6">
        <v>2</v>
      </c>
      <c r="C47" s="11">
        <v>6</v>
      </c>
      <c r="D47" s="2">
        <v>38891</v>
      </c>
      <c r="E47" s="2">
        <v>38891</v>
      </c>
      <c r="F47" t="s">
        <v>16</v>
      </c>
      <c r="G47" t="s">
        <v>17</v>
      </c>
      <c r="H47" t="s">
        <v>167</v>
      </c>
      <c r="I47" s="1">
        <v>0</v>
      </c>
      <c r="J47" t="s">
        <v>61</v>
      </c>
      <c r="K47" s="2">
        <v>38891</v>
      </c>
      <c r="L47" t="e">
        <f>VLOOKUP(A47,'Detalles de pedido'!#REF!,1,0)</f>
        <v>#REF!</v>
      </c>
      <c r="M47">
        <f>Pedidos[[#This Row],[Fecha de envío]]-Pedidos[[#This Row],[Fecha de pedido]]</f>
        <v>0</v>
      </c>
      <c r="N47">
        <f t="shared" si="0"/>
        <v>0</v>
      </c>
      <c r="R47">
        <v>79</v>
      </c>
    </row>
    <row r="48" spans="1:18" x14ac:dyDescent="0.3">
      <c r="A48">
        <v>80</v>
      </c>
      <c r="B48" s="6">
        <v>2</v>
      </c>
      <c r="C48" s="11">
        <v>4</v>
      </c>
      <c r="D48" s="2">
        <v>38832.711053240702</v>
      </c>
      <c r="F48" t="s">
        <v>12</v>
      </c>
      <c r="G48" t="s">
        <v>13</v>
      </c>
      <c r="H48" t="s">
        <v>167</v>
      </c>
      <c r="I48" s="1">
        <v>0</v>
      </c>
      <c r="J48" t="s">
        <v>195</v>
      </c>
      <c r="L48" t="e">
        <f>VLOOKUP(A48,'Detalles de pedido'!#REF!,1,0)</f>
        <v>#REF!</v>
      </c>
      <c r="M48">
        <f>Pedidos[[#This Row],[Fecha de envío]]-Pedidos[[#This Row],[Fecha de pedido]]</f>
        <v>-38832.711053240702</v>
      </c>
      <c r="N48" t="str">
        <f t="shared" si="0"/>
        <v/>
      </c>
      <c r="R48">
        <v>80</v>
      </c>
    </row>
    <row r="49" spans="1:18" x14ac:dyDescent="0.3">
      <c r="A49">
        <v>81</v>
      </c>
      <c r="B49" s="6">
        <v>2</v>
      </c>
      <c r="C49" s="11">
        <v>3</v>
      </c>
      <c r="D49" s="2">
        <v>38832.727002314801</v>
      </c>
      <c r="F49" t="s">
        <v>9</v>
      </c>
      <c r="G49" t="s">
        <v>10</v>
      </c>
      <c r="H49" t="s">
        <v>167</v>
      </c>
      <c r="I49" s="1">
        <v>0</v>
      </c>
      <c r="J49" t="s">
        <v>195</v>
      </c>
      <c r="L49" t="e">
        <f>VLOOKUP(A49,'Detalles de pedido'!#REF!,1,0)</f>
        <v>#REF!</v>
      </c>
      <c r="M49">
        <f>Pedidos[[#This Row],[Fecha de envío]]-Pedidos[[#This Row],[Fecha de pedido]]</f>
        <v>-38832.727002314801</v>
      </c>
      <c r="N49" t="str">
        <f t="shared" si="0"/>
        <v/>
      </c>
      <c r="R49">
        <v>81</v>
      </c>
    </row>
    <row r="50" spans="1:18" x14ac:dyDescent="0.3">
      <c r="J50" t="s">
        <v>195</v>
      </c>
    </row>
    <row r="51" spans="1:18" x14ac:dyDescent="0.3">
      <c r="J51" t="s">
        <v>195</v>
      </c>
    </row>
    <row r="52" spans="1:18" x14ac:dyDescent="0.3">
      <c r="J52" t="s">
        <v>195</v>
      </c>
    </row>
    <row r="53" spans="1:18" x14ac:dyDescent="0.3">
      <c r="J53" t="s">
        <v>195</v>
      </c>
      <c r="R53" s="17">
        <f>COUNT(R2:R49)</f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</vt:lpstr>
      <vt:lpstr>Detalles de pedido</vt:lpstr>
      <vt:lpstr>Productos</vt:lpstr>
      <vt:lpstr>Empleados</vt:lpstr>
      <vt:lpstr>Clientes</vt:lpstr>
      <vt:lpstr>Pedidos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Alcides Gonzalez</cp:lastModifiedBy>
  <dcterms:created xsi:type="dcterms:W3CDTF">2020-05-13T11:35:53Z</dcterms:created>
  <dcterms:modified xsi:type="dcterms:W3CDTF">2023-01-31T00:07:20Z</dcterms:modified>
</cp:coreProperties>
</file>