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\Desktop\Semestre 4\Appunti e materiali\Natural Computation\Progetto\"/>
    </mc:Choice>
  </mc:AlternateContent>
  <xr:revisionPtr revIDLastSave="0" documentId="13_ncr:1_{DE549101-7A2D-4F00-9862-C99DF49C5745}" xr6:coauthVersionLast="45" xr6:coauthVersionMax="45" xr10:uidLastSave="{00000000-0000-0000-0000-000000000000}"/>
  <bookViews>
    <workbookView xWindow="-120" yWindow="-120" windowWidth="20730" windowHeight="11160" tabRatio="231" xr2:uid="{00000000-000D-0000-FFFF-FFFF00000000}"/>
  </bookViews>
  <sheets>
    <sheet name="Foglio1" sheetId="1" r:id="rId1"/>
    <sheet name="Foglio2" sheetId="4" r:id="rId2"/>
    <sheet name="TEM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4" l="1"/>
  <c r="G21" i="4"/>
  <c r="G25" i="4"/>
  <c r="G22" i="4"/>
  <c r="G26" i="4"/>
  <c r="G23" i="4"/>
  <c r="G20" i="4"/>
  <c r="G19" i="4"/>
  <c r="G18" i="4"/>
  <c r="G17" i="4"/>
  <c r="G16" i="4"/>
  <c r="G15" i="4"/>
  <c r="G11" i="4"/>
  <c r="H10" i="4"/>
  <c r="G10" i="4"/>
  <c r="G8" i="4"/>
  <c r="H7" i="4"/>
  <c r="G7" i="4"/>
  <c r="N104" i="1" l="1"/>
  <c r="N105" i="1"/>
  <c r="N106" i="1"/>
  <c r="N107" i="1"/>
  <c r="N108" i="1"/>
  <c r="N102" i="1"/>
  <c r="N116" i="1"/>
  <c r="N117" i="1"/>
  <c r="N121" i="1"/>
  <c r="N120" i="1"/>
  <c r="N119" i="1"/>
  <c r="N118" i="1"/>
  <c r="E121" i="1"/>
  <c r="E120" i="1"/>
  <c r="E119" i="1"/>
  <c r="E118" i="1"/>
  <c r="E117" i="1"/>
  <c r="E116" i="1"/>
  <c r="E115" i="1"/>
  <c r="E114" i="1"/>
  <c r="N115" i="1"/>
  <c r="N114" i="1"/>
  <c r="E108" i="1"/>
  <c r="E95" i="1"/>
  <c r="N103" i="1"/>
  <c r="O102" i="1"/>
  <c r="O101" i="1"/>
  <c r="N101" i="1"/>
  <c r="E107" i="1"/>
  <c r="E106" i="1"/>
  <c r="E105" i="1"/>
  <c r="E104" i="1"/>
  <c r="E103" i="1"/>
  <c r="F102" i="1"/>
  <c r="E102" i="1"/>
  <c r="F101" i="1"/>
  <c r="E101" i="1"/>
  <c r="E94" i="1"/>
  <c r="E93" i="1"/>
  <c r="E92" i="1"/>
  <c r="E91" i="1"/>
  <c r="E90" i="1"/>
  <c r="AF76" i="1" l="1"/>
  <c r="AF77" i="1" s="1"/>
  <c r="V77" i="1"/>
  <c r="AE76" i="1"/>
  <c r="AE77" i="1" s="1"/>
  <c r="AD76" i="1"/>
  <c r="AD77" i="1" s="1"/>
  <c r="AB76" i="1"/>
  <c r="AB77" i="1" s="1"/>
  <c r="AA76" i="1"/>
  <c r="AA77" i="1" s="1"/>
  <c r="Y76" i="1"/>
  <c r="Y77" i="1" s="1"/>
  <c r="X76" i="1"/>
  <c r="X77" i="1" s="1"/>
  <c r="W76" i="1"/>
  <c r="U76" i="1"/>
  <c r="T76" i="1"/>
  <c r="V71" i="1"/>
  <c r="AC71" i="1"/>
  <c r="V72" i="1"/>
  <c r="AC72" i="1"/>
  <c r="V73" i="1"/>
  <c r="AC73" i="1"/>
  <c r="V74" i="1"/>
  <c r="AC74" i="1"/>
  <c r="V75" i="1"/>
  <c r="AC75" i="1"/>
  <c r="AC64" i="1"/>
  <c r="V64" i="1"/>
  <c r="AF63" i="1"/>
  <c r="AE63" i="1"/>
  <c r="AD63" i="1"/>
  <c r="AB63" i="1"/>
  <c r="AA63" i="1"/>
  <c r="Y63" i="1"/>
  <c r="X63" i="1"/>
  <c r="W63" i="1"/>
  <c r="U63" i="1"/>
  <c r="T63" i="1"/>
  <c r="L77" i="1"/>
  <c r="E77" i="1"/>
  <c r="O76" i="1"/>
  <c r="N76" i="1"/>
  <c r="M76" i="1"/>
  <c r="K76" i="1"/>
  <c r="J76" i="1"/>
  <c r="H76" i="1"/>
  <c r="G76" i="1"/>
  <c r="F76" i="1"/>
  <c r="D76" i="1"/>
  <c r="C76" i="1"/>
  <c r="L64" i="1"/>
  <c r="E64" i="1"/>
  <c r="G63" i="1"/>
  <c r="O63" i="1"/>
  <c r="N63" i="1"/>
  <c r="M63" i="1"/>
  <c r="J63" i="1"/>
  <c r="H63" i="1"/>
  <c r="F63" i="1"/>
  <c r="C63" i="1"/>
  <c r="K63" i="1"/>
  <c r="E59" i="1"/>
  <c r="D63" i="1"/>
  <c r="V76" i="1" l="1"/>
  <c r="AC77" i="1"/>
  <c r="AC76" i="1"/>
  <c r="AG46" i="1" l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21" i="1"/>
  <c r="AG22" i="1"/>
  <c r="AG23" i="1"/>
  <c r="AG24" i="1"/>
  <c r="AG25" i="1"/>
  <c r="AG13" i="1"/>
  <c r="AG20" i="1"/>
  <c r="AG19" i="1"/>
  <c r="AG18" i="1"/>
  <c r="AG17" i="1"/>
  <c r="AG16" i="1"/>
  <c r="AG15" i="1"/>
  <c r="AG14" i="1"/>
  <c r="AG12" i="1"/>
  <c r="AG11" i="1"/>
  <c r="P36" i="1"/>
  <c r="P35" i="1"/>
  <c r="P34" i="1"/>
  <c r="P33" i="1"/>
  <c r="P32" i="1"/>
  <c r="P31" i="1"/>
  <c r="P30" i="1"/>
  <c r="P29" i="1"/>
  <c r="P28" i="1"/>
  <c r="P27" i="1"/>
  <c r="P11" i="1"/>
  <c r="P12" i="1"/>
  <c r="P13" i="1"/>
  <c r="P14" i="1"/>
  <c r="P15" i="1"/>
  <c r="P16" i="1"/>
  <c r="P17" i="1"/>
  <c r="P18" i="1"/>
  <c r="P19" i="1"/>
  <c r="P20" i="1"/>
  <c r="AB14" i="1"/>
  <c r="AB13" i="1"/>
  <c r="AB12" i="1"/>
  <c r="U19" i="1"/>
  <c r="L19" i="1"/>
  <c r="E19" i="1"/>
  <c r="L20" i="1"/>
  <c r="E20" i="1"/>
  <c r="M62" i="1"/>
  <c r="F62" i="1"/>
  <c r="M61" i="1"/>
  <c r="F61" i="1"/>
  <c r="M60" i="1"/>
  <c r="F60" i="1"/>
  <c r="E60" i="1"/>
  <c r="M59" i="1"/>
  <c r="L59" i="1"/>
  <c r="F59" i="1"/>
  <c r="M58" i="1"/>
  <c r="L62" i="1"/>
  <c r="L61" i="1"/>
  <c r="L60" i="1"/>
  <c r="L58" i="1"/>
  <c r="E61" i="1"/>
  <c r="E62" i="1"/>
  <c r="E58" i="1"/>
  <c r="E63" i="1" s="1"/>
  <c r="AC62" i="1"/>
  <c r="AC61" i="1"/>
  <c r="AC60" i="1"/>
  <c r="AC59" i="1"/>
  <c r="AC58" i="1"/>
  <c r="V58" i="1"/>
  <c r="V59" i="1"/>
  <c r="V60" i="1"/>
  <c r="V61" i="1"/>
  <c r="V62" i="1"/>
  <c r="M74" i="1"/>
  <c r="F74" i="1"/>
  <c r="M75" i="1"/>
  <c r="L75" i="1"/>
  <c r="F75" i="1"/>
  <c r="E75" i="1"/>
  <c r="M73" i="1"/>
  <c r="L73" i="1"/>
  <c r="F73" i="1"/>
  <c r="E73" i="1"/>
  <c r="M71" i="1"/>
  <c r="L71" i="1"/>
  <c r="F71" i="1"/>
  <c r="E71" i="1"/>
  <c r="M72" i="1"/>
  <c r="L72" i="1"/>
  <c r="F72" i="1"/>
  <c r="E72" i="1"/>
  <c r="L74" i="1"/>
  <c r="E74" i="1"/>
  <c r="AB22" i="1"/>
  <c r="U22" i="1"/>
  <c r="AB11" i="1"/>
  <c r="AC63" i="1" l="1"/>
  <c r="L76" i="1"/>
  <c r="E76" i="1"/>
  <c r="V63" i="1"/>
  <c r="L63" i="1"/>
  <c r="AC45" i="1"/>
  <c r="AB45" i="1"/>
  <c r="V46" i="1"/>
  <c r="AC41" i="1"/>
  <c r="AD40" i="1"/>
  <c r="AC40" i="1"/>
  <c r="V40" i="1"/>
  <c r="AC39" i="1"/>
  <c r="V39" i="1"/>
  <c r="U39" i="1"/>
  <c r="AB25" i="1"/>
  <c r="U25" i="1"/>
  <c r="AB24" i="1"/>
  <c r="U24" i="1"/>
  <c r="AB23" i="1"/>
  <c r="U23" i="1"/>
  <c r="AB21" i="1"/>
  <c r="U21" i="1"/>
  <c r="AC38" i="1"/>
  <c r="V38" i="1"/>
  <c r="AB37" i="1"/>
  <c r="AB38" i="1"/>
  <c r="AB39" i="1"/>
  <c r="AB40" i="1"/>
  <c r="AB41" i="1"/>
  <c r="AB42" i="1"/>
  <c r="AB43" i="1"/>
  <c r="AB44" i="1"/>
  <c r="AB46" i="1"/>
  <c r="AC37" i="1"/>
  <c r="V37" i="1"/>
  <c r="AC36" i="1"/>
  <c r="AB36" i="1"/>
  <c r="V36" i="1"/>
  <c r="AC35" i="1"/>
  <c r="AB33" i="1"/>
  <c r="AB34" i="1"/>
  <c r="AB35" i="1"/>
  <c r="V35" i="1"/>
  <c r="AC34" i="1"/>
  <c r="V34" i="1"/>
  <c r="AC33" i="1"/>
  <c r="V33" i="1"/>
  <c r="AC32" i="1"/>
  <c r="AB32" i="1"/>
  <c r="V32" i="1"/>
  <c r="U33" i="1"/>
  <c r="U34" i="1"/>
  <c r="U35" i="1"/>
  <c r="U36" i="1"/>
  <c r="U37" i="1"/>
  <c r="U38" i="1"/>
  <c r="U40" i="1"/>
  <c r="U41" i="1"/>
  <c r="U42" i="1"/>
  <c r="U43" i="1"/>
  <c r="U44" i="1"/>
  <c r="U46" i="1"/>
  <c r="U45" i="1"/>
  <c r="U32" i="1"/>
  <c r="L36" i="1" l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18" i="1"/>
  <c r="L17" i="1"/>
  <c r="E18" i="1"/>
  <c r="E17" i="1"/>
  <c r="L14" i="1"/>
  <c r="E14" i="1"/>
  <c r="L13" i="1"/>
  <c r="E13" i="1"/>
  <c r="L12" i="1"/>
  <c r="E12" i="1"/>
  <c r="L11" i="1"/>
  <c r="K15" i="1"/>
  <c r="K20" i="1"/>
  <c r="K19" i="1"/>
  <c r="K18" i="1"/>
  <c r="K17" i="1"/>
  <c r="K16" i="1"/>
  <c r="K14" i="1"/>
  <c r="K13" i="1"/>
  <c r="K12" i="1"/>
  <c r="K11" i="1"/>
  <c r="E11" i="1"/>
  <c r="AB20" i="1"/>
  <c r="AB19" i="1"/>
  <c r="AB18" i="1"/>
  <c r="AB17" i="1"/>
  <c r="AB16" i="1"/>
  <c r="AB15" i="1"/>
  <c r="U20" i="1"/>
  <c r="U18" i="1"/>
  <c r="U17" i="1"/>
  <c r="U16" i="1"/>
  <c r="U15" i="1"/>
  <c r="U14" i="1"/>
  <c r="U13" i="1"/>
  <c r="U12" i="1"/>
  <c r="U11" i="1"/>
  <c r="K28" i="1"/>
  <c r="K36" i="1"/>
  <c r="K35" i="1"/>
  <c r="K34" i="1"/>
  <c r="K33" i="1"/>
  <c r="K32" i="1"/>
  <c r="K31" i="1"/>
  <c r="K30" i="1"/>
  <c r="K29" i="1"/>
  <c r="K27" i="1"/>
  <c r="D28" i="1"/>
  <c r="D29" i="1"/>
  <c r="D30" i="1"/>
  <c r="D31" i="1"/>
  <c r="D32" i="1"/>
  <c r="D33" i="1"/>
  <c r="D34" i="1"/>
  <c r="D35" i="1"/>
  <c r="D36" i="1"/>
  <c r="D27" i="1"/>
  <c r="D12" i="1"/>
  <c r="D13" i="1"/>
  <c r="D14" i="1"/>
  <c r="D15" i="1"/>
  <c r="D16" i="1"/>
  <c r="D17" i="1"/>
  <c r="D18" i="1"/>
  <c r="D19" i="1"/>
  <c r="D20" i="1"/>
  <c r="D11" i="1"/>
  <c r="L15" i="1"/>
  <c r="E15" i="1"/>
</calcChain>
</file>

<file path=xl/sharedStrings.xml><?xml version="1.0" encoding="utf-8"?>
<sst xmlns="http://schemas.openxmlformats.org/spreadsheetml/2006/main" count="337" uniqueCount="84">
  <si>
    <t>Lap 1</t>
  </si>
  <si>
    <t>Lap 2</t>
  </si>
  <si>
    <t>CGS</t>
  </si>
  <si>
    <t>FORZA</t>
  </si>
  <si>
    <t>CARSIM</t>
  </si>
  <si>
    <t>TOT</t>
  </si>
  <si>
    <t>Off Track</t>
  </si>
  <si>
    <t>Top Speed</t>
  </si>
  <si>
    <t>Fit_1</t>
  </si>
  <si>
    <t>Fit_2</t>
  </si>
  <si>
    <t>Lap 1 (s)</t>
  </si>
  <si>
    <t>Lap 2 (s)</t>
  </si>
  <si>
    <t>Off Track (s)</t>
  </si>
  <si>
    <t>Fit</t>
  </si>
  <si>
    <t xml:space="preserve">PSO_PARAMETRI fit1 </t>
  </si>
  <si>
    <t>local best - SEED3</t>
  </si>
  <si>
    <t>global best - SEED3</t>
  </si>
  <si>
    <t>global best - SEED1</t>
  </si>
  <si>
    <t>local best - SEED2</t>
  </si>
  <si>
    <t>local best - SEED1</t>
  </si>
  <si>
    <t>global best - SEED2</t>
  </si>
  <si>
    <t>global best - SEED4</t>
  </si>
  <si>
    <t>local best - SEED4</t>
  </si>
  <si>
    <t>global best - SEED5</t>
  </si>
  <si>
    <t>local best - SEED5</t>
  </si>
  <si>
    <t>PSO_PARAMETRI fit2</t>
  </si>
  <si>
    <t>SADE_PARAMETRI fit1</t>
  </si>
  <si>
    <t>SADE_PARAMETRI fit2</t>
  </si>
  <si>
    <t>variant 7 - SEED1</t>
  </si>
  <si>
    <t>variant 8- SEED1</t>
  </si>
  <si>
    <t>variant 9 - SEED2</t>
  </si>
  <si>
    <t>variant 9 - SEED1</t>
  </si>
  <si>
    <t>variant 7 - SEED2</t>
  </si>
  <si>
    <t>variant 8- SEED2</t>
  </si>
  <si>
    <t>variant 7 - SEED3</t>
  </si>
  <si>
    <t>variant 8- SEED3</t>
  </si>
  <si>
    <t>variant 9 - SEED3</t>
  </si>
  <si>
    <t>variant 7 - SEED4</t>
  </si>
  <si>
    <t>variant 8- SEED4</t>
  </si>
  <si>
    <t>variant 9 - SEED4</t>
  </si>
  <si>
    <t>variant 7 - SEED5</t>
  </si>
  <si>
    <t>variant 8- SEED5</t>
  </si>
  <si>
    <t>variant 9 - SEED5</t>
  </si>
  <si>
    <t>7 rand/1/bin</t>
  </si>
  <si>
    <t>8 rand-to-best/1/bin</t>
  </si>
  <si>
    <t>9 best/2/bin</t>
  </si>
  <si>
    <t xml:space="preserve">3,54	</t>
  </si>
  <si>
    <t>EVOLUZIONE 1</t>
  </si>
  <si>
    <t>EVOLUZIONE 2</t>
  </si>
  <si>
    <t xml:space="preserve">SADE fit1 </t>
  </si>
  <si>
    <t>SADE fit2</t>
  </si>
  <si>
    <t>variant 8 - SEED1</t>
  </si>
  <si>
    <t>variant 8 - SEED2</t>
  </si>
  <si>
    <t>variant 8 - SEED3</t>
  </si>
  <si>
    <t>variant 8 - SEED4</t>
  </si>
  <si>
    <t>variant 8 - SEED5</t>
  </si>
  <si>
    <t>Media semi</t>
  </si>
  <si>
    <t>Individuo mediato</t>
  </si>
  <si>
    <t>GENS</t>
  </si>
  <si>
    <t>MEDIA</t>
  </si>
  <si>
    <t>SADE 1 - VARIANTI 7, 8 ,9</t>
  </si>
  <si>
    <t>SADE 2  - VARIANTI 7, 8 ,9</t>
  </si>
  <si>
    <t>PSO 1 - VARIANTI LBEST, GBEST</t>
  </si>
  <si>
    <t>PSO 2  - VARIANTI LBEST, GBEST</t>
  </si>
  <si>
    <t>STREET 1</t>
  </si>
  <si>
    <t>WHEEL 1</t>
  </si>
  <si>
    <t>RISULTATI</t>
  </si>
  <si>
    <t>CGS 1</t>
  </si>
  <si>
    <t>E-TRACK 4</t>
  </si>
  <si>
    <t>CGS 2</t>
  </si>
  <si>
    <t>ALPINE 2</t>
  </si>
  <si>
    <t>PSO_2  -  SEED 4</t>
  </si>
  <si>
    <t>PSO_1  -  SEED 4</t>
  </si>
  <si>
    <t>E-TRACK 6</t>
  </si>
  <si>
    <t>SADE_1  -  SEED 4</t>
  </si>
  <si>
    <t>SADE_2  -  SEED 5</t>
  </si>
  <si>
    <t xml:space="preserve">Lap 2 </t>
  </si>
  <si>
    <t xml:space="preserve">Lap 1 </t>
  </si>
  <si>
    <t>Controllore</t>
  </si>
  <si>
    <t>Circuito</t>
  </si>
  <si>
    <t>CarSim</t>
  </si>
  <si>
    <t>PSO</t>
  </si>
  <si>
    <t>SADE</t>
  </si>
  <si>
    <t>CG TRACK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</si>
</sst>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0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medium">
        <color indexed="64"/>
      </bottom>
      <diagonal/>
    </border>
    <border>
      <left/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ck">
        <color rgb="FFFF0000"/>
      </bottom>
      <diagonal/>
    </border>
    <border>
      <left/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 style="medium">
        <color rgb="FF000000"/>
      </right>
      <top style="medium">
        <color indexed="64"/>
      </top>
      <bottom style="thick">
        <color rgb="FFFF0000"/>
      </bottom>
      <diagonal/>
    </border>
    <border>
      <left/>
      <right style="thin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FF0000"/>
      </top>
      <bottom/>
      <diagonal/>
    </border>
    <border>
      <left style="medium">
        <color indexed="64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medium">
        <color indexed="64"/>
      </right>
      <top style="thin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33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3" borderId="12" xfId="0" applyNumberFormat="1" applyFill="1" applyBorder="1" applyAlignment="1">
      <alignment horizontal="center" vertical="center"/>
    </xf>
    <xf numFmtId="0" fontId="4" fillId="0" borderId="0" xfId="0" applyFont="1"/>
    <xf numFmtId="0" fontId="7" fillId="0" borderId="1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164" fontId="4" fillId="0" borderId="19" xfId="0" applyNumberFormat="1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4" fillId="0" borderId="19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/>
    <xf numFmtId="0" fontId="4" fillId="3" borderId="0" xfId="0" applyFont="1" applyFill="1"/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64" fontId="0" fillId="0" borderId="12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3" fontId="0" fillId="0" borderId="0" xfId="0" applyNumberFormat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3" borderId="25" xfId="0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164" fontId="0" fillId="0" borderId="26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NumberFormat="1" applyBorder="1" applyAlignment="1">
      <alignment horizontal="center"/>
    </xf>
    <xf numFmtId="0" fontId="0" fillId="2" borderId="3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4" fillId="0" borderId="41" xfId="0" applyFont="1" applyBorder="1" applyAlignment="1">
      <alignment horizontal="center"/>
    </xf>
    <xf numFmtId="164" fontId="4" fillId="0" borderId="41" xfId="0" applyNumberFormat="1" applyFont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0" borderId="41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164" fontId="4" fillId="0" borderId="39" xfId="0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0" fillId="7" borderId="4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0" borderId="43" xfId="0" applyNumberFormat="1" applyBorder="1" applyAlignment="1">
      <alignment horizontal="center"/>
    </xf>
    <xf numFmtId="0" fontId="0" fillId="0" borderId="44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3" borderId="43" xfId="0" applyNumberFormat="1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4" xfId="0" applyNumberFormat="1" applyFill="1" applyBorder="1" applyAlignment="1">
      <alignment horizontal="center"/>
    </xf>
    <xf numFmtId="0" fontId="2" fillId="7" borderId="34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164" fontId="2" fillId="7" borderId="26" xfId="0" applyNumberFormat="1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2" fontId="2" fillId="7" borderId="26" xfId="0" applyNumberFormat="1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2" fontId="2" fillId="7" borderId="19" xfId="0" applyNumberFormat="1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2" fontId="2" fillId="7" borderId="23" xfId="0" applyNumberFormat="1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" fillId="8" borderId="42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1" fillId="8" borderId="66" xfId="0" applyFont="1" applyFill="1" applyBorder="1" applyAlignment="1">
      <alignment horizontal="center" vertical="center"/>
    </xf>
    <xf numFmtId="0" fontId="9" fillId="8" borderId="76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64" xfId="0" applyFill="1" applyBorder="1" applyAlignment="1">
      <alignment horizontal="center" vertical="center"/>
    </xf>
    <xf numFmtId="0" fontId="0" fillId="9" borderId="65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9" borderId="60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9" borderId="6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71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6" borderId="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0" fillId="6" borderId="12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/>
    </xf>
    <xf numFmtId="0" fontId="0" fillId="10" borderId="1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/>
    </xf>
    <xf numFmtId="164" fontId="0" fillId="6" borderId="42" xfId="0" applyNumberForma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164" fontId="0" fillId="0" borderId="81" xfId="0" applyNumberForma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65" fontId="0" fillId="0" borderId="84" xfId="0" applyNumberFormat="1" applyBorder="1" applyAlignment="1">
      <alignment horizontal="center" vertical="center"/>
    </xf>
    <xf numFmtId="165" fontId="0" fillId="0" borderId="85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11" borderId="43" xfId="0" applyFont="1" applyFill="1" applyBorder="1" applyAlignment="1">
      <alignment horizontal="center" vertical="center"/>
    </xf>
    <xf numFmtId="0" fontId="1" fillId="11" borderId="45" xfId="0" applyFont="1" applyFill="1" applyBorder="1" applyAlignment="1">
      <alignment horizontal="center" vertical="center"/>
    </xf>
    <xf numFmtId="0" fontId="1" fillId="11" borderId="44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70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164" fontId="0" fillId="0" borderId="88" xfId="0" applyNumberFormat="1" applyBorder="1" applyAlignment="1">
      <alignment horizontal="center" vertical="center"/>
    </xf>
    <xf numFmtId="165" fontId="0" fillId="0" borderId="88" xfId="0" applyNumberForma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91" xfId="0" applyFont="1" applyFill="1" applyBorder="1" applyAlignment="1">
      <alignment horizontal="center" vertical="center"/>
    </xf>
    <xf numFmtId="0" fontId="1" fillId="0" borderId="92" xfId="0" applyFont="1" applyFill="1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87" xfId="0" applyNumberFormat="1" applyBorder="1" applyAlignment="1">
      <alignment horizontal="center" vertical="center"/>
    </xf>
    <xf numFmtId="0" fontId="0" fillId="0" borderId="89" xfId="0" applyNumberFormat="1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164" fontId="0" fillId="0" borderId="99" xfId="0" applyNumberFormat="1" applyBorder="1" applyAlignment="1">
      <alignment horizontal="center" vertical="center"/>
    </xf>
    <xf numFmtId="0" fontId="0" fillId="0" borderId="83" xfId="0" applyFill="1" applyBorder="1" applyAlignment="1">
      <alignment horizontal="center"/>
    </xf>
    <xf numFmtId="0" fontId="0" fillId="0" borderId="102" xfId="0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center" vertical="center"/>
    </xf>
    <xf numFmtId="164" fontId="0" fillId="9" borderId="5" xfId="0" applyNumberFormat="1" applyFill="1" applyBorder="1" applyAlignment="1">
      <alignment horizontal="center" vertical="center"/>
    </xf>
    <xf numFmtId="0" fontId="0" fillId="9" borderId="24" xfId="0" applyNumberFormat="1" applyFill="1" applyBorder="1" applyAlignment="1">
      <alignment horizontal="center" vertical="center"/>
    </xf>
    <xf numFmtId="0" fontId="0" fillId="9" borderId="0" xfId="0" applyNumberFormat="1" applyFill="1" applyBorder="1" applyAlignment="1">
      <alignment horizontal="center" vertical="center"/>
    </xf>
    <xf numFmtId="0" fontId="0" fillId="9" borderId="9" xfId="0" applyNumberForma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6" borderId="42" xfId="0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165" fontId="4" fillId="0" borderId="35" xfId="0" applyNumberFormat="1" applyFont="1" applyBorder="1" applyAlignment="1">
      <alignment horizontal="center" vertical="center"/>
    </xf>
    <xf numFmtId="165" fontId="4" fillId="0" borderId="4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3" borderId="30" xfId="0" applyNumberFormat="1" applyFill="1" applyBorder="1" applyAlignment="1">
      <alignment horizontal="center" vertical="center"/>
    </xf>
    <xf numFmtId="165" fontId="0" fillId="3" borderId="31" xfId="0" applyNumberForma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165" fontId="0" fillId="0" borderId="2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94" xfId="0" applyNumberFormat="1" applyBorder="1" applyAlignment="1">
      <alignment horizontal="center" vertical="center"/>
    </xf>
    <xf numFmtId="165" fontId="0" fillId="0" borderId="70" xfId="0" applyNumberForma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11" borderId="95" xfId="0" applyFont="1" applyFill="1" applyBorder="1" applyAlignment="1">
      <alignment horizontal="center" vertical="center"/>
    </xf>
    <xf numFmtId="0" fontId="1" fillId="11" borderId="96" xfId="0" applyFont="1" applyFill="1" applyBorder="1" applyAlignment="1">
      <alignment horizontal="center" vertical="center"/>
    </xf>
    <xf numFmtId="165" fontId="0" fillId="0" borderId="93" xfId="0" applyNumberFormat="1" applyBorder="1" applyAlignment="1">
      <alignment horizontal="center" vertical="center"/>
    </xf>
    <xf numFmtId="165" fontId="0" fillId="0" borderId="85" xfId="0" applyNumberFormat="1" applyBorder="1" applyAlignment="1">
      <alignment horizontal="center" vertical="center"/>
    </xf>
    <xf numFmtId="166" fontId="0" fillId="0" borderId="94" xfId="0" applyNumberFormat="1" applyBorder="1" applyAlignment="1">
      <alignment horizontal="center" vertical="center"/>
    </xf>
    <xf numFmtId="166" fontId="0" fillId="0" borderId="7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8" borderId="77" xfId="0" applyFont="1" applyFill="1" applyBorder="1" applyAlignment="1">
      <alignment horizontal="center" vertical="center"/>
    </xf>
    <xf numFmtId="0" fontId="9" fillId="8" borderId="64" xfId="0" applyFont="1" applyFill="1" applyBorder="1" applyAlignment="1">
      <alignment horizontal="center" vertical="center"/>
    </xf>
    <xf numFmtId="0" fontId="9" fillId="8" borderId="78" xfId="0" applyFont="1" applyFill="1" applyBorder="1" applyAlignment="1">
      <alignment horizontal="center" vertical="center"/>
    </xf>
    <xf numFmtId="0" fontId="1" fillId="8" borderId="67" xfId="0" applyFont="1" applyFill="1" applyBorder="1" applyAlignment="1">
      <alignment horizontal="center" vertical="center"/>
    </xf>
    <xf numFmtId="0" fontId="1" fillId="8" borderId="68" xfId="0" applyFont="1" applyFill="1" applyBorder="1" applyAlignment="1">
      <alignment horizontal="center" vertical="center"/>
    </xf>
    <xf numFmtId="0" fontId="1" fillId="8" borderId="69" xfId="0" applyFont="1" applyFill="1" applyBorder="1" applyAlignment="1">
      <alignment horizontal="center" vertical="center"/>
    </xf>
    <xf numFmtId="0" fontId="1" fillId="8" borderId="7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9" fillId="8" borderId="7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83" xfId="0" applyFill="1" applyBorder="1" applyAlignment="1">
      <alignment horizontal="center"/>
    </xf>
    <xf numFmtId="0" fontId="0" fillId="3" borderId="10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80" xfId="0" applyFill="1" applyBorder="1" applyAlignment="1">
      <alignment horizontal="center" vertical="center"/>
    </xf>
    <xf numFmtId="0" fontId="0" fillId="3" borderId="81" xfId="0" applyFill="1" applyBorder="1" applyAlignment="1">
      <alignment horizontal="center" vertical="center"/>
    </xf>
    <xf numFmtId="164" fontId="0" fillId="3" borderId="81" xfId="0" applyNumberFormat="1" applyFill="1" applyBorder="1" applyAlignment="1">
      <alignment horizontal="center" vertical="center"/>
    </xf>
    <xf numFmtId="165" fontId="0" fillId="3" borderId="81" xfId="0" applyNumberFormat="1" applyFill="1" applyBorder="1" applyAlignment="1">
      <alignment horizontal="center" vertical="center"/>
    </xf>
    <xf numFmtId="165" fontId="0" fillId="3" borderId="82" xfId="0" applyNumberFormat="1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5" fontId="0" fillId="3" borderId="12" xfId="0" applyNumberFormat="1" applyFill="1" applyBorder="1" applyAlignment="1">
      <alignment horizontal="center" vertical="center"/>
    </xf>
    <xf numFmtId="165" fontId="0" fillId="3" borderId="84" xfId="0" applyNumberFormat="1" applyFill="1" applyBorder="1" applyAlignment="1">
      <alignment horizontal="center" vertical="center"/>
    </xf>
    <xf numFmtId="0" fontId="0" fillId="3" borderId="103" xfId="0" applyFill="1" applyBorder="1" applyAlignment="1">
      <alignment horizontal="center"/>
    </xf>
    <xf numFmtId="0" fontId="0" fillId="3" borderId="105" xfId="0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104" xfId="0" applyFill="1" applyBorder="1" applyAlignment="1">
      <alignment horizontal="center" vertical="center"/>
    </xf>
    <xf numFmtId="0" fontId="0" fillId="3" borderId="10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D175"/>
  <sheetViews>
    <sheetView tabSelected="1" topLeftCell="H100" zoomScale="70" zoomScaleNormal="70" workbookViewId="0">
      <selection activeCell="N61" sqref="N61"/>
    </sheetView>
  </sheetViews>
  <sheetFormatPr defaultColWidth="12" defaultRowHeight="15" x14ac:dyDescent="0.25"/>
  <cols>
    <col min="1" max="1" width="22" customWidth="1"/>
    <col min="2" max="2" width="18.85546875" customWidth="1"/>
    <col min="3" max="3" width="25.7109375" customWidth="1"/>
    <col min="4" max="4" width="15.85546875" bestFit="1" customWidth="1"/>
    <col min="5" max="5" width="17" customWidth="1"/>
    <col min="6" max="6" width="19.85546875" bestFit="1" customWidth="1"/>
    <col min="7" max="7" width="12.5703125" customWidth="1"/>
    <col min="8" max="8" width="13.85546875" customWidth="1"/>
    <col min="10" max="10" width="16.140625" customWidth="1"/>
    <col min="11" max="11" width="18" customWidth="1"/>
    <col min="14" max="14" width="13.85546875" customWidth="1"/>
    <col min="15" max="15" width="14" customWidth="1"/>
    <col min="16" max="16" width="17.7109375" customWidth="1"/>
    <col min="17" max="17" width="18.7109375" customWidth="1"/>
    <col min="18" max="18" width="19" customWidth="1"/>
    <col min="19" max="19" width="17.28515625" customWidth="1"/>
  </cols>
  <sheetData>
    <row r="3" spans="1:33" ht="15" customHeight="1" x14ac:dyDescent="0.25">
      <c r="A3" s="218" t="s">
        <v>47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</row>
    <row r="6" spans="1:33" ht="15.75" thickBot="1" x14ac:dyDescent="0.3"/>
    <row r="7" spans="1:33" x14ac:dyDescent="0.25">
      <c r="B7" s="205" t="s">
        <v>14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7"/>
      <c r="R7" s="15"/>
      <c r="S7" s="236" t="s">
        <v>26</v>
      </c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8"/>
    </row>
    <row r="8" spans="1:33" ht="15.75" thickBot="1" x14ac:dyDescent="0.3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10"/>
      <c r="R8" s="15"/>
      <c r="S8" s="239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1"/>
    </row>
    <row r="9" spans="1:33" ht="16.5" thickBot="1" x14ac:dyDescent="0.3">
      <c r="B9" s="211" t="s">
        <v>2</v>
      </c>
      <c r="C9" s="212"/>
      <c r="D9" s="212"/>
      <c r="E9" s="212"/>
      <c r="F9" s="212"/>
      <c r="G9" s="212"/>
      <c r="H9" s="213"/>
      <c r="I9" s="211" t="s">
        <v>3</v>
      </c>
      <c r="J9" s="212"/>
      <c r="K9" s="212"/>
      <c r="L9" s="212"/>
      <c r="M9" s="212"/>
      <c r="N9" s="212"/>
      <c r="O9" s="213"/>
      <c r="R9" s="15"/>
      <c r="S9" s="249" t="s">
        <v>2</v>
      </c>
      <c r="T9" s="250"/>
      <c r="U9" s="250"/>
      <c r="V9" s="250"/>
      <c r="W9" s="250"/>
      <c r="X9" s="250"/>
      <c r="Y9" s="251"/>
      <c r="Z9" s="252" t="s">
        <v>3</v>
      </c>
      <c r="AA9" s="250"/>
      <c r="AB9" s="250"/>
      <c r="AC9" s="250"/>
      <c r="AD9" s="250"/>
      <c r="AE9" s="250"/>
      <c r="AF9" s="251"/>
    </row>
    <row r="10" spans="1:33" ht="15.75" thickBot="1" x14ac:dyDescent="0.3">
      <c r="B10" s="1" t="s">
        <v>10</v>
      </c>
      <c r="C10" s="11" t="s">
        <v>11</v>
      </c>
      <c r="D10" s="1" t="s">
        <v>5</v>
      </c>
      <c r="E10" s="2" t="s">
        <v>12</v>
      </c>
      <c r="F10" s="2" t="s">
        <v>7</v>
      </c>
      <c r="G10" s="214" t="s">
        <v>13</v>
      </c>
      <c r="H10" s="215"/>
      <c r="I10" s="1" t="s">
        <v>0</v>
      </c>
      <c r="J10" s="11" t="s">
        <v>1</v>
      </c>
      <c r="K10" s="1" t="s">
        <v>5</v>
      </c>
      <c r="L10" s="2" t="s">
        <v>6</v>
      </c>
      <c r="M10" s="2" t="s">
        <v>7</v>
      </c>
      <c r="N10" s="214" t="s">
        <v>13</v>
      </c>
      <c r="O10" s="215"/>
      <c r="R10" s="15"/>
      <c r="S10" s="16" t="s">
        <v>10</v>
      </c>
      <c r="T10" s="17" t="s">
        <v>11</v>
      </c>
      <c r="U10" s="18" t="s">
        <v>5</v>
      </c>
      <c r="V10" s="18" t="s">
        <v>12</v>
      </c>
      <c r="W10" s="18" t="s">
        <v>7</v>
      </c>
      <c r="X10" s="246" t="s">
        <v>13</v>
      </c>
      <c r="Y10" s="247"/>
      <c r="Z10" s="18" t="s">
        <v>0</v>
      </c>
      <c r="AA10" s="17" t="s">
        <v>1</v>
      </c>
      <c r="AB10" s="18" t="s">
        <v>5</v>
      </c>
      <c r="AC10" s="18" t="s">
        <v>6</v>
      </c>
      <c r="AD10" s="18" t="s">
        <v>7</v>
      </c>
      <c r="AE10" s="246" t="s">
        <v>13</v>
      </c>
      <c r="AF10" s="247"/>
    </row>
    <row r="11" spans="1:33" ht="15.75" thickBot="1" x14ac:dyDescent="0.3">
      <c r="A11" s="7" t="s">
        <v>17</v>
      </c>
      <c r="B11" s="9">
        <v>47.006</v>
      </c>
      <c r="C11" s="10">
        <v>43.01</v>
      </c>
      <c r="D11" s="5">
        <f>B11+C11</f>
        <v>90.015999999999991</v>
      </c>
      <c r="E11" s="10">
        <f>1+1.08</f>
        <v>2.08</v>
      </c>
      <c r="F11" s="10">
        <v>242.56</v>
      </c>
      <c r="G11" s="244">
        <v>1.2295469999999999E-2</v>
      </c>
      <c r="H11" s="245"/>
      <c r="I11" s="9">
        <v>102.66</v>
      </c>
      <c r="J11" s="10">
        <v>95.85</v>
      </c>
      <c r="K11" s="5">
        <f>I11+J11</f>
        <v>198.51</v>
      </c>
      <c r="L11" s="13">
        <f>0.36+0.28</f>
        <v>0.64</v>
      </c>
      <c r="M11" s="10">
        <v>292.63</v>
      </c>
      <c r="N11" s="244">
        <v>9.6522299999999995E-3</v>
      </c>
      <c r="O11" s="245"/>
      <c r="P11">
        <f t="shared" ref="P11:P19" si="0">(I11+J11)/60</f>
        <v>3.3085</v>
      </c>
      <c r="R11" s="19" t="s">
        <v>28</v>
      </c>
      <c r="S11" s="20">
        <v>47.746000000000002</v>
      </c>
      <c r="T11" s="20">
        <v>43.625999999999998</v>
      </c>
      <c r="U11" s="5">
        <f>S11+T11</f>
        <v>91.372</v>
      </c>
      <c r="V11" s="20">
        <v>1.44</v>
      </c>
      <c r="W11" s="20">
        <v>232.203556669421</v>
      </c>
      <c r="X11" s="242">
        <v>1.2467158889572E-2</v>
      </c>
      <c r="Y11" s="243"/>
      <c r="Z11" s="20">
        <v>103.256</v>
      </c>
      <c r="AA11" s="20">
        <v>96.3</v>
      </c>
      <c r="AB11" s="5">
        <f>Z11+AA11</f>
        <v>199.55599999999998</v>
      </c>
      <c r="AC11" s="20">
        <v>8.1</v>
      </c>
      <c r="AD11" s="20">
        <v>288.96633801974099</v>
      </c>
      <c r="AE11" s="248">
        <v>9.6736638418030603E-3</v>
      </c>
      <c r="AF11" s="243"/>
      <c r="AG11">
        <f t="shared" ref="AG11:AG19" si="1">(Z11+AA11)/60</f>
        <v>3.325933333333333</v>
      </c>
    </row>
    <row r="12" spans="1:33" ht="15.75" thickBot="1" x14ac:dyDescent="0.3">
      <c r="A12" s="7" t="s">
        <v>19</v>
      </c>
      <c r="B12" s="9">
        <v>49.286000000000001</v>
      </c>
      <c r="C12" s="10">
        <v>45.515999999999998</v>
      </c>
      <c r="D12" s="5">
        <f t="shared" ref="D12:D20" si="2">B12+C12</f>
        <v>94.801999999999992</v>
      </c>
      <c r="E12" s="13">
        <f>0.44+0.48</f>
        <v>0.91999999999999993</v>
      </c>
      <c r="F12" s="10">
        <v>230.59</v>
      </c>
      <c r="G12" s="244">
        <v>1.2960350000000001E-2</v>
      </c>
      <c r="H12" s="245"/>
      <c r="I12" s="9">
        <v>106.56</v>
      </c>
      <c r="J12" s="10">
        <v>99.703999999999994</v>
      </c>
      <c r="K12" s="5">
        <f>I12+J12</f>
        <v>206.26400000000001</v>
      </c>
      <c r="L12" s="10">
        <f>2.46+1.24</f>
        <v>3.7</v>
      </c>
      <c r="M12" s="10">
        <v>265.11</v>
      </c>
      <c r="N12" s="244">
        <v>9.9875199999999997E-3</v>
      </c>
      <c r="O12" s="245"/>
      <c r="P12">
        <f t="shared" si="0"/>
        <v>3.4377333333333335</v>
      </c>
      <c r="R12" s="22" t="s">
        <v>29</v>
      </c>
      <c r="S12" s="20">
        <v>47.665999999999997</v>
      </c>
      <c r="T12" s="20">
        <v>43.421999999999997</v>
      </c>
      <c r="U12" s="5">
        <f t="shared" ref="U12:U20" si="3">S12+T12</f>
        <v>91.087999999999994</v>
      </c>
      <c r="V12" s="20">
        <v>1.32</v>
      </c>
      <c r="W12" s="20">
        <v>238.29600125181</v>
      </c>
      <c r="X12" s="242">
        <v>1.2420441812395501E-2</v>
      </c>
      <c r="Y12" s="243"/>
      <c r="Z12" s="20">
        <v>103.102</v>
      </c>
      <c r="AA12" s="20">
        <v>95.546000000000006</v>
      </c>
      <c r="AB12" s="5">
        <f>Z12+AA12</f>
        <v>198.64800000000002</v>
      </c>
      <c r="AC12" s="20">
        <v>1.06</v>
      </c>
      <c r="AD12" s="20">
        <v>290.68234371040899</v>
      </c>
      <c r="AE12" s="242">
        <v>9.65149170120712E-3</v>
      </c>
      <c r="AF12" s="243"/>
      <c r="AG12">
        <f t="shared" si="1"/>
        <v>3.3108000000000004</v>
      </c>
    </row>
    <row r="13" spans="1:33" ht="15.75" thickBot="1" x14ac:dyDescent="0.3">
      <c r="A13" s="7" t="s">
        <v>20</v>
      </c>
      <c r="B13" s="9">
        <v>48.945999999999998</v>
      </c>
      <c r="C13" s="10">
        <v>45.853999999999999</v>
      </c>
      <c r="D13" s="5">
        <f t="shared" si="2"/>
        <v>94.8</v>
      </c>
      <c r="E13" s="10">
        <f>4.46+5.04</f>
        <v>9.5</v>
      </c>
      <c r="F13" s="10">
        <v>234.56</v>
      </c>
      <c r="G13" s="244">
        <v>1.28441437E-2</v>
      </c>
      <c r="H13" s="245"/>
      <c r="I13" s="9">
        <v>106.93</v>
      </c>
      <c r="J13" s="10">
        <v>98.231999999999999</v>
      </c>
      <c r="K13" s="5">
        <f t="shared" ref="K13:K20" si="4">I13+J13</f>
        <v>205.16200000000001</v>
      </c>
      <c r="L13" s="10">
        <f>2.28+2.3</f>
        <v>4.58</v>
      </c>
      <c r="M13" s="10">
        <v>290.74</v>
      </c>
      <c r="N13" s="244">
        <v>9.9665355000000001E-3</v>
      </c>
      <c r="O13" s="245"/>
      <c r="P13">
        <f t="shared" si="0"/>
        <v>3.4193666666666669</v>
      </c>
      <c r="R13" s="66" t="s">
        <v>31</v>
      </c>
      <c r="S13" s="64">
        <v>47.405999999999999</v>
      </c>
      <c r="T13" s="64">
        <v>43.448</v>
      </c>
      <c r="U13" s="52">
        <f t="shared" si="3"/>
        <v>90.853999999999999</v>
      </c>
      <c r="V13" s="64">
        <v>2.14</v>
      </c>
      <c r="W13" s="64">
        <v>239.31500903876</v>
      </c>
      <c r="X13" s="230">
        <v>1.23787179259353E-2</v>
      </c>
      <c r="Y13" s="231"/>
      <c r="Z13" s="64">
        <v>101.276</v>
      </c>
      <c r="AA13" s="64">
        <v>94.114000000000004</v>
      </c>
      <c r="AB13" s="52">
        <f>Z13+AA13</f>
        <v>195.39</v>
      </c>
      <c r="AC13" s="64" t="s">
        <v>46</v>
      </c>
      <c r="AD13" s="64">
        <v>276.95696255368102</v>
      </c>
      <c r="AE13" s="230">
        <v>9.4856056966149092E-3</v>
      </c>
      <c r="AF13" s="231"/>
      <c r="AG13">
        <f>(Z13+AA13)/60</f>
        <v>3.2565</v>
      </c>
    </row>
    <row r="14" spans="1:33" ht="15.75" thickBot="1" x14ac:dyDescent="0.3">
      <c r="A14" s="7" t="s">
        <v>18</v>
      </c>
      <c r="B14" s="9">
        <v>46.945999999999998</v>
      </c>
      <c r="C14" s="10">
        <v>42.79</v>
      </c>
      <c r="D14" s="5">
        <f t="shared" si="2"/>
        <v>89.73599999999999</v>
      </c>
      <c r="E14" s="10">
        <f>1.18+1.48</f>
        <v>2.66</v>
      </c>
      <c r="F14" s="10">
        <v>241.45</v>
      </c>
      <c r="G14" s="244">
        <v>1.2213928900000001E-2</v>
      </c>
      <c r="H14" s="245"/>
      <c r="I14" s="9">
        <v>101.94</v>
      </c>
      <c r="J14" s="10">
        <v>94.748000000000005</v>
      </c>
      <c r="K14" s="5">
        <f t="shared" si="4"/>
        <v>196.68799999999999</v>
      </c>
      <c r="L14" s="10">
        <f>2.28+2.56</f>
        <v>4.84</v>
      </c>
      <c r="M14" s="10">
        <v>292.2</v>
      </c>
      <c r="N14" s="244">
        <v>9.5409511000000002E-3</v>
      </c>
      <c r="O14" s="245"/>
      <c r="P14">
        <f t="shared" si="0"/>
        <v>3.2781333333333333</v>
      </c>
      <c r="R14" s="22" t="s">
        <v>32</v>
      </c>
      <c r="S14" s="20">
        <v>47.765999999999998</v>
      </c>
      <c r="T14" s="20">
        <v>43.451999999999998</v>
      </c>
      <c r="U14" s="48">
        <f t="shared" si="3"/>
        <v>91.217999999999989</v>
      </c>
      <c r="V14" s="20">
        <v>1.18</v>
      </c>
      <c r="W14" s="20">
        <v>240.88600100548399</v>
      </c>
      <c r="X14" s="221">
        <v>1.2457635657242399E-2</v>
      </c>
      <c r="Y14" s="222"/>
      <c r="Z14" s="20">
        <v>104.928</v>
      </c>
      <c r="AA14" s="20">
        <v>97.962000000000003</v>
      </c>
      <c r="AB14" s="48">
        <f>Z14+AA14</f>
        <v>202.89</v>
      </c>
      <c r="AC14" s="20">
        <v>1.32</v>
      </c>
      <c r="AD14" s="20">
        <v>292.10993215376197</v>
      </c>
      <c r="AE14" s="221">
        <v>9.8547796306649501E-3</v>
      </c>
      <c r="AF14" s="222"/>
      <c r="AG14">
        <f t="shared" si="1"/>
        <v>3.3815</v>
      </c>
    </row>
    <row r="15" spans="1:33" ht="15.75" thickBot="1" x14ac:dyDescent="0.3">
      <c r="A15" s="51" t="s">
        <v>16</v>
      </c>
      <c r="B15" s="57">
        <v>46.85</v>
      </c>
      <c r="C15" s="56">
        <v>42.71</v>
      </c>
      <c r="D15" s="54">
        <f t="shared" si="2"/>
        <v>89.56</v>
      </c>
      <c r="E15" s="49">
        <f>0.58+1.1</f>
        <v>1.6800000000000002</v>
      </c>
      <c r="F15" s="49">
        <v>240.41</v>
      </c>
      <c r="G15" s="253">
        <v>1.219434E-2</v>
      </c>
      <c r="H15" s="254"/>
      <c r="I15" s="60">
        <v>100.68</v>
      </c>
      <c r="J15" s="53">
        <v>93.93</v>
      </c>
      <c r="K15" s="52">
        <f>I15+J15</f>
        <v>194.61</v>
      </c>
      <c r="L15" s="53">
        <f>3.22+4.24</f>
        <v>7.4600000000000009</v>
      </c>
      <c r="M15" s="53">
        <v>292.08</v>
      </c>
      <c r="N15" s="255">
        <v>9.4459000000000001E-3</v>
      </c>
      <c r="O15" s="256"/>
      <c r="P15">
        <f t="shared" si="0"/>
        <v>3.2435</v>
      </c>
      <c r="R15" s="22" t="s">
        <v>33</v>
      </c>
      <c r="S15" s="20">
        <v>47.426000000000002</v>
      </c>
      <c r="T15" s="20">
        <v>43.188000000000002</v>
      </c>
      <c r="U15" s="5">
        <f t="shared" si="3"/>
        <v>90.614000000000004</v>
      </c>
      <c r="V15" s="20">
        <v>1.66</v>
      </c>
      <c r="W15" s="20">
        <v>231.76005477437499</v>
      </c>
      <c r="X15" s="242">
        <v>1.2336400888794201E-2</v>
      </c>
      <c r="Y15" s="243"/>
      <c r="Z15" s="20">
        <v>102.55200000000001</v>
      </c>
      <c r="AA15" s="20">
        <v>96.772000000000006</v>
      </c>
      <c r="AB15" s="5">
        <f t="shared" ref="AB15:AB20" si="5">Z15+AA15</f>
        <v>199.32400000000001</v>
      </c>
      <c r="AC15" s="20">
        <v>1.02</v>
      </c>
      <c r="AD15" s="20">
        <v>283.34673678770997</v>
      </c>
      <c r="AE15" s="242">
        <v>9.6836775143531208E-3</v>
      </c>
      <c r="AF15" s="243"/>
      <c r="AG15">
        <f t="shared" si="1"/>
        <v>3.3220666666666667</v>
      </c>
    </row>
    <row r="16" spans="1:33" ht="16.5" thickTop="1" thickBot="1" x14ac:dyDescent="0.3">
      <c r="A16" s="8" t="s">
        <v>15</v>
      </c>
      <c r="B16" s="58">
        <v>46.53</v>
      </c>
      <c r="C16" s="47">
        <v>42.76</v>
      </c>
      <c r="D16" s="55">
        <f t="shared" si="2"/>
        <v>89.289999999999992</v>
      </c>
      <c r="E16" s="59">
        <v>1.54</v>
      </c>
      <c r="F16" s="59">
        <v>237.22</v>
      </c>
      <c r="G16" s="232">
        <v>1.2147720000000001E-2</v>
      </c>
      <c r="H16" s="233"/>
      <c r="I16" s="46">
        <v>100.73</v>
      </c>
      <c r="J16" s="50">
        <v>93.66</v>
      </c>
      <c r="K16" s="48">
        <f t="shared" si="4"/>
        <v>194.39</v>
      </c>
      <c r="L16" s="50">
        <v>0.98</v>
      </c>
      <c r="M16" s="47">
        <v>290</v>
      </c>
      <c r="N16" s="234">
        <v>9.4360399999999997E-3</v>
      </c>
      <c r="O16" s="235"/>
      <c r="P16">
        <f t="shared" si="0"/>
        <v>3.2398333333333329</v>
      </c>
      <c r="R16" s="66" t="s">
        <v>30</v>
      </c>
      <c r="S16" s="68">
        <v>47.545999999999999</v>
      </c>
      <c r="T16" s="68">
        <v>43.613999999999997</v>
      </c>
      <c r="U16" s="52">
        <f t="shared" si="3"/>
        <v>91.16</v>
      </c>
      <c r="V16" s="68">
        <v>1.9</v>
      </c>
      <c r="W16" s="68">
        <v>238.10400078598701</v>
      </c>
      <c r="X16" s="230">
        <v>1.24261609867114E-2</v>
      </c>
      <c r="Y16" s="231"/>
      <c r="Z16" s="68">
        <v>101.012</v>
      </c>
      <c r="AA16" s="68">
        <v>94.432000000000002</v>
      </c>
      <c r="AB16" s="52">
        <f t="shared" si="5"/>
        <v>195.44400000000002</v>
      </c>
      <c r="AC16" s="68">
        <v>1.94</v>
      </c>
      <c r="AD16" s="68">
        <v>291.52922608237299</v>
      </c>
      <c r="AE16" s="219">
        <v>9.4792321143064694E-3</v>
      </c>
      <c r="AF16" s="220"/>
      <c r="AG16">
        <f t="shared" si="1"/>
        <v>3.2574000000000001</v>
      </c>
    </row>
    <row r="17" spans="1:33" ht="15.75" thickBot="1" x14ac:dyDescent="0.3">
      <c r="A17" s="7" t="s">
        <v>21</v>
      </c>
      <c r="B17" s="9">
        <v>48.485999999999997</v>
      </c>
      <c r="C17" s="10">
        <v>44.6</v>
      </c>
      <c r="D17" s="5">
        <f t="shared" si="2"/>
        <v>93.085999999999999</v>
      </c>
      <c r="E17" s="10">
        <f>0.92+1.32</f>
        <v>2.2400000000000002</v>
      </c>
      <c r="F17" s="10">
        <v>238.01</v>
      </c>
      <c r="G17" s="244">
        <v>1.27316665167E-2</v>
      </c>
      <c r="H17" s="245"/>
      <c r="I17" s="9">
        <v>105.786</v>
      </c>
      <c r="J17" s="10">
        <v>98.992000000000004</v>
      </c>
      <c r="K17" s="5">
        <f t="shared" si="4"/>
        <v>204.77800000000002</v>
      </c>
      <c r="L17" s="10">
        <f>0.54+0.64</f>
        <v>1.1800000000000002</v>
      </c>
      <c r="M17" s="10">
        <v>290.02999999999997</v>
      </c>
      <c r="N17" s="244">
        <v>9.9456319999999994E-3</v>
      </c>
      <c r="O17" s="245"/>
      <c r="P17">
        <f t="shared" si="0"/>
        <v>3.4129666666666671</v>
      </c>
      <c r="R17" s="22" t="s">
        <v>34</v>
      </c>
      <c r="S17" s="20">
        <v>47.706000000000003</v>
      </c>
      <c r="T17" s="20">
        <v>44.34</v>
      </c>
      <c r="U17" s="48">
        <f t="shared" si="3"/>
        <v>92.046000000000006</v>
      </c>
      <c r="V17" s="20">
        <v>2.58</v>
      </c>
      <c r="W17" s="20">
        <v>240.439158107515</v>
      </c>
      <c r="X17" s="221">
        <v>1.25864081045482E-2</v>
      </c>
      <c r="Y17" s="222"/>
      <c r="Z17" s="20">
        <v>101.012</v>
      </c>
      <c r="AA17" s="20">
        <v>94.427999999999997</v>
      </c>
      <c r="AB17" s="48">
        <f t="shared" si="5"/>
        <v>195.44</v>
      </c>
      <c r="AC17" s="20">
        <v>0.68</v>
      </c>
      <c r="AD17" s="20">
        <v>290.820872219347</v>
      </c>
      <c r="AE17" s="221">
        <v>9.4963971749036109E-3</v>
      </c>
      <c r="AF17" s="222"/>
      <c r="AG17">
        <f t="shared" si="1"/>
        <v>3.2573333333333334</v>
      </c>
    </row>
    <row r="18" spans="1:33" ht="15.75" thickBot="1" x14ac:dyDescent="0.3">
      <c r="A18" s="7" t="s">
        <v>22</v>
      </c>
      <c r="B18" s="9">
        <v>47.265999999999998</v>
      </c>
      <c r="C18" s="10">
        <v>43.326000000000001</v>
      </c>
      <c r="D18" s="5">
        <f t="shared" si="2"/>
        <v>90.591999999999999</v>
      </c>
      <c r="E18" s="10">
        <f>1.32+1.38</f>
        <v>2.7</v>
      </c>
      <c r="F18" s="10">
        <v>238.61</v>
      </c>
      <c r="G18" s="244">
        <v>1.23428906E-2</v>
      </c>
      <c r="H18" s="245"/>
      <c r="I18" s="9">
        <v>100.52800000000001</v>
      </c>
      <c r="J18" s="10">
        <v>93.725999999999999</v>
      </c>
      <c r="K18" s="5">
        <f t="shared" si="4"/>
        <v>194.25400000000002</v>
      </c>
      <c r="L18" s="10">
        <f>0.48+0.58</f>
        <v>1.06</v>
      </c>
      <c r="M18" s="10">
        <v>276.95</v>
      </c>
      <c r="N18" s="244">
        <v>9.4271400000000005E-3</v>
      </c>
      <c r="O18" s="245"/>
      <c r="P18">
        <f t="shared" si="0"/>
        <v>3.2375666666666669</v>
      </c>
      <c r="R18" s="22" t="s">
        <v>35</v>
      </c>
      <c r="S18" s="20">
        <v>47.186</v>
      </c>
      <c r="T18" s="20">
        <v>43.118000000000002</v>
      </c>
      <c r="U18" s="5">
        <f t="shared" si="3"/>
        <v>90.304000000000002</v>
      </c>
      <c r="V18" s="20">
        <v>1.6</v>
      </c>
      <c r="W18" s="20">
        <v>233.06328813906299</v>
      </c>
      <c r="X18" s="242">
        <v>1.23210987671764E-2</v>
      </c>
      <c r="Y18" s="243"/>
      <c r="Z18" s="20">
        <v>105.236</v>
      </c>
      <c r="AA18" s="20">
        <v>98.44</v>
      </c>
      <c r="AB18" s="5">
        <f t="shared" si="5"/>
        <v>203.67599999999999</v>
      </c>
      <c r="AC18" s="20">
        <v>1.46</v>
      </c>
      <c r="AD18" s="20">
        <v>289.01319644677102</v>
      </c>
      <c r="AE18" s="242">
        <v>9.8887850005825399E-3</v>
      </c>
      <c r="AF18" s="243"/>
      <c r="AG18">
        <f t="shared" si="1"/>
        <v>3.3945999999999996</v>
      </c>
    </row>
    <row r="19" spans="1:33" ht="15.75" thickBot="1" x14ac:dyDescent="0.3">
      <c r="A19" s="7" t="s">
        <v>23</v>
      </c>
      <c r="B19" s="9">
        <v>47.045999999999999</v>
      </c>
      <c r="C19" s="10">
        <v>42.823999999999998</v>
      </c>
      <c r="D19" s="5">
        <f t="shared" si="2"/>
        <v>89.87</v>
      </c>
      <c r="E19" s="10">
        <f>0.74+0.74</f>
        <v>1.48</v>
      </c>
      <c r="F19" s="10">
        <v>239.816</v>
      </c>
      <c r="G19" s="244">
        <v>1.2333495566060001E-2</v>
      </c>
      <c r="H19" s="245"/>
      <c r="I19" s="9">
        <v>101.012</v>
      </c>
      <c r="J19" s="10">
        <v>93.522000000000006</v>
      </c>
      <c r="K19" s="5">
        <f t="shared" si="4"/>
        <v>194.53399999999999</v>
      </c>
      <c r="L19" s="10">
        <f>2.32+2.66</f>
        <v>4.9800000000000004</v>
      </c>
      <c r="M19" s="10">
        <v>290.541</v>
      </c>
      <c r="N19" s="244">
        <v>9.4295678906999997E-3</v>
      </c>
      <c r="O19" s="245"/>
      <c r="P19">
        <f t="shared" si="0"/>
        <v>3.2422333333333331</v>
      </c>
      <c r="R19" s="66" t="s">
        <v>36</v>
      </c>
      <c r="S19" s="64">
        <v>46.985999999999997</v>
      </c>
      <c r="T19" s="64">
        <v>42.948</v>
      </c>
      <c r="U19" s="52">
        <f>S19+T19</f>
        <v>89.933999999999997</v>
      </c>
      <c r="V19" s="64">
        <v>1.24</v>
      </c>
      <c r="W19" s="64">
        <v>238.551126481626</v>
      </c>
      <c r="X19" s="230">
        <v>1.2244511883398699E-2</v>
      </c>
      <c r="Y19" s="231"/>
      <c r="Z19" s="64">
        <v>101.32</v>
      </c>
      <c r="AA19" s="64">
        <v>94.284000000000006</v>
      </c>
      <c r="AB19" s="52">
        <f t="shared" si="5"/>
        <v>195.60399999999998</v>
      </c>
      <c r="AC19" s="64">
        <v>1.06</v>
      </c>
      <c r="AD19" s="64">
        <v>276.79412173563799</v>
      </c>
      <c r="AE19" s="230">
        <v>9.4995656760479205E-3</v>
      </c>
      <c r="AF19" s="231"/>
      <c r="AG19">
        <f t="shared" si="1"/>
        <v>3.2600666666666664</v>
      </c>
    </row>
    <row r="20" spans="1:33" ht="15.75" thickBot="1" x14ac:dyDescent="0.3">
      <c r="A20" s="7" t="s">
        <v>24</v>
      </c>
      <c r="B20" s="9">
        <v>46.566000000000003</v>
      </c>
      <c r="C20" s="10">
        <v>42.512</v>
      </c>
      <c r="D20" s="5">
        <f t="shared" si="2"/>
        <v>89.078000000000003</v>
      </c>
      <c r="E20" s="10">
        <f>1.16+1.14</f>
        <v>2.2999999999999998</v>
      </c>
      <c r="F20" s="10">
        <v>241.262</v>
      </c>
      <c r="G20" s="244">
        <v>1.2148838440950001E-2</v>
      </c>
      <c r="H20" s="245"/>
      <c r="I20" s="9">
        <v>100.506</v>
      </c>
      <c r="J20" s="10">
        <v>93.51</v>
      </c>
      <c r="K20" s="5">
        <f t="shared" si="4"/>
        <v>194.01600000000002</v>
      </c>
      <c r="L20" s="10">
        <f>2.48+3.28</f>
        <v>5.76</v>
      </c>
      <c r="M20" s="10">
        <v>276.95890000000003</v>
      </c>
      <c r="N20" s="244">
        <v>9.4046061499999997E-3</v>
      </c>
      <c r="O20" s="245"/>
      <c r="P20">
        <f>(I20+J20)/60</f>
        <v>3.2336000000000005</v>
      </c>
      <c r="R20" s="22" t="s">
        <v>37</v>
      </c>
      <c r="S20" s="20">
        <v>47.506</v>
      </c>
      <c r="T20" s="20">
        <v>43.444000000000003</v>
      </c>
      <c r="U20" s="48">
        <f t="shared" si="3"/>
        <v>90.95</v>
      </c>
      <c r="V20" s="20">
        <v>1.92</v>
      </c>
      <c r="W20" s="20">
        <v>240.91000140138499</v>
      </c>
      <c r="X20" s="221">
        <v>1.24220515940034E-2</v>
      </c>
      <c r="Y20" s="222"/>
      <c r="Z20" s="20">
        <v>105.63200000000001</v>
      </c>
      <c r="AA20" s="20">
        <v>98.036000000000001</v>
      </c>
      <c r="AB20" s="48">
        <f t="shared" si="5"/>
        <v>203.66800000000001</v>
      </c>
      <c r="AC20" s="20">
        <v>1.32</v>
      </c>
      <c r="AD20" s="20">
        <v>291.06456974899498</v>
      </c>
      <c r="AE20" s="221">
        <v>9.9027186767539094E-3</v>
      </c>
      <c r="AF20" s="222"/>
      <c r="AG20">
        <f>(Z20+AA20)/60</f>
        <v>3.3944666666666667</v>
      </c>
    </row>
    <row r="21" spans="1:33" ht="15.75" thickBot="1" x14ac:dyDescent="0.3">
      <c r="R21" s="22" t="s">
        <v>38</v>
      </c>
      <c r="S21" s="20">
        <v>48.085999999999999</v>
      </c>
      <c r="T21" s="20">
        <v>43.624000000000002</v>
      </c>
      <c r="U21" s="5">
        <f t="shared" ref="U21:U25" si="6">S21+T21</f>
        <v>91.710000000000008</v>
      </c>
      <c r="V21" s="20">
        <v>1.66</v>
      </c>
      <c r="W21" s="20">
        <v>241.464024685151</v>
      </c>
      <c r="X21" s="242">
        <v>1.25046241816772E-2</v>
      </c>
      <c r="Y21" s="243"/>
      <c r="Z21" s="20">
        <v>103.938</v>
      </c>
      <c r="AA21" s="20">
        <v>97.507999999999996</v>
      </c>
      <c r="AB21" s="5">
        <f t="shared" ref="AB21:AB25" si="7">Z21+AA21</f>
        <v>201.446</v>
      </c>
      <c r="AC21" s="20">
        <v>0.84</v>
      </c>
      <c r="AD21" s="20">
        <v>292.48474828457302</v>
      </c>
      <c r="AE21" s="242">
        <v>9.7941270516173906E-3</v>
      </c>
      <c r="AF21" s="243"/>
      <c r="AG21">
        <f t="shared" ref="AG21:AG25" si="8">(Z21+AA21)/60</f>
        <v>3.3574333333333333</v>
      </c>
    </row>
    <row r="22" spans="1:33" ht="15.75" thickBot="1" x14ac:dyDescent="0.3">
      <c r="R22" s="66" t="s">
        <v>39</v>
      </c>
      <c r="S22" s="64">
        <v>47.066000000000003</v>
      </c>
      <c r="T22" s="64">
        <v>42.97</v>
      </c>
      <c r="U22" s="52">
        <f t="shared" ref="U22" si="9">S22+T22</f>
        <v>90.036000000000001</v>
      </c>
      <c r="V22" s="64">
        <v>1.28</v>
      </c>
      <c r="W22" s="64">
        <v>236.09</v>
      </c>
      <c r="X22" s="230">
        <v>1.230151E-2</v>
      </c>
      <c r="Y22" s="231"/>
      <c r="Z22" s="64">
        <v>102.178</v>
      </c>
      <c r="AA22" s="64">
        <v>94.385999999999996</v>
      </c>
      <c r="AB22" s="52">
        <f t="shared" ref="AB22" si="10">Z22+AA22</f>
        <v>196.56399999999999</v>
      </c>
      <c r="AC22" s="64">
        <v>2.6</v>
      </c>
      <c r="AD22" s="64">
        <v>289.63</v>
      </c>
      <c r="AE22" s="230">
        <v>9.5352300000000004E-3</v>
      </c>
      <c r="AF22" s="231"/>
      <c r="AG22">
        <f t="shared" si="8"/>
        <v>3.2760666666666665</v>
      </c>
    </row>
    <row r="23" spans="1:33" ht="16.5" thickTop="1" thickBot="1" x14ac:dyDescent="0.3">
      <c r="B23" s="205" t="s">
        <v>25</v>
      </c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7"/>
      <c r="R23" s="22" t="s">
        <v>40</v>
      </c>
      <c r="S23" s="20">
        <v>47.985999999999997</v>
      </c>
      <c r="T23" s="20">
        <v>44.012</v>
      </c>
      <c r="U23" s="48">
        <f>S23+T23</f>
        <v>91.99799999999999</v>
      </c>
      <c r="V23" s="20">
        <v>1.5</v>
      </c>
      <c r="W23" s="20">
        <v>238.29700705664999</v>
      </c>
      <c r="X23" s="221">
        <v>1.2619150416226899E-2</v>
      </c>
      <c r="Y23" s="222"/>
      <c r="Z23" s="20">
        <v>105.61</v>
      </c>
      <c r="AA23" s="20">
        <v>99.078000000000003</v>
      </c>
      <c r="AB23" s="48">
        <f>Z23+AA23</f>
        <v>204.68799999999999</v>
      </c>
      <c r="AC23" s="20">
        <v>1.3</v>
      </c>
      <c r="AD23" s="20">
        <v>291.87190592058897</v>
      </c>
      <c r="AE23" s="221">
        <v>9.9530501078012503E-3</v>
      </c>
      <c r="AF23" s="222"/>
      <c r="AG23">
        <f t="shared" si="8"/>
        <v>3.4114666666666666</v>
      </c>
    </row>
    <row r="24" spans="1:33" ht="15.75" thickBot="1" x14ac:dyDescent="0.3">
      <c r="B24" s="208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10"/>
      <c r="R24" s="22" t="s">
        <v>41</v>
      </c>
      <c r="S24" s="20">
        <v>48.286000000000001</v>
      </c>
      <c r="T24" s="20">
        <v>43.665999999999997</v>
      </c>
      <c r="U24" s="5">
        <f>S24+T24</f>
        <v>91.951999999999998</v>
      </c>
      <c r="V24" s="20">
        <v>1.04</v>
      </c>
      <c r="W24" s="20">
        <v>237.22518745324601</v>
      </c>
      <c r="X24" s="242">
        <v>1.25513890547755E-2</v>
      </c>
      <c r="Y24" s="243"/>
      <c r="Z24" s="20">
        <v>108.316</v>
      </c>
      <c r="AA24" s="20">
        <v>100.39</v>
      </c>
      <c r="AB24" s="5">
        <f>Z24+AA24</f>
        <v>208.70600000000002</v>
      </c>
      <c r="AC24" s="20">
        <v>1.34</v>
      </c>
      <c r="AD24" s="20">
        <v>250.75654735428</v>
      </c>
      <c r="AE24" s="242">
        <v>1.01272715564468E-2</v>
      </c>
      <c r="AF24" s="243"/>
      <c r="AG24">
        <f t="shared" si="8"/>
        <v>3.4784333333333337</v>
      </c>
    </row>
    <row r="25" spans="1:33" ht="16.5" thickBot="1" x14ac:dyDescent="0.3">
      <c r="B25" s="211" t="s">
        <v>2</v>
      </c>
      <c r="C25" s="212"/>
      <c r="D25" s="212"/>
      <c r="E25" s="212"/>
      <c r="F25" s="212"/>
      <c r="G25" s="212"/>
      <c r="H25" s="213"/>
      <c r="I25" s="211" t="s">
        <v>3</v>
      </c>
      <c r="J25" s="212"/>
      <c r="K25" s="212"/>
      <c r="L25" s="212"/>
      <c r="M25" s="212"/>
      <c r="N25" s="212"/>
      <c r="O25" s="213"/>
      <c r="R25" s="22" t="s">
        <v>42</v>
      </c>
      <c r="S25" s="20">
        <v>46.326000000000001</v>
      </c>
      <c r="T25" s="20">
        <v>42.491999999999997</v>
      </c>
      <c r="U25" s="5">
        <f t="shared" si="6"/>
        <v>88.817999999999998</v>
      </c>
      <c r="V25" s="20">
        <v>1.5</v>
      </c>
      <c r="W25" s="20">
        <v>241.88504162717501</v>
      </c>
      <c r="X25" s="242">
        <v>1.21093932041384E-2</v>
      </c>
      <c r="Y25" s="243"/>
      <c r="Z25" s="20">
        <v>102.66200000000001</v>
      </c>
      <c r="AA25" s="20">
        <v>95.075999999999993</v>
      </c>
      <c r="AB25" s="5">
        <f t="shared" si="7"/>
        <v>197.738</v>
      </c>
      <c r="AC25" s="20">
        <v>5.96</v>
      </c>
      <c r="AD25" s="20">
        <v>291.249546341555</v>
      </c>
      <c r="AE25" s="242">
        <v>9.5873480487431301E-3</v>
      </c>
      <c r="AF25" s="243"/>
      <c r="AG25">
        <f t="shared" si="8"/>
        <v>3.2956333333333334</v>
      </c>
    </row>
    <row r="26" spans="1:33" ht="15.75" thickBot="1" x14ac:dyDescent="0.3">
      <c r="B26" s="1" t="s">
        <v>10</v>
      </c>
      <c r="C26" s="11" t="s">
        <v>11</v>
      </c>
      <c r="D26" s="1" t="s">
        <v>5</v>
      </c>
      <c r="E26" s="2" t="s">
        <v>12</v>
      </c>
      <c r="F26" s="2" t="s">
        <v>7</v>
      </c>
      <c r="G26" s="214" t="s">
        <v>13</v>
      </c>
      <c r="H26" s="215"/>
      <c r="I26" s="1" t="s">
        <v>0</v>
      </c>
      <c r="J26" s="11" t="s">
        <v>1</v>
      </c>
      <c r="K26" s="1" t="s">
        <v>5</v>
      </c>
      <c r="L26" s="2" t="s">
        <v>6</v>
      </c>
      <c r="M26" s="2" t="s">
        <v>7</v>
      </c>
      <c r="N26" s="214" t="s">
        <v>13</v>
      </c>
      <c r="O26" s="215"/>
    </row>
    <row r="27" spans="1:33" ht="15.75" thickBot="1" x14ac:dyDescent="0.3">
      <c r="A27" s="7" t="s">
        <v>17</v>
      </c>
      <c r="B27" s="9">
        <v>48.765999999999998</v>
      </c>
      <c r="C27" s="10">
        <v>44.648000000000003</v>
      </c>
      <c r="D27" s="5">
        <f>B27+C27</f>
        <v>93.414000000000001</v>
      </c>
      <c r="E27" s="10">
        <f>0.8+0.78</f>
        <v>1.58</v>
      </c>
      <c r="F27" s="10">
        <v>231.55</v>
      </c>
      <c r="G27" s="244">
        <v>7.2262619999999998E-3</v>
      </c>
      <c r="H27" s="245"/>
      <c r="I27" s="9">
        <v>108.01</v>
      </c>
      <c r="J27" s="10">
        <v>100.66</v>
      </c>
      <c r="K27" s="5">
        <f>I27+J27</f>
        <v>208.67000000000002</v>
      </c>
      <c r="L27" s="10">
        <f>0.8+0.78</f>
        <v>1.58</v>
      </c>
      <c r="M27" s="10">
        <v>288.82</v>
      </c>
      <c r="N27" s="244">
        <v>5.3459700000000002E-3</v>
      </c>
      <c r="O27" s="245"/>
      <c r="P27">
        <f t="shared" ref="P27:P35" si="11">(I27+J27)/60</f>
        <v>3.4778333333333338</v>
      </c>
    </row>
    <row r="28" spans="1:33" ht="15.75" thickBot="1" x14ac:dyDescent="0.3">
      <c r="A28" s="7" t="s">
        <v>19</v>
      </c>
      <c r="B28" s="9">
        <v>48.706000000000003</v>
      </c>
      <c r="C28" s="10">
        <v>44.384</v>
      </c>
      <c r="D28" s="5">
        <f t="shared" ref="D28:D36" si="12">B28+C28</f>
        <v>93.09</v>
      </c>
      <c r="E28" s="13">
        <f>0.24+0.16</f>
        <v>0.4</v>
      </c>
      <c r="F28" s="10">
        <v>237.75</v>
      </c>
      <c r="G28" s="244">
        <v>6.5723800000000001E-3</v>
      </c>
      <c r="H28" s="245"/>
      <c r="I28" s="9">
        <v>104.84</v>
      </c>
      <c r="J28" s="13">
        <v>97.364000000000004</v>
      </c>
      <c r="K28" s="5">
        <f>I28+J28</f>
        <v>202.20400000000001</v>
      </c>
      <c r="L28" s="10">
        <f>0.4+0.4</f>
        <v>0.8</v>
      </c>
      <c r="M28" s="10">
        <v>291.74</v>
      </c>
      <c r="N28" s="257">
        <v>5.2069200000000003E-3</v>
      </c>
      <c r="O28" s="227"/>
      <c r="P28">
        <f t="shared" si="11"/>
        <v>3.3700666666666668</v>
      </c>
      <c r="S28" s="236" t="s">
        <v>27</v>
      </c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8"/>
    </row>
    <row r="29" spans="1:33" ht="15.75" thickBot="1" x14ac:dyDescent="0.3">
      <c r="A29" s="7" t="s">
        <v>20</v>
      </c>
      <c r="B29" s="9">
        <v>48.526000000000003</v>
      </c>
      <c r="C29" s="13">
        <v>43.834000000000003</v>
      </c>
      <c r="D29" s="5">
        <f t="shared" si="12"/>
        <v>92.360000000000014</v>
      </c>
      <c r="E29" s="13">
        <f>0.26+0.24</f>
        <v>0.5</v>
      </c>
      <c r="F29" s="10">
        <v>227.13</v>
      </c>
      <c r="G29" s="257">
        <v>6.55823E-3</v>
      </c>
      <c r="H29" s="227"/>
      <c r="I29" s="9">
        <v>109.17400000000001</v>
      </c>
      <c r="J29" s="10">
        <v>103.65</v>
      </c>
      <c r="K29" s="5">
        <f t="shared" ref="K29:K36" si="13">I29+J29</f>
        <v>212.82400000000001</v>
      </c>
      <c r="L29" s="13">
        <f>0.2+0.3</f>
        <v>0.5</v>
      </c>
      <c r="M29" s="10">
        <v>228.44</v>
      </c>
      <c r="N29" s="244">
        <v>5.2699699999999997E-3</v>
      </c>
      <c r="O29" s="245"/>
      <c r="P29">
        <f t="shared" si="11"/>
        <v>3.5470666666666668</v>
      </c>
      <c r="R29" s="29" t="s">
        <v>43</v>
      </c>
      <c r="S29" s="239"/>
      <c r="T29" s="240"/>
      <c r="U29" s="240"/>
      <c r="V29" s="240"/>
      <c r="W29" s="240"/>
      <c r="X29" s="240"/>
      <c r="Y29" s="240"/>
      <c r="Z29" s="240"/>
      <c r="AA29" s="240"/>
      <c r="AB29" s="240"/>
      <c r="AC29" s="240"/>
      <c r="AD29" s="240"/>
      <c r="AE29" s="240"/>
      <c r="AF29" s="241"/>
    </row>
    <row r="30" spans="1:33" ht="16.5" thickBot="1" x14ac:dyDescent="0.3">
      <c r="A30" s="7" t="s">
        <v>18</v>
      </c>
      <c r="B30" s="9">
        <v>50.366</v>
      </c>
      <c r="C30" s="10">
        <v>46.398000000000003</v>
      </c>
      <c r="D30" s="5">
        <f t="shared" si="12"/>
        <v>96.76400000000001</v>
      </c>
      <c r="E30" s="10">
        <f>0.68+0.64</f>
        <v>1.32</v>
      </c>
      <c r="F30" s="10">
        <v>222.46</v>
      </c>
      <c r="G30" s="244">
        <v>7.2856400000000003E-3</v>
      </c>
      <c r="H30" s="245"/>
      <c r="I30" s="9">
        <v>109.57</v>
      </c>
      <c r="J30" s="10">
        <v>102.634</v>
      </c>
      <c r="K30" s="5">
        <f t="shared" si="13"/>
        <v>212.20400000000001</v>
      </c>
      <c r="L30" s="10">
        <f>0.5+0.54</f>
        <v>1.04</v>
      </c>
      <c r="M30" s="10">
        <v>285.01</v>
      </c>
      <c r="N30" s="244">
        <v>5.3971699999999997E-3</v>
      </c>
      <c r="O30" s="245"/>
      <c r="P30">
        <f t="shared" si="11"/>
        <v>3.5367333333333333</v>
      </c>
      <c r="R30" s="29" t="s">
        <v>44</v>
      </c>
      <c r="S30" s="249" t="s">
        <v>2</v>
      </c>
      <c r="T30" s="250"/>
      <c r="U30" s="250"/>
      <c r="V30" s="250"/>
      <c r="W30" s="250"/>
      <c r="X30" s="250"/>
      <c r="Y30" s="251"/>
      <c r="Z30" s="252" t="s">
        <v>3</v>
      </c>
      <c r="AA30" s="250"/>
      <c r="AB30" s="250"/>
      <c r="AC30" s="250"/>
      <c r="AD30" s="250"/>
      <c r="AE30" s="250"/>
      <c r="AF30" s="251"/>
    </row>
    <row r="31" spans="1:33" ht="15.75" thickBot="1" x14ac:dyDescent="0.3">
      <c r="A31" s="61" t="s">
        <v>16</v>
      </c>
      <c r="B31" s="62">
        <v>51.405999999999999</v>
      </c>
      <c r="C31" s="49">
        <v>47.44</v>
      </c>
      <c r="D31" s="54">
        <f t="shared" si="12"/>
        <v>98.846000000000004</v>
      </c>
      <c r="E31" s="53">
        <f>0.66+0.62</f>
        <v>1.28</v>
      </c>
      <c r="F31" s="53">
        <v>216.36</v>
      </c>
      <c r="G31" s="259">
        <v>7.4351499999999997E-3</v>
      </c>
      <c r="H31" s="260"/>
      <c r="I31" s="63">
        <v>113.22199999999999</v>
      </c>
      <c r="J31" s="49">
        <v>107.206</v>
      </c>
      <c r="K31" s="52">
        <f t="shared" si="13"/>
        <v>220.428</v>
      </c>
      <c r="L31" s="53">
        <f>0.38+0.44</f>
        <v>0.82000000000000006</v>
      </c>
      <c r="M31" s="53">
        <v>244.24</v>
      </c>
      <c r="N31" s="259">
        <v>5.5339899999999999E-3</v>
      </c>
      <c r="O31" s="260"/>
      <c r="P31">
        <f t="shared" si="11"/>
        <v>3.6738</v>
      </c>
      <c r="R31" s="30" t="s">
        <v>45</v>
      </c>
      <c r="S31" s="16" t="s">
        <v>10</v>
      </c>
      <c r="T31" s="17" t="s">
        <v>11</v>
      </c>
      <c r="U31" s="18" t="s">
        <v>5</v>
      </c>
      <c r="V31" s="18" t="s">
        <v>12</v>
      </c>
      <c r="W31" s="18" t="s">
        <v>7</v>
      </c>
      <c r="X31" s="246" t="s">
        <v>13</v>
      </c>
      <c r="Y31" s="247"/>
      <c r="Z31" s="18" t="s">
        <v>0</v>
      </c>
      <c r="AA31" s="17" t="s">
        <v>1</v>
      </c>
      <c r="AB31" s="18" t="s">
        <v>5</v>
      </c>
      <c r="AC31" s="18" t="s">
        <v>6</v>
      </c>
      <c r="AD31" s="18" t="s">
        <v>7</v>
      </c>
      <c r="AE31" s="246" t="s">
        <v>13</v>
      </c>
      <c r="AF31" s="247"/>
    </row>
    <row r="32" spans="1:33" ht="16.5" thickTop="1" thickBot="1" x14ac:dyDescent="0.3">
      <c r="A32" s="8" t="s">
        <v>15</v>
      </c>
      <c r="B32" s="46">
        <v>51.125999999999998</v>
      </c>
      <c r="C32" s="59">
        <v>46.32</v>
      </c>
      <c r="D32" s="55">
        <f t="shared" si="12"/>
        <v>97.445999999999998</v>
      </c>
      <c r="E32" s="47">
        <f>0.56+0.54</f>
        <v>1.1000000000000001</v>
      </c>
      <c r="F32" s="47">
        <v>225.82</v>
      </c>
      <c r="G32" s="232">
        <v>7.2212099999999996E-3</v>
      </c>
      <c r="H32" s="233"/>
      <c r="I32" s="58">
        <v>112.98</v>
      </c>
      <c r="J32" s="59">
        <v>105.724</v>
      </c>
      <c r="K32" s="48">
        <f t="shared" si="13"/>
        <v>218.70400000000001</v>
      </c>
      <c r="L32" s="47">
        <f>0.42+0.48</f>
        <v>0.89999999999999991</v>
      </c>
      <c r="M32" s="47">
        <v>271.61</v>
      </c>
      <c r="N32" s="261">
        <v>5.5209300000000003E-3</v>
      </c>
      <c r="O32" s="262"/>
      <c r="P32">
        <f t="shared" si="11"/>
        <v>3.6450666666666667</v>
      </c>
      <c r="R32" s="19" t="s">
        <v>28</v>
      </c>
      <c r="S32" s="20">
        <v>48.625999999999998</v>
      </c>
      <c r="T32" s="20">
        <v>43.597999999999999</v>
      </c>
      <c r="U32" s="21">
        <f>S32+T32</f>
        <v>92.22399999999999</v>
      </c>
      <c r="V32" s="20">
        <f>0.64+0.58</f>
        <v>1.22</v>
      </c>
      <c r="W32" s="20">
        <v>236.75</v>
      </c>
      <c r="X32" s="242">
        <v>6.9610599999999998E-3</v>
      </c>
      <c r="Y32" s="243"/>
      <c r="Z32" s="20">
        <v>105.36799999999999</v>
      </c>
      <c r="AA32" s="20">
        <v>97.956000000000003</v>
      </c>
      <c r="AB32" s="21">
        <f>Z32+AA32</f>
        <v>203.32400000000001</v>
      </c>
      <c r="AC32" s="20">
        <f>0.66+0.98</f>
        <v>1.6400000000000001</v>
      </c>
      <c r="AD32" s="20">
        <v>291.14999999999998</v>
      </c>
      <c r="AE32" s="242">
        <v>5.3440900000000001E-3</v>
      </c>
      <c r="AF32" s="243"/>
      <c r="AG32">
        <f t="shared" ref="AG32:AG39" si="14">(Z32+AA32)/60</f>
        <v>3.3887333333333336</v>
      </c>
    </row>
    <row r="33" spans="1:33" ht="15.75" thickBot="1" x14ac:dyDescent="0.3">
      <c r="A33" s="7" t="s">
        <v>21</v>
      </c>
      <c r="B33" s="9">
        <v>51.826000000000001</v>
      </c>
      <c r="C33" s="10">
        <v>48.204000000000001</v>
      </c>
      <c r="D33" s="5">
        <f t="shared" si="12"/>
        <v>100.03</v>
      </c>
      <c r="E33" s="10">
        <f>0.22+0.4</f>
        <v>0.62</v>
      </c>
      <c r="F33" s="10">
        <v>230.86</v>
      </c>
      <c r="G33" s="244">
        <v>7.1778099999999997E-3</v>
      </c>
      <c r="H33" s="245"/>
      <c r="I33" s="9">
        <v>109.262</v>
      </c>
      <c r="J33" s="10">
        <v>103.538</v>
      </c>
      <c r="K33" s="5">
        <f t="shared" si="13"/>
        <v>212.8</v>
      </c>
      <c r="L33" s="10">
        <f>0.3+0.26</f>
        <v>0.56000000000000005</v>
      </c>
      <c r="M33" s="10">
        <v>251.82</v>
      </c>
      <c r="N33" s="244">
        <v>5.2893699999999998E-3</v>
      </c>
      <c r="O33" s="245"/>
      <c r="P33">
        <f t="shared" si="11"/>
        <v>3.5466666666666669</v>
      </c>
      <c r="R33" s="22" t="s">
        <v>29</v>
      </c>
      <c r="S33" s="20">
        <v>48.545999999999999</v>
      </c>
      <c r="T33" s="20">
        <v>44.84</v>
      </c>
      <c r="U33" s="21">
        <f t="shared" ref="U33:U45" si="15">S33+T33</f>
        <v>93.385999999999996</v>
      </c>
      <c r="V33" s="20">
        <f>0.5+0.48</f>
        <v>0.98</v>
      </c>
      <c r="W33" s="20">
        <v>230.22</v>
      </c>
      <c r="X33" s="242">
        <v>6.8971700000000002E-3</v>
      </c>
      <c r="Y33" s="243"/>
      <c r="Z33" s="25">
        <v>107.72199999999999</v>
      </c>
      <c r="AA33" s="25">
        <v>100.94199999999999</v>
      </c>
      <c r="AB33" s="21">
        <f>Z33+AA33</f>
        <v>208.66399999999999</v>
      </c>
      <c r="AC33" s="20">
        <f>0.52+0.6</f>
        <v>1.1200000000000001</v>
      </c>
      <c r="AD33" s="20">
        <v>289.70999999999998</v>
      </c>
      <c r="AE33" s="242">
        <v>5.3416699999999998E-3</v>
      </c>
      <c r="AF33" s="243"/>
      <c r="AG33">
        <f>(Z33+AA33)/60</f>
        <v>3.4777333333333331</v>
      </c>
    </row>
    <row r="34" spans="1:33" ht="15.75" thickBot="1" x14ac:dyDescent="0.3">
      <c r="A34" s="7" t="s">
        <v>22</v>
      </c>
      <c r="B34" s="9">
        <v>49.026000000000003</v>
      </c>
      <c r="C34" s="10">
        <v>44.56</v>
      </c>
      <c r="D34" s="5">
        <f t="shared" si="12"/>
        <v>93.586000000000013</v>
      </c>
      <c r="E34" s="10">
        <f>0.26+0.46</f>
        <v>0.72</v>
      </c>
      <c r="F34" s="10">
        <v>231.23599999999999</v>
      </c>
      <c r="G34" s="244">
        <v>6.7907200000000001E-3</v>
      </c>
      <c r="H34" s="245"/>
      <c r="I34" s="9">
        <v>106.512</v>
      </c>
      <c r="J34" s="10">
        <v>99.888000000000005</v>
      </c>
      <c r="K34" s="5">
        <f t="shared" si="13"/>
        <v>206.4</v>
      </c>
      <c r="L34" s="10">
        <f>0.38+0.44</f>
        <v>0.82000000000000006</v>
      </c>
      <c r="M34" s="10">
        <v>288.88</v>
      </c>
      <c r="N34" s="244">
        <v>5.2131399999999998E-3</v>
      </c>
      <c r="O34" s="245"/>
      <c r="P34">
        <f t="shared" si="11"/>
        <v>3.44</v>
      </c>
      <c r="R34" s="66" t="s">
        <v>31</v>
      </c>
      <c r="S34" s="64">
        <v>48.345999999999997</v>
      </c>
      <c r="T34" s="64">
        <v>44.295999999999999</v>
      </c>
      <c r="U34" s="65">
        <f t="shared" si="15"/>
        <v>92.641999999999996</v>
      </c>
      <c r="V34" s="64">
        <f>0.38+0.48</f>
        <v>0.86</v>
      </c>
      <c r="W34" s="64">
        <v>236.76</v>
      </c>
      <c r="X34" s="230">
        <v>6.7921099999999996E-3</v>
      </c>
      <c r="Y34" s="231"/>
      <c r="Z34" s="64">
        <v>105.36799999999999</v>
      </c>
      <c r="AA34" s="64">
        <v>98.415999999999997</v>
      </c>
      <c r="AB34" s="65">
        <f t="shared" ref="AB34" si="16">Z34+AA34</f>
        <v>203.78399999999999</v>
      </c>
      <c r="AC34" s="64">
        <f>0.38+0.38</f>
        <v>0.76</v>
      </c>
      <c r="AD34" s="64">
        <v>291.94</v>
      </c>
      <c r="AE34" s="230">
        <v>5.1343400000000003E-3</v>
      </c>
      <c r="AF34" s="231"/>
      <c r="AG34">
        <f t="shared" si="14"/>
        <v>3.3963999999999999</v>
      </c>
    </row>
    <row r="35" spans="1:33" ht="15.75" thickBot="1" x14ac:dyDescent="0.3">
      <c r="A35" s="7" t="s">
        <v>23</v>
      </c>
      <c r="B35" s="9">
        <v>49.106000000000002</v>
      </c>
      <c r="C35" s="10">
        <v>44.85</v>
      </c>
      <c r="D35" s="5">
        <f t="shared" si="12"/>
        <v>93.956000000000003</v>
      </c>
      <c r="E35" s="10">
        <f>0.52+0.52</f>
        <v>1.04</v>
      </c>
      <c r="F35" s="10">
        <v>229.58500000000001</v>
      </c>
      <c r="G35" s="244">
        <v>6.97535E-3</v>
      </c>
      <c r="H35" s="245"/>
      <c r="I35" s="9">
        <v>107.898</v>
      </c>
      <c r="J35" s="10">
        <v>100.746</v>
      </c>
      <c r="K35" s="5">
        <f t="shared" si="13"/>
        <v>208.64400000000001</v>
      </c>
      <c r="L35" s="10">
        <f>0.46+0.5</f>
        <v>0.96</v>
      </c>
      <c r="M35" s="10">
        <v>288.86</v>
      </c>
      <c r="N35" s="244">
        <v>5.3003099999999999E-3</v>
      </c>
      <c r="O35" s="245"/>
      <c r="P35">
        <f t="shared" si="11"/>
        <v>3.4774000000000003</v>
      </c>
      <c r="R35" s="22" t="s">
        <v>32</v>
      </c>
      <c r="S35" s="20">
        <v>50.206000000000003</v>
      </c>
      <c r="T35" s="20">
        <v>46.421999999999997</v>
      </c>
      <c r="U35" s="21">
        <f t="shared" si="15"/>
        <v>96.628</v>
      </c>
      <c r="V35" s="20">
        <f>0.56+0.64</f>
        <v>1.2000000000000002</v>
      </c>
      <c r="W35" s="20">
        <v>219.7</v>
      </c>
      <c r="X35" s="221">
        <v>7.2592999999999998E-3</v>
      </c>
      <c r="Y35" s="222"/>
      <c r="Z35" s="20">
        <v>112.958</v>
      </c>
      <c r="AA35" s="20">
        <v>107.852</v>
      </c>
      <c r="AB35" s="21">
        <f>Z35+AA35</f>
        <v>220.81</v>
      </c>
      <c r="AC35" s="20">
        <f>0.32+0.66</f>
        <v>0.98</v>
      </c>
      <c r="AD35" s="20">
        <v>240.55</v>
      </c>
      <c r="AE35" s="221">
        <v>5.5708600000000004E-3</v>
      </c>
      <c r="AF35" s="222"/>
      <c r="AG35">
        <f t="shared" si="14"/>
        <v>3.6801666666666666</v>
      </c>
    </row>
    <row r="36" spans="1:33" ht="15.75" thickBot="1" x14ac:dyDescent="0.3">
      <c r="A36" s="7" t="s">
        <v>24</v>
      </c>
      <c r="B36" s="9">
        <v>50.206000000000003</v>
      </c>
      <c r="C36" s="10">
        <v>47.006</v>
      </c>
      <c r="D36" s="5">
        <f t="shared" si="12"/>
        <v>97.212000000000003</v>
      </c>
      <c r="E36" s="10">
        <f>0.58+0.28</f>
        <v>0.86</v>
      </c>
      <c r="F36" s="10">
        <v>236.36</v>
      </c>
      <c r="G36" s="244">
        <v>7.0637699999999996E-3</v>
      </c>
      <c r="H36" s="245"/>
      <c r="I36" s="9">
        <v>108.33799999999999</v>
      </c>
      <c r="J36" s="10">
        <v>100.884</v>
      </c>
      <c r="K36" s="5">
        <f t="shared" si="13"/>
        <v>209.22199999999998</v>
      </c>
      <c r="L36" s="10">
        <f>0.48+0.46</f>
        <v>0.94</v>
      </c>
      <c r="M36" s="10">
        <v>276.95</v>
      </c>
      <c r="N36" s="244">
        <v>5.31329E-3</v>
      </c>
      <c r="O36" s="245"/>
      <c r="P36">
        <f>(I36+J36)/60</f>
        <v>3.4870333333333332</v>
      </c>
      <c r="R36" s="22" t="s">
        <v>33</v>
      </c>
      <c r="S36" s="20">
        <v>51.706000000000003</v>
      </c>
      <c r="T36" s="20">
        <v>47.6</v>
      </c>
      <c r="U36" s="21">
        <f t="shared" si="15"/>
        <v>99.306000000000012</v>
      </c>
      <c r="V36" s="20">
        <f>0.62+0.64</f>
        <v>1.26</v>
      </c>
      <c r="W36" s="20">
        <v>221.97</v>
      </c>
      <c r="X36" s="242">
        <v>7.4725199999999999E-3</v>
      </c>
      <c r="Y36" s="243"/>
      <c r="Z36" s="20">
        <v>114.542</v>
      </c>
      <c r="AA36" s="20">
        <v>108.172</v>
      </c>
      <c r="AB36" s="21">
        <f>Z36+AA36</f>
        <v>222.714</v>
      </c>
      <c r="AC36" s="20">
        <f>0.48+0.48</f>
        <v>0.96</v>
      </c>
      <c r="AD36" s="20">
        <v>244.23</v>
      </c>
      <c r="AE36" s="242">
        <v>5.61824E-3</v>
      </c>
      <c r="AF36" s="243"/>
      <c r="AG36">
        <f t="shared" si="14"/>
        <v>3.7119</v>
      </c>
    </row>
    <row r="37" spans="1:33" ht="15.75" thickBot="1" x14ac:dyDescent="0.3">
      <c r="R37" s="66" t="s">
        <v>30</v>
      </c>
      <c r="S37" s="68">
        <v>48.926000000000002</v>
      </c>
      <c r="T37" s="68">
        <v>44.942</v>
      </c>
      <c r="U37" s="65">
        <f t="shared" si="15"/>
        <v>93.867999999999995</v>
      </c>
      <c r="V37" s="68">
        <f>0.54+0.56</f>
        <v>1.1000000000000001</v>
      </c>
      <c r="W37" s="68">
        <v>229.74</v>
      </c>
      <c r="X37" s="230">
        <v>7.0168499999999998E-3</v>
      </c>
      <c r="Y37" s="231"/>
      <c r="Z37" s="67">
        <v>104.312</v>
      </c>
      <c r="AA37" s="68">
        <v>95.168000000000006</v>
      </c>
      <c r="AB37" s="65">
        <f>Z37+AA37</f>
        <v>199.48000000000002</v>
      </c>
      <c r="AC37" s="68">
        <f>0.4+0.42</f>
        <v>0.82000000000000006</v>
      </c>
      <c r="AD37" s="67">
        <v>280.67</v>
      </c>
      <c r="AE37" s="219">
        <v>5.0472599999999996E-3</v>
      </c>
      <c r="AF37" s="220"/>
      <c r="AG37">
        <f t="shared" si="14"/>
        <v>3.3246666666666669</v>
      </c>
    </row>
    <row r="38" spans="1:33" ht="16.5" thickTop="1" thickBot="1" x14ac:dyDescent="0.3">
      <c r="R38" s="22" t="s">
        <v>34</v>
      </c>
      <c r="S38" s="20">
        <v>49.466000000000001</v>
      </c>
      <c r="T38" s="20">
        <v>45.956000000000003</v>
      </c>
      <c r="U38" s="21">
        <f t="shared" si="15"/>
        <v>95.421999999999997</v>
      </c>
      <c r="V38" s="20">
        <f>0.74+0.66</f>
        <v>1.4</v>
      </c>
      <c r="W38" s="20">
        <v>225.86</v>
      </c>
      <c r="X38" s="221">
        <v>7.2581800000000004E-3</v>
      </c>
      <c r="Y38" s="222"/>
      <c r="Z38" s="20">
        <v>110.494</v>
      </c>
      <c r="AA38" s="20">
        <v>103.762</v>
      </c>
      <c r="AB38" s="21">
        <f t="shared" ref="AB38:AB44" si="17">Z38+AA38</f>
        <v>214.256</v>
      </c>
      <c r="AC38" s="20">
        <f>0.46+0.52</f>
        <v>0.98</v>
      </c>
      <c r="AD38" s="20">
        <v>267.38</v>
      </c>
      <c r="AE38" s="221">
        <v>5.4355799999999998E-3</v>
      </c>
      <c r="AF38" s="222"/>
      <c r="AG38">
        <f t="shared" si="14"/>
        <v>3.5709333333333335</v>
      </c>
    </row>
    <row r="39" spans="1:33" ht="15.75" thickBot="1" x14ac:dyDescent="0.3">
      <c r="R39" s="22" t="s">
        <v>35</v>
      </c>
      <c r="S39" s="25">
        <v>48.886000000000003</v>
      </c>
      <c r="T39" s="25">
        <v>44.97</v>
      </c>
      <c r="U39" s="21">
        <f>S39+T39</f>
        <v>93.855999999999995</v>
      </c>
      <c r="V39" s="20">
        <f>0.52+0.56</f>
        <v>1.08</v>
      </c>
      <c r="W39" s="20">
        <v>228.89</v>
      </c>
      <c r="X39" s="242">
        <v>6.9995600000000002E-3</v>
      </c>
      <c r="Y39" s="243"/>
      <c r="Z39" s="20">
        <v>109.28400000000001</v>
      </c>
      <c r="AA39" s="20">
        <v>101.518</v>
      </c>
      <c r="AB39" s="21">
        <f t="shared" si="17"/>
        <v>210.80200000000002</v>
      </c>
      <c r="AC39" s="20">
        <f>0.48+0.46</f>
        <v>0.94</v>
      </c>
      <c r="AD39" s="20">
        <v>276.95</v>
      </c>
      <c r="AE39" s="242">
        <v>5.3449322000000002E-3</v>
      </c>
      <c r="AF39" s="243"/>
      <c r="AG39">
        <f t="shared" si="14"/>
        <v>3.5133666666666672</v>
      </c>
    </row>
    <row r="40" spans="1:33" ht="15.75" thickBot="1" x14ac:dyDescent="0.3">
      <c r="R40" s="66" t="s">
        <v>36</v>
      </c>
      <c r="S40" s="69">
        <v>49.026000000000003</v>
      </c>
      <c r="T40" s="69">
        <v>44.454000000000001</v>
      </c>
      <c r="U40" s="65">
        <f t="shared" si="15"/>
        <v>93.48</v>
      </c>
      <c r="V40" s="64">
        <f>0.66+0.68</f>
        <v>1.34</v>
      </c>
      <c r="W40" s="64">
        <v>232.42</v>
      </c>
      <c r="X40" s="230">
        <v>7.1109600000000004E-3</v>
      </c>
      <c r="Y40" s="231"/>
      <c r="Z40" s="64">
        <v>109.35</v>
      </c>
      <c r="AA40" s="64">
        <v>101.616</v>
      </c>
      <c r="AB40" s="65">
        <f t="shared" si="17"/>
        <v>210.96600000000001</v>
      </c>
      <c r="AC40" s="64">
        <f>0.42+0.22</f>
        <v>0.64</v>
      </c>
      <c r="AD40" s="64">
        <f>285.23</f>
        <v>285.23</v>
      </c>
      <c r="AE40" s="230">
        <v>5.2766200000000001E-3</v>
      </c>
      <c r="AF40" s="231"/>
      <c r="AG40">
        <f>(Z40+AA40)/60</f>
        <v>3.5161000000000002</v>
      </c>
    </row>
    <row r="41" spans="1:33" ht="16.5" thickTop="1" thickBot="1" x14ac:dyDescent="0.3">
      <c r="R41" s="22" t="s">
        <v>37</v>
      </c>
      <c r="S41" s="20">
        <v>48.886000000000003</v>
      </c>
      <c r="T41" s="20">
        <v>44.2</v>
      </c>
      <c r="U41" s="21">
        <f t="shared" si="15"/>
        <v>93.086000000000013</v>
      </c>
      <c r="V41" s="20">
        <v>1.36</v>
      </c>
      <c r="W41" s="20">
        <v>232.315</v>
      </c>
      <c r="X41" s="221">
        <v>7.1203300000000002E-3</v>
      </c>
      <c r="Y41" s="222"/>
      <c r="Z41" s="20">
        <v>105.896</v>
      </c>
      <c r="AA41" s="20">
        <v>99.225999999999999</v>
      </c>
      <c r="AB41" s="21">
        <f t="shared" si="17"/>
        <v>205.12200000000001</v>
      </c>
      <c r="AC41" s="20">
        <f>0.48+0.62</f>
        <v>1.1000000000000001</v>
      </c>
      <c r="AD41" s="20">
        <v>289.05</v>
      </c>
      <c r="AE41" s="221">
        <v>5.25123E-3</v>
      </c>
      <c r="AF41" s="222"/>
      <c r="AG41">
        <f t="shared" ref="AG41:AG46" si="18">(Z41+AA41)/60</f>
        <v>3.4187000000000003</v>
      </c>
    </row>
    <row r="42" spans="1:33" ht="15.75" thickBot="1" x14ac:dyDescent="0.3">
      <c r="R42" s="22" t="s">
        <v>38</v>
      </c>
      <c r="S42" s="20">
        <v>48.545999999999999</v>
      </c>
      <c r="T42" s="20">
        <v>44.643999999999998</v>
      </c>
      <c r="U42" s="21">
        <f t="shared" si="15"/>
        <v>93.19</v>
      </c>
      <c r="V42" s="20">
        <v>1.02</v>
      </c>
      <c r="W42" s="20">
        <v>236.14700185662701</v>
      </c>
      <c r="X42" s="242">
        <v>6.9119799999999999E-3</v>
      </c>
      <c r="Y42" s="243"/>
      <c r="Z42" s="20">
        <v>107.81</v>
      </c>
      <c r="AA42" s="20">
        <v>99.403999999999996</v>
      </c>
      <c r="AB42" s="21">
        <f t="shared" si="17"/>
        <v>207.214</v>
      </c>
      <c r="AC42" s="20">
        <v>1.1399999999999999</v>
      </c>
      <c r="AD42" s="20">
        <v>290</v>
      </c>
      <c r="AE42" s="242">
        <v>5.3093400000000001E-3</v>
      </c>
      <c r="AF42" s="243"/>
      <c r="AG42">
        <f t="shared" si="18"/>
        <v>3.4535666666666667</v>
      </c>
    </row>
    <row r="43" spans="1:33" ht="15.75" thickBot="1" x14ac:dyDescent="0.3">
      <c r="A43" s="44"/>
      <c r="B43" s="44"/>
      <c r="C43" s="44"/>
      <c r="D43" s="44"/>
      <c r="E43" s="44"/>
      <c r="F43" s="44"/>
      <c r="G43" s="44"/>
      <c r="H43" s="44"/>
      <c r="I43" s="44"/>
      <c r="R43" s="66" t="s">
        <v>39</v>
      </c>
      <c r="S43" s="64">
        <v>49.786000000000001</v>
      </c>
      <c r="T43" s="64">
        <v>45.838000000000001</v>
      </c>
      <c r="U43" s="65">
        <f t="shared" si="15"/>
        <v>95.623999999999995</v>
      </c>
      <c r="V43" s="64">
        <v>1.3</v>
      </c>
      <c r="W43" s="64">
        <v>228.65601646354699</v>
      </c>
      <c r="X43" s="230">
        <v>7.2584099999999999E-3</v>
      </c>
      <c r="Y43" s="231"/>
      <c r="Z43" s="64">
        <v>108.8</v>
      </c>
      <c r="AA43" s="64">
        <v>101.05200000000001</v>
      </c>
      <c r="AB43" s="72">
        <f t="shared" si="17"/>
        <v>209.852</v>
      </c>
      <c r="AC43" s="73">
        <v>1.22</v>
      </c>
      <c r="AD43" s="73">
        <v>289.14999999999998</v>
      </c>
      <c r="AE43" s="271">
        <v>5.3833600000000002E-3</v>
      </c>
      <c r="AF43" s="271"/>
      <c r="AG43">
        <f t="shared" si="18"/>
        <v>3.4975333333333336</v>
      </c>
    </row>
    <row r="44" spans="1:33" ht="16.5" thickTop="1" thickBot="1" x14ac:dyDescent="0.3">
      <c r="A44" s="44"/>
      <c r="B44" s="44"/>
      <c r="C44" s="44"/>
      <c r="D44" s="44"/>
      <c r="E44" s="44"/>
      <c r="F44" s="44"/>
      <c r="G44" s="44"/>
      <c r="H44" s="44"/>
      <c r="I44" s="44"/>
      <c r="R44" s="22" t="s">
        <v>40</v>
      </c>
      <c r="S44" s="20">
        <v>49.345999999999997</v>
      </c>
      <c r="T44" s="20">
        <v>46.725999999999999</v>
      </c>
      <c r="U44" s="21">
        <f t="shared" si="15"/>
        <v>96.072000000000003</v>
      </c>
      <c r="V44" s="20">
        <v>1.42</v>
      </c>
      <c r="W44" s="20">
        <v>231.42717362715899</v>
      </c>
      <c r="X44" s="221">
        <v>7.3288700000000003E-3</v>
      </c>
      <c r="Y44" s="222"/>
      <c r="Z44" s="20">
        <v>110.96</v>
      </c>
      <c r="AA44" s="20">
        <v>103.73</v>
      </c>
      <c r="AB44" s="26">
        <f t="shared" si="17"/>
        <v>214.69</v>
      </c>
      <c r="AC44" s="70">
        <v>1.3</v>
      </c>
      <c r="AD44" s="71">
        <v>288.33</v>
      </c>
      <c r="AE44" s="272">
        <v>5.5173899999999996E-3</v>
      </c>
      <c r="AF44" s="272"/>
      <c r="AG44">
        <f t="shared" si="18"/>
        <v>3.5781666666666667</v>
      </c>
    </row>
    <row r="45" spans="1:33" ht="15.75" thickBot="1" x14ac:dyDescent="0.3">
      <c r="A45" s="44"/>
      <c r="B45" s="44"/>
      <c r="C45" s="44"/>
      <c r="D45" s="44"/>
      <c r="E45" s="44"/>
      <c r="F45" s="44"/>
      <c r="G45" s="44"/>
      <c r="H45" s="44"/>
      <c r="I45" s="44"/>
      <c r="R45" s="22" t="s">
        <v>41</v>
      </c>
      <c r="S45" s="20">
        <v>50.006</v>
      </c>
      <c r="T45" s="20">
        <v>46.576000000000001</v>
      </c>
      <c r="U45" s="21">
        <f t="shared" si="15"/>
        <v>96.581999999999994</v>
      </c>
      <c r="V45" s="20">
        <v>1.18</v>
      </c>
      <c r="W45" s="20">
        <v>224.43</v>
      </c>
      <c r="X45" s="242">
        <v>7.2478200000000003E-3</v>
      </c>
      <c r="Y45" s="243"/>
      <c r="Z45" s="20">
        <v>111.88</v>
      </c>
      <c r="AA45" s="20">
        <v>104.48399999999999</v>
      </c>
      <c r="AB45" s="26">
        <f>Z45+AA45</f>
        <v>216.36399999999998</v>
      </c>
      <c r="AC45" s="27">
        <f>0.52+0.62</f>
        <v>1.1400000000000001</v>
      </c>
      <c r="AD45" s="28">
        <v>277.82</v>
      </c>
      <c r="AE45" s="273">
        <v>5.5267099999999998E-3</v>
      </c>
      <c r="AF45" s="273"/>
      <c r="AG45">
        <f t="shared" si="18"/>
        <v>3.6060666666666661</v>
      </c>
    </row>
    <row r="46" spans="1:33" ht="15.75" thickBot="1" x14ac:dyDescent="0.3">
      <c r="A46" s="44"/>
      <c r="B46" s="44"/>
      <c r="C46" s="44"/>
      <c r="D46" s="44"/>
      <c r="E46" s="44"/>
      <c r="F46" s="44"/>
      <c r="G46" s="44"/>
      <c r="H46" s="44"/>
      <c r="I46" s="44"/>
      <c r="R46" s="22" t="s">
        <v>42</v>
      </c>
      <c r="S46" s="20">
        <v>51.585999999999999</v>
      </c>
      <c r="T46" s="20">
        <v>47.83</v>
      </c>
      <c r="U46" s="21">
        <f>S46+T46</f>
        <v>99.415999999999997</v>
      </c>
      <c r="V46" s="20">
        <f>0.54+0.52</f>
        <v>1.06</v>
      </c>
      <c r="W46" s="20">
        <v>207.48655341109301</v>
      </c>
      <c r="X46" s="242">
        <v>7.36179E-3</v>
      </c>
      <c r="Y46" s="243"/>
      <c r="Z46" s="20">
        <v>118.304</v>
      </c>
      <c r="AA46" s="20">
        <v>113.776</v>
      </c>
      <c r="AB46" s="21">
        <f>Z46+AA46</f>
        <v>232.07999999999998</v>
      </c>
      <c r="AC46" s="20">
        <v>0.86</v>
      </c>
      <c r="AD46" s="20">
        <v>225.72</v>
      </c>
      <c r="AE46" s="221">
        <v>5.8058900000000002E-3</v>
      </c>
      <c r="AF46" s="222"/>
      <c r="AG46">
        <f t="shared" si="18"/>
        <v>3.8679999999999999</v>
      </c>
    </row>
    <row r="47" spans="1:33" x14ac:dyDescent="0.25">
      <c r="A47" s="44"/>
      <c r="B47" s="44"/>
      <c r="C47" s="44"/>
      <c r="D47" s="44"/>
      <c r="E47" s="44"/>
      <c r="F47" s="44"/>
      <c r="G47" s="44"/>
      <c r="H47" s="44"/>
      <c r="I47" s="44"/>
    </row>
    <row r="48" spans="1:33" x14ac:dyDescent="0.25">
      <c r="A48" s="44"/>
      <c r="B48" s="44"/>
      <c r="C48" s="44"/>
      <c r="D48" s="44"/>
      <c r="E48" s="44"/>
      <c r="F48" s="44"/>
      <c r="G48" s="44"/>
      <c r="H48" s="44"/>
      <c r="I48" s="44"/>
    </row>
    <row r="49" spans="1:33" ht="15.75" customHeight="1" x14ac:dyDescent="0.25">
      <c r="A49" s="38"/>
      <c r="B49" s="44"/>
      <c r="C49" s="44"/>
      <c r="D49" s="44"/>
      <c r="E49" s="44"/>
      <c r="F49" s="44"/>
      <c r="G49" s="44"/>
      <c r="H49" s="44"/>
      <c r="I49" s="44"/>
      <c r="J49" s="44"/>
    </row>
    <row r="50" spans="1:33" ht="16.5" customHeight="1" x14ac:dyDescent="0.25">
      <c r="B50" s="218" t="s">
        <v>48</v>
      </c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</row>
    <row r="51" spans="1:33" ht="15.75" customHeight="1" x14ac:dyDescent="0.25"/>
    <row r="52" spans="1:33" ht="16.5" customHeight="1" x14ac:dyDescent="0.25"/>
    <row r="53" spans="1:33" ht="16.5" customHeight="1" thickBot="1" x14ac:dyDescent="0.3"/>
    <row r="54" spans="1:33" x14ac:dyDescent="0.25">
      <c r="C54" s="205" t="s">
        <v>14</v>
      </c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7"/>
      <c r="T54" s="205" t="s">
        <v>49</v>
      </c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  <c r="AF54" s="206"/>
      <c r="AG54" s="207"/>
    </row>
    <row r="55" spans="1:33" ht="15.75" thickBot="1" x14ac:dyDescent="0.3">
      <c r="C55" s="208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10"/>
      <c r="T55" s="208"/>
      <c r="U55" s="209"/>
      <c r="V55" s="209"/>
      <c r="W55" s="209"/>
      <c r="X55" s="209"/>
      <c r="Y55" s="209"/>
      <c r="Z55" s="209"/>
      <c r="AA55" s="209"/>
      <c r="AB55" s="209"/>
      <c r="AC55" s="209"/>
      <c r="AD55" s="209"/>
      <c r="AE55" s="209"/>
      <c r="AF55" s="209"/>
      <c r="AG55" s="210"/>
    </row>
    <row r="56" spans="1:33" ht="16.5" thickBot="1" x14ac:dyDescent="0.3">
      <c r="C56" s="211" t="s">
        <v>2</v>
      </c>
      <c r="D56" s="212"/>
      <c r="E56" s="212"/>
      <c r="F56" s="212"/>
      <c r="G56" s="212"/>
      <c r="H56" s="212"/>
      <c r="I56" s="213"/>
      <c r="J56" s="211" t="s">
        <v>3</v>
      </c>
      <c r="K56" s="212"/>
      <c r="L56" s="212"/>
      <c r="M56" s="212"/>
      <c r="N56" s="212"/>
      <c r="O56" s="212"/>
      <c r="P56" s="213"/>
      <c r="T56" s="211" t="s">
        <v>2</v>
      </c>
      <c r="U56" s="212"/>
      <c r="V56" s="212"/>
      <c r="W56" s="212"/>
      <c r="X56" s="212"/>
      <c r="Y56" s="212"/>
      <c r="Z56" s="213"/>
      <c r="AA56" s="211" t="s">
        <v>3</v>
      </c>
      <c r="AB56" s="212"/>
      <c r="AC56" s="212"/>
      <c r="AD56" s="212"/>
      <c r="AE56" s="212"/>
      <c r="AF56" s="212"/>
      <c r="AG56" s="213"/>
    </row>
    <row r="57" spans="1:33" ht="15.75" customHeight="1" thickBot="1" x14ac:dyDescent="0.3">
      <c r="C57" s="1" t="s">
        <v>10</v>
      </c>
      <c r="D57" s="2" t="s">
        <v>11</v>
      </c>
      <c r="E57" s="2" t="s">
        <v>5</v>
      </c>
      <c r="F57" s="2" t="s">
        <v>12</v>
      </c>
      <c r="G57" s="2" t="s">
        <v>7</v>
      </c>
      <c r="H57" s="274" t="s">
        <v>13</v>
      </c>
      <c r="I57" s="215"/>
      <c r="J57" s="45" t="s">
        <v>0</v>
      </c>
      <c r="K57" s="23" t="s">
        <v>1</v>
      </c>
      <c r="L57" s="1" t="s">
        <v>5</v>
      </c>
      <c r="M57" s="2" t="s">
        <v>6</v>
      </c>
      <c r="N57" s="2" t="s">
        <v>7</v>
      </c>
      <c r="O57" s="214" t="s">
        <v>13</v>
      </c>
      <c r="P57" s="215"/>
      <c r="T57" s="1" t="s">
        <v>10</v>
      </c>
      <c r="U57" s="23" t="s">
        <v>11</v>
      </c>
      <c r="V57" s="1" t="s">
        <v>5</v>
      </c>
      <c r="W57" s="2" t="s">
        <v>12</v>
      </c>
      <c r="X57" s="2" t="s">
        <v>7</v>
      </c>
      <c r="Y57" s="214" t="s">
        <v>13</v>
      </c>
      <c r="Z57" s="215"/>
      <c r="AA57" s="1" t="s">
        <v>0</v>
      </c>
      <c r="AB57" s="23" t="s">
        <v>1</v>
      </c>
      <c r="AC57" s="1" t="s">
        <v>5</v>
      </c>
      <c r="AD57" s="2" t="s">
        <v>6</v>
      </c>
      <c r="AE57" s="2" t="s">
        <v>7</v>
      </c>
      <c r="AF57" s="214" t="s">
        <v>13</v>
      </c>
      <c r="AG57" s="215"/>
    </row>
    <row r="58" spans="1:33" ht="15.75" thickBot="1" x14ac:dyDescent="0.3">
      <c r="B58" s="7" t="s">
        <v>19</v>
      </c>
      <c r="C58" s="31">
        <v>46.146000000000001</v>
      </c>
      <c r="D58" s="32">
        <v>41.723999999999997</v>
      </c>
      <c r="E58" s="33">
        <f>C58+D58</f>
        <v>87.87</v>
      </c>
      <c r="F58" s="32">
        <v>1.8</v>
      </c>
      <c r="G58" s="32">
        <v>243.42699999999999</v>
      </c>
      <c r="H58" s="225">
        <v>1.1982927726898801E-2</v>
      </c>
      <c r="I58" s="204"/>
      <c r="J58" s="31">
        <v>99.23</v>
      </c>
      <c r="K58" s="32">
        <v>93.358000000000004</v>
      </c>
      <c r="L58" s="33">
        <f>J58+K58</f>
        <v>192.58800000000002</v>
      </c>
      <c r="M58" s="32">
        <f>2.82+2.66</f>
        <v>5.48</v>
      </c>
      <c r="N58" s="32">
        <v>276.959</v>
      </c>
      <c r="O58" s="225">
        <v>9.3380554696172093E-3</v>
      </c>
      <c r="P58" s="204"/>
      <c r="S58" s="19" t="s">
        <v>31</v>
      </c>
      <c r="T58" s="31">
        <v>46.485999999999997</v>
      </c>
      <c r="U58" s="32">
        <v>42.216000000000001</v>
      </c>
      <c r="V58" s="33">
        <f>T58+U58</f>
        <v>88.701999999999998</v>
      </c>
      <c r="W58" s="32">
        <v>1.26</v>
      </c>
      <c r="X58" s="35">
        <v>239.05354761741</v>
      </c>
      <c r="Y58" s="216">
        <v>1.20674063596926E-2</v>
      </c>
      <c r="Z58" s="216"/>
      <c r="AA58" s="138">
        <v>100.726</v>
      </c>
      <c r="AB58" s="139">
        <v>93.168000000000006</v>
      </c>
      <c r="AC58" s="140">
        <f>AA58+AB58</f>
        <v>193.89400000000001</v>
      </c>
      <c r="AD58" s="143">
        <v>7.4</v>
      </c>
      <c r="AE58" s="144">
        <v>289.49464998355597</v>
      </c>
      <c r="AF58" s="223">
        <v>9.3969345730195494E-3</v>
      </c>
      <c r="AG58" s="223"/>
    </row>
    <row r="59" spans="1:33" ht="15.75" thickBot="1" x14ac:dyDescent="0.3">
      <c r="B59" s="7" t="s">
        <v>18</v>
      </c>
      <c r="C59" s="76">
        <v>45.765999999999998</v>
      </c>
      <c r="D59" s="77">
        <v>41.921999999999997</v>
      </c>
      <c r="E59" s="77">
        <f>C59+D59</f>
        <v>87.687999999999988</v>
      </c>
      <c r="F59" s="78">
        <f>0.82+0.84</f>
        <v>1.66</v>
      </c>
      <c r="G59" s="77">
        <v>243.22</v>
      </c>
      <c r="H59" s="225">
        <v>1.19267530364247E-2</v>
      </c>
      <c r="I59" s="204"/>
      <c r="J59" s="79">
        <v>99.186000000000007</v>
      </c>
      <c r="K59" s="80">
        <v>92.902000000000001</v>
      </c>
      <c r="L59" s="14">
        <f>J59+K59</f>
        <v>192.08800000000002</v>
      </c>
      <c r="M59" s="13">
        <f>3.78+4.9</f>
        <v>8.68</v>
      </c>
      <c r="N59" s="81">
        <v>276.94799999999998</v>
      </c>
      <c r="O59" s="226">
        <v>9.3085818726249304E-3</v>
      </c>
      <c r="P59" s="227"/>
      <c r="S59" s="19" t="s">
        <v>30</v>
      </c>
      <c r="T59" s="31">
        <v>46.165999999999997</v>
      </c>
      <c r="U59" s="32">
        <v>42.137999999999998</v>
      </c>
      <c r="V59" s="33">
        <f t="shared" ref="V59:V62" si="19">T59+U59</f>
        <v>88.304000000000002</v>
      </c>
      <c r="W59" s="32">
        <v>1.58</v>
      </c>
      <c r="X59" s="35">
        <v>241.500104237036</v>
      </c>
      <c r="Y59" s="216">
        <v>1.20231812480384E-2</v>
      </c>
      <c r="Z59" s="216"/>
      <c r="AA59" s="31">
        <v>101.078</v>
      </c>
      <c r="AB59" s="32">
        <v>94.897999999999996</v>
      </c>
      <c r="AC59" s="33">
        <f>AA59+AB59</f>
        <v>195.976</v>
      </c>
      <c r="AD59" s="35">
        <v>6.98</v>
      </c>
      <c r="AE59" s="42">
        <v>290.75207806113298</v>
      </c>
      <c r="AF59" s="216">
        <v>9.4978124758745407E-3</v>
      </c>
      <c r="AG59" s="216"/>
    </row>
    <row r="60" spans="1:33" ht="15.75" thickBot="1" x14ac:dyDescent="0.3">
      <c r="B60" s="7" t="s">
        <v>15</v>
      </c>
      <c r="C60" s="31">
        <v>46.765999999999998</v>
      </c>
      <c r="D60" s="32">
        <v>42.072000000000003</v>
      </c>
      <c r="E60" s="33">
        <f>C60+D60</f>
        <v>88.837999999999994</v>
      </c>
      <c r="F60" s="32">
        <f>1.14+1.06</f>
        <v>2.2000000000000002</v>
      </c>
      <c r="G60" s="32">
        <v>243.18600000000001</v>
      </c>
      <c r="H60" s="225">
        <v>1.2117931954328399E-2</v>
      </c>
      <c r="I60" s="204"/>
      <c r="J60" s="31">
        <v>100.13200000000001</v>
      </c>
      <c r="K60" s="32">
        <v>92.947999999999993</v>
      </c>
      <c r="L60" s="33">
        <f t="shared" ref="L60:L62" si="20">J60+K60</f>
        <v>193.07999999999998</v>
      </c>
      <c r="M60" s="32">
        <f>3.02+3.36</f>
        <v>6.38</v>
      </c>
      <c r="N60" s="32">
        <v>292.34100000000001</v>
      </c>
      <c r="O60" s="225">
        <v>9.3853927999999996E-3</v>
      </c>
      <c r="P60" s="204"/>
      <c r="S60" s="19" t="s">
        <v>36</v>
      </c>
      <c r="T60" s="31">
        <v>45.765999999999998</v>
      </c>
      <c r="U60" s="32">
        <v>42.765999999999998</v>
      </c>
      <c r="V60" s="33">
        <f t="shared" si="19"/>
        <v>88.531999999999996</v>
      </c>
      <c r="W60" s="32">
        <v>1.64</v>
      </c>
      <c r="X60" s="35">
        <v>243.921530212932</v>
      </c>
      <c r="Y60" s="216">
        <v>1.2043265884381401E-2</v>
      </c>
      <c r="Z60" s="216"/>
      <c r="AA60" s="31">
        <v>101.628</v>
      </c>
      <c r="AB60" s="32">
        <v>93.828000000000003</v>
      </c>
      <c r="AC60" s="33">
        <f>AA60+AB60</f>
        <v>195.45600000000002</v>
      </c>
      <c r="AD60" s="35">
        <v>6.92</v>
      </c>
      <c r="AE60" s="42">
        <v>291.28242722905497</v>
      </c>
      <c r="AF60" s="216">
        <v>9.47394084810909E-3</v>
      </c>
      <c r="AG60" s="216"/>
    </row>
    <row r="61" spans="1:33" ht="15" customHeight="1" thickBot="1" x14ac:dyDescent="0.3">
      <c r="B61" s="142" t="s">
        <v>22</v>
      </c>
      <c r="C61" s="138">
        <v>45.706000000000003</v>
      </c>
      <c r="D61" s="139">
        <v>41.473999999999997</v>
      </c>
      <c r="E61" s="140">
        <f t="shared" ref="E61:E62" si="21">C61+D61</f>
        <v>87.18</v>
      </c>
      <c r="F61" s="139">
        <f>0.78+0.84</f>
        <v>1.62</v>
      </c>
      <c r="G61" s="139">
        <v>243.011</v>
      </c>
      <c r="H61" s="228">
        <v>1.1880467977E-2</v>
      </c>
      <c r="I61" s="229"/>
      <c r="J61" s="31">
        <v>102.31</v>
      </c>
      <c r="K61" s="32">
        <v>95.414000000000001</v>
      </c>
      <c r="L61" s="33">
        <f t="shared" si="20"/>
        <v>197.72399999999999</v>
      </c>
      <c r="M61" s="32">
        <f>0.44+0.52</f>
        <v>0.96</v>
      </c>
      <c r="N61" s="32">
        <v>276.94</v>
      </c>
      <c r="O61" s="225">
        <v>9.6085489999999992E-3</v>
      </c>
      <c r="P61" s="204"/>
      <c r="S61" s="19" t="s">
        <v>39</v>
      </c>
      <c r="T61" s="138">
        <v>45.566000000000003</v>
      </c>
      <c r="U61" s="139">
        <v>42.384</v>
      </c>
      <c r="V61" s="140">
        <f t="shared" si="19"/>
        <v>87.95</v>
      </c>
      <c r="W61" s="139">
        <v>1.56</v>
      </c>
      <c r="X61" s="143">
        <v>243.43634588707701</v>
      </c>
      <c r="Y61" s="223">
        <v>1.19844360760298E-2</v>
      </c>
      <c r="Z61" s="223"/>
      <c r="AA61" s="31">
        <v>100.66</v>
      </c>
      <c r="AB61" s="32">
        <v>93.614000000000004</v>
      </c>
      <c r="AC61" s="33">
        <f>AA61+AB61</f>
        <v>194.274</v>
      </c>
      <c r="AD61" s="35">
        <v>6.46</v>
      </c>
      <c r="AE61" s="42">
        <v>291.76598077408801</v>
      </c>
      <c r="AF61" s="216">
        <v>9.4114917719026504E-3</v>
      </c>
      <c r="AG61" s="216"/>
    </row>
    <row r="62" spans="1:33" ht="15" customHeight="1" thickBot="1" x14ac:dyDescent="0.3">
      <c r="B62" s="7" t="s">
        <v>24</v>
      </c>
      <c r="C62" s="12">
        <v>44.686</v>
      </c>
      <c r="D62" s="13">
        <v>40.81</v>
      </c>
      <c r="E62" s="14">
        <f t="shared" si="21"/>
        <v>85.496000000000009</v>
      </c>
      <c r="F62" s="13">
        <f>2.92+2.76</f>
        <v>5.68</v>
      </c>
      <c r="G62" s="13">
        <v>246.39</v>
      </c>
      <c r="H62" s="226">
        <v>1.1564815402E-2</v>
      </c>
      <c r="I62" s="227"/>
      <c r="J62" s="141">
        <v>100.48399999999999</v>
      </c>
      <c r="K62" s="139">
        <v>93.686000000000007</v>
      </c>
      <c r="L62" s="140">
        <f t="shared" si="20"/>
        <v>194.17000000000002</v>
      </c>
      <c r="M62" s="139">
        <f>0.26+0.42</f>
        <v>0.67999999999999994</v>
      </c>
      <c r="N62" s="139">
        <v>292.61</v>
      </c>
      <c r="O62" s="228">
        <v>9.4365374219799996E-3</v>
      </c>
      <c r="P62" s="229"/>
      <c r="Q62" s="135"/>
      <c r="S62" s="19" t="s">
        <v>42</v>
      </c>
      <c r="T62" s="12">
        <v>45.966000000000001</v>
      </c>
      <c r="U62" s="13">
        <v>41.816000000000003</v>
      </c>
      <c r="V62" s="14">
        <f t="shared" si="19"/>
        <v>87.782000000000011</v>
      </c>
      <c r="W62" s="13">
        <v>1.42</v>
      </c>
      <c r="X62" s="24">
        <v>239.166772649553</v>
      </c>
      <c r="Y62" s="224">
        <v>1.19811037422086E-2</v>
      </c>
      <c r="Z62" s="224"/>
      <c r="AA62" s="34">
        <v>102.596</v>
      </c>
      <c r="AB62" s="32">
        <v>93.988</v>
      </c>
      <c r="AC62" s="33">
        <f>AA62+AB62</f>
        <v>196.584</v>
      </c>
      <c r="AD62" s="35">
        <v>6.5</v>
      </c>
      <c r="AE62" s="42">
        <v>289.93255030937098</v>
      </c>
      <c r="AF62" s="216">
        <v>9.5252929340188704E-3</v>
      </c>
      <c r="AG62" s="216"/>
    </row>
    <row r="63" spans="1:33" ht="15.75" customHeight="1" x14ac:dyDescent="0.25">
      <c r="B63" s="74" t="s">
        <v>56</v>
      </c>
      <c r="C63" s="82">
        <f>AVERAGE(C58:C62)</f>
        <v>45.814000000000007</v>
      </c>
      <c r="D63" s="83">
        <f>AVERAGE(D58:D62)</f>
        <v>41.600399999999993</v>
      </c>
      <c r="E63" s="84">
        <f>AVERAGE(E58:E62)</f>
        <v>87.414400000000001</v>
      </c>
      <c r="F63" s="83">
        <f>AVERAGE(F58:F62)</f>
        <v>2.5920000000000001</v>
      </c>
      <c r="G63" s="87">
        <f>AVERAGE(G58:G62)</f>
        <v>243.84679999999997</v>
      </c>
      <c r="H63" s="197">
        <f>AVERAGE(H58:I62)</f>
        <v>1.1894579219330379E-2</v>
      </c>
      <c r="I63" s="196"/>
      <c r="J63" s="82">
        <f>AVERAGE(J58:J62)</f>
        <v>100.2684</v>
      </c>
      <c r="K63" s="83">
        <f>AVERAGE(K58:K62)</f>
        <v>93.661599999999993</v>
      </c>
      <c r="L63" s="84">
        <f>AVERAGE(L58:L62)</f>
        <v>193.93</v>
      </c>
      <c r="M63" s="83">
        <f>AVERAGE(M58:M62)</f>
        <v>4.4359999999999999</v>
      </c>
      <c r="N63" s="83">
        <f>AVERAGE(N58:N62)</f>
        <v>283.15959999999995</v>
      </c>
      <c r="O63" s="197">
        <f>AVERAGE(O58:P62)</f>
        <v>9.4154233128444266E-3</v>
      </c>
      <c r="P63" s="196"/>
      <c r="S63" s="74" t="s">
        <v>56</v>
      </c>
      <c r="T63" s="82">
        <f>AVERAGE(T58:T62)</f>
        <v>45.989999999999995</v>
      </c>
      <c r="U63" s="83">
        <f>AVERAGE(U58:U62)</f>
        <v>42.264000000000003</v>
      </c>
      <c r="V63" s="84">
        <f>AVERAGE(V58:V62)</f>
        <v>88.253999999999991</v>
      </c>
      <c r="W63" s="83">
        <f>AVERAGE(W58:W62)</f>
        <v>1.4919999999999998</v>
      </c>
      <c r="X63" s="87">
        <f>AVERAGE(X58:X62)</f>
        <v>241.41566012080162</v>
      </c>
      <c r="Y63" s="197">
        <f>AVERAGE(Y58:Z62)</f>
        <v>1.201987866207016E-2</v>
      </c>
      <c r="Z63" s="196"/>
      <c r="AA63" s="82">
        <f>AVERAGE(AA58:AA62)</f>
        <v>101.33759999999999</v>
      </c>
      <c r="AB63" s="83">
        <f>AVERAGE(AB58:AB62)</f>
        <v>93.899200000000008</v>
      </c>
      <c r="AC63" s="84">
        <f>AVERAGE(AC58:AC62)</f>
        <v>195.23679999999999</v>
      </c>
      <c r="AD63" s="83">
        <f>AVERAGE(AD58:AD62)</f>
        <v>6.8520000000000012</v>
      </c>
      <c r="AE63" s="83">
        <f>AVERAGE(AE58:AE62)</f>
        <v>290.64553727144056</v>
      </c>
      <c r="AF63" s="197">
        <f>AVERAGE(AF58:AG62)</f>
        <v>9.4610945205849395E-3</v>
      </c>
      <c r="AG63" s="196"/>
    </row>
    <row r="64" spans="1:33" ht="16.5" thickBot="1" x14ac:dyDescent="0.3">
      <c r="B64" s="75" t="s">
        <v>57</v>
      </c>
      <c r="C64" s="85">
        <v>46.286000000000001</v>
      </c>
      <c r="D64" s="86">
        <v>41.898000000000003</v>
      </c>
      <c r="E64" s="86">
        <f>C64+D64</f>
        <v>88.183999999999997</v>
      </c>
      <c r="F64" s="86">
        <v>1.72</v>
      </c>
      <c r="G64" s="86">
        <v>243.73143394543601</v>
      </c>
      <c r="H64" s="198">
        <v>1.19945726E-2</v>
      </c>
      <c r="I64" s="194"/>
      <c r="J64" s="85">
        <v>99.075999999999993</v>
      </c>
      <c r="K64" s="86">
        <v>94.108000000000004</v>
      </c>
      <c r="L64" s="86">
        <f>J64+K64</f>
        <v>193.184</v>
      </c>
      <c r="M64" s="86">
        <v>10.16</v>
      </c>
      <c r="N64" s="86">
        <v>292.61</v>
      </c>
      <c r="O64" s="198">
        <v>9.3769779999999994E-3</v>
      </c>
      <c r="P64" s="194"/>
      <c r="S64" s="75" t="s">
        <v>57</v>
      </c>
      <c r="T64" s="85">
        <v>45.926000000000002</v>
      </c>
      <c r="U64" s="86">
        <v>42.692</v>
      </c>
      <c r="V64" s="86">
        <f>T64+U64</f>
        <v>88.617999999999995</v>
      </c>
      <c r="W64" s="86">
        <v>1.74</v>
      </c>
      <c r="X64" s="86">
        <v>243.84</v>
      </c>
      <c r="Y64" s="198">
        <v>1.2067319999999999E-2</v>
      </c>
      <c r="Z64" s="194"/>
      <c r="AA64" s="85">
        <v>114.322</v>
      </c>
      <c r="AB64" s="86">
        <v>94.712000000000003</v>
      </c>
      <c r="AC64" s="86">
        <f>AA64+AB64</f>
        <v>209.03399999999999</v>
      </c>
      <c r="AD64" s="86">
        <v>11.72</v>
      </c>
      <c r="AE64" s="86">
        <v>290.93</v>
      </c>
      <c r="AF64" s="198">
        <v>1.0025566E-2</v>
      </c>
      <c r="AG64" s="194"/>
    </row>
    <row r="65" spans="2:33" x14ac:dyDescent="0.25">
      <c r="T65" s="36"/>
    </row>
    <row r="66" spans="2:33" ht="15.75" thickBot="1" x14ac:dyDescent="0.3"/>
    <row r="67" spans="2:33" ht="15.75" customHeight="1" x14ac:dyDescent="0.25">
      <c r="C67" s="205" t="s">
        <v>25</v>
      </c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7"/>
      <c r="T67" s="205" t="s">
        <v>50</v>
      </c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206"/>
      <c r="AF67" s="206"/>
      <c r="AG67" s="207"/>
    </row>
    <row r="68" spans="2:33" ht="15.75" thickBot="1" x14ac:dyDescent="0.3">
      <c r="C68" s="208"/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10"/>
      <c r="T68" s="208"/>
      <c r="U68" s="209"/>
      <c r="V68" s="209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10"/>
    </row>
    <row r="69" spans="2:33" ht="16.5" thickBot="1" x14ac:dyDescent="0.3">
      <c r="C69" s="211" t="s">
        <v>2</v>
      </c>
      <c r="D69" s="212"/>
      <c r="E69" s="212"/>
      <c r="F69" s="212"/>
      <c r="G69" s="212"/>
      <c r="H69" s="212"/>
      <c r="I69" s="213"/>
      <c r="J69" s="211" t="s">
        <v>3</v>
      </c>
      <c r="K69" s="212"/>
      <c r="L69" s="212"/>
      <c r="M69" s="212"/>
      <c r="N69" s="212"/>
      <c r="O69" s="212"/>
      <c r="P69" s="213"/>
      <c r="T69" s="211" t="s">
        <v>2</v>
      </c>
      <c r="U69" s="212"/>
      <c r="V69" s="212"/>
      <c r="W69" s="212"/>
      <c r="X69" s="212"/>
      <c r="Y69" s="212"/>
      <c r="Z69" s="213"/>
      <c r="AA69" s="211" t="s">
        <v>3</v>
      </c>
      <c r="AB69" s="212"/>
      <c r="AC69" s="212"/>
      <c r="AD69" s="212"/>
      <c r="AE69" s="212"/>
      <c r="AF69" s="212"/>
      <c r="AG69" s="213"/>
    </row>
    <row r="70" spans="2:33" ht="15.75" thickBot="1" x14ac:dyDescent="0.3">
      <c r="C70" s="1" t="s">
        <v>10</v>
      </c>
      <c r="D70" s="23" t="s">
        <v>11</v>
      </c>
      <c r="E70" s="1" t="s">
        <v>5</v>
      </c>
      <c r="F70" s="2" t="s">
        <v>12</v>
      </c>
      <c r="G70" s="2" t="s">
        <v>7</v>
      </c>
      <c r="H70" s="214" t="s">
        <v>13</v>
      </c>
      <c r="I70" s="215"/>
      <c r="J70" s="1" t="s">
        <v>0</v>
      </c>
      <c r="K70" s="23" t="s">
        <v>1</v>
      </c>
      <c r="L70" s="1" t="s">
        <v>5</v>
      </c>
      <c r="M70" s="2" t="s">
        <v>6</v>
      </c>
      <c r="N70" s="2" t="s">
        <v>7</v>
      </c>
      <c r="O70" s="214" t="s">
        <v>13</v>
      </c>
      <c r="P70" s="215"/>
      <c r="T70" s="1" t="s">
        <v>10</v>
      </c>
      <c r="U70" s="23" t="s">
        <v>11</v>
      </c>
      <c r="V70" s="1" t="s">
        <v>5</v>
      </c>
      <c r="W70" s="2" t="s">
        <v>12</v>
      </c>
      <c r="X70" s="2" t="s">
        <v>7</v>
      </c>
      <c r="Y70" s="214" t="s">
        <v>13</v>
      </c>
      <c r="Z70" s="215"/>
      <c r="AA70" s="1" t="s">
        <v>0</v>
      </c>
      <c r="AB70" s="23" t="s">
        <v>1</v>
      </c>
      <c r="AC70" s="1" t="s">
        <v>5</v>
      </c>
      <c r="AD70" s="2" t="s">
        <v>6</v>
      </c>
      <c r="AE70" s="2" t="s">
        <v>7</v>
      </c>
      <c r="AF70" s="214" t="s">
        <v>13</v>
      </c>
      <c r="AG70" s="215"/>
    </row>
    <row r="71" spans="2:33" ht="15.75" thickBot="1" x14ac:dyDescent="0.3">
      <c r="B71" s="7" t="s">
        <v>17</v>
      </c>
      <c r="C71" s="31">
        <v>48.706000000000003</v>
      </c>
      <c r="D71" s="32">
        <v>44.384</v>
      </c>
      <c r="E71" s="33">
        <f t="shared" ref="E71" si="22">C71+D71</f>
        <v>93.09</v>
      </c>
      <c r="F71" s="32">
        <f>0.24+0.16</f>
        <v>0.4</v>
      </c>
      <c r="G71" s="32">
        <v>237.76</v>
      </c>
      <c r="H71" s="203">
        <v>6.5723800000000001E-3</v>
      </c>
      <c r="I71" s="204"/>
      <c r="J71" s="31">
        <v>104.84</v>
      </c>
      <c r="K71" s="32">
        <v>97.364000000000004</v>
      </c>
      <c r="L71" s="33">
        <f>J71+K71</f>
        <v>202.20400000000001</v>
      </c>
      <c r="M71" s="32">
        <f>0.4+0.4</f>
        <v>0.8</v>
      </c>
      <c r="N71" s="32">
        <v>291.7362</v>
      </c>
      <c r="O71" s="203">
        <v>5.10692E-3</v>
      </c>
      <c r="P71" s="204"/>
      <c r="S71" s="19" t="s">
        <v>51</v>
      </c>
      <c r="T71" s="40">
        <v>48.345999999999997</v>
      </c>
      <c r="U71" s="40">
        <v>44.295999999999999</v>
      </c>
      <c r="V71" s="41">
        <f>T71+U71</f>
        <v>92.641999999999996</v>
      </c>
      <c r="W71" s="40">
        <v>0.86</v>
      </c>
      <c r="X71" s="40">
        <v>236.760077468302</v>
      </c>
      <c r="Y71" s="199">
        <v>6.7921099999999996E-3</v>
      </c>
      <c r="Z71" s="199"/>
      <c r="AA71" s="42">
        <v>105.36799999999999</v>
      </c>
      <c r="AB71" s="42">
        <v>98.415999999999997</v>
      </c>
      <c r="AC71" s="41">
        <f>AA71+AB71</f>
        <v>203.78399999999999</v>
      </c>
      <c r="AD71" s="40">
        <v>0.76</v>
      </c>
      <c r="AE71" s="40">
        <v>291.93576389005301</v>
      </c>
      <c r="AF71" s="200">
        <v>5.1343400000000003E-3</v>
      </c>
      <c r="AG71" s="200"/>
    </row>
    <row r="72" spans="2:33" ht="15.75" thickBot="1" x14ac:dyDescent="0.3">
      <c r="B72" s="7" t="s">
        <v>20</v>
      </c>
      <c r="C72" s="31">
        <v>48.706000000000003</v>
      </c>
      <c r="D72" s="32">
        <v>44.384</v>
      </c>
      <c r="E72" s="33">
        <f t="shared" ref="E72:E74" si="23">C72+D72</f>
        <v>93.09</v>
      </c>
      <c r="F72" s="32">
        <f>0.24+0.16</f>
        <v>0.4</v>
      </c>
      <c r="G72" s="32">
        <v>237.76</v>
      </c>
      <c r="H72" s="203">
        <v>6.5723800000000001E-3</v>
      </c>
      <c r="I72" s="204"/>
      <c r="J72" s="31">
        <v>104.84</v>
      </c>
      <c r="K72" s="32">
        <v>97.364000000000004</v>
      </c>
      <c r="L72" s="33">
        <f>J72+K72</f>
        <v>202.20400000000001</v>
      </c>
      <c r="M72" s="32">
        <f>0.4+0.4</f>
        <v>0.8</v>
      </c>
      <c r="N72" s="32">
        <v>291.7362</v>
      </c>
      <c r="O72" s="203">
        <v>5.10692E-3</v>
      </c>
      <c r="P72" s="204"/>
      <c r="S72" s="19" t="s">
        <v>52</v>
      </c>
      <c r="T72" s="40">
        <v>48.345999999999997</v>
      </c>
      <c r="U72" s="40">
        <v>44.295999999999999</v>
      </c>
      <c r="V72" s="41">
        <f t="shared" ref="V72:V75" si="24">T72+U72</f>
        <v>92.641999999999996</v>
      </c>
      <c r="W72" s="40">
        <v>0.86</v>
      </c>
      <c r="X72" s="40">
        <v>236.760077468302</v>
      </c>
      <c r="Y72" s="199">
        <v>6.7921099999999996E-3</v>
      </c>
      <c r="Z72" s="199"/>
      <c r="AA72" s="42">
        <v>105.36799999999999</v>
      </c>
      <c r="AB72" s="42">
        <v>98.415999999999997</v>
      </c>
      <c r="AC72" s="41">
        <f t="shared" ref="AC72:AC75" si="25">AA72+AB72</f>
        <v>203.78399999999999</v>
      </c>
      <c r="AD72" s="40">
        <v>0.76</v>
      </c>
      <c r="AE72" s="40">
        <v>291.93576389005301</v>
      </c>
      <c r="AF72" s="200">
        <v>5.1343400000000003E-3</v>
      </c>
      <c r="AG72" s="200"/>
    </row>
    <row r="73" spans="2:33" ht="15.75" thickBot="1" x14ac:dyDescent="0.3">
      <c r="B73" s="7" t="s">
        <v>16</v>
      </c>
      <c r="C73" s="31">
        <v>48.706000000000003</v>
      </c>
      <c r="D73" s="32">
        <v>44.384</v>
      </c>
      <c r="E73" s="33">
        <f t="shared" ref="E73" si="26">C73+D73</f>
        <v>93.09</v>
      </c>
      <c r="F73" s="32">
        <f>0.24+0.16</f>
        <v>0.4</v>
      </c>
      <c r="G73" s="32">
        <v>237.76</v>
      </c>
      <c r="H73" s="203">
        <v>6.5723800000000001E-3</v>
      </c>
      <c r="I73" s="204"/>
      <c r="J73" s="31">
        <v>104.84</v>
      </c>
      <c r="K73" s="32">
        <v>97.364000000000004</v>
      </c>
      <c r="L73" s="33">
        <f>J73+K73</f>
        <v>202.20400000000001</v>
      </c>
      <c r="M73" s="32">
        <f>0.4+0.4</f>
        <v>0.8</v>
      </c>
      <c r="N73" s="32">
        <v>291.7362</v>
      </c>
      <c r="O73" s="203">
        <v>5.10692E-3</v>
      </c>
      <c r="P73" s="204"/>
      <c r="S73" s="19" t="s">
        <v>53</v>
      </c>
      <c r="T73" s="40">
        <v>48.345999999999997</v>
      </c>
      <c r="U73" s="40">
        <v>44.295999999999999</v>
      </c>
      <c r="V73" s="41">
        <f t="shared" si="24"/>
        <v>92.641999999999996</v>
      </c>
      <c r="W73" s="40">
        <v>0.86</v>
      </c>
      <c r="X73" s="40">
        <v>236.760077468302</v>
      </c>
      <c r="Y73" s="199">
        <v>6.7921099999999996E-3</v>
      </c>
      <c r="Z73" s="199"/>
      <c r="AA73" s="42">
        <v>105.36799999999999</v>
      </c>
      <c r="AB73" s="42">
        <v>98.415999999999997</v>
      </c>
      <c r="AC73" s="41">
        <f t="shared" si="25"/>
        <v>203.78399999999999</v>
      </c>
      <c r="AD73" s="40">
        <v>0.76</v>
      </c>
      <c r="AE73" s="40">
        <v>291.93576389005301</v>
      </c>
      <c r="AF73" s="200">
        <v>5.1343400000000003E-3</v>
      </c>
      <c r="AG73" s="200"/>
    </row>
    <row r="74" spans="2:33" ht="15.75" thickBot="1" x14ac:dyDescent="0.3">
      <c r="B74" s="7" t="s">
        <v>21</v>
      </c>
      <c r="C74" s="138">
        <v>47.886000000000003</v>
      </c>
      <c r="D74" s="139">
        <v>43.698</v>
      </c>
      <c r="E74" s="140">
        <f t="shared" si="23"/>
        <v>91.584000000000003</v>
      </c>
      <c r="F74" s="139">
        <f>0.12+0.6</f>
        <v>0.72</v>
      </c>
      <c r="G74" s="139">
        <v>238.05</v>
      </c>
      <c r="H74" s="258">
        <v>6.3352900000000004E-3</v>
      </c>
      <c r="I74" s="229"/>
      <c r="J74" s="138">
        <v>103.16800000000001</v>
      </c>
      <c r="K74" s="139">
        <v>95.646000000000001</v>
      </c>
      <c r="L74" s="140">
        <f t="shared" ref="L74" si="27">J74+K74</f>
        <v>198.81400000000002</v>
      </c>
      <c r="M74" s="139">
        <f>0.42+0.4</f>
        <v>0.82000000000000006</v>
      </c>
      <c r="N74" s="139">
        <v>291.06200000000001</v>
      </c>
      <c r="O74" s="258">
        <v>5.0232200000000001E-3</v>
      </c>
      <c r="P74" s="229"/>
      <c r="S74" s="19" t="s">
        <v>54</v>
      </c>
      <c r="T74" s="40">
        <v>48.345999999999997</v>
      </c>
      <c r="U74" s="40">
        <v>44.295999999999999</v>
      </c>
      <c r="V74" s="41">
        <f t="shared" si="24"/>
        <v>92.641999999999996</v>
      </c>
      <c r="W74" s="40">
        <v>0.86</v>
      </c>
      <c r="X74" s="40">
        <v>236.760077468302</v>
      </c>
      <c r="Y74" s="199">
        <v>6.7921099999999996E-3</v>
      </c>
      <c r="Z74" s="199"/>
      <c r="AA74" s="42">
        <v>105.36799999999999</v>
      </c>
      <c r="AB74" s="42">
        <v>98.415999999999997</v>
      </c>
      <c r="AC74" s="41">
        <f t="shared" si="25"/>
        <v>203.78399999999999</v>
      </c>
      <c r="AD74" s="40">
        <v>0.76</v>
      </c>
      <c r="AE74" s="40">
        <v>291.93576389005301</v>
      </c>
      <c r="AF74" s="200">
        <v>5.1343400000000003E-3</v>
      </c>
      <c r="AG74" s="200"/>
    </row>
    <row r="75" spans="2:33" ht="15.75" thickBot="1" x14ac:dyDescent="0.3">
      <c r="B75" s="7" t="s">
        <v>23</v>
      </c>
      <c r="C75" s="31">
        <v>48.706000000000003</v>
      </c>
      <c r="D75" s="32">
        <v>44.384</v>
      </c>
      <c r="E75" s="33">
        <f t="shared" ref="E75" si="28">C75+D75</f>
        <v>93.09</v>
      </c>
      <c r="F75" s="32">
        <f>0.24+0.16</f>
        <v>0.4</v>
      </c>
      <c r="G75" s="32">
        <v>237.76</v>
      </c>
      <c r="H75" s="203">
        <v>6.5723800000000001E-3</v>
      </c>
      <c r="I75" s="204"/>
      <c r="J75" s="31">
        <v>104.84</v>
      </c>
      <c r="K75" s="32">
        <v>97.364000000000004</v>
      </c>
      <c r="L75" s="33">
        <f>J75+K75</f>
        <v>202.20400000000001</v>
      </c>
      <c r="M75" s="32">
        <f>0.4+0.4</f>
        <v>0.8</v>
      </c>
      <c r="N75" s="32">
        <v>291.7362</v>
      </c>
      <c r="O75" s="203">
        <v>5.10692E-3</v>
      </c>
      <c r="P75" s="204"/>
      <c r="S75" s="19" t="s">
        <v>55</v>
      </c>
      <c r="T75" s="145">
        <v>48.345999999999997</v>
      </c>
      <c r="U75" s="145">
        <v>44.295999999999999</v>
      </c>
      <c r="V75" s="146">
        <f t="shared" si="24"/>
        <v>92.641999999999996</v>
      </c>
      <c r="W75" s="145">
        <v>0.86</v>
      </c>
      <c r="X75" s="145">
        <v>236.760077468302</v>
      </c>
      <c r="Y75" s="201">
        <v>6.7921099999999996E-3</v>
      </c>
      <c r="Z75" s="201"/>
      <c r="AA75" s="147">
        <v>105.36799999999999</v>
      </c>
      <c r="AB75" s="147">
        <v>98.415999999999997</v>
      </c>
      <c r="AC75" s="146">
        <f t="shared" si="25"/>
        <v>203.78399999999999</v>
      </c>
      <c r="AD75" s="145">
        <v>0.76</v>
      </c>
      <c r="AE75" s="145">
        <v>291.93576389005301</v>
      </c>
      <c r="AF75" s="202">
        <v>5.1343400000000003E-3</v>
      </c>
      <c r="AG75" s="202"/>
    </row>
    <row r="76" spans="2:33" ht="15.75" x14ac:dyDescent="0.25">
      <c r="B76" s="74" t="s">
        <v>56</v>
      </c>
      <c r="C76" s="82">
        <f>AVERAGE(C71:C75)</f>
        <v>48.541999999999994</v>
      </c>
      <c r="D76" s="83">
        <f>AVERAGE(D71:D75)</f>
        <v>44.246799999999993</v>
      </c>
      <c r="E76" s="84">
        <f>AVERAGE(E71:E75)</f>
        <v>92.788799999999995</v>
      </c>
      <c r="F76" s="83">
        <f>AVERAGE(F71:F75)</f>
        <v>0.46400000000000008</v>
      </c>
      <c r="G76" s="87">
        <f>AVERAGE(G71:G75)</f>
        <v>237.81799999999998</v>
      </c>
      <c r="H76" s="197">
        <f>AVERAGE(H71:I75)</f>
        <v>6.5249620000000005E-3</v>
      </c>
      <c r="I76" s="196"/>
      <c r="J76" s="82">
        <f>AVERAGE(J71:J75)</f>
        <v>104.5056</v>
      </c>
      <c r="K76" s="83">
        <f>AVERAGE(K71:K75)</f>
        <v>97.020399999999995</v>
      </c>
      <c r="L76" s="84">
        <f>AVERAGE(L71:L75)</f>
        <v>201.52600000000001</v>
      </c>
      <c r="M76" s="83">
        <f>AVERAGE(M71:M75)</f>
        <v>0.80400000000000005</v>
      </c>
      <c r="N76" s="83">
        <f>AVERAGE(N71:N75)</f>
        <v>291.60136</v>
      </c>
      <c r="O76" s="197">
        <f>AVERAGE(O71:P75)</f>
        <v>5.0901799999999997E-3</v>
      </c>
      <c r="P76" s="196"/>
      <c r="R76" s="36"/>
      <c r="S76" s="74" t="s">
        <v>56</v>
      </c>
      <c r="T76" s="82">
        <f>AVERAGE(T71:T75)</f>
        <v>48.345999999999997</v>
      </c>
      <c r="U76" s="83">
        <f>AVERAGE(U71:U75)</f>
        <v>44.295999999999999</v>
      </c>
      <c r="V76" s="84">
        <f>AVERAGE(V71:V75)</f>
        <v>92.641999999999996</v>
      </c>
      <c r="W76" s="92">
        <f>AVERAGE(W71:W75)</f>
        <v>0.86</v>
      </c>
      <c r="X76" s="93">
        <f>AVERAGE(X71:X75)</f>
        <v>236.760077468302</v>
      </c>
      <c r="Y76" s="195">
        <f>AVERAGE(Y71:Z75)</f>
        <v>6.7921099999999996E-3</v>
      </c>
      <c r="Z76" s="196"/>
      <c r="AA76" s="91">
        <f>AVERAGE(AA71:AA75)</f>
        <v>105.36799999999998</v>
      </c>
      <c r="AB76" s="83">
        <f>AVERAGE(AB71:AB75)</f>
        <v>98.415999999999997</v>
      </c>
      <c r="AC76" s="84">
        <f>AVERAGE(AC71:AC75)</f>
        <v>203.78399999999999</v>
      </c>
      <c r="AD76" s="91">
        <f>AVERAGE(AD71:AD75)</f>
        <v>0.76</v>
      </c>
      <c r="AE76" s="83">
        <f>AVERAGE(AE71:AE75)</f>
        <v>291.93576389005301</v>
      </c>
      <c r="AF76" s="195">
        <f>AVERAGE(AF71:AG75)</f>
        <v>5.1343400000000003E-3</v>
      </c>
      <c r="AG76" s="196"/>
    </row>
    <row r="77" spans="2:33" ht="16.5" thickBot="1" x14ac:dyDescent="0.3">
      <c r="B77" s="75" t="s">
        <v>57</v>
      </c>
      <c r="C77" s="85">
        <v>48.886000000000003</v>
      </c>
      <c r="D77" s="86">
        <v>44.256</v>
      </c>
      <c r="E77" s="86">
        <f>C77+D77</f>
        <v>93.141999999999996</v>
      </c>
      <c r="F77" s="86">
        <v>1.8</v>
      </c>
      <c r="G77" s="86">
        <v>237.06</v>
      </c>
      <c r="H77" s="198">
        <v>7.2840300000000004E-3</v>
      </c>
      <c r="I77" s="194"/>
      <c r="J77" s="85">
        <v>104.532</v>
      </c>
      <c r="K77" s="86">
        <v>97.471999999999994</v>
      </c>
      <c r="L77" s="86">
        <f>J77+K77</f>
        <v>202.00399999999999</v>
      </c>
      <c r="M77" s="86">
        <v>0.86</v>
      </c>
      <c r="N77" s="86">
        <v>291.52</v>
      </c>
      <c r="O77" s="198">
        <v>5.1168000000000003E-3</v>
      </c>
      <c r="P77" s="194"/>
      <c r="R77" s="39"/>
      <c r="S77" s="75" t="s">
        <v>57</v>
      </c>
      <c r="T77" s="85">
        <v>48.345999999999997</v>
      </c>
      <c r="U77" s="86">
        <v>44.295999999999999</v>
      </c>
      <c r="V77" s="86">
        <f>T77+U77</f>
        <v>92.641999999999996</v>
      </c>
      <c r="W77" s="88">
        <v>0.86</v>
      </c>
      <c r="X77" s="90">
        <f>AVERAGE(X72:X76)</f>
        <v>236.760077468302</v>
      </c>
      <c r="Y77" s="193">
        <f>AVERAGE(Y72:Z76)</f>
        <v>6.7921099999999996E-3</v>
      </c>
      <c r="Z77" s="194"/>
      <c r="AA77" s="89">
        <f>AVERAGE(AA72:AA76)</f>
        <v>105.36799999999998</v>
      </c>
      <c r="AB77" s="86">
        <f>AVERAGE(AB72:AB76)</f>
        <v>98.415999999999997</v>
      </c>
      <c r="AC77" s="86">
        <f>AA77+AB77</f>
        <v>203.78399999999999</v>
      </c>
      <c r="AD77" s="89">
        <f>AVERAGE(AD72:AD76)</f>
        <v>0.76</v>
      </c>
      <c r="AE77" s="86">
        <f>AVERAGE(AE72:AE76)</f>
        <v>291.93576389005301</v>
      </c>
      <c r="AF77" s="193">
        <f>AVERAGE(AF72:AG76)</f>
        <v>5.1343400000000003E-3</v>
      </c>
      <c r="AG77" s="194"/>
    </row>
    <row r="82" spans="2:33" x14ac:dyDescent="0.25">
      <c r="B82" s="218" t="s">
        <v>66</v>
      </c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  <c r="AF82" s="218"/>
      <c r="AG82" s="218"/>
    </row>
    <row r="84" spans="2:33" ht="15.75" thickBot="1" x14ac:dyDescent="0.3"/>
    <row r="85" spans="2:33" ht="19.5" x14ac:dyDescent="0.25">
      <c r="C85" s="265" t="s">
        <v>4</v>
      </c>
      <c r="D85" s="266"/>
      <c r="E85" s="266"/>
      <c r="F85" s="266"/>
      <c r="G85" s="266"/>
      <c r="H85" s="266"/>
      <c r="I85" s="267"/>
      <c r="L85" s="152"/>
      <c r="M85" s="152"/>
      <c r="N85" s="152"/>
      <c r="O85" s="152"/>
      <c r="P85" s="152"/>
      <c r="Q85" s="152"/>
      <c r="R85" s="152"/>
    </row>
    <row r="86" spans="2:33" ht="15" customHeight="1" thickBot="1" x14ac:dyDescent="0.3">
      <c r="C86" s="268"/>
      <c r="D86" s="269"/>
      <c r="E86" s="269"/>
      <c r="F86" s="269"/>
      <c r="G86" s="269"/>
      <c r="H86" s="269"/>
      <c r="I86" s="270"/>
      <c r="L86" s="152"/>
      <c r="M86" s="152"/>
      <c r="N86" s="152"/>
      <c r="O86" s="152"/>
      <c r="P86" s="152"/>
      <c r="Q86" s="152"/>
      <c r="R86" s="152"/>
    </row>
    <row r="87" spans="2:33" ht="15.75" customHeight="1" thickBot="1" x14ac:dyDescent="0.3">
      <c r="C87" s="153" t="s">
        <v>10</v>
      </c>
      <c r="D87" s="154" t="s">
        <v>11</v>
      </c>
      <c r="E87" s="153" t="s">
        <v>5</v>
      </c>
      <c r="F87" s="155" t="s">
        <v>12</v>
      </c>
      <c r="G87" s="155" t="s">
        <v>7</v>
      </c>
      <c r="H87" s="155" t="s">
        <v>8</v>
      </c>
      <c r="I87" s="154" t="s">
        <v>9</v>
      </c>
    </row>
    <row r="88" spans="2:33" ht="15.75" thickBot="1" x14ac:dyDescent="0.3">
      <c r="B88" s="164" t="s">
        <v>67</v>
      </c>
      <c r="C88" s="320">
        <v>52.51</v>
      </c>
      <c r="D88" s="321">
        <v>46.02</v>
      </c>
      <c r="E88" s="322">
        <v>98.53</v>
      </c>
      <c r="F88" s="321">
        <v>0.88</v>
      </c>
      <c r="G88" s="321">
        <v>226</v>
      </c>
      <c r="H88" s="323">
        <v>1.3448649999999999E-2</v>
      </c>
      <c r="I88" s="324">
        <v>7.1689400000000004E-3</v>
      </c>
    </row>
    <row r="89" spans="2:33" ht="15.75" thickBot="1" x14ac:dyDescent="0.3">
      <c r="B89" s="165" t="s">
        <v>3</v>
      </c>
      <c r="C89" s="325">
        <v>122.22</v>
      </c>
      <c r="D89" s="326">
        <v>170.22</v>
      </c>
      <c r="E89" s="14">
        <v>292.47000000000003</v>
      </c>
      <c r="F89" s="326">
        <v>83.1</v>
      </c>
      <c r="G89" s="326">
        <v>276</v>
      </c>
      <c r="H89" s="327">
        <v>1.3260930000000001E-2</v>
      </c>
      <c r="I89" s="328">
        <v>0.13241137</v>
      </c>
    </row>
    <row r="90" spans="2:33" ht="15.75" thickBot="1" x14ac:dyDescent="0.3">
      <c r="B90" s="165" t="s">
        <v>64</v>
      </c>
      <c r="C90" s="149">
        <v>126.048</v>
      </c>
      <c r="D90" s="4">
        <v>107.56</v>
      </c>
      <c r="E90" s="5">
        <f t="shared" ref="E90:E95" si="29">C90+D90</f>
        <v>233.608</v>
      </c>
      <c r="F90" s="4">
        <v>43.28</v>
      </c>
      <c r="G90" s="4">
        <v>272.63</v>
      </c>
      <c r="H90" s="6">
        <v>1.658511E-2</v>
      </c>
      <c r="I90" s="150">
        <v>6.1435027000000003E-2</v>
      </c>
    </row>
    <row r="91" spans="2:33" ht="15.75" thickBot="1" x14ac:dyDescent="0.3">
      <c r="B91" s="165" t="s">
        <v>65</v>
      </c>
      <c r="C91" s="158">
        <v>141.80600000000001</v>
      </c>
      <c r="D91" s="160">
        <v>122.85599999999999</v>
      </c>
      <c r="E91" s="162">
        <f t="shared" si="29"/>
        <v>264.66200000000003</v>
      </c>
      <c r="F91" s="174">
        <v>42.48</v>
      </c>
      <c r="G91" s="160">
        <v>242.48</v>
      </c>
      <c r="H91" s="163">
        <v>1.6778310000000001E-2</v>
      </c>
      <c r="I91" s="151">
        <v>6.7115140000000004E-2</v>
      </c>
    </row>
    <row r="92" spans="2:33" ht="15.75" thickBot="1" x14ac:dyDescent="0.3">
      <c r="B92" s="166" t="s">
        <v>68</v>
      </c>
      <c r="C92" s="159">
        <v>125.34399999999999</v>
      </c>
      <c r="D92" s="161">
        <v>137.95599999999999</v>
      </c>
      <c r="E92" s="161">
        <f t="shared" si="29"/>
        <v>263.29999999999995</v>
      </c>
      <c r="F92" s="161">
        <v>18.38</v>
      </c>
      <c r="G92" s="168">
        <v>294.89999999999998</v>
      </c>
      <c r="H92" s="161">
        <v>1.0474366000000001E-2</v>
      </c>
      <c r="I92" s="157">
        <v>2.7135780259E-2</v>
      </c>
    </row>
    <row r="93" spans="2:33" ht="15" customHeight="1" thickBot="1" x14ac:dyDescent="0.3">
      <c r="B93" s="166" t="s">
        <v>69</v>
      </c>
      <c r="C93" s="159">
        <v>71.201999999999998</v>
      </c>
      <c r="D93" s="161">
        <v>65.171999999999997</v>
      </c>
      <c r="E93" s="161">
        <f t="shared" si="29"/>
        <v>136.374</v>
      </c>
      <c r="F93" s="161">
        <v>1.92</v>
      </c>
      <c r="G93" s="161">
        <v>257.16000000000003</v>
      </c>
      <c r="H93" s="161">
        <v>1.20370227864E-2</v>
      </c>
      <c r="I93" s="157">
        <v>7.08293272636E-3</v>
      </c>
    </row>
    <row r="94" spans="2:33" ht="15.95" customHeight="1" thickBot="1" x14ac:dyDescent="0.3">
      <c r="B94" s="166" t="s">
        <v>70</v>
      </c>
      <c r="C94" s="169">
        <v>118.678</v>
      </c>
      <c r="D94" s="170">
        <v>114.206</v>
      </c>
      <c r="E94" s="175">
        <f t="shared" si="29"/>
        <v>232.88400000000001</v>
      </c>
      <c r="F94" s="170">
        <v>43.9</v>
      </c>
      <c r="G94" s="170">
        <v>231.75</v>
      </c>
      <c r="H94" s="170">
        <v>1.7081292200000001E-2</v>
      </c>
      <c r="I94" s="171">
        <v>2.0435254999999999E-2</v>
      </c>
    </row>
    <row r="95" spans="2:33" ht="15.75" customHeight="1" thickBot="1" x14ac:dyDescent="0.3">
      <c r="B95" s="167" t="s">
        <v>73</v>
      </c>
      <c r="C95" s="159">
        <v>110.758</v>
      </c>
      <c r="D95" s="161">
        <v>122.27200000000001</v>
      </c>
      <c r="E95" s="161">
        <f t="shared" si="29"/>
        <v>233.03</v>
      </c>
      <c r="F95" s="161">
        <v>25.22</v>
      </c>
      <c r="G95" s="161">
        <v>246.08</v>
      </c>
      <c r="H95" s="161">
        <v>1.445774088E-2</v>
      </c>
      <c r="I95" s="157">
        <v>4.7419637000000001E-2</v>
      </c>
    </row>
    <row r="97" spans="2:20" ht="15.75" thickBot="1" x14ac:dyDescent="0.3">
      <c r="S97" s="156"/>
      <c r="T97" s="156"/>
    </row>
    <row r="98" spans="2:20" x14ac:dyDescent="0.25">
      <c r="C98" s="265" t="s">
        <v>71</v>
      </c>
      <c r="D98" s="266"/>
      <c r="E98" s="266"/>
      <c r="F98" s="266"/>
      <c r="G98" s="266"/>
      <c r="H98" s="266"/>
      <c r="I98" s="267"/>
      <c r="L98" s="265" t="s">
        <v>72</v>
      </c>
      <c r="M98" s="266"/>
      <c r="N98" s="266"/>
      <c r="O98" s="266"/>
      <c r="P98" s="266"/>
      <c r="Q98" s="266"/>
      <c r="R98" s="267"/>
      <c r="S98" s="156"/>
      <c r="T98" s="156"/>
    </row>
    <row r="99" spans="2:20" ht="15.75" customHeight="1" thickBot="1" x14ac:dyDescent="0.3">
      <c r="C99" s="268"/>
      <c r="D99" s="269"/>
      <c r="E99" s="269"/>
      <c r="F99" s="269"/>
      <c r="G99" s="269"/>
      <c r="H99" s="269"/>
      <c r="I99" s="270"/>
      <c r="L99" s="268"/>
      <c r="M99" s="269"/>
      <c r="N99" s="269"/>
      <c r="O99" s="269"/>
      <c r="P99" s="269"/>
      <c r="Q99" s="269"/>
      <c r="R99" s="270"/>
      <c r="S99" s="156"/>
      <c r="T99" s="156"/>
    </row>
    <row r="100" spans="2:20" ht="15.75" thickBot="1" x14ac:dyDescent="0.3">
      <c r="C100" s="153" t="s">
        <v>10</v>
      </c>
      <c r="D100" s="154" t="s">
        <v>11</v>
      </c>
      <c r="E100" s="153" t="s">
        <v>5</v>
      </c>
      <c r="F100" s="155" t="s">
        <v>12</v>
      </c>
      <c r="G100" s="155" t="s">
        <v>7</v>
      </c>
      <c r="H100" s="275" t="s">
        <v>9</v>
      </c>
      <c r="I100" s="276"/>
      <c r="L100" s="153" t="s">
        <v>10</v>
      </c>
      <c r="M100" s="154" t="s">
        <v>11</v>
      </c>
      <c r="N100" s="153" t="s">
        <v>5</v>
      </c>
      <c r="O100" s="155" t="s">
        <v>12</v>
      </c>
      <c r="P100" s="155" t="s">
        <v>7</v>
      </c>
      <c r="Q100" s="275" t="s">
        <v>8</v>
      </c>
      <c r="R100" s="276"/>
      <c r="S100" s="156"/>
      <c r="T100" s="156"/>
    </row>
    <row r="101" spans="2:20" ht="15.75" thickBot="1" x14ac:dyDescent="0.3">
      <c r="B101" s="164" t="s">
        <v>67</v>
      </c>
      <c r="C101" s="12">
        <v>47.886000000000003</v>
      </c>
      <c r="D101" s="13">
        <v>43.698</v>
      </c>
      <c r="E101" s="14">
        <f t="shared" ref="E101:E102" si="30">C101+D101</f>
        <v>91.584000000000003</v>
      </c>
      <c r="F101" s="13">
        <f>0.12+0.6</f>
        <v>0.72</v>
      </c>
      <c r="G101" s="13">
        <v>238.05</v>
      </c>
      <c r="H101" s="257">
        <v>6.3352900000000004E-3</v>
      </c>
      <c r="I101" s="227"/>
      <c r="K101" s="164" t="s">
        <v>67</v>
      </c>
      <c r="L101" s="315">
        <v>45.706000000000003</v>
      </c>
      <c r="M101" s="13">
        <v>41.473999999999997</v>
      </c>
      <c r="N101" s="14">
        <f t="shared" ref="N101:N102" si="31">L101+M101</f>
        <v>87.18</v>
      </c>
      <c r="O101" s="13">
        <f>0.78+0.84</f>
        <v>1.62</v>
      </c>
      <c r="P101" s="13">
        <v>243.011</v>
      </c>
      <c r="Q101" s="226">
        <v>1.1880467977E-2</v>
      </c>
      <c r="R101" s="227"/>
      <c r="S101" s="156"/>
      <c r="T101" s="156"/>
    </row>
    <row r="102" spans="2:20" ht="15" customHeight="1" thickBot="1" x14ac:dyDescent="0.3">
      <c r="B102" s="165" t="s">
        <v>3</v>
      </c>
      <c r="C102" s="12">
        <v>103.16800000000001</v>
      </c>
      <c r="D102" s="13">
        <v>95.646000000000001</v>
      </c>
      <c r="E102" s="14">
        <f t="shared" si="30"/>
        <v>198.81400000000002</v>
      </c>
      <c r="F102" s="13">
        <f>0.42+0.4</f>
        <v>0.82000000000000006</v>
      </c>
      <c r="G102" s="13">
        <v>291.06200000000001</v>
      </c>
      <c r="H102" s="257">
        <v>5.0232200000000001E-3</v>
      </c>
      <c r="I102" s="227"/>
      <c r="K102" s="165" t="s">
        <v>3</v>
      </c>
      <c r="L102" s="315">
        <v>102.31</v>
      </c>
      <c r="M102" s="13">
        <v>95.414000000000001</v>
      </c>
      <c r="N102" s="14">
        <f t="shared" si="31"/>
        <v>197.72399999999999</v>
      </c>
      <c r="O102" s="13">
        <f>0.44+0.52</f>
        <v>0.96</v>
      </c>
      <c r="P102" s="13">
        <v>276.94</v>
      </c>
      <c r="Q102" s="226">
        <v>9.6085489999999992E-3</v>
      </c>
      <c r="R102" s="227"/>
      <c r="S102" s="156"/>
      <c r="T102" s="156"/>
    </row>
    <row r="103" spans="2:20" ht="15.75" customHeight="1" thickBot="1" x14ac:dyDescent="0.3">
      <c r="B103" s="165" t="s">
        <v>64</v>
      </c>
      <c r="C103" s="31">
        <v>112.232</v>
      </c>
      <c r="D103" s="32">
        <v>96.474000000000004</v>
      </c>
      <c r="E103" s="33">
        <f t="shared" ref="E103:E108" si="32">C103+D103</f>
        <v>208.70600000000002</v>
      </c>
      <c r="F103" s="32">
        <v>27.26</v>
      </c>
      <c r="G103" s="32">
        <v>268.73</v>
      </c>
      <c r="H103" s="225">
        <v>5.9928362300000003E-2</v>
      </c>
      <c r="I103" s="204"/>
      <c r="K103" s="165" t="s">
        <v>64</v>
      </c>
      <c r="L103" s="97">
        <v>110.164</v>
      </c>
      <c r="M103" s="32">
        <v>106.208</v>
      </c>
      <c r="N103" s="33">
        <f t="shared" ref="N103:N108" si="33">L103+M103</f>
        <v>216.37200000000001</v>
      </c>
      <c r="O103" s="32">
        <v>48.96</v>
      </c>
      <c r="P103" s="32">
        <v>276.83999999999997</v>
      </c>
      <c r="Q103" s="225">
        <v>1.5541370000000001E-2</v>
      </c>
      <c r="R103" s="204"/>
      <c r="S103" s="156"/>
      <c r="T103" s="156"/>
    </row>
    <row r="104" spans="2:20" ht="15.75" thickBot="1" x14ac:dyDescent="0.3">
      <c r="B104" s="165" t="s">
        <v>65</v>
      </c>
      <c r="C104" s="31">
        <v>138.506</v>
      </c>
      <c r="D104" s="32">
        <v>137.506</v>
      </c>
      <c r="E104" s="33">
        <f t="shared" si="32"/>
        <v>276.012</v>
      </c>
      <c r="F104" s="32">
        <v>49.22</v>
      </c>
      <c r="G104" s="32">
        <v>234.74</v>
      </c>
      <c r="H104" s="225">
        <v>8.1615690000000005E-2</v>
      </c>
      <c r="I104" s="204"/>
      <c r="K104" s="165" t="s">
        <v>65</v>
      </c>
      <c r="L104" s="97">
        <v>114.89400000000001</v>
      </c>
      <c r="M104" s="32">
        <v>117.486</v>
      </c>
      <c r="N104" s="33">
        <f t="shared" si="33"/>
        <v>232.38</v>
      </c>
      <c r="O104" s="32">
        <v>46.26</v>
      </c>
      <c r="P104" s="32">
        <v>242.52</v>
      </c>
      <c r="Q104" s="225">
        <v>1.4925610000000001E-2</v>
      </c>
      <c r="R104" s="204"/>
      <c r="S104" s="156"/>
      <c r="T104" s="156"/>
    </row>
    <row r="105" spans="2:20" ht="15" customHeight="1" thickBot="1" x14ac:dyDescent="0.3">
      <c r="B105" s="166" t="s">
        <v>68</v>
      </c>
      <c r="C105" s="159">
        <v>121.91200000000001</v>
      </c>
      <c r="D105" s="161">
        <v>115.03400000000001</v>
      </c>
      <c r="E105" s="33">
        <f t="shared" si="32"/>
        <v>236.94600000000003</v>
      </c>
      <c r="F105" s="161">
        <v>2.34</v>
      </c>
      <c r="G105" s="161">
        <v>295.52</v>
      </c>
      <c r="H105" s="277">
        <v>5.2315577304100002E-3</v>
      </c>
      <c r="I105" s="278"/>
      <c r="K105" s="166" t="s">
        <v>68</v>
      </c>
      <c r="L105" s="168">
        <v>134.40600000000001</v>
      </c>
      <c r="M105" s="161">
        <v>125.712</v>
      </c>
      <c r="N105" s="33">
        <f t="shared" si="33"/>
        <v>260.11799999999999</v>
      </c>
      <c r="O105" s="161">
        <v>52.14</v>
      </c>
      <c r="P105" s="161">
        <v>278.04000000000002</v>
      </c>
      <c r="Q105" s="277">
        <v>1.0303369999999999E-2</v>
      </c>
      <c r="R105" s="278"/>
      <c r="S105" s="156"/>
      <c r="T105" s="156"/>
    </row>
    <row r="106" spans="2:20" ht="15.95" customHeight="1" thickBot="1" x14ac:dyDescent="0.3">
      <c r="B106" s="166" t="s">
        <v>69</v>
      </c>
      <c r="C106" s="159">
        <v>68.694000000000003</v>
      </c>
      <c r="D106" s="161">
        <v>63.622</v>
      </c>
      <c r="E106" s="161">
        <f t="shared" si="32"/>
        <v>132.316</v>
      </c>
      <c r="F106" s="161">
        <v>1.58</v>
      </c>
      <c r="G106" s="161">
        <v>251.76</v>
      </c>
      <c r="H106" s="279">
        <v>6.4350500000000003E-3</v>
      </c>
      <c r="I106" s="280"/>
      <c r="K106" s="166" t="s">
        <v>69</v>
      </c>
      <c r="L106" s="168">
        <v>65.591999999999999</v>
      </c>
      <c r="M106" s="161">
        <v>59.246000000000002</v>
      </c>
      <c r="N106" s="161">
        <f t="shared" si="33"/>
        <v>124.83799999999999</v>
      </c>
      <c r="O106" s="161">
        <v>2.78</v>
      </c>
      <c r="P106" s="161">
        <v>258.36</v>
      </c>
      <c r="Q106" s="279">
        <v>1.101387E-2</v>
      </c>
      <c r="R106" s="280"/>
      <c r="S106" s="156"/>
      <c r="T106" s="156"/>
    </row>
    <row r="107" spans="2:20" ht="15.75" customHeight="1" thickBot="1" x14ac:dyDescent="0.3">
      <c r="B107" s="166" t="s">
        <v>70</v>
      </c>
      <c r="C107" s="159">
        <v>109.526</v>
      </c>
      <c r="D107" s="161">
        <v>105.416</v>
      </c>
      <c r="E107" s="148">
        <f t="shared" si="32"/>
        <v>214.94200000000001</v>
      </c>
      <c r="F107" s="161">
        <v>28.3</v>
      </c>
      <c r="G107" s="161">
        <v>232.35</v>
      </c>
      <c r="H107" s="263">
        <v>1.64936267E-2</v>
      </c>
      <c r="I107" s="264"/>
      <c r="K107" s="166" t="s">
        <v>70</v>
      </c>
      <c r="L107" s="168">
        <v>107.04</v>
      </c>
      <c r="M107" s="161">
        <v>100.428</v>
      </c>
      <c r="N107" s="148">
        <f t="shared" si="33"/>
        <v>207.46800000000002</v>
      </c>
      <c r="O107" s="161">
        <v>12.72</v>
      </c>
      <c r="P107" s="161">
        <v>238.49</v>
      </c>
      <c r="Q107" s="263">
        <v>1.521813E-2</v>
      </c>
      <c r="R107" s="264"/>
      <c r="S107" s="156"/>
      <c r="T107" s="156"/>
    </row>
    <row r="108" spans="2:20" ht="15.75" thickBot="1" x14ac:dyDescent="0.3">
      <c r="B108" s="167" t="s">
        <v>73</v>
      </c>
      <c r="C108" s="172">
        <v>106.578</v>
      </c>
      <c r="D108" s="173">
        <v>100.758</v>
      </c>
      <c r="E108" s="148">
        <f t="shared" si="32"/>
        <v>207.33600000000001</v>
      </c>
      <c r="F108" s="161">
        <v>13</v>
      </c>
      <c r="G108" s="161">
        <v>239.38</v>
      </c>
      <c r="H108" s="263">
        <v>2.6680160000000001E-2</v>
      </c>
      <c r="I108" s="264"/>
      <c r="K108" s="167" t="s">
        <v>73</v>
      </c>
      <c r="L108" s="168">
        <v>125.608</v>
      </c>
      <c r="M108" s="161">
        <v>96.623999999999995</v>
      </c>
      <c r="N108" s="148">
        <f t="shared" si="33"/>
        <v>222.232</v>
      </c>
      <c r="O108" s="161">
        <v>40.06</v>
      </c>
      <c r="P108" s="161">
        <v>249.92400000000001</v>
      </c>
      <c r="Q108" s="263">
        <v>1.3942575299999999E-2</v>
      </c>
      <c r="R108" s="264"/>
      <c r="S108" s="156"/>
      <c r="T108" s="156"/>
    </row>
    <row r="109" spans="2:20" x14ac:dyDescent="0.25"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</row>
    <row r="110" spans="2:20" ht="15.75" thickBot="1" x14ac:dyDescent="0.3"/>
    <row r="111" spans="2:20" x14ac:dyDescent="0.25">
      <c r="C111" s="265" t="s">
        <v>75</v>
      </c>
      <c r="D111" s="266"/>
      <c r="E111" s="266"/>
      <c r="F111" s="266"/>
      <c r="G111" s="266"/>
      <c r="H111" s="266"/>
      <c r="I111" s="267"/>
      <c r="L111" s="265" t="s">
        <v>74</v>
      </c>
      <c r="M111" s="266"/>
      <c r="N111" s="266"/>
      <c r="O111" s="266"/>
      <c r="P111" s="266"/>
      <c r="Q111" s="266"/>
      <c r="R111" s="267"/>
    </row>
    <row r="112" spans="2:20" ht="15.75" thickBot="1" x14ac:dyDescent="0.3">
      <c r="C112" s="268"/>
      <c r="D112" s="269"/>
      <c r="E112" s="269"/>
      <c r="F112" s="269"/>
      <c r="G112" s="269"/>
      <c r="H112" s="269"/>
      <c r="I112" s="270"/>
      <c r="L112" s="268"/>
      <c r="M112" s="269"/>
      <c r="N112" s="269"/>
      <c r="O112" s="269"/>
      <c r="P112" s="269"/>
      <c r="Q112" s="269"/>
      <c r="R112" s="270"/>
    </row>
    <row r="113" spans="1:18" ht="15.75" thickBot="1" x14ac:dyDescent="0.3">
      <c r="C113" s="153" t="s">
        <v>10</v>
      </c>
      <c r="D113" s="154" t="s">
        <v>11</v>
      </c>
      <c r="E113" s="153" t="s">
        <v>5</v>
      </c>
      <c r="F113" s="155" t="s">
        <v>12</v>
      </c>
      <c r="G113" s="155" t="s">
        <v>7</v>
      </c>
      <c r="H113" s="275" t="s">
        <v>9</v>
      </c>
      <c r="I113" s="276"/>
      <c r="L113" s="153" t="s">
        <v>10</v>
      </c>
      <c r="M113" s="154" t="s">
        <v>11</v>
      </c>
      <c r="N113" s="153" t="s">
        <v>5</v>
      </c>
      <c r="O113" s="155" t="s">
        <v>12</v>
      </c>
      <c r="P113" s="155" t="s">
        <v>7</v>
      </c>
      <c r="Q113" s="275" t="s">
        <v>8</v>
      </c>
      <c r="R113" s="276"/>
    </row>
    <row r="114" spans="1:18" ht="15.75" thickBot="1" x14ac:dyDescent="0.3">
      <c r="B114" s="164" t="s">
        <v>67</v>
      </c>
      <c r="C114" s="329">
        <v>48.345999999999997</v>
      </c>
      <c r="D114" s="330">
        <v>44.295999999999999</v>
      </c>
      <c r="E114" s="14">
        <f t="shared" ref="E114:E115" si="34">C114+D114</f>
        <v>92.641999999999996</v>
      </c>
      <c r="F114" s="13">
        <v>0.86</v>
      </c>
      <c r="G114" s="330">
        <v>236.76</v>
      </c>
      <c r="H114" s="331">
        <v>6.7921099999999996E-3</v>
      </c>
      <c r="I114" s="332"/>
      <c r="K114" s="164" t="s">
        <v>67</v>
      </c>
      <c r="L114" s="316">
        <v>45.566000000000003</v>
      </c>
      <c r="M114" s="13">
        <v>42.384</v>
      </c>
      <c r="N114" s="14">
        <f t="shared" ref="N114" si="35">L114+M114</f>
        <v>87.95</v>
      </c>
      <c r="O114" s="13">
        <v>1.56</v>
      </c>
      <c r="P114" s="317">
        <v>243.34</v>
      </c>
      <c r="Q114" s="318">
        <v>1.19844360760298E-2</v>
      </c>
      <c r="R114" s="224"/>
    </row>
    <row r="115" spans="1:18" ht="15.75" thickBot="1" x14ac:dyDescent="0.3">
      <c r="B115" s="165" t="s">
        <v>3</v>
      </c>
      <c r="C115" s="333">
        <v>105.36799999999999</v>
      </c>
      <c r="D115" s="334">
        <v>98.415999999999997</v>
      </c>
      <c r="E115" s="14">
        <f t="shared" si="34"/>
        <v>203.78399999999999</v>
      </c>
      <c r="F115" s="13">
        <v>0.76</v>
      </c>
      <c r="G115" s="335">
        <v>291.94</v>
      </c>
      <c r="H115" s="336">
        <v>5.1343400000000003E-3</v>
      </c>
      <c r="I115" s="337"/>
      <c r="K115" s="165" t="s">
        <v>3</v>
      </c>
      <c r="L115" s="316">
        <v>100.66</v>
      </c>
      <c r="M115" s="13">
        <v>93.614000000000004</v>
      </c>
      <c r="N115" s="14">
        <f t="shared" ref="N115:N121" si="36">L115+M115</f>
        <v>194.274</v>
      </c>
      <c r="O115" s="13">
        <v>6.46</v>
      </c>
      <c r="P115" s="319">
        <v>291.77</v>
      </c>
      <c r="Q115" s="318">
        <v>9.4114917719026504E-3</v>
      </c>
      <c r="R115" s="224"/>
    </row>
    <row r="116" spans="1:18" ht="15.75" thickBot="1" x14ac:dyDescent="0.3">
      <c r="B116" s="165" t="s">
        <v>64</v>
      </c>
      <c r="C116" s="31">
        <v>107.392</v>
      </c>
      <c r="D116" s="32">
        <v>124.568</v>
      </c>
      <c r="E116" s="33">
        <f t="shared" ref="E116:E121" si="37">C116+D116</f>
        <v>231.95999999999998</v>
      </c>
      <c r="F116" s="32">
        <v>36.299999999999997</v>
      </c>
      <c r="G116" s="32">
        <v>270.20999999999998</v>
      </c>
      <c r="H116" s="225">
        <v>1.6481106999999998E-2</v>
      </c>
      <c r="I116" s="204"/>
      <c r="K116" s="165" t="s">
        <v>64</v>
      </c>
      <c r="L116" s="176">
        <v>113.464</v>
      </c>
      <c r="M116" s="32">
        <v>101.736</v>
      </c>
      <c r="N116" s="33">
        <f t="shared" si="36"/>
        <v>215.2</v>
      </c>
      <c r="O116" s="32">
        <v>45.8</v>
      </c>
      <c r="P116" s="177">
        <v>275.79000000000002</v>
      </c>
      <c r="Q116" s="225">
        <v>1.536119E-2</v>
      </c>
      <c r="R116" s="204"/>
    </row>
    <row r="117" spans="1:18" ht="15.75" thickBot="1" x14ac:dyDescent="0.3">
      <c r="B117" s="165" t="s">
        <v>65</v>
      </c>
      <c r="C117" s="31">
        <v>118.964</v>
      </c>
      <c r="D117" s="32">
        <v>122.79</v>
      </c>
      <c r="E117" s="33">
        <f t="shared" si="37"/>
        <v>241.75400000000002</v>
      </c>
      <c r="F117" s="32">
        <v>28.86</v>
      </c>
      <c r="G117" s="32">
        <v>228.33</v>
      </c>
      <c r="H117" s="225">
        <v>1.5436541E-2</v>
      </c>
      <c r="I117" s="204"/>
      <c r="K117" s="165" t="s">
        <v>65</v>
      </c>
      <c r="L117" s="97">
        <v>123.672</v>
      </c>
      <c r="M117" s="32">
        <v>128.828</v>
      </c>
      <c r="N117" s="33">
        <f t="shared" si="36"/>
        <v>252.5</v>
      </c>
      <c r="O117" s="32">
        <v>49.94</v>
      </c>
      <c r="P117" s="97">
        <v>242.149</v>
      </c>
      <c r="Q117" s="225">
        <v>1.603222E-2</v>
      </c>
      <c r="R117" s="204"/>
    </row>
    <row r="118" spans="1:18" ht="15.75" thickBot="1" x14ac:dyDescent="0.3">
      <c r="B118" s="166" t="s">
        <v>68</v>
      </c>
      <c r="C118" s="159">
        <v>143.846</v>
      </c>
      <c r="D118" s="161">
        <v>140.44</v>
      </c>
      <c r="E118" s="33">
        <f t="shared" si="37"/>
        <v>284.286</v>
      </c>
      <c r="F118" s="161">
        <v>34.479999999999997</v>
      </c>
      <c r="G118" s="161">
        <v>295.49</v>
      </c>
      <c r="H118" s="277">
        <v>1.123509E-2</v>
      </c>
      <c r="I118" s="278"/>
      <c r="K118" s="166" t="s">
        <v>68</v>
      </c>
      <c r="L118" s="168">
        <v>121.208</v>
      </c>
      <c r="M118" s="161">
        <v>117.82599999999999</v>
      </c>
      <c r="N118" s="33">
        <f t="shared" si="36"/>
        <v>239.03399999999999</v>
      </c>
      <c r="O118" s="161">
        <v>18.62</v>
      </c>
      <c r="P118" s="161">
        <v>296.19</v>
      </c>
      <c r="Q118" s="277">
        <v>9.5100500000000008E-3</v>
      </c>
      <c r="R118" s="278"/>
    </row>
    <row r="119" spans="1:18" ht="15.75" thickBot="1" x14ac:dyDescent="0.3">
      <c r="B119" s="166" t="s">
        <v>69</v>
      </c>
      <c r="C119" s="159">
        <v>68.914000000000001</v>
      </c>
      <c r="D119" s="161">
        <v>63.503999999999998</v>
      </c>
      <c r="E119" s="161">
        <f t="shared" si="37"/>
        <v>132.41800000000001</v>
      </c>
      <c r="F119" s="161">
        <v>1.1000000000000001</v>
      </c>
      <c r="G119" s="161">
        <v>249.52</v>
      </c>
      <c r="H119" s="279">
        <v>1.169619E-2</v>
      </c>
      <c r="I119" s="280"/>
      <c r="K119" s="166" t="s">
        <v>69</v>
      </c>
      <c r="L119" s="168">
        <v>65.525999999999996</v>
      </c>
      <c r="M119" s="161">
        <v>60.07</v>
      </c>
      <c r="N119" s="161">
        <f t="shared" si="36"/>
        <v>125.596</v>
      </c>
      <c r="O119" s="161">
        <v>1.06</v>
      </c>
      <c r="P119" s="161">
        <v>250.99</v>
      </c>
      <c r="Q119" s="279">
        <v>1.11124999E-2</v>
      </c>
      <c r="R119" s="280"/>
    </row>
    <row r="120" spans="1:18" ht="15" customHeight="1" thickBot="1" x14ac:dyDescent="0.3">
      <c r="B120" s="166" t="s">
        <v>70</v>
      </c>
      <c r="C120" s="159">
        <v>116.5</v>
      </c>
      <c r="D120" s="161">
        <v>113.47799999999999</v>
      </c>
      <c r="E120" s="148">
        <f t="shared" si="37"/>
        <v>229.97800000000001</v>
      </c>
      <c r="F120" s="161">
        <v>40.32</v>
      </c>
      <c r="G120" s="161">
        <v>230.26</v>
      </c>
      <c r="H120" s="263">
        <v>1.6860474029999999E-2</v>
      </c>
      <c r="I120" s="264"/>
      <c r="K120" s="166" t="s">
        <v>70</v>
      </c>
      <c r="L120" s="168">
        <v>111.22</v>
      </c>
      <c r="M120" s="161">
        <v>105.434</v>
      </c>
      <c r="N120" s="148">
        <f t="shared" si="36"/>
        <v>216.654</v>
      </c>
      <c r="O120" s="161">
        <v>24.58</v>
      </c>
      <c r="P120" s="161">
        <v>237.14</v>
      </c>
      <c r="Q120" s="263">
        <v>1.5850886299999999E-2</v>
      </c>
      <c r="R120" s="264"/>
    </row>
    <row r="121" spans="1:18" ht="15.75" customHeight="1" thickBot="1" x14ac:dyDescent="0.3">
      <c r="B121" s="167" t="s">
        <v>73</v>
      </c>
      <c r="C121" s="172">
        <v>109.06399999999999</v>
      </c>
      <c r="D121" s="173">
        <v>104.66</v>
      </c>
      <c r="E121" s="148">
        <f t="shared" si="37"/>
        <v>213.72399999999999</v>
      </c>
      <c r="F121" s="161">
        <v>12.44</v>
      </c>
      <c r="G121" s="161">
        <v>240.03800000000001</v>
      </c>
      <c r="H121" s="263">
        <v>1.3416340000000001E-2</v>
      </c>
      <c r="I121" s="264"/>
      <c r="K121" s="167" t="s">
        <v>73</v>
      </c>
      <c r="L121" s="168">
        <v>103.432</v>
      </c>
      <c r="M121" s="161">
        <v>99.292000000000002</v>
      </c>
      <c r="N121" s="148">
        <f t="shared" si="36"/>
        <v>202.72399999999999</v>
      </c>
      <c r="O121" s="161">
        <v>13.78</v>
      </c>
      <c r="P121" s="161">
        <v>245.12</v>
      </c>
      <c r="Q121" s="263">
        <v>1.2738020900000001E-2</v>
      </c>
      <c r="R121" s="264"/>
    </row>
    <row r="123" spans="1:18" ht="19.5" x14ac:dyDescent="0.25"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</row>
    <row r="124" spans="1:18" ht="15" customHeight="1" x14ac:dyDescent="0.25"/>
    <row r="125" spans="1:18" ht="15.75" customHeight="1" x14ac:dyDescent="0.25">
      <c r="A125" s="152"/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</row>
    <row r="126" spans="1:18" ht="15" customHeight="1" x14ac:dyDescent="0.25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</row>
    <row r="127" spans="1:18" ht="15" customHeight="1" x14ac:dyDescent="0.25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</row>
    <row r="128" spans="1:18" ht="15" customHeight="1" x14ac:dyDescent="0.25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</row>
    <row r="129" spans="1:56" ht="15" customHeight="1" x14ac:dyDescent="0.25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</row>
    <row r="130" spans="1:56" ht="15" customHeight="1" x14ac:dyDescent="0.25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</row>
    <row r="131" spans="1:56" ht="15" customHeight="1" x14ac:dyDescent="0.25">
      <c r="A131" s="152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</row>
    <row r="132" spans="1:56" ht="15" customHeight="1" x14ac:dyDescent="0.25">
      <c r="A132" s="152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BD132" s="39"/>
    </row>
    <row r="133" spans="1:56" x14ac:dyDescent="0.25">
      <c r="L133" s="37"/>
      <c r="M133" s="37"/>
      <c r="N133" s="37"/>
      <c r="O133" s="37"/>
      <c r="BD133" s="36"/>
    </row>
    <row r="164" spans="7:16" x14ac:dyDescent="0.25">
      <c r="G164" s="37"/>
      <c r="H164" s="37"/>
      <c r="I164" s="37"/>
      <c r="J164" s="37"/>
      <c r="K164" s="37"/>
      <c r="L164" s="37"/>
      <c r="M164" s="37"/>
      <c r="N164" s="3"/>
    </row>
    <row r="165" spans="7:16" x14ac:dyDescent="0.25">
      <c r="G165" s="3"/>
      <c r="H165" s="37"/>
      <c r="I165" s="37"/>
      <c r="J165" s="37"/>
      <c r="K165" s="37"/>
      <c r="L165" s="37"/>
      <c r="M165" s="37"/>
      <c r="N165" s="3"/>
    </row>
    <row r="166" spans="7:16" x14ac:dyDescent="0.25">
      <c r="G166" s="217"/>
      <c r="H166" s="217"/>
      <c r="I166" s="37"/>
      <c r="J166" s="37"/>
      <c r="K166" s="37"/>
      <c r="L166" s="37"/>
      <c r="M166" s="37"/>
      <c r="N166" s="3"/>
    </row>
    <row r="167" spans="7:16" x14ac:dyDescent="0.25">
      <c r="G167" s="3"/>
      <c r="H167" s="37"/>
      <c r="I167" s="37"/>
      <c r="J167" s="37"/>
      <c r="K167" s="37"/>
      <c r="L167" s="37"/>
      <c r="M167" s="37"/>
      <c r="N167" s="3"/>
    </row>
    <row r="168" spans="7:16" x14ac:dyDescent="0.25">
      <c r="G168" s="3"/>
      <c r="H168" s="37"/>
      <c r="I168" s="37"/>
      <c r="J168" s="37"/>
      <c r="K168" s="37"/>
      <c r="L168" s="37"/>
      <c r="M168" s="37"/>
      <c r="N168" s="3"/>
    </row>
    <row r="169" spans="7:16" x14ac:dyDescent="0.25">
      <c r="G169" s="3"/>
      <c r="H169" s="37"/>
      <c r="I169" s="37"/>
      <c r="J169" s="37"/>
      <c r="K169" s="37"/>
      <c r="L169" s="37"/>
      <c r="M169" s="37"/>
      <c r="N169" s="37"/>
    </row>
    <row r="170" spans="7:16" x14ac:dyDescent="0.25">
      <c r="G170" s="37"/>
      <c r="H170" s="37"/>
      <c r="I170" s="37"/>
      <c r="J170" s="37"/>
      <c r="K170" s="37"/>
      <c r="L170" s="37"/>
      <c r="M170" s="37"/>
      <c r="N170" s="37"/>
    </row>
    <row r="171" spans="7:16" x14ac:dyDescent="0.25">
      <c r="G171" s="37"/>
      <c r="H171" s="37"/>
      <c r="I171" s="37"/>
      <c r="J171" s="37"/>
      <c r="K171" s="37"/>
      <c r="L171" s="37"/>
      <c r="M171" s="37"/>
      <c r="N171" s="37"/>
    </row>
    <row r="172" spans="7:16" x14ac:dyDescent="0.25">
      <c r="G172" s="38"/>
      <c r="H172" s="37"/>
      <c r="I172" s="37"/>
      <c r="J172" s="37"/>
      <c r="K172" s="37"/>
      <c r="L172" s="37"/>
      <c r="M172" s="37"/>
      <c r="N172" s="3"/>
    </row>
    <row r="173" spans="7:16" x14ac:dyDescent="0.25">
      <c r="G173" s="38"/>
      <c r="H173" s="37"/>
      <c r="I173" s="37"/>
      <c r="J173" s="37"/>
      <c r="K173" s="37"/>
      <c r="L173" s="37"/>
      <c r="M173" s="37"/>
      <c r="N173" s="3"/>
    </row>
    <row r="174" spans="7:16" x14ac:dyDescent="0.25">
      <c r="G174" s="38"/>
      <c r="H174" s="37"/>
      <c r="I174" s="37"/>
      <c r="J174" s="37"/>
      <c r="K174" s="37"/>
      <c r="L174" s="37"/>
      <c r="M174" s="37"/>
      <c r="N174" s="3"/>
    </row>
    <row r="175" spans="7:16" x14ac:dyDescent="0.25">
      <c r="G175" s="38"/>
      <c r="H175" s="44"/>
      <c r="I175" s="44"/>
      <c r="J175" s="44"/>
      <c r="K175" s="44"/>
      <c r="L175" s="44"/>
      <c r="M175" s="44"/>
      <c r="N175" s="44"/>
      <c r="O175" s="44"/>
      <c r="P175" s="44"/>
    </row>
  </sheetData>
  <mergeCells count="241">
    <mergeCell ref="H117:I117"/>
    <mergeCell ref="Q117:R117"/>
    <mergeCell ref="H118:I118"/>
    <mergeCell ref="Q118:R118"/>
    <mergeCell ref="H119:I119"/>
    <mergeCell ref="Q119:R119"/>
    <mergeCell ref="H120:I120"/>
    <mergeCell ref="Q120:R120"/>
    <mergeCell ref="H121:I121"/>
    <mergeCell ref="Q121:R121"/>
    <mergeCell ref="L111:R112"/>
    <mergeCell ref="H113:I113"/>
    <mergeCell ref="Q113:R113"/>
    <mergeCell ref="H114:I114"/>
    <mergeCell ref="Q114:R114"/>
    <mergeCell ref="H115:I115"/>
    <mergeCell ref="Q115:R115"/>
    <mergeCell ref="H116:I116"/>
    <mergeCell ref="Q116:R116"/>
    <mergeCell ref="B82:AG82"/>
    <mergeCell ref="C85:I86"/>
    <mergeCell ref="C98:I99"/>
    <mergeCell ref="H101:I101"/>
    <mergeCell ref="H102:I102"/>
    <mergeCell ref="H103:I103"/>
    <mergeCell ref="H104:I104"/>
    <mergeCell ref="H105:I105"/>
    <mergeCell ref="H106:I106"/>
    <mergeCell ref="H107:I107"/>
    <mergeCell ref="H100:I100"/>
    <mergeCell ref="L98:R99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H108:I108"/>
    <mergeCell ref="C111:I112"/>
    <mergeCell ref="X43:Y43"/>
    <mergeCell ref="AE43:AF43"/>
    <mergeCell ref="X44:Y44"/>
    <mergeCell ref="AE44:AF44"/>
    <mergeCell ref="X46:Y46"/>
    <mergeCell ref="AE46:AF46"/>
    <mergeCell ref="X45:Y45"/>
    <mergeCell ref="AE45:AF45"/>
    <mergeCell ref="H62:I62"/>
    <mergeCell ref="O62:P62"/>
    <mergeCell ref="C54:P55"/>
    <mergeCell ref="C56:I56"/>
    <mergeCell ref="J56:P56"/>
    <mergeCell ref="H57:I57"/>
    <mergeCell ref="O57:P57"/>
    <mergeCell ref="H58:I58"/>
    <mergeCell ref="O58:P58"/>
    <mergeCell ref="H70:I70"/>
    <mergeCell ref="O70:P70"/>
    <mergeCell ref="H72:I72"/>
    <mergeCell ref="O72:P72"/>
    <mergeCell ref="G36:H36"/>
    <mergeCell ref="N36:O36"/>
    <mergeCell ref="X40:Y40"/>
    <mergeCell ref="AE40:AF40"/>
    <mergeCell ref="X41:Y41"/>
    <mergeCell ref="AE41:AF41"/>
    <mergeCell ref="X36:Y36"/>
    <mergeCell ref="AE36:AF36"/>
    <mergeCell ref="X37:Y37"/>
    <mergeCell ref="G30:H30"/>
    <mergeCell ref="N30:O30"/>
    <mergeCell ref="G31:H31"/>
    <mergeCell ref="N31:O31"/>
    <mergeCell ref="G32:H32"/>
    <mergeCell ref="N32:O32"/>
    <mergeCell ref="AE31:AF31"/>
    <mergeCell ref="X32:Y32"/>
    <mergeCell ref="AE32:AF32"/>
    <mergeCell ref="X42:Y42"/>
    <mergeCell ref="AE42:AF42"/>
    <mergeCell ref="X21:Y21"/>
    <mergeCell ref="AE21:AF21"/>
    <mergeCell ref="X23:Y23"/>
    <mergeCell ref="AE23:AF23"/>
    <mergeCell ref="X24:Y24"/>
    <mergeCell ref="AE24:AF24"/>
    <mergeCell ref="X25:Y25"/>
    <mergeCell ref="AE25:AF25"/>
    <mergeCell ref="X33:Y33"/>
    <mergeCell ref="AE33:AF33"/>
    <mergeCell ref="X34:Y34"/>
    <mergeCell ref="AE34:AF34"/>
    <mergeCell ref="X35:Y35"/>
    <mergeCell ref="AE35:AF35"/>
    <mergeCell ref="S30:Y30"/>
    <mergeCell ref="Z30:AF30"/>
    <mergeCell ref="X31:Y31"/>
    <mergeCell ref="X39:Y39"/>
    <mergeCell ref="AE39:AF39"/>
    <mergeCell ref="N13:O13"/>
    <mergeCell ref="B7:O8"/>
    <mergeCell ref="B9:H9"/>
    <mergeCell ref="I9:O9"/>
    <mergeCell ref="G10:H10"/>
    <mergeCell ref="N10:O10"/>
    <mergeCell ref="G13:H13"/>
    <mergeCell ref="N19:O19"/>
    <mergeCell ref="G20:H20"/>
    <mergeCell ref="N20:O20"/>
    <mergeCell ref="G18:H18"/>
    <mergeCell ref="G15:H15"/>
    <mergeCell ref="N15:O15"/>
    <mergeCell ref="N18:O18"/>
    <mergeCell ref="G17:H17"/>
    <mergeCell ref="N17:O17"/>
    <mergeCell ref="S7:AF8"/>
    <mergeCell ref="S9:Y9"/>
    <mergeCell ref="Z9:AF9"/>
    <mergeCell ref="G33:H33"/>
    <mergeCell ref="N33:O33"/>
    <mergeCell ref="G34:H34"/>
    <mergeCell ref="N34:O34"/>
    <mergeCell ref="G35:H35"/>
    <mergeCell ref="N35:O35"/>
    <mergeCell ref="B23:O24"/>
    <mergeCell ref="B25:H25"/>
    <mergeCell ref="I25:O25"/>
    <mergeCell ref="G26:H26"/>
    <mergeCell ref="N26:O26"/>
    <mergeCell ref="G11:H11"/>
    <mergeCell ref="N11:O11"/>
    <mergeCell ref="G12:H12"/>
    <mergeCell ref="N12:O12"/>
    <mergeCell ref="G14:H14"/>
    <mergeCell ref="N14:O14"/>
    <mergeCell ref="G19:H19"/>
    <mergeCell ref="X13:Y13"/>
    <mergeCell ref="AE13:AF13"/>
    <mergeCell ref="X14:Y14"/>
    <mergeCell ref="AE14:AF14"/>
    <mergeCell ref="X15:Y15"/>
    <mergeCell ref="AE15:AF15"/>
    <mergeCell ref="X10:Y10"/>
    <mergeCell ref="AE10:AF10"/>
    <mergeCell ref="X11:Y11"/>
    <mergeCell ref="AE11:AF11"/>
    <mergeCell ref="X12:Y12"/>
    <mergeCell ref="AE12:AF12"/>
    <mergeCell ref="X19:Y19"/>
    <mergeCell ref="AE19:AF19"/>
    <mergeCell ref="G16:H16"/>
    <mergeCell ref="N16:O16"/>
    <mergeCell ref="X20:Y20"/>
    <mergeCell ref="AE20:AF20"/>
    <mergeCell ref="S28:AF29"/>
    <mergeCell ref="X16:Y16"/>
    <mergeCell ref="AE16:AF16"/>
    <mergeCell ref="X17:Y17"/>
    <mergeCell ref="AE17:AF17"/>
    <mergeCell ref="X18:Y18"/>
    <mergeCell ref="AE18:AF18"/>
    <mergeCell ref="X22:Y22"/>
    <mergeCell ref="AE22:AF22"/>
    <mergeCell ref="N29:O29"/>
    <mergeCell ref="G27:H27"/>
    <mergeCell ref="N27:O27"/>
    <mergeCell ref="G28:H28"/>
    <mergeCell ref="N28:O28"/>
    <mergeCell ref="G29:H29"/>
    <mergeCell ref="G166:H166"/>
    <mergeCell ref="B50:AG50"/>
    <mergeCell ref="A3:AF3"/>
    <mergeCell ref="T67:AG68"/>
    <mergeCell ref="T69:Z69"/>
    <mergeCell ref="AA69:AG69"/>
    <mergeCell ref="Y70:Z70"/>
    <mergeCell ref="AF70:AG70"/>
    <mergeCell ref="Y71:Z71"/>
    <mergeCell ref="AF71:AG71"/>
    <mergeCell ref="AE37:AF37"/>
    <mergeCell ref="X38:Y38"/>
    <mergeCell ref="AE38:AF38"/>
    <mergeCell ref="AF61:AG61"/>
    <mergeCell ref="Y58:Z58"/>
    <mergeCell ref="AF58:AG58"/>
    <mergeCell ref="Y62:Z62"/>
    <mergeCell ref="AF62:AG62"/>
    <mergeCell ref="C69:I69"/>
    <mergeCell ref="J69:P69"/>
    <mergeCell ref="C67:P68"/>
    <mergeCell ref="H59:I59"/>
    <mergeCell ref="O59:P59"/>
    <mergeCell ref="H60:I60"/>
    <mergeCell ref="Y72:Z72"/>
    <mergeCell ref="AF72:AG72"/>
    <mergeCell ref="H75:I75"/>
    <mergeCell ref="O75:P75"/>
    <mergeCell ref="T54:AG55"/>
    <mergeCell ref="T56:Z56"/>
    <mergeCell ref="AA56:AG56"/>
    <mergeCell ref="Y57:Z57"/>
    <mergeCell ref="AF57:AG57"/>
    <mergeCell ref="Y59:Z59"/>
    <mergeCell ref="AF59:AG59"/>
    <mergeCell ref="H73:I73"/>
    <mergeCell ref="O73:P73"/>
    <mergeCell ref="Y60:Z60"/>
    <mergeCell ref="O60:P60"/>
    <mergeCell ref="H61:I61"/>
    <mergeCell ref="O61:P61"/>
    <mergeCell ref="AF60:AG60"/>
    <mergeCell ref="H74:I74"/>
    <mergeCell ref="O74:P74"/>
    <mergeCell ref="Y61:Z61"/>
    <mergeCell ref="AF77:AG77"/>
    <mergeCell ref="Y76:Z76"/>
    <mergeCell ref="AF76:AG76"/>
    <mergeCell ref="AF63:AG63"/>
    <mergeCell ref="Y64:Z64"/>
    <mergeCell ref="AF64:AG64"/>
    <mergeCell ref="O63:P63"/>
    <mergeCell ref="O64:P64"/>
    <mergeCell ref="H63:I63"/>
    <mergeCell ref="H64:I64"/>
    <mergeCell ref="H76:I76"/>
    <mergeCell ref="O76:P76"/>
    <mergeCell ref="H77:I77"/>
    <mergeCell ref="O77:P77"/>
    <mergeCell ref="Y63:Z63"/>
    <mergeCell ref="Y77:Z77"/>
    <mergeCell ref="Y73:Z73"/>
    <mergeCell ref="AF73:AG73"/>
    <mergeCell ref="Y74:Z74"/>
    <mergeCell ref="AF74:AG74"/>
    <mergeCell ref="Y75:Z75"/>
    <mergeCell ref="AF75:AG75"/>
    <mergeCell ref="H71:I71"/>
    <mergeCell ref="O71:P71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F12E-B9AC-4FA2-9EF3-0D792398454A}">
  <dimension ref="D4:K26"/>
  <sheetViews>
    <sheetView topLeftCell="A4" workbookViewId="0">
      <selection activeCell="B16" sqref="B16"/>
    </sheetView>
  </sheetViews>
  <sheetFormatPr defaultColWidth="11.5703125" defaultRowHeight="15" x14ac:dyDescent="0.25"/>
  <sheetData>
    <row r="4" spans="4:11" ht="15.75" thickBot="1" x14ac:dyDescent="0.3"/>
    <row r="5" spans="4:11" ht="15.75" thickBot="1" x14ac:dyDescent="0.3">
      <c r="D5" s="178" t="s">
        <v>78</v>
      </c>
      <c r="E5" s="178" t="s">
        <v>77</v>
      </c>
      <c r="F5" s="179" t="s">
        <v>76</v>
      </c>
      <c r="G5" s="178" t="s">
        <v>5</v>
      </c>
      <c r="H5" s="178" t="s">
        <v>6</v>
      </c>
      <c r="I5" s="178" t="s">
        <v>7</v>
      </c>
      <c r="J5" s="178" t="s">
        <v>79</v>
      </c>
      <c r="K5" s="100"/>
    </row>
    <row r="6" spans="4:11" x14ac:dyDescent="0.25">
      <c r="D6" s="182" t="s">
        <v>80</v>
      </c>
      <c r="E6" s="183">
        <v>52.51</v>
      </c>
      <c r="F6" s="184">
        <v>46.02</v>
      </c>
      <c r="G6" s="185">
        <v>98.53</v>
      </c>
      <c r="H6" s="184">
        <v>0.88</v>
      </c>
      <c r="I6" s="186">
        <v>226</v>
      </c>
      <c r="J6" s="282" t="s">
        <v>67</v>
      </c>
    </row>
    <row r="7" spans="4:11" x14ac:dyDescent="0.25">
      <c r="D7" s="94" t="s">
        <v>81</v>
      </c>
      <c r="E7" s="124">
        <v>47.886000000000003</v>
      </c>
      <c r="F7" s="125">
        <v>43.698</v>
      </c>
      <c r="G7" s="187">
        <f t="shared" ref="G7:G8" si="0">E7+F7</f>
        <v>91.584000000000003</v>
      </c>
      <c r="H7" s="125">
        <f>0.12+0.6</f>
        <v>0.72</v>
      </c>
      <c r="I7" s="126">
        <v>238.05</v>
      </c>
      <c r="J7" s="283"/>
    </row>
    <row r="8" spans="4:11" ht="15.75" thickBot="1" x14ac:dyDescent="0.3">
      <c r="D8" s="95" t="s">
        <v>82</v>
      </c>
      <c r="E8" s="129">
        <v>48.345999999999997</v>
      </c>
      <c r="F8" s="131">
        <v>44.295999999999999</v>
      </c>
      <c r="G8" s="188">
        <f t="shared" si="0"/>
        <v>92.641999999999996</v>
      </c>
      <c r="H8" s="131">
        <v>0.86</v>
      </c>
      <c r="I8" s="132">
        <v>236.76</v>
      </c>
      <c r="J8" s="284"/>
    </row>
    <row r="9" spans="4:11" x14ac:dyDescent="0.25">
      <c r="D9" s="182" t="s">
        <v>80</v>
      </c>
      <c r="E9" s="183">
        <v>122.22</v>
      </c>
      <c r="F9" s="184">
        <v>170.22</v>
      </c>
      <c r="G9" s="185">
        <v>292.47000000000003</v>
      </c>
      <c r="H9" s="184">
        <v>83.1</v>
      </c>
      <c r="I9" s="186">
        <v>276</v>
      </c>
      <c r="J9" s="282" t="s">
        <v>3</v>
      </c>
    </row>
    <row r="10" spans="4:11" x14ac:dyDescent="0.25">
      <c r="D10" s="94" t="s">
        <v>81</v>
      </c>
      <c r="E10" s="124">
        <v>103.16800000000001</v>
      </c>
      <c r="F10" s="125">
        <v>95.646000000000001</v>
      </c>
      <c r="G10" s="187">
        <f t="shared" ref="G10:G11" si="1">E10+F10</f>
        <v>198.81400000000002</v>
      </c>
      <c r="H10" s="125">
        <f>0.42+0.4</f>
        <v>0.82000000000000006</v>
      </c>
      <c r="I10" s="126">
        <v>291.06200000000001</v>
      </c>
      <c r="J10" s="283"/>
    </row>
    <row r="11" spans="4:11" ht="15.75" thickBot="1" x14ac:dyDescent="0.3">
      <c r="D11" s="95" t="s">
        <v>82</v>
      </c>
      <c r="E11" s="129">
        <v>105.36799999999999</v>
      </c>
      <c r="F11" s="131">
        <v>98.415999999999997</v>
      </c>
      <c r="G11" s="188">
        <f t="shared" si="1"/>
        <v>203.78399999999999</v>
      </c>
      <c r="H11" s="131">
        <v>0.76</v>
      </c>
      <c r="I11" s="132">
        <v>291.94</v>
      </c>
      <c r="J11" s="284"/>
    </row>
    <row r="13" spans="4:11" ht="15.75" thickBot="1" x14ac:dyDescent="0.3"/>
    <row r="14" spans="4:11" ht="15.75" thickBot="1" x14ac:dyDescent="0.3">
      <c r="D14" s="178" t="s">
        <v>78</v>
      </c>
      <c r="E14" s="180" t="s">
        <v>77</v>
      </c>
      <c r="F14" s="181" t="s">
        <v>76</v>
      </c>
      <c r="G14" s="180" t="s">
        <v>5</v>
      </c>
      <c r="H14" s="180" t="s">
        <v>6</v>
      </c>
      <c r="I14" s="180" t="s">
        <v>7</v>
      </c>
      <c r="J14" s="178" t="s">
        <v>79</v>
      </c>
    </row>
    <row r="15" spans="4:11" x14ac:dyDescent="0.25">
      <c r="D15" s="182" t="s">
        <v>80</v>
      </c>
      <c r="E15" s="183">
        <v>126.048</v>
      </c>
      <c r="F15" s="184">
        <v>107.56</v>
      </c>
      <c r="G15" s="185">
        <f t="shared" ref="G15:G21" si="2">E15+F15</f>
        <v>233.608</v>
      </c>
      <c r="H15" s="184">
        <v>43.28</v>
      </c>
      <c r="I15" s="186">
        <v>272.63</v>
      </c>
      <c r="J15" s="282" t="s">
        <v>64</v>
      </c>
    </row>
    <row r="16" spans="4:11" x14ac:dyDescent="0.25">
      <c r="D16" s="94" t="s">
        <v>81</v>
      </c>
      <c r="E16" s="124">
        <v>112.232</v>
      </c>
      <c r="F16" s="125">
        <v>96.474000000000004</v>
      </c>
      <c r="G16" s="187">
        <f t="shared" si="2"/>
        <v>208.70600000000002</v>
      </c>
      <c r="H16" s="125">
        <v>27.26</v>
      </c>
      <c r="I16" s="126">
        <v>268.73</v>
      </c>
      <c r="J16" s="283"/>
    </row>
    <row r="17" spans="4:10" ht="15.75" thickBot="1" x14ac:dyDescent="0.3">
      <c r="D17" s="95" t="s">
        <v>82</v>
      </c>
      <c r="E17" s="129">
        <v>107.392</v>
      </c>
      <c r="F17" s="131">
        <v>124.568</v>
      </c>
      <c r="G17" s="188">
        <f t="shared" si="2"/>
        <v>231.95999999999998</v>
      </c>
      <c r="H17" s="131">
        <v>36.299999999999997</v>
      </c>
      <c r="I17" s="132">
        <v>270.20999999999998</v>
      </c>
      <c r="J17" s="284"/>
    </row>
    <row r="18" spans="4:10" x14ac:dyDescent="0.25">
      <c r="D18" s="182" t="s">
        <v>80</v>
      </c>
      <c r="E18" s="183">
        <v>71.201999999999998</v>
      </c>
      <c r="F18" s="184">
        <v>65.171999999999997</v>
      </c>
      <c r="G18" s="184">
        <f t="shared" si="2"/>
        <v>136.374</v>
      </c>
      <c r="H18" s="184">
        <v>1.92</v>
      </c>
      <c r="I18" s="186">
        <v>257.16000000000003</v>
      </c>
      <c r="J18" s="282" t="s">
        <v>83</v>
      </c>
    </row>
    <row r="19" spans="4:10" x14ac:dyDescent="0.25">
      <c r="D19" s="94" t="s">
        <v>81</v>
      </c>
      <c r="E19" s="124">
        <v>68.694000000000003</v>
      </c>
      <c r="F19" s="125">
        <v>63.622</v>
      </c>
      <c r="G19" s="125">
        <f t="shared" si="2"/>
        <v>132.316</v>
      </c>
      <c r="H19" s="125">
        <v>1.58</v>
      </c>
      <c r="I19" s="126">
        <v>251.76</v>
      </c>
      <c r="J19" s="283"/>
    </row>
    <row r="20" spans="4:10" ht="15.75" thickBot="1" x14ac:dyDescent="0.3">
      <c r="D20" s="95" t="s">
        <v>82</v>
      </c>
      <c r="E20" s="129">
        <v>68.914000000000001</v>
      </c>
      <c r="F20" s="131">
        <v>63.503999999999998</v>
      </c>
      <c r="G20" s="131">
        <f t="shared" si="2"/>
        <v>132.41800000000001</v>
      </c>
      <c r="H20" s="131">
        <v>1.1000000000000001</v>
      </c>
      <c r="I20" s="132">
        <v>249.52</v>
      </c>
      <c r="J20" s="284"/>
    </row>
    <row r="21" spans="4:10" x14ac:dyDescent="0.25">
      <c r="D21" s="182" t="s">
        <v>80</v>
      </c>
      <c r="E21" s="183">
        <v>118.678</v>
      </c>
      <c r="F21" s="184">
        <v>114.206</v>
      </c>
      <c r="G21" s="185">
        <f t="shared" si="2"/>
        <v>232.88400000000001</v>
      </c>
      <c r="H21" s="184">
        <v>43.9</v>
      </c>
      <c r="I21" s="186">
        <v>231.75</v>
      </c>
      <c r="J21" s="282" t="s">
        <v>70</v>
      </c>
    </row>
    <row r="22" spans="4:10" x14ac:dyDescent="0.25">
      <c r="D22" s="94" t="s">
        <v>81</v>
      </c>
      <c r="E22" s="124">
        <v>109.526</v>
      </c>
      <c r="F22" s="125">
        <v>105.416</v>
      </c>
      <c r="G22" s="187">
        <f>E22+F22</f>
        <v>214.94200000000001</v>
      </c>
      <c r="H22" s="125">
        <v>28.3</v>
      </c>
      <c r="I22" s="126">
        <v>232.35</v>
      </c>
      <c r="J22" s="283"/>
    </row>
    <row r="23" spans="4:10" ht="15.75" thickBot="1" x14ac:dyDescent="0.3">
      <c r="D23" s="95" t="s">
        <v>82</v>
      </c>
      <c r="E23" s="129">
        <v>116.5</v>
      </c>
      <c r="F23" s="131">
        <v>113.47799999999999</v>
      </c>
      <c r="G23" s="188">
        <f t="shared" ref="G23:G24" si="3">E23+F23</f>
        <v>229.97800000000001</v>
      </c>
      <c r="H23" s="131">
        <v>40.32</v>
      </c>
      <c r="I23" s="132">
        <v>230.26</v>
      </c>
      <c r="J23" s="284"/>
    </row>
    <row r="24" spans="4:10" x14ac:dyDescent="0.25">
      <c r="D24" s="182" t="s">
        <v>80</v>
      </c>
      <c r="E24" s="183">
        <v>110.758</v>
      </c>
      <c r="F24" s="184">
        <v>122.27200000000001</v>
      </c>
      <c r="G24" s="184">
        <f t="shared" si="3"/>
        <v>233.03</v>
      </c>
      <c r="H24" s="184">
        <v>25.22</v>
      </c>
      <c r="I24" s="186">
        <v>246.08</v>
      </c>
      <c r="J24" s="282" t="s">
        <v>73</v>
      </c>
    </row>
    <row r="25" spans="4:10" x14ac:dyDescent="0.25">
      <c r="D25" s="94" t="s">
        <v>81</v>
      </c>
      <c r="E25" s="189">
        <v>106.578</v>
      </c>
      <c r="F25" s="190">
        <v>100.758</v>
      </c>
      <c r="G25" s="187">
        <f>E25+F25</f>
        <v>207.33600000000001</v>
      </c>
      <c r="H25" s="125">
        <v>13</v>
      </c>
      <c r="I25" s="126">
        <v>239.38</v>
      </c>
      <c r="J25" s="283"/>
    </row>
    <row r="26" spans="4:10" ht="15.75" thickBot="1" x14ac:dyDescent="0.3">
      <c r="D26" s="95" t="s">
        <v>82</v>
      </c>
      <c r="E26" s="191">
        <v>109.06399999999999</v>
      </c>
      <c r="F26" s="192">
        <v>104.66</v>
      </c>
      <c r="G26" s="188">
        <f>E26+F26</f>
        <v>213.72399999999999</v>
      </c>
      <c r="H26" s="131">
        <v>12.44</v>
      </c>
      <c r="I26" s="132">
        <v>240.03800000000001</v>
      </c>
      <c r="J26" s="284"/>
    </row>
  </sheetData>
  <mergeCells count="6">
    <mergeCell ref="J24:J26"/>
    <mergeCell ref="J6:J8"/>
    <mergeCell ref="J9:J11"/>
    <mergeCell ref="J15:J17"/>
    <mergeCell ref="J18:J20"/>
    <mergeCell ref="J21:J2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2F23-8C5D-43E2-AD53-5255435B28BC}">
  <dimension ref="A1:CA111"/>
  <sheetViews>
    <sheetView zoomScale="50" zoomScaleNormal="50" workbookViewId="0">
      <selection activeCell="AB36" sqref="AB36"/>
    </sheetView>
  </sheetViews>
  <sheetFormatPr defaultRowHeight="15" x14ac:dyDescent="0.25"/>
  <cols>
    <col min="6" max="6" width="9.140625" customWidth="1"/>
  </cols>
  <sheetData>
    <row r="1" spans="1:79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</row>
    <row r="2" spans="1:79" x14ac:dyDescent="0.25">
      <c r="A2" s="98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98"/>
      <c r="AB2" s="98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</row>
    <row r="3" spans="1:79" ht="15.75" thickBot="1" x14ac:dyDescent="0.3">
      <c r="A3" s="98"/>
      <c r="AA3" s="98"/>
      <c r="AB3" s="98"/>
      <c r="AC3" s="137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309"/>
      <c r="AU3" s="309"/>
      <c r="AV3" s="309"/>
      <c r="AW3" s="309"/>
      <c r="AX3" s="310"/>
      <c r="AY3" s="309"/>
      <c r="AZ3" s="309"/>
      <c r="BA3" s="309"/>
      <c r="BB3" s="98"/>
      <c r="BC3" s="309"/>
      <c r="BD3" s="309"/>
      <c r="BE3" s="309"/>
      <c r="BF3" s="309"/>
      <c r="BG3" s="309"/>
      <c r="BH3" s="309"/>
      <c r="BI3" s="309"/>
      <c r="BJ3" s="309"/>
      <c r="BK3" s="309"/>
      <c r="BL3" s="309"/>
      <c r="BM3" s="309"/>
      <c r="BN3" s="309"/>
      <c r="BO3" s="309"/>
      <c r="BP3" s="309"/>
      <c r="BQ3" s="309"/>
      <c r="BR3" s="309"/>
      <c r="BS3" s="309"/>
      <c r="BT3" s="309"/>
      <c r="BU3" s="309"/>
      <c r="BV3" s="309"/>
      <c r="BW3" s="309"/>
      <c r="BX3" s="309"/>
      <c r="BY3" s="309"/>
      <c r="BZ3" s="309"/>
      <c r="CA3" s="309"/>
    </row>
    <row r="4" spans="1:79" ht="15.75" thickBot="1" x14ac:dyDescent="0.3">
      <c r="A4" s="98"/>
      <c r="B4" s="297" t="s">
        <v>60</v>
      </c>
      <c r="C4" s="298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9"/>
      <c r="Q4" s="288" t="s">
        <v>62</v>
      </c>
      <c r="R4" s="289"/>
      <c r="S4" s="289"/>
      <c r="T4" s="289"/>
      <c r="U4" s="289"/>
      <c r="V4" s="289"/>
      <c r="W4" s="289"/>
      <c r="X4" s="289"/>
      <c r="Y4" s="281"/>
      <c r="AA4" s="98"/>
      <c r="AB4" s="98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98"/>
      <c r="BC4" s="137"/>
      <c r="BD4" s="309"/>
      <c r="BE4" s="309"/>
      <c r="BF4" s="309"/>
      <c r="BG4" s="309"/>
      <c r="BH4" s="309"/>
      <c r="BI4" s="309"/>
      <c r="BJ4" s="309"/>
      <c r="BK4" s="309"/>
      <c r="BL4" s="309"/>
      <c r="BM4" s="309"/>
      <c r="BN4" s="309"/>
      <c r="BO4" s="309"/>
      <c r="BP4" s="309"/>
      <c r="BQ4" s="309"/>
      <c r="BR4" s="309"/>
      <c r="BS4" s="309"/>
      <c r="BT4" s="309"/>
      <c r="BU4" s="309"/>
      <c r="BV4" s="309"/>
      <c r="BW4" s="309"/>
      <c r="BX4" s="310"/>
      <c r="BY4" s="309"/>
      <c r="BZ4" s="309"/>
      <c r="CA4" s="309"/>
    </row>
    <row r="5" spans="1:79" ht="15.75" thickBot="1" x14ac:dyDescent="0.3">
      <c r="A5" s="98"/>
      <c r="B5" s="107" t="s">
        <v>58</v>
      </c>
      <c r="C5" s="293" t="s">
        <v>59</v>
      </c>
      <c r="D5" s="294"/>
      <c r="E5" s="294"/>
      <c r="F5" s="295"/>
      <c r="G5" s="293" t="s">
        <v>59</v>
      </c>
      <c r="H5" s="294"/>
      <c r="I5" s="294"/>
      <c r="J5" s="295"/>
      <c r="K5" s="293" t="s">
        <v>59</v>
      </c>
      <c r="L5" s="294"/>
      <c r="M5" s="294"/>
      <c r="N5" s="296"/>
      <c r="Q5" s="104" t="s">
        <v>58</v>
      </c>
      <c r="R5" s="285" t="s">
        <v>59</v>
      </c>
      <c r="S5" s="286"/>
      <c r="T5" s="286"/>
      <c r="U5" s="287"/>
      <c r="V5" s="285" t="s">
        <v>59</v>
      </c>
      <c r="W5" s="286"/>
      <c r="X5" s="286"/>
      <c r="Y5" s="287"/>
      <c r="AA5" s="98"/>
      <c r="AB5" s="98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98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6"/>
      <c r="BS5" s="136"/>
      <c r="BT5" s="136"/>
      <c r="BU5" s="136"/>
      <c r="BV5" s="136"/>
      <c r="BW5" s="136"/>
      <c r="BX5" s="136"/>
      <c r="BY5" s="136"/>
      <c r="BZ5" s="136"/>
      <c r="CA5" s="136"/>
    </row>
    <row r="6" spans="1:79" x14ac:dyDescent="0.25">
      <c r="A6" s="98"/>
      <c r="B6" s="94">
        <v>1</v>
      </c>
      <c r="C6" s="102">
        <v>52.025199999999998</v>
      </c>
      <c r="D6" s="101">
        <v>48.168799999999997</v>
      </c>
      <c r="E6" s="101">
        <v>112.3664</v>
      </c>
      <c r="F6" s="101">
        <v>106.4016</v>
      </c>
      <c r="G6" s="102">
        <v>51.197199999999995</v>
      </c>
      <c r="H6" s="101">
        <v>47.477999999999994</v>
      </c>
      <c r="I6" s="101">
        <v>114.3128</v>
      </c>
      <c r="J6" s="113">
        <v>110.83</v>
      </c>
      <c r="K6" s="133">
        <v>51.701200000000007</v>
      </c>
      <c r="L6" s="122">
        <v>48.104399999999998</v>
      </c>
      <c r="M6" s="122">
        <v>116.20160000000001</v>
      </c>
      <c r="N6" s="134">
        <v>108.56879999999998</v>
      </c>
      <c r="O6" s="114"/>
      <c r="P6" s="114"/>
      <c r="Q6" s="105">
        <v>1</v>
      </c>
      <c r="R6" s="115">
        <v>50.847999999999999</v>
      </c>
      <c r="S6" s="116">
        <v>47.411999999999999</v>
      </c>
      <c r="T6" s="116">
        <v>112.7</v>
      </c>
      <c r="U6" s="117">
        <v>106.55999999999999</v>
      </c>
      <c r="V6" s="115">
        <v>50.915999999999997</v>
      </c>
      <c r="W6" s="116">
        <v>46.184000000000005</v>
      </c>
      <c r="X6" s="116">
        <v>116.3</v>
      </c>
      <c r="Y6" s="117">
        <v>107.9</v>
      </c>
      <c r="AA6" s="98"/>
      <c r="AB6" s="98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98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6"/>
    </row>
    <row r="7" spans="1:79" x14ac:dyDescent="0.25">
      <c r="A7" s="98"/>
      <c r="B7" s="94">
        <v>5</v>
      </c>
      <c r="C7" s="102">
        <v>51.329199999999993</v>
      </c>
      <c r="D7" s="101">
        <v>47.377199999999995</v>
      </c>
      <c r="E7" s="101">
        <v>110.76679999999999</v>
      </c>
      <c r="F7" s="101">
        <v>104.11199999999999</v>
      </c>
      <c r="G7" s="102">
        <v>51.237200000000009</v>
      </c>
      <c r="H7" s="101">
        <v>47.652000000000001</v>
      </c>
      <c r="I7" s="101">
        <v>110.54600000000001</v>
      </c>
      <c r="J7" s="113">
        <v>104.7556</v>
      </c>
      <c r="K7" s="102">
        <v>49.969200000000001</v>
      </c>
      <c r="L7" s="101">
        <v>45.990400000000008</v>
      </c>
      <c r="M7" s="101">
        <v>112.71079999999999</v>
      </c>
      <c r="N7" s="113">
        <v>106.33279999999999</v>
      </c>
      <c r="O7" s="114"/>
      <c r="P7" s="114"/>
      <c r="Q7" s="94">
        <v>5</v>
      </c>
      <c r="R7" s="102">
        <v>49.408000000000001</v>
      </c>
      <c r="S7" s="101">
        <v>45.814</v>
      </c>
      <c r="T7" s="101">
        <v>111.1</v>
      </c>
      <c r="U7" s="113">
        <v>104.75999999999999</v>
      </c>
      <c r="V7" s="102">
        <v>49.356000000000002</v>
      </c>
      <c r="W7" s="101">
        <v>44.832000000000001</v>
      </c>
      <c r="X7" s="101">
        <v>108.16</v>
      </c>
      <c r="Y7" s="113">
        <v>101.866</v>
      </c>
      <c r="AA7" s="98"/>
      <c r="AB7" s="98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98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</row>
    <row r="8" spans="1:79" x14ac:dyDescent="0.25">
      <c r="A8" s="98"/>
      <c r="B8" s="94">
        <v>10</v>
      </c>
      <c r="C8" s="102">
        <v>50.649199999999993</v>
      </c>
      <c r="D8" s="101">
        <v>46.623199999999997</v>
      </c>
      <c r="E8" s="101">
        <v>109.24679999999998</v>
      </c>
      <c r="F8" s="101">
        <v>102.2</v>
      </c>
      <c r="G8" s="102">
        <v>49.997200000000007</v>
      </c>
      <c r="H8" s="101">
        <v>45.544400000000003</v>
      </c>
      <c r="I8" s="101">
        <v>108.9376</v>
      </c>
      <c r="J8" s="113">
        <v>101.806</v>
      </c>
      <c r="K8" s="102">
        <v>48.801200000000001</v>
      </c>
      <c r="L8" s="101">
        <v>44.718000000000004</v>
      </c>
      <c r="M8" s="101">
        <v>108.94360000000002</v>
      </c>
      <c r="N8" s="113">
        <v>101.58879999999999</v>
      </c>
      <c r="O8" s="114"/>
      <c r="P8" s="114"/>
      <c r="Q8" s="94">
        <v>10</v>
      </c>
      <c r="R8" s="102">
        <v>49.375999999999998</v>
      </c>
      <c r="S8" s="101">
        <v>45.625999999999998</v>
      </c>
      <c r="T8" s="101">
        <v>109.14000000000001</v>
      </c>
      <c r="U8" s="113">
        <v>101.39400000000001</v>
      </c>
      <c r="V8" s="102">
        <v>49.124000000000002</v>
      </c>
      <c r="W8" s="101">
        <v>44.512</v>
      </c>
      <c r="X8" s="101">
        <v>106.96</v>
      </c>
      <c r="Y8" s="113">
        <v>100.56399999999999</v>
      </c>
      <c r="AA8" s="98"/>
      <c r="AB8" s="98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98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</row>
    <row r="9" spans="1:79" x14ac:dyDescent="0.25">
      <c r="A9" s="98"/>
      <c r="B9" s="94">
        <v>15</v>
      </c>
      <c r="C9" s="102">
        <v>49.685199999999995</v>
      </c>
      <c r="D9" s="101">
        <v>45.950399999999995</v>
      </c>
      <c r="E9" s="101">
        <v>109.35039999999999</v>
      </c>
      <c r="F9" s="101">
        <v>101.80479999999999</v>
      </c>
      <c r="G9" s="102">
        <v>49.941200000000002</v>
      </c>
      <c r="H9" s="101">
        <v>45.55</v>
      </c>
      <c r="I9" s="101">
        <v>107.78440000000001</v>
      </c>
      <c r="J9" s="113">
        <v>101.7428</v>
      </c>
      <c r="K9" s="102">
        <v>48.533200000000008</v>
      </c>
      <c r="L9" s="101">
        <v>44.341599999999993</v>
      </c>
      <c r="M9" s="101">
        <v>107.2944</v>
      </c>
      <c r="N9" s="113">
        <v>99.88239999999999</v>
      </c>
      <c r="O9" s="114"/>
      <c r="P9" s="114"/>
      <c r="Q9" s="94">
        <v>15</v>
      </c>
      <c r="R9" s="102">
        <v>49.224000000000004</v>
      </c>
      <c r="S9" s="101">
        <v>45.286000000000001</v>
      </c>
      <c r="T9" s="101">
        <v>107.46000000000001</v>
      </c>
      <c r="U9" s="113">
        <v>101.40799999999999</v>
      </c>
      <c r="V9" s="102">
        <v>48.311999999999998</v>
      </c>
      <c r="W9" s="101">
        <v>44.126000000000005</v>
      </c>
      <c r="X9" s="101">
        <v>106.22</v>
      </c>
      <c r="Y9" s="113">
        <v>99.597999999999985</v>
      </c>
      <c r="AA9" s="98"/>
      <c r="AB9" s="98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98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/>
      <c r="BY9" s="136"/>
      <c r="BZ9" s="136"/>
      <c r="CA9" s="136"/>
    </row>
    <row r="10" spans="1:79" x14ac:dyDescent="0.25">
      <c r="A10" s="98"/>
      <c r="B10" s="94">
        <v>20</v>
      </c>
      <c r="C10" s="102">
        <v>48.525199999999998</v>
      </c>
      <c r="D10" s="101">
        <v>44.566400000000002</v>
      </c>
      <c r="E10" s="101">
        <v>107.77799999999999</v>
      </c>
      <c r="F10" s="101">
        <v>101.0176</v>
      </c>
      <c r="G10" s="102">
        <v>49.041199999999996</v>
      </c>
      <c r="H10" s="101">
        <v>45.058000000000007</v>
      </c>
      <c r="I10" s="101">
        <v>107.376</v>
      </c>
      <c r="J10" s="113">
        <v>100.7376</v>
      </c>
      <c r="K10" s="102">
        <v>48.277200000000008</v>
      </c>
      <c r="L10" s="101">
        <v>43.94</v>
      </c>
      <c r="M10" s="101">
        <v>104.63720000000001</v>
      </c>
      <c r="N10" s="113">
        <v>97.539200000000008</v>
      </c>
      <c r="O10" s="114"/>
      <c r="P10" s="114"/>
      <c r="Q10" s="94">
        <v>20</v>
      </c>
      <c r="R10" s="102">
        <v>48.884</v>
      </c>
      <c r="S10" s="101">
        <v>44.847999999999999</v>
      </c>
      <c r="T10" s="101">
        <v>106.86000000000001</v>
      </c>
      <c r="U10" s="113">
        <v>99.778000000000006</v>
      </c>
      <c r="V10" s="102">
        <v>47.892000000000003</v>
      </c>
      <c r="W10" s="101">
        <v>44.012</v>
      </c>
      <c r="X10" s="101">
        <v>105.04</v>
      </c>
      <c r="Y10" s="113">
        <v>98.061999999999983</v>
      </c>
      <c r="AA10" s="98"/>
      <c r="AB10" s="98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98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</row>
    <row r="11" spans="1:79" x14ac:dyDescent="0.25">
      <c r="A11" s="98"/>
      <c r="B11" s="94">
        <v>25</v>
      </c>
      <c r="C11" s="102">
        <v>48.591200000000001</v>
      </c>
      <c r="D11" s="101">
        <v>44.366400000000006</v>
      </c>
      <c r="E11" s="101">
        <v>107.352</v>
      </c>
      <c r="F11" s="101">
        <v>100.4696</v>
      </c>
      <c r="G11" s="102">
        <v>48.165200000000006</v>
      </c>
      <c r="H11" s="101">
        <v>44.298000000000002</v>
      </c>
      <c r="I11" s="101">
        <v>106.6344</v>
      </c>
      <c r="J11" s="113">
        <v>99.698000000000008</v>
      </c>
      <c r="K11" s="102">
        <v>47.541200000000003</v>
      </c>
      <c r="L11" s="101">
        <v>43.537999999999997</v>
      </c>
      <c r="M11" s="101">
        <v>103.90479999999999</v>
      </c>
      <c r="N11" s="113">
        <v>96.977999999999994</v>
      </c>
      <c r="O11" s="114"/>
      <c r="P11" s="114"/>
      <c r="Q11" s="94">
        <v>25</v>
      </c>
      <c r="R11" s="102">
        <v>48.863999999999997</v>
      </c>
      <c r="S11" s="101">
        <v>44.844000000000001</v>
      </c>
      <c r="T11" s="101">
        <v>106.8</v>
      </c>
      <c r="U11" s="113">
        <v>99.608000000000004</v>
      </c>
      <c r="V11" s="102">
        <v>47.751999999999995</v>
      </c>
      <c r="W11" s="101">
        <v>43.941999999999993</v>
      </c>
      <c r="X11" s="101">
        <v>102.4</v>
      </c>
      <c r="Y11" s="113">
        <v>96.01</v>
      </c>
      <c r="AA11" s="98"/>
      <c r="AB11" s="98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98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</row>
    <row r="12" spans="1:79" x14ac:dyDescent="0.25">
      <c r="A12" s="98"/>
      <c r="B12" s="94">
        <v>30</v>
      </c>
      <c r="C12" s="102">
        <v>48.433200000000006</v>
      </c>
      <c r="D12" s="101">
        <v>44.464399999999998</v>
      </c>
      <c r="E12" s="101">
        <v>106.23799999999999</v>
      </c>
      <c r="F12" s="101">
        <v>99.423599999999993</v>
      </c>
      <c r="G12" s="102">
        <v>48.093200000000003</v>
      </c>
      <c r="H12" s="101">
        <v>43.986000000000004</v>
      </c>
      <c r="I12" s="101">
        <v>105.76520000000001</v>
      </c>
      <c r="J12" s="113">
        <v>98.556799999999996</v>
      </c>
      <c r="K12" s="102">
        <v>47.377200000000002</v>
      </c>
      <c r="L12" s="101">
        <v>43.205200000000005</v>
      </c>
      <c r="M12" s="101">
        <v>102.6144</v>
      </c>
      <c r="N12" s="113">
        <v>95.734799999999993</v>
      </c>
      <c r="O12" s="114"/>
      <c r="P12" s="114"/>
      <c r="Q12" s="94">
        <v>30</v>
      </c>
      <c r="R12" s="102">
        <v>48.564</v>
      </c>
      <c r="S12" s="101">
        <v>44.988</v>
      </c>
      <c r="T12" s="101">
        <v>106.17999999999999</v>
      </c>
      <c r="U12" s="113">
        <v>99.275999999999996</v>
      </c>
      <c r="V12" s="102">
        <v>47.78</v>
      </c>
      <c r="W12" s="101">
        <v>43.911999999999999</v>
      </c>
      <c r="X12" s="101">
        <v>102.38</v>
      </c>
      <c r="Y12" s="113">
        <v>95.844000000000008</v>
      </c>
      <c r="AA12" s="98"/>
      <c r="AB12" s="98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98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</row>
    <row r="13" spans="1:79" x14ac:dyDescent="0.25">
      <c r="A13" s="98"/>
      <c r="B13" s="94">
        <v>35</v>
      </c>
      <c r="C13" s="102">
        <v>48.377200000000002</v>
      </c>
      <c r="D13" s="101">
        <v>44.353200000000001</v>
      </c>
      <c r="E13" s="101">
        <v>105.7604</v>
      </c>
      <c r="F13" s="101">
        <v>98.803599999999989</v>
      </c>
      <c r="G13" s="102">
        <v>47.8812</v>
      </c>
      <c r="H13" s="101">
        <v>43.853999999999999</v>
      </c>
      <c r="I13" s="101">
        <v>104.9452</v>
      </c>
      <c r="J13" s="113">
        <v>98.244800000000012</v>
      </c>
      <c r="K13" s="102">
        <v>47.229200000000006</v>
      </c>
      <c r="L13" s="101">
        <v>42.921199999999999</v>
      </c>
      <c r="M13" s="101">
        <v>102.58199999999999</v>
      </c>
      <c r="N13" s="113">
        <v>94.907600000000002</v>
      </c>
      <c r="O13" s="114"/>
      <c r="P13" s="114"/>
      <c r="Q13" s="94">
        <v>35</v>
      </c>
      <c r="R13" s="102">
        <v>48.54</v>
      </c>
      <c r="S13" s="101">
        <v>44.989999999999995</v>
      </c>
      <c r="T13" s="101">
        <v>106.17999999999999</v>
      </c>
      <c r="U13" s="113">
        <v>99.222000000000008</v>
      </c>
      <c r="V13" s="102">
        <v>47.432000000000002</v>
      </c>
      <c r="W13" s="101">
        <v>43.766000000000005</v>
      </c>
      <c r="X13" s="101">
        <v>102.62</v>
      </c>
      <c r="Y13" s="113">
        <v>95.171999999999997</v>
      </c>
      <c r="AA13" s="98"/>
      <c r="AB13" s="98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98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</row>
    <row r="14" spans="1:79" x14ac:dyDescent="0.25">
      <c r="A14" s="98"/>
      <c r="B14" s="94">
        <v>40</v>
      </c>
      <c r="C14" s="102">
        <v>48.497199999999999</v>
      </c>
      <c r="D14" s="101">
        <v>44.097999999999999</v>
      </c>
      <c r="E14" s="101">
        <v>105.12519999999999</v>
      </c>
      <c r="F14" s="101">
        <v>98.438399999999987</v>
      </c>
      <c r="G14" s="102">
        <v>47.8172</v>
      </c>
      <c r="H14" s="101">
        <v>43.82</v>
      </c>
      <c r="I14" s="101">
        <v>104.84520000000001</v>
      </c>
      <c r="J14" s="113">
        <v>97.834800000000001</v>
      </c>
      <c r="K14" s="102">
        <v>47.261199999999995</v>
      </c>
      <c r="L14" s="101">
        <v>42.941199999999995</v>
      </c>
      <c r="M14" s="101">
        <v>102.102</v>
      </c>
      <c r="N14" s="113">
        <v>94.8596</v>
      </c>
      <c r="O14" s="114"/>
      <c r="P14" s="114"/>
      <c r="Q14" s="94">
        <v>40</v>
      </c>
      <c r="R14" s="102">
        <v>48.58</v>
      </c>
      <c r="S14" s="101">
        <v>44.923999999999999</v>
      </c>
      <c r="T14" s="101">
        <v>106.05999999999999</v>
      </c>
      <c r="U14" s="113">
        <v>99.164000000000001</v>
      </c>
      <c r="V14" s="102">
        <v>47.427999999999997</v>
      </c>
      <c r="W14" s="101">
        <v>43.706000000000003</v>
      </c>
      <c r="X14" s="101">
        <v>102.44000000000001</v>
      </c>
      <c r="Y14" s="113">
        <v>95.031999999999996</v>
      </c>
      <c r="AA14" s="98"/>
      <c r="AB14" s="98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98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</row>
    <row r="15" spans="1:79" x14ac:dyDescent="0.25">
      <c r="A15" s="98"/>
      <c r="B15" s="94">
        <v>45</v>
      </c>
      <c r="C15" s="102">
        <v>48.057199999999995</v>
      </c>
      <c r="D15" s="101">
        <v>43.8</v>
      </c>
      <c r="E15" s="101">
        <v>105.0436</v>
      </c>
      <c r="F15" s="101">
        <v>98.049200000000013</v>
      </c>
      <c r="G15" s="102">
        <v>47.793199999999999</v>
      </c>
      <c r="H15" s="101">
        <v>43.559999999999995</v>
      </c>
      <c r="I15" s="101">
        <v>104.76519999999998</v>
      </c>
      <c r="J15" s="113">
        <v>97.628799999999998</v>
      </c>
      <c r="K15" s="102">
        <v>47.177200000000006</v>
      </c>
      <c r="L15" s="101">
        <v>42.894400000000005</v>
      </c>
      <c r="M15" s="101">
        <v>101.8852</v>
      </c>
      <c r="N15" s="113">
        <v>94.777599999999993</v>
      </c>
      <c r="O15" s="114"/>
      <c r="P15" s="114"/>
      <c r="Q15" s="94">
        <v>45</v>
      </c>
      <c r="R15" s="102">
        <v>48.527999999999999</v>
      </c>
      <c r="S15" s="101">
        <v>44.94</v>
      </c>
      <c r="T15" s="101">
        <v>106</v>
      </c>
      <c r="U15" s="113">
        <v>99.094000000000008</v>
      </c>
      <c r="V15" s="102">
        <v>47.48</v>
      </c>
      <c r="W15" s="101">
        <v>43.595999999999997</v>
      </c>
      <c r="X15" s="101">
        <v>101.94</v>
      </c>
      <c r="Y15" s="113">
        <v>95.09</v>
      </c>
      <c r="AA15" s="98"/>
      <c r="AB15" s="98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98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</row>
    <row r="16" spans="1:79" ht="15.75" thickBot="1" x14ac:dyDescent="0.3">
      <c r="A16" s="98"/>
      <c r="B16" s="106">
        <v>50</v>
      </c>
      <c r="C16" s="118">
        <v>47.737200000000001</v>
      </c>
      <c r="D16" s="119">
        <v>43.773199999999996</v>
      </c>
      <c r="E16" s="119">
        <v>104.0712</v>
      </c>
      <c r="F16" s="119">
        <v>97.156000000000006</v>
      </c>
      <c r="G16" s="118">
        <v>47.725200000000001</v>
      </c>
      <c r="H16" s="119">
        <v>43.398399999999995</v>
      </c>
      <c r="I16" s="119">
        <v>104.60039999999999</v>
      </c>
      <c r="J16" s="120">
        <v>97.711199999999991</v>
      </c>
      <c r="K16" s="118">
        <v>47.061199999999999</v>
      </c>
      <c r="L16" s="119">
        <v>43.0916</v>
      </c>
      <c r="M16" s="119">
        <v>101.65520000000001</v>
      </c>
      <c r="N16" s="120">
        <v>94.454800000000006</v>
      </c>
      <c r="O16" s="114"/>
      <c r="P16" s="114"/>
      <c r="Q16" s="106">
        <v>50</v>
      </c>
      <c r="R16" s="118">
        <v>48.471999999999994</v>
      </c>
      <c r="S16" s="119">
        <v>44.802</v>
      </c>
      <c r="T16" s="119">
        <v>106.25999999999999</v>
      </c>
      <c r="U16" s="120">
        <v>99.152000000000001</v>
      </c>
      <c r="V16" s="118">
        <v>47.451999999999998</v>
      </c>
      <c r="W16" s="119">
        <v>43.537999999999997</v>
      </c>
      <c r="X16" s="119">
        <v>102.02000000000001</v>
      </c>
      <c r="Y16" s="120">
        <v>95.106000000000023</v>
      </c>
      <c r="AA16" s="98"/>
      <c r="AB16" s="98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98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</row>
    <row r="17" spans="1:79" x14ac:dyDescent="0.25">
      <c r="A17" s="98"/>
      <c r="B17" s="94">
        <v>51</v>
      </c>
      <c r="C17" s="102"/>
      <c r="D17" s="101"/>
      <c r="E17" s="101"/>
      <c r="F17" s="113"/>
      <c r="G17" s="300"/>
      <c r="H17" s="301"/>
      <c r="I17" s="301"/>
      <c r="J17" s="301"/>
      <c r="K17" s="127">
        <v>46.32</v>
      </c>
      <c r="L17" s="101">
        <v>42.49</v>
      </c>
      <c r="M17" s="101">
        <v>102.6</v>
      </c>
      <c r="N17" s="128">
        <v>95.07</v>
      </c>
      <c r="O17" s="96"/>
      <c r="P17" s="114"/>
      <c r="Q17" s="94">
        <v>51</v>
      </c>
      <c r="R17" s="102">
        <v>46.42</v>
      </c>
      <c r="S17" s="101">
        <v>42.429999999999993</v>
      </c>
      <c r="T17" s="101">
        <v>100.42</v>
      </c>
      <c r="U17" s="113">
        <v>93.407999999999987</v>
      </c>
      <c r="V17" s="303"/>
      <c r="W17" s="304"/>
      <c r="X17" s="304"/>
      <c r="Y17" s="305"/>
      <c r="AA17" s="98"/>
      <c r="AB17" s="98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98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</row>
    <row r="18" spans="1:79" x14ac:dyDescent="0.25">
      <c r="A18" s="98"/>
      <c r="B18" s="94">
        <v>55</v>
      </c>
      <c r="C18" s="102"/>
      <c r="D18" s="101"/>
      <c r="E18" s="101"/>
      <c r="F18" s="113"/>
      <c r="G18" s="303"/>
      <c r="H18" s="304"/>
      <c r="I18" s="304"/>
      <c r="J18" s="304"/>
      <c r="K18" s="127">
        <v>46.415999999999997</v>
      </c>
      <c r="L18" s="101">
        <v>42.524000000000001</v>
      </c>
      <c r="M18" s="101">
        <v>101.58</v>
      </c>
      <c r="N18" s="128">
        <v>94.751999999999995</v>
      </c>
      <c r="O18" s="96"/>
      <c r="P18" s="114"/>
      <c r="Q18" s="94">
        <v>55</v>
      </c>
      <c r="R18" s="102">
        <v>46.42</v>
      </c>
      <c r="S18" s="101">
        <v>42.429999999999993</v>
      </c>
      <c r="T18" s="101">
        <v>100.42</v>
      </c>
      <c r="U18" s="113">
        <v>93.407999999999987</v>
      </c>
      <c r="V18" s="303"/>
      <c r="W18" s="304"/>
      <c r="X18" s="304"/>
      <c r="Y18" s="305"/>
      <c r="Z18" s="98"/>
      <c r="AA18" s="98"/>
      <c r="AB18" s="98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98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</row>
    <row r="19" spans="1:79" x14ac:dyDescent="0.25">
      <c r="A19" s="98"/>
      <c r="B19" s="94">
        <v>60</v>
      </c>
      <c r="C19" s="102"/>
      <c r="D19" s="101"/>
      <c r="E19" s="101"/>
      <c r="F19" s="113"/>
      <c r="G19" s="303"/>
      <c r="H19" s="304"/>
      <c r="I19" s="304"/>
      <c r="J19" s="304"/>
      <c r="K19" s="127">
        <v>46.415999999999997</v>
      </c>
      <c r="L19" s="101">
        <v>42.524000000000001</v>
      </c>
      <c r="M19" s="101">
        <v>101.58</v>
      </c>
      <c r="N19" s="128">
        <v>94.751999999999995</v>
      </c>
      <c r="O19" s="114"/>
      <c r="P19" s="114"/>
      <c r="Q19" s="94">
        <v>60</v>
      </c>
      <c r="R19" s="102">
        <v>46.244000000000007</v>
      </c>
      <c r="S19" s="101">
        <v>42.417999999999992</v>
      </c>
      <c r="T19" s="101">
        <v>100.82000000000001</v>
      </c>
      <c r="U19" s="113">
        <v>93.697999999999993</v>
      </c>
      <c r="V19" s="303"/>
      <c r="W19" s="304"/>
      <c r="X19" s="304"/>
      <c r="Y19" s="305"/>
      <c r="AA19" s="98"/>
      <c r="AB19" s="98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98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</row>
    <row r="20" spans="1:79" x14ac:dyDescent="0.25">
      <c r="A20" s="98"/>
      <c r="B20" s="94">
        <v>65</v>
      </c>
      <c r="C20" s="102"/>
      <c r="D20" s="101"/>
      <c r="E20" s="101"/>
      <c r="F20" s="113"/>
      <c r="G20" s="303"/>
      <c r="H20" s="304"/>
      <c r="I20" s="304"/>
      <c r="J20" s="304"/>
      <c r="K20" s="127">
        <v>46.42</v>
      </c>
      <c r="L20" s="101">
        <v>42.118000000000002</v>
      </c>
      <c r="M20" s="101">
        <v>101.72</v>
      </c>
      <c r="N20" s="128">
        <v>94.833999999999989</v>
      </c>
      <c r="O20" s="114"/>
      <c r="P20" s="114"/>
      <c r="Q20" s="94">
        <v>65</v>
      </c>
      <c r="R20" s="102">
        <v>46.236000000000004</v>
      </c>
      <c r="S20" s="101">
        <v>42.135999999999996</v>
      </c>
      <c r="T20" s="101">
        <v>100.78999999999999</v>
      </c>
      <c r="U20" s="113">
        <v>93.645999999999987</v>
      </c>
      <c r="V20" s="303"/>
      <c r="W20" s="304"/>
      <c r="X20" s="304"/>
      <c r="Y20" s="305"/>
      <c r="AA20" s="98"/>
      <c r="AB20" s="98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98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</row>
    <row r="21" spans="1:79" x14ac:dyDescent="0.25">
      <c r="A21" s="98"/>
      <c r="B21" s="94">
        <v>70</v>
      </c>
      <c r="C21" s="102"/>
      <c r="D21" s="101"/>
      <c r="E21" s="101"/>
      <c r="F21" s="113"/>
      <c r="G21" s="303"/>
      <c r="H21" s="304"/>
      <c r="I21" s="304"/>
      <c r="J21" s="304"/>
      <c r="K21" s="127">
        <v>46.091999999999999</v>
      </c>
      <c r="L21" s="101">
        <v>42.113999999999997</v>
      </c>
      <c r="M21" s="101">
        <v>101.17999999999999</v>
      </c>
      <c r="N21" s="128">
        <v>94.166000000000011</v>
      </c>
      <c r="O21" s="114"/>
      <c r="P21" s="114"/>
      <c r="Q21" s="94">
        <v>70</v>
      </c>
      <c r="R21" s="102">
        <v>46.112000000000002</v>
      </c>
      <c r="S21" s="101">
        <v>42.073999999999998</v>
      </c>
      <c r="T21" s="101">
        <v>100.30799999999999</v>
      </c>
      <c r="U21" s="113">
        <v>93.383999999999986</v>
      </c>
      <c r="V21" s="303"/>
      <c r="W21" s="304"/>
      <c r="X21" s="304"/>
      <c r="Y21" s="305"/>
      <c r="AA21" s="98"/>
      <c r="AB21" s="98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98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6"/>
    </row>
    <row r="22" spans="1:79" x14ac:dyDescent="0.25">
      <c r="A22" s="98"/>
      <c r="B22" s="94">
        <v>75</v>
      </c>
      <c r="C22" s="102"/>
      <c r="D22" s="101"/>
      <c r="E22" s="101"/>
      <c r="F22" s="113"/>
      <c r="G22" s="303"/>
      <c r="H22" s="304"/>
      <c r="I22" s="304"/>
      <c r="J22" s="304"/>
      <c r="K22" s="127">
        <v>45.96</v>
      </c>
      <c r="L22" s="101">
        <v>42.233999999999995</v>
      </c>
      <c r="M22" s="101">
        <v>101.25999999999999</v>
      </c>
      <c r="N22" s="128">
        <v>94.066000000000003</v>
      </c>
      <c r="O22" s="114"/>
      <c r="P22" s="114"/>
      <c r="Q22" s="94">
        <v>75</v>
      </c>
      <c r="R22" s="102">
        <v>45.763999999999996</v>
      </c>
      <c r="S22" s="101">
        <v>41.736000000000004</v>
      </c>
      <c r="T22" s="101">
        <v>100.76200000000001</v>
      </c>
      <c r="U22" s="113">
        <v>93.816000000000003</v>
      </c>
      <c r="V22" s="303"/>
      <c r="W22" s="304"/>
      <c r="X22" s="304"/>
      <c r="Y22" s="305"/>
      <c r="AA22" s="98"/>
      <c r="AB22" s="98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98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  <c r="BW22" s="136"/>
      <c r="BX22" s="136"/>
      <c r="BY22" s="136"/>
      <c r="BZ22" s="136"/>
      <c r="CA22" s="136"/>
    </row>
    <row r="23" spans="1:79" ht="15.75" thickBot="1" x14ac:dyDescent="0.3">
      <c r="A23" s="98"/>
      <c r="B23" s="95">
        <v>80</v>
      </c>
      <c r="C23" s="103"/>
      <c r="D23" s="131"/>
      <c r="E23" s="131"/>
      <c r="F23" s="132"/>
      <c r="G23" s="306"/>
      <c r="H23" s="307"/>
      <c r="I23" s="307"/>
      <c r="J23" s="307"/>
      <c r="K23" s="130">
        <v>45.983999999999995</v>
      </c>
      <c r="L23" s="111">
        <v>42.257999999999996</v>
      </c>
      <c r="M23" s="111">
        <v>101.28</v>
      </c>
      <c r="N23" s="112">
        <v>93.89200000000001</v>
      </c>
      <c r="O23" s="114"/>
      <c r="P23" s="114"/>
      <c r="Q23" s="95">
        <v>80</v>
      </c>
      <c r="R23" s="103">
        <v>45.676000000000002</v>
      </c>
      <c r="S23" s="131">
        <v>41.622</v>
      </c>
      <c r="T23" s="131">
        <v>100.50200000000002</v>
      </c>
      <c r="U23" s="132">
        <v>93.893999999999991</v>
      </c>
      <c r="V23" s="306"/>
      <c r="W23" s="307"/>
      <c r="X23" s="307"/>
      <c r="Y23" s="308"/>
      <c r="AA23" s="98"/>
      <c r="AB23" s="98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98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</row>
    <row r="24" spans="1:79" x14ac:dyDescent="0.25">
      <c r="A24" s="98"/>
      <c r="K24" s="37"/>
      <c r="L24" s="37"/>
      <c r="R24" s="37"/>
      <c r="S24" s="37"/>
      <c r="T24" s="37"/>
      <c r="U24" s="37"/>
      <c r="V24" s="37"/>
      <c r="W24" s="37"/>
      <c r="X24" s="37"/>
      <c r="Y24" s="37"/>
      <c r="AA24" s="98"/>
      <c r="AB24" s="98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98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  <c r="BW24" s="136"/>
      <c r="BX24" s="136"/>
      <c r="BY24" s="136"/>
      <c r="BZ24" s="136"/>
      <c r="CA24" s="136"/>
    </row>
    <row r="25" spans="1:79" x14ac:dyDescent="0.25">
      <c r="A25" s="98"/>
      <c r="AA25" s="98"/>
      <c r="AB25" s="98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98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6"/>
      <c r="BS25" s="136"/>
      <c r="BT25" s="136"/>
      <c r="BU25" s="136"/>
      <c r="BV25" s="136"/>
      <c r="BW25" s="136"/>
      <c r="BX25" s="136"/>
      <c r="BY25" s="136"/>
      <c r="BZ25" s="136"/>
      <c r="CA25" s="136"/>
    </row>
    <row r="26" spans="1:79" ht="15.75" thickBot="1" x14ac:dyDescent="0.3">
      <c r="A26" s="98"/>
      <c r="AA26" s="98"/>
      <c r="AB26" s="98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98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6"/>
      <c r="CA26" s="136"/>
    </row>
    <row r="27" spans="1:79" ht="15.75" thickBot="1" x14ac:dyDescent="0.3">
      <c r="A27" s="98"/>
      <c r="B27" s="311" t="s">
        <v>61</v>
      </c>
      <c r="C27" s="312"/>
      <c r="D27" s="312"/>
      <c r="E27" s="312"/>
      <c r="F27" s="312"/>
      <c r="G27" s="312"/>
      <c r="H27" s="312"/>
      <c r="I27" s="312"/>
      <c r="J27" s="312"/>
      <c r="K27" s="312"/>
      <c r="L27" s="312"/>
      <c r="M27" s="312"/>
      <c r="N27" s="313"/>
      <c r="Q27" s="288" t="s">
        <v>63</v>
      </c>
      <c r="R27" s="289"/>
      <c r="S27" s="289"/>
      <c r="T27" s="289"/>
      <c r="U27" s="289"/>
      <c r="V27" s="289"/>
      <c r="W27" s="289"/>
      <c r="X27" s="289"/>
      <c r="Y27" s="281"/>
      <c r="AA27" s="98"/>
      <c r="AB27" s="98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98"/>
      <c r="BC27" s="136"/>
      <c r="BD27" s="136"/>
      <c r="BE27" s="136"/>
      <c r="BF27" s="136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6"/>
      <c r="BZ27" s="136"/>
      <c r="CA27" s="136"/>
    </row>
    <row r="28" spans="1:79" ht="15.75" thickBot="1" x14ac:dyDescent="0.3">
      <c r="A28" s="98"/>
      <c r="B28" s="108" t="s">
        <v>58</v>
      </c>
      <c r="C28" s="314" t="s">
        <v>59</v>
      </c>
      <c r="D28" s="291"/>
      <c r="E28" s="291"/>
      <c r="F28" s="291"/>
      <c r="G28" s="290" t="s">
        <v>59</v>
      </c>
      <c r="H28" s="291"/>
      <c r="I28" s="291"/>
      <c r="J28" s="291"/>
      <c r="K28" s="290" t="s">
        <v>59</v>
      </c>
      <c r="L28" s="291"/>
      <c r="M28" s="291"/>
      <c r="N28" s="292"/>
      <c r="Q28" s="104" t="s">
        <v>58</v>
      </c>
      <c r="R28" s="285" t="s">
        <v>59</v>
      </c>
      <c r="S28" s="286"/>
      <c r="T28" s="286"/>
      <c r="U28" s="287"/>
      <c r="V28" s="285" t="s">
        <v>59</v>
      </c>
      <c r="W28" s="286"/>
      <c r="X28" s="286"/>
      <c r="Y28" s="287"/>
      <c r="AA28" s="98"/>
      <c r="AB28" s="98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98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</row>
    <row r="29" spans="1:79" x14ac:dyDescent="0.25">
      <c r="A29" s="98"/>
      <c r="B29" s="94">
        <v>1</v>
      </c>
      <c r="C29" s="102">
        <v>53.56</v>
      </c>
      <c r="D29" s="101">
        <v>50.05</v>
      </c>
      <c r="E29" s="101">
        <v>122.52000000000001</v>
      </c>
      <c r="F29" s="113">
        <v>116.6</v>
      </c>
      <c r="G29" s="102">
        <v>52.795999999999992</v>
      </c>
      <c r="H29" s="101">
        <v>48.75</v>
      </c>
      <c r="I29" s="101">
        <v>121.84</v>
      </c>
      <c r="J29" s="113">
        <v>114.62</v>
      </c>
      <c r="K29" s="101">
        <v>52.507999999999996</v>
      </c>
      <c r="L29" s="101">
        <v>48.49</v>
      </c>
      <c r="M29" s="101">
        <v>117.81999999999998</v>
      </c>
      <c r="N29" s="113">
        <v>110.32000000000001</v>
      </c>
      <c r="O29" s="114"/>
      <c r="P29" s="114"/>
      <c r="Q29" s="105">
        <v>1</v>
      </c>
      <c r="R29" s="115">
        <v>52.375999999999998</v>
      </c>
      <c r="S29" s="116">
        <v>48.411999999999999</v>
      </c>
      <c r="T29" s="116">
        <v>119.6</v>
      </c>
      <c r="U29" s="117">
        <v>112.9</v>
      </c>
      <c r="V29" s="116">
        <v>52.807999999999993</v>
      </c>
      <c r="W29" s="116">
        <v>48.903999999999996</v>
      </c>
      <c r="X29" s="116">
        <v>117.38</v>
      </c>
      <c r="Y29" s="117">
        <v>110.24000000000001</v>
      </c>
      <c r="AA29" s="98"/>
      <c r="AB29" s="98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98"/>
      <c r="BC29" s="136"/>
      <c r="BD29" s="136"/>
      <c r="BE29" s="136"/>
      <c r="BF29" s="136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6"/>
      <c r="BS29" s="136"/>
      <c r="BT29" s="136"/>
      <c r="BU29" s="136"/>
      <c r="BV29" s="136"/>
      <c r="BW29" s="136"/>
      <c r="BX29" s="136"/>
      <c r="BY29" s="136"/>
      <c r="BZ29" s="136"/>
      <c r="CA29" s="136"/>
    </row>
    <row r="30" spans="1:79" x14ac:dyDescent="0.25">
      <c r="A30" s="98"/>
      <c r="B30" s="94">
        <v>5</v>
      </c>
      <c r="C30" s="102">
        <v>50.512</v>
      </c>
      <c r="D30" s="101">
        <v>46.738</v>
      </c>
      <c r="E30" s="101">
        <v>116.62</v>
      </c>
      <c r="F30" s="113">
        <v>110.25999999999999</v>
      </c>
      <c r="G30" s="102">
        <v>50.468000000000004</v>
      </c>
      <c r="H30" s="101">
        <v>46.573999999999998</v>
      </c>
      <c r="I30" s="101">
        <v>114.2</v>
      </c>
      <c r="J30" s="113">
        <v>107.41999999999999</v>
      </c>
      <c r="K30" s="101">
        <v>51.831999999999994</v>
      </c>
      <c r="L30" s="101">
        <v>47.73</v>
      </c>
      <c r="M30" s="101">
        <v>115.03999999999999</v>
      </c>
      <c r="N30" s="113">
        <v>108.53999999999999</v>
      </c>
      <c r="O30" s="114"/>
      <c r="P30" s="114"/>
      <c r="Q30" s="94">
        <v>5</v>
      </c>
      <c r="R30" s="102">
        <v>50.595999999999989</v>
      </c>
      <c r="S30" s="101">
        <v>46.707999999999998</v>
      </c>
      <c r="T30" s="101">
        <v>111.46000000000001</v>
      </c>
      <c r="U30" s="113">
        <v>104.22</v>
      </c>
      <c r="V30" s="101">
        <v>51.444000000000003</v>
      </c>
      <c r="W30" s="101">
        <v>47.13600000000001</v>
      </c>
      <c r="X30" s="101">
        <v>115.16000000000001</v>
      </c>
      <c r="Y30" s="113">
        <v>107.96</v>
      </c>
      <c r="AA30" s="98"/>
      <c r="AB30" s="98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98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6"/>
      <c r="BZ30" s="136"/>
      <c r="CA30" s="136"/>
    </row>
    <row r="31" spans="1:79" x14ac:dyDescent="0.25">
      <c r="A31" s="98"/>
      <c r="B31" s="94">
        <v>10</v>
      </c>
      <c r="C31" s="102">
        <v>49.9</v>
      </c>
      <c r="D31" s="101">
        <v>45.966000000000001</v>
      </c>
      <c r="E31" s="101">
        <v>111.58000000000001</v>
      </c>
      <c r="F31" s="113">
        <v>105.04399999999998</v>
      </c>
      <c r="G31" s="102">
        <v>50.083999999999996</v>
      </c>
      <c r="H31" s="101">
        <v>46.284000000000006</v>
      </c>
      <c r="I31" s="101">
        <v>111.88</v>
      </c>
      <c r="J31" s="113">
        <v>104.92</v>
      </c>
      <c r="K31" s="101">
        <v>50.655999999999992</v>
      </c>
      <c r="L31" s="101">
        <v>46.527999999999999</v>
      </c>
      <c r="M31" s="101">
        <v>113.35999999999999</v>
      </c>
      <c r="N31" s="113">
        <v>106.42</v>
      </c>
      <c r="O31" s="114"/>
      <c r="P31" s="114"/>
      <c r="Q31" s="94">
        <v>10</v>
      </c>
      <c r="R31" s="102">
        <v>49.9</v>
      </c>
      <c r="S31" s="101">
        <v>45.911999999999999</v>
      </c>
      <c r="T31" s="101">
        <v>109.72</v>
      </c>
      <c r="U31" s="113">
        <v>103.12</v>
      </c>
      <c r="V31" s="101">
        <v>50.524000000000001</v>
      </c>
      <c r="W31" s="101">
        <v>46.462000000000003</v>
      </c>
      <c r="X31" s="101">
        <v>111.81999999999998</v>
      </c>
      <c r="Y31" s="113">
        <v>104.48000000000002</v>
      </c>
      <c r="AA31" s="98"/>
      <c r="AB31" s="98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98"/>
      <c r="BC31" s="136"/>
      <c r="BD31" s="136"/>
      <c r="BE31" s="136"/>
      <c r="BF31" s="136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</row>
    <row r="32" spans="1:79" x14ac:dyDescent="0.25">
      <c r="A32" s="98"/>
      <c r="B32" s="94">
        <v>15</v>
      </c>
      <c r="C32" s="102">
        <v>49.775999999999996</v>
      </c>
      <c r="D32" s="101">
        <v>45.922000000000004</v>
      </c>
      <c r="E32" s="101">
        <v>109.94000000000001</v>
      </c>
      <c r="F32" s="113">
        <v>103.66399999999999</v>
      </c>
      <c r="G32" s="102">
        <v>50.088000000000001</v>
      </c>
      <c r="H32" s="101">
        <v>46.293999999999997</v>
      </c>
      <c r="I32" s="101">
        <v>111.91999999999999</v>
      </c>
      <c r="J32" s="113">
        <v>104.62</v>
      </c>
      <c r="K32" s="101">
        <v>50.44</v>
      </c>
      <c r="L32" s="101">
        <v>46.4</v>
      </c>
      <c r="M32" s="101">
        <v>111.9</v>
      </c>
      <c r="N32" s="113">
        <v>104.84</v>
      </c>
      <c r="O32" s="114"/>
      <c r="P32" s="114"/>
      <c r="Q32" s="94">
        <v>15</v>
      </c>
      <c r="R32" s="102">
        <v>49.948</v>
      </c>
      <c r="S32" s="101">
        <v>45.866</v>
      </c>
      <c r="T32" s="101">
        <v>110.04</v>
      </c>
      <c r="U32" s="113">
        <v>103.38</v>
      </c>
      <c r="V32" s="101">
        <v>50.532000000000004</v>
      </c>
      <c r="W32" s="101">
        <v>46.472000000000001</v>
      </c>
      <c r="X32" s="101">
        <v>111.01999999999998</v>
      </c>
      <c r="Y32" s="113">
        <v>103.52000000000001</v>
      </c>
      <c r="AA32" s="98"/>
      <c r="AB32" s="98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98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</row>
    <row r="33" spans="1:79" x14ac:dyDescent="0.25">
      <c r="A33" s="98"/>
      <c r="B33" s="94">
        <v>20</v>
      </c>
      <c r="C33" s="102">
        <v>49.356000000000002</v>
      </c>
      <c r="D33" s="101">
        <v>45.537999999999997</v>
      </c>
      <c r="E33" s="101">
        <v>109.56000000000002</v>
      </c>
      <c r="F33" s="113">
        <v>102.944</v>
      </c>
      <c r="G33" s="102">
        <v>49.988</v>
      </c>
      <c r="H33" s="101">
        <v>46.108000000000004</v>
      </c>
      <c r="I33" s="101">
        <v>112.05999999999999</v>
      </c>
      <c r="J33" s="113">
        <v>104.82000000000001</v>
      </c>
      <c r="K33" s="101">
        <v>50.44</v>
      </c>
      <c r="L33" s="101">
        <v>46.4</v>
      </c>
      <c r="M33" s="101">
        <v>111.9</v>
      </c>
      <c r="N33" s="113">
        <v>104.84</v>
      </c>
      <c r="O33" s="114"/>
      <c r="P33" s="114"/>
      <c r="Q33" s="94">
        <v>20</v>
      </c>
      <c r="R33" s="102">
        <v>49.948</v>
      </c>
      <c r="S33" s="101">
        <v>45.866</v>
      </c>
      <c r="T33" s="101">
        <v>110.04</v>
      </c>
      <c r="U33" s="113">
        <v>103.38</v>
      </c>
      <c r="V33" s="101">
        <v>50.027999999999999</v>
      </c>
      <c r="W33" s="101">
        <v>45.981999999999999</v>
      </c>
      <c r="X33" s="101">
        <v>109.32000000000001</v>
      </c>
      <c r="Y33" s="113">
        <v>102.246</v>
      </c>
      <c r="AA33" s="98"/>
      <c r="AB33" s="98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98"/>
      <c r="BC33" s="136"/>
      <c r="BD33" s="136"/>
      <c r="BE33" s="136"/>
      <c r="BF33" s="136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6"/>
      <c r="BS33" s="136"/>
      <c r="BT33" s="136"/>
      <c r="BU33" s="136"/>
      <c r="BV33" s="136"/>
      <c r="BW33" s="136"/>
      <c r="BX33" s="136"/>
      <c r="BY33" s="136"/>
      <c r="BZ33" s="136"/>
      <c r="CA33" s="136"/>
    </row>
    <row r="34" spans="1:79" x14ac:dyDescent="0.25">
      <c r="A34" s="98"/>
      <c r="B34" s="94">
        <v>25</v>
      </c>
      <c r="C34" s="102">
        <v>49.3</v>
      </c>
      <c r="D34" s="101">
        <v>45.376000000000005</v>
      </c>
      <c r="E34" s="101">
        <v>109.06000000000002</v>
      </c>
      <c r="F34" s="113">
        <v>102.474</v>
      </c>
      <c r="G34" s="102">
        <v>49.731999999999999</v>
      </c>
      <c r="H34" s="101">
        <v>45.986000000000004</v>
      </c>
      <c r="I34" s="101">
        <v>111.11999999999998</v>
      </c>
      <c r="J34" s="113">
        <v>104.08</v>
      </c>
      <c r="K34" s="101">
        <v>50.471999999999994</v>
      </c>
      <c r="L34" s="101">
        <v>46.65</v>
      </c>
      <c r="M34" s="101">
        <v>111.74000000000001</v>
      </c>
      <c r="N34" s="113">
        <v>104.48600000000002</v>
      </c>
      <c r="O34" s="114"/>
      <c r="P34" s="114"/>
      <c r="Q34" s="94">
        <v>25</v>
      </c>
      <c r="R34" s="102">
        <v>49.932000000000002</v>
      </c>
      <c r="S34" s="101">
        <v>45.878</v>
      </c>
      <c r="T34" s="101">
        <v>109.92</v>
      </c>
      <c r="U34" s="113">
        <v>103.12</v>
      </c>
      <c r="V34" s="101">
        <v>50.008000000000003</v>
      </c>
      <c r="W34" s="101">
        <v>46.154000000000003</v>
      </c>
      <c r="X34" s="101">
        <v>109.38</v>
      </c>
      <c r="Y34" s="113">
        <v>102.188</v>
      </c>
      <c r="AA34" s="98"/>
      <c r="AB34" s="98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98"/>
      <c r="BC34" s="136"/>
      <c r="BD34" s="136"/>
      <c r="BE34" s="136"/>
      <c r="BF34" s="136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6"/>
      <c r="BS34" s="136"/>
      <c r="BT34" s="136"/>
      <c r="BU34" s="136"/>
      <c r="BV34" s="136"/>
      <c r="BW34" s="136"/>
      <c r="BX34" s="136"/>
      <c r="BY34" s="136"/>
      <c r="BZ34" s="136"/>
      <c r="CA34" s="136"/>
    </row>
    <row r="35" spans="1:79" x14ac:dyDescent="0.25">
      <c r="A35" s="98"/>
      <c r="B35" s="94">
        <v>30</v>
      </c>
      <c r="C35" s="102">
        <v>49.3</v>
      </c>
      <c r="D35" s="101">
        <v>45.376000000000005</v>
      </c>
      <c r="E35" s="101">
        <v>109.06000000000002</v>
      </c>
      <c r="F35" s="113">
        <v>102.474</v>
      </c>
      <c r="G35" s="102">
        <v>49.480000000000004</v>
      </c>
      <c r="H35" s="101">
        <v>45.65</v>
      </c>
      <c r="I35" s="101">
        <v>110.41999999999999</v>
      </c>
      <c r="J35" s="113">
        <v>103.2</v>
      </c>
      <c r="K35" s="101">
        <v>49.887999999999998</v>
      </c>
      <c r="L35" s="101">
        <v>45.802</v>
      </c>
      <c r="M35" s="101">
        <v>110.53999999999999</v>
      </c>
      <c r="N35" s="113">
        <v>103.542</v>
      </c>
      <c r="O35" s="96"/>
      <c r="P35" s="114"/>
      <c r="Q35" s="94">
        <v>30</v>
      </c>
      <c r="R35" s="102">
        <v>49.928000000000004</v>
      </c>
      <c r="S35" s="101">
        <v>45.887999999999998</v>
      </c>
      <c r="T35" s="101">
        <v>109.9</v>
      </c>
      <c r="U35" s="113">
        <v>103.32000000000001</v>
      </c>
      <c r="V35" s="101">
        <v>50</v>
      </c>
      <c r="W35" s="101">
        <v>45.896000000000001</v>
      </c>
      <c r="X35" s="101">
        <v>109.05999999999999</v>
      </c>
      <c r="Y35" s="113">
        <v>101.75399999999999</v>
      </c>
      <c r="AA35" s="98"/>
      <c r="AB35" s="98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98"/>
      <c r="BC35" s="136"/>
      <c r="BD35" s="136"/>
      <c r="BE35" s="136"/>
      <c r="BF35" s="136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6"/>
      <c r="BU35" s="136"/>
      <c r="BV35" s="136"/>
      <c r="BW35" s="136"/>
      <c r="BX35" s="136"/>
      <c r="BY35" s="136"/>
      <c r="BZ35" s="136"/>
      <c r="CA35" s="136"/>
    </row>
    <row r="36" spans="1:79" x14ac:dyDescent="0.25">
      <c r="A36" s="98"/>
      <c r="B36" s="94">
        <v>35</v>
      </c>
      <c r="C36" s="102">
        <v>49.3</v>
      </c>
      <c r="D36" s="101">
        <v>45.376000000000005</v>
      </c>
      <c r="E36" s="101">
        <v>109.06000000000002</v>
      </c>
      <c r="F36" s="113">
        <v>102.474</v>
      </c>
      <c r="G36" s="102">
        <v>49.528000000000006</v>
      </c>
      <c r="H36" s="101">
        <v>45.688000000000002</v>
      </c>
      <c r="I36" s="101">
        <v>110.3</v>
      </c>
      <c r="J36" s="113">
        <v>103.25999999999999</v>
      </c>
      <c r="K36" s="101">
        <v>49.887999999999998</v>
      </c>
      <c r="L36" s="101">
        <v>45.802</v>
      </c>
      <c r="M36" s="101">
        <v>110.53999999999999</v>
      </c>
      <c r="N36" s="113">
        <v>103.542</v>
      </c>
      <c r="O36" s="96"/>
      <c r="P36" s="114"/>
      <c r="Q36" s="94">
        <v>35</v>
      </c>
      <c r="R36" s="102">
        <v>49.928000000000004</v>
      </c>
      <c r="S36" s="101">
        <v>45.887999999999998</v>
      </c>
      <c r="T36" s="101">
        <v>109.9</v>
      </c>
      <c r="U36" s="113">
        <v>103.32000000000001</v>
      </c>
      <c r="V36" s="101">
        <v>49.856000000000009</v>
      </c>
      <c r="W36" s="101">
        <v>45.795999999999999</v>
      </c>
      <c r="X36" s="101">
        <v>108.5</v>
      </c>
      <c r="Y36" s="113">
        <v>101.408</v>
      </c>
      <c r="AA36" s="98"/>
      <c r="AB36" s="98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98"/>
      <c r="BC36" s="136"/>
      <c r="BD36" s="136"/>
      <c r="BE36" s="136"/>
      <c r="BF36" s="136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6"/>
      <c r="BS36" s="136"/>
      <c r="BT36" s="136"/>
      <c r="BU36" s="136"/>
      <c r="BV36" s="136"/>
      <c r="BW36" s="136"/>
      <c r="BX36" s="136"/>
      <c r="BY36" s="136"/>
      <c r="BZ36" s="136"/>
      <c r="CA36" s="136"/>
    </row>
    <row r="37" spans="1:79" x14ac:dyDescent="0.25">
      <c r="A37" s="98"/>
      <c r="B37" s="94">
        <v>40</v>
      </c>
      <c r="C37" s="102">
        <v>49.3</v>
      </c>
      <c r="D37" s="101">
        <v>45.376000000000005</v>
      </c>
      <c r="E37" s="101">
        <v>109.06000000000002</v>
      </c>
      <c r="F37" s="113">
        <v>102.474</v>
      </c>
      <c r="G37" s="102">
        <v>49.531999999999996</v>
      </c>
      <c r="H37" s="101">
        <v>45.724000000000004</v>
      </c>
      <c r="I37" s="101">
        <v>110.2</v>
      </c>
      <c r="J37" s="113">
        <v>102.85999999999999</v>
      </c>
      <c r="K37" s="101">
        <v>49.751999999999995</v>
      </c>
      <c r="L37" s="101">
        <v>45.595999999999989</v>
      </c>
      <c r="M37" s="101">
        <v>110.25999999999999</v>
      </c>
      <c r="N37" s="113">
        <v>103.18199999999999</v>
      </c>
      <c r="O37" s="96"/>
      <c r="P37" s="114"/>
      <c r="Q37" s="94">
        <v>40</v>
      </c>
      <c r="R37" s="102">
        <v>49.928000000000004</v>
      </c>
      <c r="S37" s="101">
        <v>45.887999999999998</v>
      </c>
      <c r="T37" s="101">
        <v>109.9</v>
      </c>
      <c r="U37" s="113">
        <v>103.32000000000001</v>
      </c>
      <c r="V37" s="101">
        <v>49.856000000000009</v>
      </c>
      <c r="W37" s="101">
        <v>45.795999999999999</v>
      </c>
      <c r="X37" s="101">
        <v>108.5</v>
      </c>
      <c r="Y37" s="113">
        <v>101.408</v>
      </c>
      <c r="Z37" s="98"/>
      <c r="AA37" s="98"/>
      <c r="AB37" s="98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98"/>
      <c r="BC37" s="136"/>
      <c r="BD37" s="136"/>
      <c r="BE37" s="136"/>
      <c r="BF37" s="136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6"/>
      <c r="BS37" s="136"/>
      <c r="BT37" s="136"/>
      <c r="BU37" s="136"/>
      <c r="BV37" s="136"/>
      <c r="BW37" s="136"/>
      <c r="BX37" s="136"/>
      <c r="BY37" s="136"/>
      <c r="BZ37" s="136"/>
      <c r="CA37" s="136"/>
    </row>
    <row r="38" spans="1:79" x14ac:dyDescent="0.25">
      <c r="A38" s="98"/>
      <c r="B38" s="94">
        <v>45</v>
      </c>
      <c r="C38" s="102">
        <v>49.3</v>
      </c>
      <c r="D38" s="101">
        <v>45.376000000000005</v>
      </c>
      <c r="E38" s="101">
        <v>109.06000000000002</v>
      </c>
      <c r="F38" s="113">
        <v>102.474</v>
      </c>
      <c r="G38" s="102">
        <v>49.531999999999996</v>
      </c>
      <c r="H38" s="101">
        <v>45.724000000000004</v>
      </c>
      <c r="I38" s="101">
        <v>110.2</v>
      </c>
      <c r="J38" s="113">
        <v>102.85999999999999</v>
      </c>
      <c r="K38" s="101">
        <v>49.612000000000002</v>
      </c>
      <c r="L38" s="101">
        <v>45.552</v>
      </c>
      <c r="M38" s="101">
        <v>109.4</v>
      </c>
      <c r="N38" s="113">
        <v>102.05399999999999</v>
      </c>
      <c r="O38" s="96"/>
      <c r="P38" s="114"/>
      <c r="Q38" s="94">
        <v>45</v>
      </c>
      <c r="R38" s="102">
        <v>49.928000000000004</v>
      </c>
      <c r="S38" s="101">
        <v>45.887999999999998</v>
      </c>
      <c r="T38" s="101">
        <v>109.9</v>
      </c>
      <c r="U38" s="113">
        <v>103.32000000000001</v>
      </c>
      <c r="V38" s="101">
        <v>49.856000000000009</v>
      </c>
      <c r="W38" s="101">
        <v>45.795999999999999</v>
      </c>
      <c r="X38" s="101">
        <v>108.5</v>
      </c>
      <c r="Y38" s="113">
        <v>101.408</v>
      </c>
      <c r="Z38" s="99"/>
      <c r="AA38" s="98"/>
      <c r="AB38" s="98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98"/>
      <c r="BC38" s="136"/>
      <c r="BD38" s="136"/>
      <c r="BE38" s="136"/>
      <c r="BF38" s="136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6"/>
      <c r="BU38" s="136"/>
      <c r="BV38" s="136"/>
      <c r="BW38" s="136"/>
      <c r="BX38" s="136"/>
      <c r="BY38" s="136"/>
      <c r="BZ38" s="136"/>
      <c r="CA38" s="136"/>
    </row>
    <row r="39" spans="1:79" ht="15.75" thickBot="1" x14ac:dyDescent="0.3">
      <c r="A39" s="98"/>
      <c r="B39" s="106">
        <v>50</v>
      </c>
      <c r="C39" s="118">
        <v>49.3</v>
      </c>
      <c r="D39" s="119">
        <v>45.376000000000005</v>
      </c>
      <c r="E39" s="119">
        <v>109.06000000000002</v>
      </c>
      <c r="F39" s="120">
        <v>102.474</v>
      </c>
      <c r="G39" s="118">
        <v>49.531999999999996</v>
      </c>
      <c r="H39" s="119">
        <v>45.724000000000004</v>
      </c>
      <c r="I39" s="119">
        <v>110.2</v>
      </c>
      <c r="J39" s="120">
        <v>102.85999999999999</v>
      </c>
      <c r="K39" s="101">
        <v>49.612000000000002</v>
      </c>
      <c r="L39" s="101">
        <v>45.552</v>
      </c>
      <c r="M39" s="101">
        <v>109.4</v>
      </c>
      <c r="N39" s="113">
        <v>102.05399999999999</v>
      </c>
      <c r="O39" s="96"/>
      <c r="P39" s="114"/>
      <c r="Q39" s="106">
        <v>50</v>
      </c>
      <c r="R39" s="118">
        <v>49.928000000000004</v>
      </c>
      <c r="S39" s="119">
        <v>45.887999999999998</v>
      </c>
      <c r="T39" s="119">
        <v>109.9</v>
      </c>
      <c r="U39" s="120">
        <v>103.32000000000001</v>
      </c>
      <c r="V39" s="119">
        <v>49.88000000000001</v>
      </c>
      <c r="W39" s="119">
        <v>45.730000000000004</v>
      </c>
      <c r="X39" s="119">
        <v>108.4</v>
      </c>
      <c r="Y39" s="120">
        <v>101.268</v>
      </c>
      <c r="Z39" s="43"/>
      <c r="AA39" s="98"/>
      <c r="AB39" s="98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98"/>
      <c r="BC39" s="136"/>
      <c r="BD39" s="136"/>
      <c r="BE39" s="136"/>
      <c r="BF39" s="136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6"/>
      <c r="BS39" s="136"/>
      <c r="BT39" s="136"/>
      <c r="BU39" s="136"/>
      <c r="BV39" s="136"/>
      <c r="BW39" s="136"/>
      <c r="BX39" s="136"/>
      <c r="BY39" s="136"/>
      <c r="BZ39" s="136"/>
      <c r="CA39" s="136"/>
    </row>
    <row r="40" spans="1:79" x14ac:dyDescent="0.25">
      <c r="A40" s="98"/>
      <c r="B40" s="94">
        <v>51</v>
      </c>
      <c r="C40" s="300"/>
      <c r="D40" s="301"/>
      <c r="E40" s="301"/>
      <c r="F40" s="302"/>
      <c r="G40" s="109">
        <v>48.34</v>
      </c>
      <c r="H40" s="109">
        <v>44.29</v>
      </c>
      <c r="I40" s="109">
        <v>105.3</v>
      </c>
      <c r="J40" s="109">
        <v>98.41</v>
      </c>
      <c r="K40" s="121"/>
      <c r="L40" s="122"/>
      <c r="M40" s="122"/>
      <c r="N40" s="123"/>
      <c r="O40" s="96"/>
      <c r="P40" s="114"/>
      <c r="Q40" s="94">
        <v>51</v>
      </c>
      <c r="R40" s="303"/>
      <c r="S40" s="304"/>
      <c r="T40" s="304"/>
      <c r="U40" s="305"/>
      <c r="V40" s="102">
        <v>48.7</v>
      </c>
      <c r="W40" s="101">
        <v>44.38</v>
      </c>
      <c r="X40" s="101">
        <v>104.8</v>
      </c>
      <c r="Y40" s="113">
        <v>97.36</v>
      </c>
      <c r="Z40" s="98"/>
      <c r="AA40" s="98"/>
      <c r="AB40" s="98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98"/>
      <c r="BC40" s="136"/>
      <c r="BD40" s="136"/>
      <c r="BE40" s="136"/>
      <c r="BF40" s="136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6"/>
      <c r="BU40" s="136"/>
      <c r="BV40" s="136"/>
      <c r="BW40" s="136"/>
      <c r="BX40" s="136"/>
      <c r="BY40" s="136"/>
      <c r="BZ40" s="136"/>
      <c r="CA40" s="136"/>
    </row>
    <row r="41" spans="1:79" x14ac:dyDescent="0.25">
      <c r="A41" s="98"/>
      <c r="B41" s="94">
        <v>55</v>
      </c>
      <c r="C41" s="303"/>
      <c r="D41" s="304"/>
      <c r="E41" s="304"/>
      <c r="F41" s="305"/>
      <c r="G41" s="109">
        <v>48.34</v>
      </c>
      <c r="H41" s="109">
        <v>44.29</v>
      </c>
      <c r="I41" s="109">
        <v>105.3</v>
      </c>
      <c r="J41" s="109">
        <v>98.41</v>
      </c>
      <c r="K41" s="127"/>
      <c r="L41" s="101"/>
      <c r="M41" s="101"/>
      <c r="N41" s="128"/>
      <c r="O41" s="96"/>
      <c r="P41" s="114"/>
      <c r="Q41" s="94">
        <v>55</v>
      </c>
      <c r="R41" s="303"/>
      <c r="S41" s="304"/>
      <c r="T41" s="304"/>
      <c r="U41" s="305"/>
      <c r="V41" s="102">
        <v>48.624000000000002</v>
      </c>
      <c r="W41" s="101">
        <v>44.323999999999998</v>
      </c>
      <c r="X41" s="101">
        <v>104.75999999999999</v>
      </c>
      <c r="Y41" s="113">
        <v>97.405999999999992</v>
      </c>
      <c r="Z41" s="98"/>
      <c r="AA41" s="98"/>
      <c r="AB41" s="98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98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</row>
    <row r="42" spans="1:79" x14ac:dyDescent="0.25">
      <c r="A42" s="98"/>
      <c r="B42" s="94">
        <v>60</v>
      </c>
      <c r="C42" s="303"/>
      <c r="D42" s="304"/>
      <c r="E42" s="304"/>
      <c r="F42" s="305"/>
      <c r="G42" s="109">
        <v>48.34</v>
      </c>
      <c r="H42" s="109">
        <v>44.29</v>
      </c>
      <c r="I42" s="109">
        <v>105.3</v>
      </c>
      <c r="J42" s="109">
        <v>98.41</v>
      </c>
      <c r="K42" s="127"/>
      <c r="L42" s="101"/>
      <c r="M42" s="101"/>
      <c r="N42" s="128"/>
      <c r="O42" s="96"/>
      <c r="P42" s="114"/>
      <c r="Q42" s="94">
        <v>60</v>
      </c>
      <c r="R42" s="303"/>
      <c r="S42" s="304"/>
      <c r="T42" s="304"/>
      <c r="U42" s="305"/>
      <c r="V42" s="102">
        <v>48.624000000000002</v>
      </c>
      <c r="W42" s="101">
        <v>44.323999999999998</v>
      </c>
      <c r="X42" s="101">
        <v>104.75999999999999</v>
      </c>
      <c r="Y42" s="113">
        <v>97.405999999999992</v>
      </c>
      <c r="Z42" s="98"/>
      <c r="AA42" s="98"/>
      <c r="AB42" s="98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98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</row>
    <row r="43" spans="1:79" x14ac:dyDescent="0.25">
      <c r="A43" s="98"/>
      <c r="B43" s="94">
        <v>65</v>
      </c>
      <c r="C43" s="303"/>
      <c r="D43" s="304"/>
      <c r="E43" s="304"/>
      <c r="F43" s="305"/>
      <c r="G43" s="109">
        <v>48.34</v>
      </c>
      <c r="H43" s="109">
        <v>44.29</v>
      </c>
      <c r="I43" s="109">
        <v>105.3</v>
      </c>
      <c r="J43" s="109">
        <v>98.41</v>
      </c>
      <c r="K43" s="127"/>
      <c r="L43" s="101"/>
      <c r="M43" s="101"/>
      <c r="N43" s="128"/>
      <c r="O43" s="96"/>
      <c r="P43" s="114"/>
      <c r="Q43" s="94">
        <v>65</v>
      </c>
      <c r="R43" s="303"/>
      <c r="S43" s="304"/>
      <c r="T43" s="304"/>
      <c r="U43" s="305"/>
      <c r="V43" s="102">
        <v>48.624000000000002</v>
      </c>
      <c r="W43" s="101">
        <v>44.323999999999998</v>
      </c>
      <c r="X43" s="101">
        <v>104.75999999999999</v>
      </c>
      <c r="Y43" s="113">
        <v>97.405999999999992</v>
      </c>
      <c r="Z43" s="98"/>
      <c r="AA43" s="98"/>
      <c r="AB43" s="98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98"/>
      <c r="BC43" s="136"/>
      <c r="BD43" s="136"/>
      <c r="BE43" s="136"/>
      <c r="BF43" s="136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  <c r="BU43" s="136"/>
      <c r="BV43" s="136"/>
      <c r="BW43" s="136"/>
      <c r="BX43" s="136"/>
      <c r="BY43" s="136"/>
      <c r="BZ43" s="136"/>
      <c r="CA43" s="136"/>
    </row>
    <row r="44" spans="1:79" x14ac:dyDescent="0.25">
      <c r="A44" s="98"/>
      <c r="B44" s="94">
        <v>70</v>
      </c>
      <c r="C44" s="303"/>
      <c r="D44" s="304"/>
      <c r="E44" s="304"/>
      <c r="F44" s="305"/>
      <c r="G44" s="109">
        <v>48.34</v>
      </c>
      <c r="H44" s="109">
        <v>44.29</v>
      </c>
      <c r="I44" s="109">
        <v>105.3</v>
      </c>
      <c r="J44" s="109">
        <v>98.41</v>
      </c>
      <c r="K44" s="127"/>
      <c r="L44" s="101"/>
      <c r="M44" s="101"/>
      <c r="N44" s="128"/>
      <c r="O44" s="96"/>
      <c r="P44" s="114"/>
      <c r="Q44" s="94">
        <v>70</v>
      </c>
      <c r="R44" s="303"/>
      <c r="S44" s="304"/>
      <c r="T44" s="304"/>
      <c r="U44" s="305"/>
      <c r="V44" s="102">
        <v>48.536000000000001</v>
      </c>
      <c r="W44" s="101">
        <v>44.242000000000004</v>
      </c>
      <c r="X44" s="101">
        <v>104.46</v>
      </c>
      <c r="Y44" s="113">
        <v>97.015999999999991</v>
      </c>
      <c r="Z44" s="98"/>
      <c r="AA44" s="98"/>
      <c r="AB44" s="98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98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</row>
    <row r="45" spans="1:79" x14ac:dyDescent="0.25">
      <c r="A45" s="98"/>
      <c r="B45" s="94">
        <v>75</v>
      </c>
      <c r="C45" s="303"/>
      <c r="D45" s="304"/>
      <c r="E45" s="304"/>
      <c r="F45" s="305"/>
      <c r="G45" s="109">
        <v>48.34</v>
      </c>
      <c r="H45" s="109">
        <v>44.29</v>
      </c>
      <c r="I45" s="109">
        <v>105.3</v>
      </c>
      <c r="J45" s="109">
        <v>98.41</v>
      </c>
      <c r="K45" s="127"/>
      <c r="L45" s="101"/>
      <c r="M45" s="101"/>
      <c r="N45" s="128"/>
      <c r="O45" s="96"/>
      <c r="P45" s="114"/>
      <c r="Q45" s="94">
        <v>75</v>
      </c>
      <c r="R45" s="303"/>
      <c r="S45" s="304"/>
      <c r="T45" s="304"/>
      <c r="U45" s="305"/>
      <c r="V45" s="102">
        <v>48.536000000000001</v>
      </c>
      <c r="W45" s="101">
        <v>44.242000000000004</v>
      </c>
      <c r="X45" s="101">
        <v>104.46</v>
      </c>
      <c r="Y45" s="113">
        <v>97.015999999999991</v>
      </c>
      <c r="Z45" s="98"/>
      <c r="AA45" s="98"/>
      <c r="AB45" s="98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98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</row>
    <row r="46" spans="1:79" ht="15.75" thickBot="1" x14ac:dyDescent="0.3">
      <c r="A46" s="98"/>
      <c r="B46" s="95">
        <v>80</v>
      </c>
      <c r="C46" s="306"/>
      <c r="D46" s="307"/>
      <c r="E46" s="307"/>
      <c r="F46" s="308"/>
      <c r="G46" s="110">
        <v>48.34</v>
      </c>
      <c r="H46" s="111">
        <v>44.29</v>
      </c>
      <c r="I46" s="111">
        <v>105.3</v>
      </c>
      <c r="J46" s="112">
        <v>98.41</v>
      </c>
      <c r="K46" s="130"/>
      <c r="L46" s="111"/>
      <c r="M46" s="111"/>
      <c r="N46" s="112"/>
      <c r="O46" s="96"/>
      <c r="P46" s="114"/>
      <c r="Q46" s="95">
        <v>80</v>
      </c>
      <c r="R46" s="306"/>
      <c r="S46" s="307"/>
      <c r="T46" s="307"/>
      <c r="U46" s="308"/>
      <c r="V46" s="103">
        <v>48.536000000000001</v>
      </c>
      <c r="W46" s="131">
        <v>44.242000000000004</v>
      </c>
      <c r="X46" s="131">
        <v>104.46</v>
      </c>
      <c r="Y46" s="132">
        <v>97.015999999999991</v>
      </c>
      <c r="Z46" s="98"/>
      <c r="AA46" s="98"/>
      <c r="AB46" s="98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98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</row>
    <row r="47" spans="1:79" x14ac:dyDescent="0.25">
      <c r="A47" s="98"/>
      <c r="O47" s="37"/>
      <c r="Z47" s="98"/>
      <c r="AA47" s="98"/>
      <c r="AB47" s="98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98"/>
      <c r="BC47" s="136"/>
      <c r="BD47" s="136"/>
      <c r="BE47" s="136"/>
      <c r="BF47" s="136"/>
      <c r="BG47" s="136"/>
      <c r="BH47" s="136"/>
      <c r="BI47" s="136"/>
      <c r="BJ47" s="136"/>
      <c r="BK47" s="136"/>
      <c r="BL47" s="136"/>
      <c r="BM47" s="136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</row>
    <row r="48" spans="1:79" x14ac:dyDescent="0.25">
      <c r="A48" s="98"/>
      <c r="O48" s="37"/>
      <c r="Z48" s="98"/>
      <c r="AA48" s="98"/>
      <c r="AB48" s="98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98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</row>
    <row r="49" spans="1:79" x14ac:dyDescent="0.25">
      <c r="A49" s="98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98"/>
      <c r="AB49" s="98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98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</row>
    <row r="50" spans="1:79" x14ac:dyDescent="0.25">
      <c r="A50" s="98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98"/>
      <c r="AB50" s="98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98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6"/>
      <c r="BS50" s="136"/>
      <c r="BT50" s="136"/>
      <c r="BU50" s="136"/>
      <c r="BV50" s="136"/>
      <c r="BW50" s="136"/>
      <c r="BX50" s="136"/>
      <c r="BY50" s="136"/>
      <c r="BZ50" s="136"/>
      <c r="CA50" s="136"/>
    </row>
    <row r="51" spans="1:79" x14ac:dyDescent="0.25">
      <c r="A51" s="98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98"/>
      <c r="AB51" s="98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6"/>
      <c r="BA51" s="136"/>
      <c r="BB51" s="98"/>
      <c r="BC51" s="136"/>
      <c r="BD51" s="136"/>
      <c r="BE51" s="136"/>
      <c r="BF51" s="136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6"/>
      <c r="BS51" s="136"/>
      <c r="BT51" s="136"/>
      <c r="BU51" s="136"/>
      <c r="BV51" s="136"/>
      <c r="BW51" s="136"/>
      <c r="BX51" s="136"/>
      <c r="BY51" s="136"/>
      <c r="BZ51" s="136"/>
      <c r="CA51" s="136"/>
    </row>
    <row r="52" spans="1:79" x14ac:dyDescent="0.25">
      <c r="A52" s="98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98"/>
      <c r="AB52" s="98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98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6"/>
      <c r="BS52" s="136"/>
      <c r="BT52" s="136"/>
      <c r="BU52" s="136"/>
      <c r="BV52" s="136"/>
      <c r="BW52" s="136"/>
      <c r="BX52" s="136"/>
      <c r="BY52" s="136"/>
      <c r="BZ52" s="136"/>
      <c r="CA52" s="136"/>
    </row>
    <row r="53" spans="1:79" x14ac:dyDescent="0.25">
      <c r="A53" s="98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98"/>
      <c r="AB53" s="98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98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6"/>
      <c r="BS53" s="136"/>
      <c r="BT53" s="136"/>
      <c r="BU53" s="136"/>
      <c r="BV53" s="136"/>
      <c r="BW53" s="136"/>
      <c r="BX53" s="136"/>
      <c r="BY53" s="136"/>
      <c r="BZ53" s="136"/>
      <c r="CA53" s="136"/>
    </row>
    <row r="54" spans="1:79" x14ac:dyDescent="0.25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6"/>
      <c r="BS54" s="136"/>
      <c r="BT54" s="136"/>
      <c r="BU54" s="136"/>
      <c r="BV54" s="136"/>
      <c r="BW54" s="136"/>
      <c r="BX54" s="136"/>
      <c r="BY54" s="136"/>
      <c r="BZ54" s="136"/>
      <c r="CA54" s="136"/>
    </row>
    <row r="72" spans="26:28" x14ac:dyDescent="0.25">
      <c r="Z72" s="98"/>
      <c r="AA72" s="98"/>
      <c r="AB72" s="98"/>
    </row>
    <row r="73" spans="26:28" x14ac:dyDescent="0.25">
      <c r="Z73" s="98"/>
      <c r="AA73" s="98"/>
      <c r="AB73" s="98"/>
    </row>
    <row r="74" spans="26:28" x14ac:dyDescent="0.25">
      <c r="Z74" s="99"/>
      <c r="AA74" s="99"/>
      <c r="AB74" s="99"/>
    </row>
    <row r="75" spans="26:28" x14ac:dyDescent="0.25">
      <c r="Z75" s="43"/>
      <c r="AA75" s="43"/>
      <c r="AB75" s="43"/>
    </row>
    <row r="76" spans="26:28" x14ac:dyDescent="0.25">
      <c r="Z76" s="98"/>
      <c r="AA76" s="98"/>
      <c r="AB76" s="98"/>
    </row>
    <row r="77" spans="26:28" x14ac:dyDescent="0.25">
      <c r="Z77" s="98"/>
      <c r="AA77" s="98"/>
      <c r="AB77" s="98"/>
    </row>
    <row r="78" spans="26:28" x14ac:dyDescent="0.25">
      <c r="Z78" s="98"/>
      <c r="AA78" s="98"/>
      <c r="AB78" s="98"/>
    </row>
    <row r="79" spans="26:28" x14ac:dyDescent="0.25">
      <c r="Z79" s="98"/>
      <c r="AA79" s="98"/>
      <c r="AB79" s="98"/>
    </row>
    <row r="80" spans="26:28" x14ac:dyDescent="0.25">
      <c r="Z80" s="98"/>
      <c r="AA80" s="98"/>
      <c r="AB80" s="98"/>
    </row>
    <row r="81" spans="26:28" x14ac:dyDescent="0.25">
      <c r="Z81" s="98"/>
      <c r="AA81" s="98"/>
      <c r="AB81" s="98"/>
    </row>
    <row r="82" spans="26:28" x14ac:dyDescent="0.25">
      <c r="Z82" s="98"/>
      <c r="AA82" s="98"/>
      <c r="AB82" s="98"/>
    </row>
    <row r="83" spans="26:28" x14ac:dyDescent="0.25">
      <c r="Z83" s="98"/>
      <c r="AA83" s="98"/>
      <c r="AB83" s="98"/>
    </row>
    <row r="84" spans="26:28" x14ac:dyDescent="0.25">
      <c r="Z84" s="98"/>
      <c r="AA84" s="98"/>
      <c r="AB84" s="98"/>
    </row>
    <row r="85" spans="26:28" x14ac:dyDescent="0.25">
      <c r="Z85" s="98"/>
      <c r="AA85" s="98"/>
      <c r="AB85" s="98"/>
    </row>
    <row r="86" spans="26:28" x14ac:dyDescent="0.25">
      <c r="Z86" s="98"/>
      <c r="AA86" s="98"/>
      <c r="AB86" s="98"/>
    </row>
    <row r="87" spans="26:28" x14ac:dyDescent="0.25">
      <c r="Z87" s="98"/>
      <c r="AA87" s="98"/>
      <c r="AB87" s="98"/>
    </row>
    <row r="88" spans="26:28" x14ac:dyDescent="0.25">
      <c r="Z88" s="98"/>
      <c r="AA88" s="98"/>
      <c r="AB88" s="98"/>
    </row>
    <row r="103" spans="1:25" x14ac:dyDescent="0.25">
      <c r="N103" s="37"/>
      <c r="Y103" s="98"/>
    </row>
    <row r="104" spans="1:25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Y104" s="98"/>
    </row>
    <row r="105" spans="1:25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Y105" s="98"/>
    </row>
    <row r="106" spans="1:25" x14ac:dyDescent="0.25">
      <c r="N106" s="37"/>
      <c r="Y106" s="98"/>
    </row>
    <row r="107" spans="1:25" x14ac:dyDescent="0.25">
      <c r="N107" s="37"/>
    </row>
    <row r="108" spans="1:25" x14ac:dyDescent="0.25">
      <c r="N108" s="37"/>
    </row>
    <row r="109" spans="1:25" x14ac:dyDescent="0.25">
      <c r="N109" s="37"/>
    </row>
    <row r="110" spans="1:25" x14ac:dyDescent="0.25">
      <c r="N110" s="37"/>
    </row>
    <row r="111" spans="1:25" x14ac:dyDescent="0.25">
      <c r="N111" s="37"/>
    </row>
  </sheetData>
  <mergeCells count="27">
    <mergeCell ref="C40:F46"/>
    <mergeCell ref="V17:Y23"/>
    <mergeCell ref="R40:U46"/>
    <mergeCell ref="G17:J23"/>
    <mergeCell ref="BC3:CA3"/>
    <mergeCell ref="BD4:BG4"/>
    <mergeCell ref="BH4:BK4"/>
    <mergeCell ref="BL4:BO4"/>
    <mergeCell ref="BP4:BS4"/>
    <mergeCell ref="BT4:BW4"/>
    <mergeCell ref="BX4:CA4"/>
    <mergeCell ref="AT3:AW3"/>
    <mergeCell ref="AX3:BA3"/>
    <mergeCell ref="B27:N27"/>
    <mergeCell ref="C28:F28"/>
    <mergeCell ref="G28:J28"/>
    <mergeCell ref="K28:N28"/>
    <mergeCell ref="G5:J5"/>
    <mergeCell ref="C5:F5"/>
    <mergeCell ref="K5:N5"/>
    <mergeCell ref="B4:N4"/>
    <mergeCell ref="R5:U5"/>
    <mergeCell ref="V5:Y5"/>
    <mergeCell ref="Q4:Y4"/>
    <mergeCell ref="Q27:Y27"/>
    <mergeCell ref="R28:U28"/>
    <mergeCell ref="V28:Y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TEMPI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2020-06-25T18:19:57Z</dcterms:modified>
</cp:coreProperties>
</file>