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0D263227-67BD-4273-8EFB-3E8E0646337C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VIB3" sheetId="1" r:id="rId1"/>
    <sheet name="WACC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3" i="1" l="1"/>
  <c r="L62" i="1"/>
  <c r="D62" i="1"/>
  <c r="I46" i="1"/>
  <c r="I44" i="1"/>
  <c r="J44" i="1"/>
  <c r="K44" i="1"/>
  <c r="I41" i="1"/>
  <c r="J41" i="1"/>
  <c r="K41" i="1"/>
  <c r="L17" i="1"/>
  <c r="M17" i="1"/>
  <c r="N17" i="1" s="1"/>
  <c r="O17" i="1" s="1"/>
  <c r="P17" i="1" s="1"/>
  <c r="Q17" i="1" s="1"/>
  <c r="R17" i="1" s="1"/>
  <c r="K17" i="1"/>
  <c r="J27" i="1"/>
  <c r="I27" i="1"/>
  <c r="I33" i="1"/>
  <c r="J14" i="1"/>
  <c r="I14" i="1"/>
  <c r="C23" i="1"/>
  <c r="D23" i="1"/>
  <c r="E23" i="1"/>
  <c r="C53" i="1"/>
  <c r="D53" i="1"/>
  <c r="E53" i="1"/>
  <c r="E33" i="1"/>
  <c r="C29" i="1"/>
  <c r="D29" i="1"/>
  <c r="E29" i="1"/>
  <c r="C28" i="1"/>
  <c r="D28" i="1"/>
  <c r="E28" i="1"/>
  <c r="E31" i="1"/>
  <c r="E49" i="1"/>
  <c r="C49" i="1"/>
  <c r="D49" i="1"/>
  <c r="C44" i="1"/>
  <c r="D44" i="1"/>
  <c r="E44" i="1"/>
  <c r="C41" i="1"/>
  <c r="D41" i="1"/>
  <c r="E41" i="1"/>
  <c r="E37" i="1"/>
  <c r="D31" i="1"/>
  <c r="C31" i="1"/>
  <c r="C33" i="1"/>
  <c r="D33" i="1"/>
  <c r="D37" i="1"/>
  <c r="C27" i="1"/>
  <c r="D27" i="1"/>
  <c r="E27" i="1"/>
  <c r="C25" i="1"/>
  <c r="D25" i="1"/>
  <c r="E25" i="1"/>
  <c r="F27" i="1"/>
  <c r="C20" i="1"/>
  <c r="D20" i="1"/>
  <c r="E20" i="1"/>
  <c r="C17" i="1"/>
  <c r="D17" i="1"/>
  <c r="E17" i="1"/>
  <c r="C16" i="1"/>
  <c r="D12" i="1"/>
  <c r="D16" i="1"/>
  <c r="E16" i="1"/>
  <c r="E12" i="1"/>
  <c r="H46" i="1"/>
  <c r="G46" i="1"/>
  <c r="F46" i="1"/>
  <c r="G28" i="1"/>
  <c r="H28" i="1"/>
  <c r="F28" i="1"/>
  <c r="G31" i="1"/>
  <c r="H31" i="1"/>
  <c r="F31" i="1"/>
  <c r="F33" i="1"/>
  <c r="G27" i="1"/>
  <c r="H27" i="1"/>
  <c r="F25" i="1"/>
  <c r="G16" i="1"/>
  <c r="H16" i="1"/>
  <c r="F16" i="1"/>
  <c r="I11" i="1"/>
  <c r="I22" i="1" s="1"/>
  <c r="G25" i="1"/>
  <c r="H25" i="1"/>
  <c r="G17" i="1"/>
  <c r="F17" i="1"/>
  <c r="L60" i="1"/>
  <c r="L59" i="1" s="1"/>
  <c r="D63" i="1"/>
  <c r="C12" i="2" s="1"/>
  <c r="G12" i="2"/>
  <c r="C14" i="2"/>
  <c r="J9" i="1"/>
  <c r="K9" i="1" s="1"/>
  <c r="L9" i="1" s="1"/>
  <c r="M9" i="1" s="1"/>
  <c r="N9" i="1" s="1"/>
  <c r="O9" i="1" s="1"/>
  <c r="P9" i="1" s="1"/>
  <c r="Q9" i="1" s="1"/>
  <c r="R9" i="1" s="1"/>
  <c r="H17" i="1" l="1"/>
  <c r="J11" i="1"/>
  <c r="J22" i="1" s="1"/>
  <c r="G23" i="1"/>
  <c r="H23" i="1"/>
  <c r="F23" i="1"/>
  <c r="F12" i="1"/>
  <c r="F20" i="1"/>
  <c r="H29" i="1"/>
  <c r="F29" i="1"/>
  <c r="G29" i="1"/>
  <c r="I28" i="1"/>
  <c r="F44" i="1"/>
  <c r="F47" i="1"/>
  <c r="G44" i="1"/>
  <c r="G47" i="1"/>
  <c r="G41" i="1"/>
  <c r="G12" i="1"/>
  <c r="F41" i="1"/>
  <c r="G20" i="1"/>
  <c r="H12" i="1"/>
  <c r="I16" i="1"/>
  <c r="H20" i="1"/>
  <c r="H41" i="1"/>
  <c r="H44" i="1"/>
  <c r="H47" i="1"/>
  <c r="K12" i="2"/>
  <c r="G13" i="2" s="1"/>
  <c r="J28" i="1" l="1"/>
  <c r="K11" i="1"/>
  <c r="K22" i="1" s="1"/>
  <c r="J46" i="1"/>
  <c r="G33" i="1"/>
  <c r="G49" i="1" s="1"/>
  <c r="G53" i="1" s="1"/>
  <c r="C13" i="2"/>
  <c r="K14" i="2" s="1"/>
  <c r="E5" i="1" s="1"/>
  <c r="F49" i="1"/>
  <c r="F53" i="1" s="1"/>
  <c r="H33" i="1"/>
  <c r="L11" i="1" l="1"/>
  <c r="L22" i="1" s="1"/>
  <c r="K46" i="1"/>
  <c r="G34" i="1"/>
  <c r="G37" i="1"/>
  <c r="K28" i="1"/>
  <c r="H49" i="1"/>
  <c r="H53" i="1" s="1"/>
  <c r="H34" i="1"/>
  <c r="F37" i="1"/>
  <c r="F34" i="1"/>
  <c r="H37" i="1"/>
  <c r="M11" i="1" l="1"/>
  <c r="M22" i="1" s="1"/>
  <c r="L46" i="1"/>
  <c r="L43" i="1"/>
  <c r="L40" i="1"/>
  <c r="L28" i="1"/>
  <c r="N11" i="1" l="1"/>
  <c r="N22" i="1" s="1"/>
  <c r="M46" i="1"/>
  <c r="M43" i="1"/>
  <c r="M40" i="1"/>
  <c r="M28" i="1"/>
  <c r="I19" i="1"/>
  <c r="I25" i="1" s="1"/>
  <c r="O11" i="1" l="1"/>
  <c r="O22" i="1" s="1"/>
  <c r="N46" i="1"/>
  <c r="N43" i="1"/>
  <c r="N40" i="1"/>
  <c r="N28" i="1"/>
  <c r="I31" i="1"/>
  <c r="P11" i="1" l="1"/>
  <c r="P22" i="1" s="1"/>
  <c r="O46" i="1"/>
  <c r="O43" i="1"/>
  <c r="O40" i="1"/>
  <c r="O28" i="1"/>
  <c r="Q11" i="1" l="1"/>
  <c r="Q22" i="1" s="1"/>
  <c r="P46" i="1"/>
  <c r="P43" i="1"/>
  <c r="P40" i="1"/>
  <c r="P28" i="1"/>
  <c r="I34" i="1"/>
  <c r="I36" i="1"/>
  <c r="I51" i="1" s="1"/>
  <c r="R11" i="1" l="1"/>
  <c r="R22" i="1" s="1"/>
  <c r="Q46" i="1"/>
  <c r="Q43" i="1"/>
  <c r="Q40" i="1"/>
  <c r="I49" i="1"/>
  <c r="I53" i="1" s="1"/>
  <c r="I54" i="1" s="1"/>
  <c r="Q28" i="1"/>
  <c r="J19" i="1"/>
  <c r="J25" i="1" s="1"/>
  <c r="J16" i="1"/>
  <c r="R46" i="1" l="1"/>
  <c r="R43" i="1"/>
  <c r="R40" i="1"/>
  <c r="R28" i="1"/>
  <c r="J31" i="1"/>
  <c r="J33" i="1" l="1"/>
  <c r="J36" i="1" s="1"/>
  <c r="J51" i="1" s="1"/>
  <c r="K16" i="1"/>
  <c r="K19" i="1"/>
  <c r="K25" i="1" s="1"/>
  <c r="K27" i="1" l="1"/>
  <c r="K14" i="1"/>
  <c r="J34" i="1"/>
  <c r="K31" i="1"/>
  <c r="J49" i="1"/>
  <c r="J53" i="1" s="1"/>
  <c r="J54" i="1" s="1"/>
  <c r="L16" i="1"/>
  <c r="L19" i="1"/>
  <c r="L25" i="1" s="1"/>
  <c r="L27" i="1" l="1"/>
  <c r="L14" i="1"/>
  <c r="L31" i="1"/>
  <c r="K33" i="1"/>
  <c r="L33" i="1" l="1"/>
  <c r="L36" i="1" s="1"/>
  <c r="L51" i="1" s="1"/>
  <c r="K36" i="1"/>
  <c r="K51" i="1" s="1"/>
  <c r="K34" i="1"/>
  <c r="M19" i="1"/>
  <c r="M25" i="1" s="1"/>
  <c r="M16" i="1"/>
  <c r="M27" i="1" l="1"/>
  <c r="M14" i="1"/>
  <c r="L34" i="1"/>
  <c r="M31" i="1"/>
  <c r="L49" i="1"/>
  <c r="L53" i="1" s="1"/>
  <c r="L54" i="1" s="1"/>
  <c r="K49" i="1"/>
  <c r="K53" i="1" s="1"/>
  <c r="K54" i="1" s="1"/>
  <c r="M33" i="1" l="1"/>
  <c r="M34" i="1" s="1"/>
  <c r="N19" i="1"/>
  <c r="N25" i="1" s="1"/>
  <c r="N16" i="1"/>
  <c r="N27" i="1" l="1"/>
  <c r="N14" i="1"/>
  <c r="N31" i="1"/>
  <c r="M36" i="1"/>
  <c r="M51" i="1" s="1"/>
  <c r="M49" i="1" l="1"/>
  <c r="M53" i="1" s="1"/>
  <c r="M54" i="1" s="1"/>
  <c r="N33" i="1"/>
  <c r="N36" i="1" l="1"/>
  <c r="N51" i="1" s="1"/>
  <c r="N34" i="1"/>
  <c r="N49" i="1" l="1"/>
  <c r="N53" i="1" s="1"/>
  <c r="N54" i="1" s="1"/>
  <c r="O19" i="1"/>
  <c r="O25" i="1" s="1"/>
  <c r="O16" i="1"/>
  <c r="O27" i="1" l="1"/>
  <c r="O14" i="1"/>
  <c r="O31" i="1"/>
  <c r="O33" i="1" l="1"/>
  <c r="O34" i="1" s="1"/>
  <c r="P19" i="1"/>
  <c r="P25" i="1" s="1"/>
  <c r="P16" i="1"/>
  <c r="P27" i="1" l="1"/>
  <c r="P14" i="1"/>
  <c r="P31" i="1"/>
  <c r="O36" i="1"/>
  <c r="O51" i="1" s="1"/>
  <c r="O49" i="1" l="1"/>
  <c r="O53" i="1" s="1"/>
  <c r="O54" i="1" s="1"/>
  <c r="P33" i="1"/>
  <c r="P34" i="1" s="1"/>
  <c r="P36" i="1" l="1"/>
  <c r="P51" i="1" s="1"/>
  <c r="Q16" i="1"/>
  <c r="Q19" i="1"/>
  <c r="Q25" i="1" s="1"/>
  <c r="Q27" i="1" l="1"/>
  <c r="Q14" i="1"/>
  <c r="P49" i="1"/>
  <c r="P53" i="1" s="1"/>
  <c r="P54" i="1" s="1"/>
  <c r="Q31" i="1"/>
  <c r="R19" i="1"/>
  <c r="R25" i="1" s="1"/>
  <c r="Q33" i="1" l="1"/>
  <c r="R16" i="1"/>
  <c r="R27" i="1" l="1"/>
  <c r="R14" i="1"/>
  <c r="R31" i="1"/>
  <c r="Q34" i="1"/>
  <c r="Q36" i="1"/>
  <c r="Q51" i="1" s="1"/>
  <c r="Q49" i="1" l="1"/>
  <c r="Q53" i="1" s="1"/>
  <c r="Q54" i="1" s="1"/>
  <c r="R33" i="1"/>
  <c r="R34" i="1" s="1"/>
  <c r="R36" i="1" l="1"/>
  <c r="R51" i="1" s="1"/>
  <c r="S51" i="1" l="1"/>
  <c r="T51" i="1" s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BH51" i="1" s="1"/>
  <c r="BI51" i="1" s="1"/>
  <c r="BJ51" i="1" s="1"/>
  <c r="BK51" i="1" s="1"/>
  <c r="BL51" i="1" s="1"/>
  <c r="BM51" i="1" s="1"/>
  <c r="BN51" i="1" s="1"/>
  <c r="BO51" i="1" s="1"/>
  <c r="BP51" i="1" s="1"/>
  <c r="BQ51" i="1" s="1"/>
  <c r="BR51" i="1" s="1"/>
  <c r="BS51" i="1" s="1"/>
  <c r="BT51" i="1" s="1"/>
  <c r="BU51" i="1" s="1"/>
  <c r="BV51" i="1" s="1"/>
  <c r="BW51" i="1" s="1"/>
  <c r="BX51" i="1" s="1"/>
  <c r="BY51" i="1" s="1"/>
  <c r="BZ51" i="1" s="1"/>
  <c r="CA51" i="1" s="1"/>
  <c r="CB51" i="1" s="1"/>
  <c r="CC51" i="1" s="1"/>
  <c r="CD51" i="1" s="1"/>
  <c r="CE51" i="1" s="1"/>
  <c r="CF51" i="1" s="1"/>
  <c r="CG51" i="1" s="1"/>
  <c r="CH51" i="1" s="1"/>
  <c r="R49" i="1"/>
  <c r="R53" i="1" s="1"/>
  <c r="C56" i="1" s="1"/>
  <c r="C57" i="1" s="1"/>
  <c r="R54" i="1" l="1"/>
  <c r="G59" i="1" s="1"/>
  <c r="G61" i="1" s="1"/>
  <c r="G64" i="1" s="1"/>
  <c r="F56" i="1"/>
  <c r="H59" i="1" s="1"/>
  <c r="H61" i="1" s="1"/>
  <c r="H64" i="1" s="1"/>
  <c r="E64" i="1" l="1"/>
  <c r="L58" i="1" s="1"/>
  <c r="J6" i="1" l="1"/>
  <c r="N5" i="1" s="1"/>
</calcChain>
</file>

<file path=xl/sharedStrings.xml><?xml version="1.0" encoding="utf-8"?>
<sst xmlns="http://schemas.openxmlformats.org/spreadsheetml/2006/main" count="68" uniqueCount="56">
  <si>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</si>
  <si>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</si>
  <si>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</si>
  <si>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</si>
  <si>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</si>
  <si>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</si>
  <si>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</si>
  <si>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</si>
  <si>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</si>
  <si>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</si>
  <si>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</si>
  <si>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</si>
  <si>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</si>
  <si>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</si>
  <si>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</si>
  <si>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</si>
  <si>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</si>
  <si>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</si>
  <si>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</si>
  <si>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</si>
  <si>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</si>
  <si>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</si>
  <si>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</si>
  <si>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</si>
  <si>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</si>
  <si>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</si>
  <si>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</si>
  <si>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</si>
  <si>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</si>
  <si>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</si>
  <si>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</si>
  <si>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</si>
  <si>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</si>
  <si>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</si>
  <si>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</si>
  <si>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</si>
  <si>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</si>
  <si>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</si>
  <si>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</si>
  <si>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</si>
  <si>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</si>
  <si>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</si>
  <si>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</si>
  <si>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</si>
  <si>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</si>
  <si>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</si>
  <si>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</si>
  <si>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</si>
  <si>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</si>
  <si>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</si>
  <si>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NCI</t>
  </si>
  <si>
    <t>Other income</t>
  </si>
  <si>
    <t>Terminal Growth Rate</t>
  </si>
  <si>
    <t xml:space="preserve">Other </t>
  </si>
  <si>
    <t>Villeroy &amp; Boch AG</t>
  </si>
  <si>
    <t>Update: 19/11/2023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</si>
</sst>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64" fontId="7" fillId="2" borderId="3" xfId="1" applyNumberFormat="1" applyFont="1" applyFill="1" applyBorder="1"/>
    <xf numFmtId="1" fontId="3" fillId="2" borderId="3" xfId="0" applyNumberFormat="1" applyFont="1" applyFill="1" applyBorder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6" xfId="0" applyFill="1" applyBorder="1"/>
    <xf numFmtId="0" fontId="3" fillId="2" borderId="8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3" fillId="2" borderId="3" xfId="0" applyNumberFormat="1" applyFon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9" xfId="0" applyFont="1" applyFill="1" applyBorder="1"/>
    <xf numFmtId="0" fontId="0" fillId="2" borderId="10" xfId="0" applyFill="1" applyBorder="1"/>
    <xf numFmtId="10" fontId="2" fillId="2" borderId="11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3" fontId="3" fillId="0" borderId="3" xfId="0" applyNumberFormat="1" applyFont="1" applyBorder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5" xfId="0" applyNumberFormat="1" applyFont="1" applyFill="1" applyBorder="1"/>
    <xf numFmtId="0" fontId="6" fillId="4" borderId="3" xfId="0" applyFont="1" applyFill="1" applyBorder="1"/>
    <xf numFmtId="0" fontId="6" fillId="3" borderId="3" xfId="0" applyFont="1" applyFill="1" applyBorder="1"/>
    <xf numFmtId="0" fontId="3" fillId="2" borderId="0" xfId="1" applyNumberFormat="1" applyFont="1" applyFill="1"/>
    <xf numFmtId="37" fontId="3" fillId="2" borderId="0" xfId="0" applyNumberFormat="1" applyFont="1" applyFill="1"/>
    <xf numFmtId="164" fontId="7" fillId="2" borderId="0" xfId="1" applyNumberFormat="1" applyFont="1" applyFill="1" applyBorder="1"/>
    <xf numFmtId="10" fontId="3" fillId="2" borderId="0" xfId="0" applyNumberFormat="1" applyFont="1" applyFill="1"/>
    <xf numFmtId="1" fontId="3" fillId="2" borderId="12" xfId="0" applyNumberFormat="1" applyFont="1" applyFill="1" applyBorder="1"/>
    <xf numFmtId="1" fontId="3" fillId="2" borderId="1" xfId="0" applyNumberFormat="1" applyFont="1" applyFill="1" applyBorder="1"/>
    <xf numFmtId="0" fontId="3" fillId="2" borderId="13" xfId="0" applyFont="1" applyFill="1" applyBorder="1"/>
    <xf numFmtId="0" fontId="7" fillId="11" borderId="0" xfId="0" applyFont="1" applyFill="1"/>
    <xf numFmtId="164" fontId="7" fillId="11" borderId="0" xfId="1" applyNumberFormat="1" applyFont="1" applyFill="1"/>
    <xf numFmtId="164" fontId="7" fillId="11" borderId="3" xfId="1" applyNumberFormat="1" applyFont="1" applyFill="1" applyBorder="1"/>
    <xf numFmtId="164" fontId="7" fillId="11" borderId="0" xfId="1" applyNumberFormat="1" applyFont="1" applyFill="1" applyBorder="1"/>
    <xf numFmtId="164" fontId="3" fillId="11" borderId="0" xfId="1" applyNumberFormat="1" applyFont="1" applyFill="1"/>
    <xf numFmtId="164" fontId="7" fillId="11" borderId="3" xfId="0" applyNumberFormat="1" applyFont="1" applyFill="1" applyBorder="1"/>
    <xf numFmtId="164" fontId="0" fillId="8" borderId="0" xfId="0" applyNumberFormat="1" applyFill="1" applyAlignment="1">
      <alignment horizontal="center"/>
    </xf>
    <xf numFmtId="3" fontId="3" fillId="2" borderId="0" xfId="1" applyNumberFormat="1" applyFont="1" applyFill="1"/>
    <xf numFmtId="3" fontId="0" fillId="0" borderId="1" xfId="0" applyNumberFormat="1" applyBorder="1"/>
    <xf numFmtId="164" fontId="3" fillId="2" borderId="3" xfId="0" applyNumberFormat="1" applyFont="1" applyFill="1" applyBorder="1"/>
    <xf numFmtId="0" fontId="3" fillId="9" borderId="0" xfId="0" applyFont="1" applyFill="1" applyAlignment="1">
      <alignment horizontal="center"/>
    </xf>
    <xf numFmtId="1" fontId="3" fillId="2" borderId="0" xfId="0" applyNumberFormat="1" applyFont="1" applyFill="1" applyBorder="1"/>
    <xf numFmtId="0" fontId="3" fillId="2" borderId="0" xfId="0" applyFont="1" applyFill="1" applyBorder="1"/>
    <xf numFmtId="164" fontId="7" fillId="11" borderId="0" xfId="0" applyNumberFormat="1" applyFont="1" applyFill="1" applyBorder="1"/>
    <xf numFmtId="3" fontId="3" fillId="2" borderId="0" xfId="0" applyNumberFormat="1" applyFont="1" applyFill="1" applyBorder="1"/>
    <xf numFmtId="0" fontId="6" fillId="3" borderId="0" xfId="0" applyFont="1" applyFill="1" applyBorder="1"/>
    <xf numFmtId="3" fontId="3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5"/>
  <sheetViews>
    <sheetView tabSelected="1" zoomScaleNormal="100" workbookViewId="0">
      <selection activeCell="F7" sqref="F7"/>
    </sheetView>
  </sheetViews>
  <sheetFormatPr defaultRowHeight="15" x14ac:dyDescent="0.25"/>
  <cols>
    <col min="1" max="1" width="9.140625" style="2"/>
    <col min="2" max="2" width="17.28515625" style="2" customWidth="1"/>
    <col min="3" max="3" width="9.85546875" style="2" bestFit="1" customWidth="1"/>
    <col min="4" max="5" width="9.140625" style="2"/>
    <col min="6" max="6" width="11.85546875" style="2" bestFit="1" customWidth="1"/>
    <col min="7" max="7" width="10.140625" style="2" bestFit="1" customWidth="1"/>
    <col min="8" max="8" width="11.140625" style="2" bestFit="1" customWidth="1"/>
    <col min="9" max="9" width="8.42578125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5703125" style="2" bestFit="1" customWidth="1"/>
    <col min="18" max="18" width="10.5703125" style="2" bestFit="1" customWidth="1"/>
    <col min="19" max="16384" width="9.140625" style="2"/>
  </cols>
  <sheetData>
    <row r="1" spans="1:18" s="52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52" customFormat="1" ht="23.25" x14ac:dyDescent="0.35">
      <c r="A2" s="3"/>
      <c r="B2" s="4" t="s">
        <v>54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1"/>
    </row>
    <row r="3" spans="1:18" s="52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52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52" customFormat="1" x14ac:dyDescent="0.25">
      <c r="A5" s="1"/>
      <c r="B5" s="1"/>
      <c r="C5" s="7" t="s">
        <v>1</v>
      </c>
      <c r="D5" s="1"/>
      <c r="E5" s="8">
        <f>WACC!K14</f>
        <v>0.10190941101796411</v>
      </c>
      <c r="F5" s="2"/>
      <c r="G5" s="1"/>
      <c r="H5" s="1" t="s">
        <v>2</v>
      </c>
      <c r="I5" s="1"/>
      <c r="J5" s="7">
        <v>18.05</v>
      </c>
      <c r="K5" s="1"/>
      <c r="L5" s="1" t="s">
        <v>3</v>
      </c>
      <c r="M5" s="1"/>
      <c r="N5" s="7">
        <f>(J6/J5)-1</f>
        <v>0.42543896889243715</v>
      </c>
      <c r="O5" s="1"/>
      <c r="P5" s="1" t="s">
        <v>55</v>
      </c>
      <c r="Q5" s="1"/>
      <c r="R5" s="2"/>
    </row>
    <row r="6" spans="1:18" s="52" customFormat="1" x14ac:dyDescent="0.25">
      <c r="A6" s="1"/>
      <c r="B6" s="1"/>
      <c r="C6" s="7" t="s">
        <v>4</v>
      </c>
      <c r="D6" s="1"/>
      <c r="E6" s="8">
        <v>0.02</v>
      </c>
      <c r="F6" s="2"/>
      <c r="G6" s="1"/>
      <c r="H6" s="1" t="s">
        <v>5</v>
      </c>
      <c r="I6" s="1"/>
      <c r="J6" s="59">
        <f>E64</f>
        <v>25.729173388508492</v>
      </c>
      <c r="K6" s="1"/>
      <c r="L6" s="1"/>
      <c r="M6" s="1"/>
      <c r="N6" s="1"/>
      <c r="O6" s="1"/>
      <c r="P6" s="1"/>
      <c r="Q6" s="1"/>
      <c r="R6" s="2"/>
    </row>
    <row r="7" spans="1:18" s="52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8"/>
      <c r="L7" s="60"/>
      <c r="M7" s="1"/>
      <c r="N7" s="1"/>
      <c r="O7" s="1"/>
      <c r="P7" s="1"/>
      <c r="Q7" s="1"/>
      <c r="R7" s="2"/>
    </row>
    <row r="8" spans="1:18" s="52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8"/>
      <c r="L8" s="1"/>
      <c r="M8" s="1"/>
      <c r="N8" s="1"/>
      <c r="O8" s="1"/>
      <c r="P8" s="1"/>
      <c r="Q8" s="1"/>
      <c r="R8" s="2"/>
    </row>
    <row r="9" spans="1:18" s="52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2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65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</row>
    <row r="11" spans="1:18" s="52" customFormat="1" x14ac:dyDescent="0.25">
      <c r="A11" s="1"/>
      <c r="B11" s="1" t="s">
        <v>7</v>
      </c>
      <c r="C11" s="11">
        <v>836</v>
      </c>
      <c r="D11" s="11">
        <v>853</v>
      </c>
      <c r="E11" s="11">
        <v>833</v>
      </c>
      <c r="F11" s="11">
        <v>800.9</v>
      </c>
      <c r="G11" s="11">
        <v>945</v>
      </c>
      <c r="H11" s="11">
        <v>994.5</v>
      </c>
      <c r="I11" s="20">
        <f>H11*(1+I12)</f>
        <v>1014.39</v>
      </c>
      <c r="J11" s="18">
        <f t="shared" ref="J11:R11" si="1">I11*(1+J12)</f>
        <v>1034.6777999999999</v>
      </c>
      <c r="K11" s="18">
        <f t="shared" si="1"/>
        <v>1055.3713559999999</v>
      </c>
      <c r="L11" s="18">
        <f t="shared" si="1"/>
        <v>1076.4787831199999</v>
      </c>
      <c r="M11" s="18">
        <f t="shared" si="1"/>
        <v>1098.0083587823999</v>
      </c>
      <c r="N11" s="18">
        <f t="shared" si="1"/>
        <v>1119.9685259580478</v>
      </c>
      <c r="O11" s="18">
        <f t="shared" si="1"/>
        <v>1142.3678964772089</v>
      </c>
      <c r="P11" s="18">
        <f t="shared" si="1"/>
        <v>1165.215254406753</v>
      </c>
      <c r="Q11" s="18">
        <f t="shared" si="1"/>
        <v>1188.5195594948882</v>
      </c>
      <c r="R11" s="18">
        <f t="shared" si="1"/>
        <v>1212.2899506847859</v>
      </c>
    </row>
    <row r="12" spans="1:18" s="52" customFormat="1" x14ac:dyDescent="0.25">
      <c r="A12" s="1"/>
      <c r="B12" s="74" t="s">
        <v>8</v>
      </c>
      <c r="C12" s="75"/>
      <c r="D12" s="75">
        <f>(D11/C11)-1</f>
        <v>2.0334928229664984E-2</v>
      </c>
      <c r="E12" s="75">
        <f>(E11/D11)-1</f>
        <v>-2.3446658851113744E-2</v>
      </c>
      <c r="F12" s="75">
        <f>(F11/E11)-1</f>
        <v>-3.8535414165666304E-2</v>
      </c>
      <c r="G12" s="75">
        <f>(G11/F11)-1</f>
        <v>0.17992258708952424</v>
      </c>
      <c r="H12" s="75">
        <f>(H11/G11)-1</f>
        <v>5.2380952380952417E-2</v>
      </c>
      <c r="I12" s="76">
        <v>0.02</v>
      </c>
      <c r="J12" s="75">
        <v>0.02</v>
      </c>
      <c r="K12" s="75">
        <v>0.02</v>
      </c>
      <c r="L12" s="75">
        <v>0.02</v>
      </c>
      <c r="M12" s="75">
        <v>0.02</v>
      </c>
      <c r="N12" s="75">
        <v>0.02</v>
      </c>
      <c r="O12" s="75">
        <v>0.02</v>
      </c>
      <c r="P12" s="75">
        <v>0.02</v>
      </c>
      <c r="Q12" s="75">
        <v>0.02</v>
      </c>
      <c r="R12" s="75">
        <v>0.02</v>
      </c>
    </row>
    <row r="13" spans="1:18" s="52" customFormat="1" x14ac:dyDescent="0.25">
      <c r="A13" s="1"/>
      <c r="B13" s="6"/>
      <c r="C13" s="1"/>
      <c r="D13" s="1"/>
      <c r="E13" s="1"/>
      <c r="F13" s="1"/>
      <c r="G13" s="1"/>
      <c r="H13" s="1"/>
      <c r="I13" s="83"/>
      <c r="J13" s="70"/>
      <c r="K13" s="70"/>
      <c r="L13" s="70"/>
      <c r="M13" s="70"/>
      <c r="N13" s="70"/>
      <c r="O13" s="70"/>
      <c r="P13" s="70"/>
      <c r="Q13" s="70"/>
      <c r="R13" s="70"/>
    </row>
    <row r="14" spans="1:18" s="52" customFormat="1" x14ac:dyDescent="0.25">
      <c r="A14" s="1"/>
      <c r="B14" s="1" t="s">
        <v>9</v>
      </c>
      <c r="C14" s="11">
        <v>467</v>
      </c>
      <c r="D14" s="11">
        <v>487.52</v>
      </c>
      <c r="E14" s="11">
        <v>480</v>
      </c>
      <c r="F14" s="11">
        <v>478.6</v>
      </c>
      <c r="G14" s="11">
        <v>527.4</v>
      </c>
      <c r="H14" s="11">
        <v>569.20000000000005</v>
      </c>
      <c r="I14" s="71">
        <f>I11-I16</f>
        <v>584.49151800000004</v>
      </c>
      <c r="J14" s="72">
        <f t="shared" ref="J14:R14" si="2">J11-J16</f>
        <v>586.97271593999994</v>
      </c>
      <c r="K14" s="72">
        <f t="shared" si="2"/>
        <v>598.71217025879992</v>
      </c>
      <c r="L14" s="72">
        <f t="shared" si="2"/>
        <v>610.68641366397594</v>
      </c>
      <c r="M14" s="72">
        <f t="shared" si="2"/>
        <v>622.90014193725551</v>
      </c>
      <c r="N14" s="72">
        <f t="shared" si="2"/>
        <v>635.35814477600059</v>
      </c>
      <c r="O14" s="72">
        <f t="shared" si="2"/>
        <v>648.06530767152071</v>
      </c>
      <c r="P14" s="72">
        <f t="shared" si="2"/>
        <v>661.02661382495103</v>
      </c>
      <c r="Q14" s="72">
        <f t="shared" si="2"/>
        <v>674.24714610145008</v>
      </c>
      <c r="R14" s="72">
        <f t="shared" si="2"/>
        <v>687.73208902347915</v>
      </c>
    </row>
    <row r="15" spans="1:18" s="52" customFormat="1" x14ac:dyDescent="0.25">
      <c r="A15" s="1"/>
      <c r="B15" s="17"/>
      <c r="C15" s="17"/>
      <c r="D15" s="17"/>
      <c r="E15" s="17"/>
      <c r="F15" s="17"/>
      <c r="G15" s="17"/>
      <c r="H15" s="17"/>
      <c r="I15" s="12"/>
      <c r="J15" s="86"/>
      <c r="K15" s="86"/>
      <c r="L15" s="86"/>
      <c r="M15" s="86"/>
      <c r="N15" s="86"/>
      <c r="O15" s="86"/>
      <c r="P15" s="86"/>
      <c r="Q15" s="86"/>
      <c r="R15" s="86"/>
    </row>
    <row r="16" spans="1:18" s="52" customFormat="1" x14ac:dyDescent="0.25">
      <c r="A16" s="1"/>
      <c r="B16" s="1" t="s">
        <v>10</v>
      </c>
      <c r="C16" s="11">
        <f t="shared" ref="C16:E16" si="3">C11-C14</f>
        <v>369</v>
      </c>
      <c r="D16" s="11">
        <f t="shared" si="3"/>
        <v>365.48</v>
      </c>
      <c r="E16" s="11">
        <f t="shared" si="3"/>
        <v>353</v>
      </c>
      <c r="F16" s="11">
        <f>F11-F14</f>
        <v>322.29999999999995</v>
      </c>
      <c r="G16" s="11">
        <f t="shared" ref="G16:H16" si="4">G11-G14</f>
        <v>417.6</v>
      </c>
      <c r="H16" s="11">
        <f t="shared" si="4"/>
        <v>425.29999999999995</v>
      </c>
      <c r="I16" s="20">
        <f>I11*I17</f>
        <v>429.898482</v>
      </c>
      <c r="J16" s="85">
        <f t="shared" ref="J16:R16" si="5">J11*J17</f>
        <v>447.70508405999993</v>
      </c>
      <c r="K16" s="85">
        <f>K11*K17</f>
        <v>456.65918574119991</v>
      </c>
      <c r="L16" s="85">
        <f t="shared" si="5"/>
        <v>465.79236945602395</v>
      </c>
      <c r="M16" s="85">
        <f t="shared" si="5"/>
        <v>475.1082168451444</v>
      </c>
      <c r="N16" s="85">
        <f t="shared" si="5"/>
        <v>484.61038118204726</v>
      </c>
      <c r="O16" s="85">
        <f t="shared" si="5"/>
        <v>494.30258880568823</v>
      </c>
      <c r="P16" s="85">
        <f t="shared" si="5"/>
        <v>504.18864058180202</v>
      </c>
      <c r="Q16" s="85">
        <f t="shared" si="5"/>
        <v>514.27241339343811</v>
      </c>
      <c r="R16" s="85">
        <f t="shared" si="5"/>
        <v>524.55786166130679</v>
      </c>
    </row>
    <row r="17" spans="1:18" s="52" customFormat="1" x14ac:dyDescent="0.25">
      <c r="A17" s="1"/>
      <c r="B17" s="74" t="s">
        <v>11</v>
      </c>
      <c r="C17" s="75">
        <f t="shared" ref="C17:H17" si="6">C16/C11</f>
        <v>0.44138755980861244</v>
      </c>
      <c r="D17" s="75">
        <f t="shared" si="6"/>
        <v>0.42846424384525206</v>
      </c>
      <c r="E17" s="75">
        <f t="shared" si="6"/>
        <v>0.42376950780312123</v>
      </c>
      <c r="F17" s="75">
        <f t="shared" si="6"/>
        <v>0.40242227494069166</v>
      </c>
      <c r="G17" s="75">
        <f t="shared" si="6"/>
        <v>0.44190476190476191</v>
      </c>
      <c r="H17" s="75">
        <f t="shared" si="6"/>
        <v>0.42765208647561587</v>
      </c>
      <c r="I17" s="79">
        <v>0.42380000000000001</v>
      </c>
      <c r="J17" s="87">
        <v>0.43269999999999997</v>
      </c>
      <c r="K17" s="87">
        <f>J17</f>
        <v>0.43269999999999997</v>
      </c>
      <c r="L17" s="87">
        <f t="shared" ref="L17:R17" si="7">K17</f>
        <v>0.43269999999999997</v>
      </c>
      <c r="M17" s="87">
        <f t="shared" si="7"/>
        <v>0.43269999999999997</v>
      </c>
      <c r="N17" s="87">
        <f t="shared" si="7"/>
        <v>0.43269999999999997</v>
      </c>
      <c r="O17" s="87">
        <f t="shared" si="7"/>
        <v>0.43269999999999997</v>
      </c>
      <c r="P17" s="87">
        <f t="shared" si="7"/>
        <v>0.43269999999999997</v>
      </c>
      <c r="Q17" s="87">
        <f t="shared" si="7"/>
        <v>0.43269999999999997</v>
      </c>
      <c r="R17" s="87">
        <f t="shared" si="7"/>
        <v>0.43269999999999997</v>
      </c>
    </row>
    <row r="18" spans="1:18" s="52" customFormat="1" x14ac:dyDescent="0.25">
      <c r="A18" s="1"/>
      <c r="B18" s="1"/>
      <c r="C18" s="11"/>
      <c r="D18" s="11"/>
      <c r="E18" s="11"/>
      <c r="F18" s="11"/>
      <c r="G18" s="11"/>
      <c r="H18" s="11"/>
      <c r="I18" s="20"/>
      <c r="J18" s="85"/>
      <c r="K18" s="85"/>
      <c r="L18" s="85"/>
      <c r="M18" s="85"/>
      <c r="N18" s="85"/>
      <c r="O18" s="85"/>
      <c r="P18" s="85"/>
      <c r="Q18" s="85"/>
      <c r="R18" s="85"/>
    </row>
    <row r="19" spans="1:18" s="52" customFormat="1" x14ac:dyDescent="0.25">
      <c r="A19" s="1"/>
      <c r="B19" s="1" t="s">
        <v>39</v>
      </c>
      <c r="C19" s="11">
        <v>322</v>
      </c>
      <c r="D19" s="11">
        <v>310</v>
      </c>
      <c r="E19" s="11">
        <v>317</v>
      </c>
      <c r="F19" s="11">
        <v>272.89999999999998</v>
      </c>
      <c r="G19" s="11">
        <v>318</v>
      </c>
      <c r="H19" s="11">
        <v>320.10000000000002</v>
      </c>
      <c r="I19" s="20">
        <f t="shared" ref="I19:R19" si="8">I20*I11</f>
        <v>334.74869999999999</v>
      </c>
      <c r="J19" s="85">
        <f t="shared" si="8"/>
        <v>341.44367399999999</v>
      </c>
      <c r="K19" s="85">
        <f t="shared" si="8"/>
        <v>348.27254747999996</v>
      </c>
      <c r="L19" s="85">
        <f t="shared" si="8"/>
        <v>355.2379984296</v>
      </c>
      <c r="M19" s="85">
        <f t="shared" si="8"/>
        <v>362.34275839819196</v>
      </c>
      <c r="N19" s="85">
        <f t="shared" si="8"/>
        <v>369.58961356615583</v>
      </c>
      <c r="O19" s="85">
        <f t="shared" si="8"/>
        <v>376.98140583747897</v>
      </c>
      <c r="P19" s="85">
        <f t="shared" si="8"/>
        <v>384.52103395422853</v>
      </c>
      <c r="Q19" s="85">
        <f t="shared" si="8"/>
        <v>392.21145463331311</v>
      </c>
      <c r="R19" s="85">
        <f t="shared" si="8"/>
        <v>400.05568372597935</v>
      </c>
    </row>
    <row r="20" spans="1:18" s="52" customFormat="1" x14ac:dyDescent="0.25">
      <c r="A20" s="1"/>
      <c r="B20" s="74" t="s">
        <v>16</v>
      </c>
      <c r="C20" s="75">
        <f t="shared" ref="C20:H20" si="9">C19/C11</f>
        <v>0.38516746411483255</v>
      </c>
      <c r="D20" s="75">
        <f t="shared" si="9"/>
        <v>0.36342321219226259</v>
      </c>
      <c r="E20" s="75">
        <f t="shared" si="9"/>
        <v>0.38055222088835533</v>
      </c>
      <c r="F20" s="75">
        <f t="shared" si="9"/>
        <v>0.34074166562617053</v>
      </c>
      <c r="G20" s="75">
        <f t="shared" si="9"/>
        <v>0.33650793650793653</v>
      </c>
      <c r="H20" s="75">
        <f t="shared" si="9"/>
        <v>0.32187028657616895</v>
      </c>
      <c r="I20" s="76">
        <v>0.33</v>
      </c>
      <c r="J20" s="77">
        <v>0.33</v>
      </c>
      <c r="K20" s="77">
        <v>0.33</v>
      </c>
      <c r="L20" s="77">
        <v>0.33</v>
      </c>
      <c r="M20" s="77">
        <v>0.33</v>
      </c>
      <c r="N20" s="77">
        <v>0.33</v>
      </c>
      <c r="O20" s="77">
        <v>0.33</v>
      </c>
      <c r="P20" s="77">
        <v>0.33</v>
      </c>
      <c r="Q20" s="77">
        <v>0.33</v>
      </c>
      <c r="R20" s="77">
        <v>0.33</v>
      </c>
    </row>
    <row r="21" spans="1:18" s="52" customFormat="1" x14ac:dyDescent="0.25">
      <c r="A21" s="1"/>
      <c r="B21" s="74"/>
      <c r="C21" s="75"/>
      <c r="D21" s="75"/>
      <c r="E21" s="75"/>
      <c r="F21" s="75"/>
      <c r="G21" s="75"/>
      <c r="H21" s="75"/>
      <c r="I21" s="76"/>
      <c r="J21" s="77"/>
      <c r="K21" s="77"/>
      <c r="L21" s="77"/>
      <c r="M21" s="77"/>
      <c r="N21" s="77"/>
      <c r="O21" s="77"/>
      <c r="P21" s="77"/>
      <c r="Q21" s="77"/>
      <c r="R21" s="77"/>
    </row>
    <row r="22" spans="1:18" s="52" customFormat="1" x14ac:dyDescent="0.25">
      <c r="A22" s="1"/>
      <c r="B22" s="1" t="s">
        <v>53</v>
      </c>
      <c r="C22" s="11">
        <v>1</v>
      </c>
      <c r="D22" s="11">
        <v>5.4800000000000182</v>
      </c>
      <c r="E22" s="11">
        <v>26.11</v>
      </c>
      <c r="F22" s="11">
        <v>7.6</v>
      </c>
      <c r="G22" s="11">
        <v>9.1</v>
      </c>
      <c r="H22" s="11">
        <v>7.9</v>
      </c>
      <c r="I22" s="39">
        <f>I23*I11</f>
        <v>10.1439</v>
      </c>
      <c r="J22" s="88">
        <f t="shared" ref="J22:R22" si="10">J23*J11</f>
        <v>10.346777999999999</v>
      </c>
      <c r="K22" s="88">
        <f t="shared" si="10"/>
        <v>10.553713559999998</v>
      </c>
      <c r="L22" s="88">
        <f t="shared" si="10"/>
        <v>10.7647878312</v>
      </c>
      <c r="M22" s="88">
        <f t="shared" si="10"/>
        <v>10.980083587824</v>
      </c>
      <c r="N22" s="88">
        <f t="shared" si="10"/>
        <v>11.199685259580479</v>
      </c>
      <c r="O22" s="88">
        <f t="shared" si="10"/>
        <v>11.423678964772089</v>
      </c>
      <c r="P22" s="88">
        <f t="shared" si="10"/>
        <v>11.652152544067532</v>
      </c>
      <c r="Q22" s="88">
        <f t="shared" si="10"/>
        <v>11.885195594948883</v>
      </c>
      <c r="R22" s="88">
        <f t="shared" si="10"/>
        <v>12.12289950684786</v>
      </c>
    </row>
    <row r="23" spans="1:18" s="52" customFormat="1" x14ac:dyDescent="0.25">
      <c r="A23" s="1"/>
      <c r="B23" s="13" t="s">
        <v>16</v>
      </c>
      <c r="C23" s="14">
        <f t="shared" ref="C23:H23" si="11">C22/C11</f>
        <v>1.1961722488038277E-3</v>
      </c>
      <c r="D23" s="14">
        <f t="shared" si="11"/>
        <v>6.4243845252051797E-3</v>
      </c>
      <c r="E23" s="14">
        <f t="shared" si="11"/>
        <v>3.1344537815126049E-2</v>
      </c>
      <c r="F23" s="14">
        <f t="shared" si="11"/>
        <v>9.4893245099263324E-3</v>
      </c>
      <c r="G23" s="14">
        <f t="shared" si="11"/>
        <v>9.6296296296296286E-3</v>
      </c>
      <c r="H23" s="14">
        <f t="shared" si="11"/>
        <v>7.9436902966314726E-3</v>
      </c>
      <c r="I23" s="19">
        <v>0.01</v>
      </c>
      <c r="J23" s="69">
        <v>0.01</v>
      </c>
      <c r="K23" s="69">
        <v>0.01</v>
      </c>
      <c r="L23" s="69">
        <v>0.01</v>
      </c>
      <c r="M23" s="69">
        <v>0.01</v>
      </c>
      <c r="N23" s="69">
        <v>0.01</v>
      </c>
      <c r="O23" s="69">
        <v>0.01</v>
      </c>
      <c r="P23" s="69">
        <v>0.01</v>
      </c>
      <c r="Q23" s="69">
        <v>0.01</v>
      </c>
      <c r="R23" s="69">
        <v>0.01</v>
      </c>
    </row>
    <row r="24" spans="1:18" s="52" customFormat="1" x14ac:dyDescent="0.25">
      <c r="A24" s="1"/>
      <c r="B24" s="1"/>
      <c r="C24" s="11"/>
      <c r="D24" s="11"/>
      <c r="E24" s="11"/>
      <c r="F24" s="11"/>
      <c r="G24" s="11"/>
      <c r="H24" s="11"/>
      <c r="I24" s="39"/>
      <c r="J24" s="88"/>
      <c r="K24" s="88"/>
      <c r="L24" s="88"/>
      <c r="M24" s="88"/>
      <c r="N24" s="88"/>
      <c r="O24" s="88"/>
      <c r="P24" s="88"/>
      <c r="Q24" s="88"/>
      <c r="R24" s="88"/>
    </row>
    <row r="25" spans="1:18" s="52" customFormat="1" x14ac:dyDescent="0.25">
      <c r="A25" s="1"/>
      <c r="B25" s="1" t="s">
        <v>12</v>
      </c>
      <c r="C25" s="11">
        <f t="shared" ref="C25:E25" si="12">C19+C22</f>
        <v>323</v>
      </c>
      <c r="D25" s="11">
        <f t="shared" si="12"/>
        <v>315.48</v>
      </c>
      <c r="E25" s="11">
        <f t="shared" si="12"/>
        <v>343.11</v>
      </c>
      <c r="F25" s="11">
        <f>F19+F22</f>
        <v>280.5</v>
      </c>
      <c r="G25" s="11">
        <f t="shared" ref="D25:H25" si="13">G19+G22</f>
        <v>327.10000000000002</v>
      </c>
      <c r="H25" s="11">
        <f t="shared" si="13"/>
        <v>328</v>
      </c>
      <c r="I25" s="39">
        <f t="shared" ref="I25:R25" si="14">I19</f>
        <v>334.74869999999999</v>
      </c>
      <c r="J25" s="88">
        <f t="shared" si="14"/>
        <v>341.44367399999999</v>
      </c>
      <c r="K25" s="88">
        <f t="shared" si="14"/>
        <v>348.27254747999996</v>
      </c>
      <c r="L25" s="88">
        <f t="shared" si="14"/>
        <v>355.2379984296</v>
      </c>
      <c r="M25" s="88">
        <f t="shared" si="14"/>
        <v>362.34275839819196</v>
      </c>
      <c r="N25" s="88">
        <f t="shared" si="14"/>
        <v>369.58961356615583</v>
      </c>
      <c r="O25" s="88">
        <f t="shared" si="14"/>
        <v>376.98140583747897</v>
      </c>
      <c r="P25" s="88">
        <f t="shared" si="14"/>
        <v>384.52103395422853</v>
      </c>
      <c r="Q25" s="88">
        <f t="shared" si="14"/>
        <v>392.21145463331311</v>
      </c>
      <c r="R25" s="88">
        <f t="shared" si="14"/>
        <v>400.05568372597935</v>
      </c>
    </row>
    <row r="26" spans="1:18" s="52" customFormat="1" x14ac:dyDescent="0.25">
      <c r="A26" s="1"/>
      <c r="B26" s="1"/>
      <c r="C26" s="14"/>
      <c r="D26" s="14"/>
      <c r="E26" s="14"/>
      <c r="F26" s="14"/>
      <c r="G26" s="14"/>
      <c r="H26" s="14"/>
      <c r="I26" s="19"/>
      <c r="J26" s="69"/>
      <c r="K26" s="69"/>
      <c r="L26" s="69"/>
      <c r="M26" s="69"/>
      <c r="N26" s="69"/>
      <c r="O26" s="69"/>
      <c r="P26" s="69"/>
      <c r="Q26" s="69"/>
      <c r="R26" s="69"/>
    </row>
    <row r="27" spans="1:18" s="52" customFormat="1" x14ac:dyDescent="0.25">
      <c r="A27" s="1"/>
      <c r="B27" s="1" t="s">
        <v>13</v>
      </c>
      <c r="C27" s="11">
        <f t="shared" ref="C27:E27" si="15">C16-C25</f>
        <v>46</v>
      </c>
      <c r="D27" s="11">
        <f t="shared" si="15"/>
        <v>50</v>
      </c>
      <c r="E27" s="11">
        <f t="shared" si="15"/>
        <v>9.8899999999999864</v>
      </c>
      <c r="F27" s="11">
        <f>F16-F25</f>
        <v>41.799999999999955</v>
      </c>
      <c r="G27" s="11">
        <f t="shared" ref="G27:H27" si="16">G16-G25</f>
        <v>90.5</v>
      </c>
      <c r="H27" s="11">
        <f t="shared" si="16"/>
        <v>97.299999999999955</v>
      </c>
      <c r="I27" s="39">
        <f>I16-I25</f>
        <v>95.149782000000016</v>
      </c>
      <c r="J27" s="88">
        <f t="shared" ref="J27:R27" si="17">J16-J25</f>
        <v>106.26141005999995</v>
      </c>
      <c r="K27" s="88">
        <f t="shared" si="17"/>
        <v>108.38663826119995</v>
      </c>
      <c r="L27" s="88">
        <f t="shared" si="17"/>
        <v>110.55437102642395</v>
      </c>
      <c r="M27" s="88">
        <f t="shared" si="17"/>
        <v>112.76545844695244</v>
      </c>
      <c r="N27" s="88">
        <f t="shared" si="17"/>
        <v>115.02076761589143</v>
      </c>
      <c r="O27" s="88">
        <f t="shared" si="17"/>
        <v>117.32118296820926</v>
      </c>
      <c r="P27" s="88">
        <f t="shared" si="17"/>
        <v>119.66760662757349</v>
      </c>
      <c r="Q27" s="88">
        <f t="shared" si="17"/>
        <v>122.060958760125</v>
      </c>
      <c r="R27" s="88">
        <f t="shared" si="17"/>
        <v>124.50217793532744</v>
      </c>
    </row>
    <row r="28" spans="1:18" s="52" customFormat="1" x14ac:dyDescent="0.25">
      <c r="A28" s="1"/>
      <c r="B28" s="1" t="s">
        <v>51</v>
      </c>
      <c r="C28" s="81">
        <f t="shared" ref="C28:E28" si="18">C31-C27</f>
        <v>-16</v>
      </c>
      <c r="D28" s="81">
        <f t="shared" si="18"/>
        <v>-1.3299999999999983</v>
      </c>
      <c r="E28" s="81">
        <f t="shared" si="18"/>
        <v>85.18</v>
      </c>
      <c r="F28" s="81">
        <f>F31-F27</f>
        <v>-6.2999999999999545</v>
      </c>
      <c r="G28" s="81">
        <f t="shared" ref="G28:H28" si="19">G31-G27</f>
        <v>-5.2999999999999972</v>
      </c>
      <c r="H28" s="81">
        <f t="shared" si="19"/>
        <v>-2.2999999999999545</v>
      </c>
      <c r="I28" s="20">
        <f t="shared" ref="I28:R28" si="20">I29*I11</f>
        <v>-4.0575599999999996</v>
      </c>
      <c r="J28" s="85">
        <f t="shared" si="20"/>
        <v>-4.1387111999999995</v>
      </c>
      <c r="K28" s="85">
        <f t="shared" si="20"/>
        <v>-4.2214854239999999</v>
      </c>
      <c r="L28" s="85">
        <f t="shared" si="20"/>
        <v>-4.30591513248</v>
      </c>
      <c r="M28" s="85">
        <f t="shared" si="20"/>
        <v>-4.3920334351295995</v>
      </c>
      <c r="N28" s="85">
        <f t="shared" si="20"/>
        <v>-4.4798741038321914</v>
      </c>
      <c r="O28" s="85">
        <f t="shared" si="20"/>
        <v>-4.5694715859088353</v>
      </c>
      <c r="P28" s="85">
        <f t="shared" si="20"/>
        <v>-4.6608610176270124</v>
      </c>
      <c r="Q28" s="85">
        <f t="shared" si="20"/>
        <v>-4.7540782379795532</v>
      </c>
      <c r="R28" s="85">
        <f t="shared" si="20"/>
        <v>-4.8491598027391438</v>
      </c>
    </row>
    <row r="29" spans="1:18" s="52" customFormat="1" x14ac:dyDescent="0.25">
      <c r="A29" s="1"/>
      <c r="B29" s="74" t="s">
        <v>16</v>
      </c>
      <c r="C29" s="75">
        <f t="shared" ref="C29:H29" si="21">C28/C11</f>
        <v>-1.9138755980861243E-2</v>
      </c>
      <c r="D29" s="75">
        <f t="shared" si="21"/>
        <v>-1.5592028135990601E-3</v>
      </c>
      <c r="E29" s="75">
        <f t="shared" si="21"/>
        <v>0.10225690276110445</v>
      </c>
      <c r="F29" s="75">
        <f t="shared" si="21"/>
        <v>-7.8661505805967726E-3</v>
      </c>
      <c r="G29" s="75">
        <f t="shared" si="21"/>
        <v>-5.6084656084656051E-3</v>
      </c>
      <c r="H29" s="75">
        <f t="shared" si="21"/>
        <v>-2.3127199597787378E-3</v>
      </c>
      <c r="I29" s="79">
        <v>-4.0000000000000001E-3</v>
      </c>
      <c r="J29" s="87">
        <v>-4.0000000000000001E-3</v>
      </c>
      <c r="K29" s="87">
        <v>-4.0000000000000001E-3</v>
      </c>
      <c r="L29" s="87">
        <v>-4.0000000000000001E-3</v>
      </c>
      <c r="M29" s="87">
        <v>-4.0000000000000001E-3</v>
      </c>
      <c r="N29" s="87">
        <v>-4.0000000000000001E-3</v>
      </c>
      <c r="O29" s="87">
        <v>-4.0000000000000001E-3</v>
      </c>
      <c r="P29" s="87">
        <v>-4.0000000000000001E-3</v>
      </c>
      <c r="Q29" s="87">
        <v>-4.0000000000000001E-3</v>
      </c>
      <c r="R29" s="87">
        <v>-4.0000000000000001E-3</v>
      </c>
    </row>
    <row r="30" spans="1:18" s="52" customFormat="1" x14ac:dyDescent="0.25">
      <c r="A30" s="1"/>
      <c r="B30" s="1"/>
      <c r="C30" s="67"/>
      <c r="D30" s="67"/>
      <c r="E30" s="67"/>
      <c r="F30" s="67"/>
      <c r="G30" s="67"/>
      <c r="H30" s="67"/>
      <c r="I30" s="12"/>
      <c r="J30" s="86"/>
      <c r="K30" s="86"/>
      <c r="L30" s="86"/>
      <c r="M30" s="86"/>
      <c r="N30" s="86"/>
      <c r="O30" s="86"/>
      <c r="P30" s="86"/>
      <c r="Q30" s="86"/>
      <c r="R30" s="86"/>
    </row>
    <row r="31" spans="1:18" s="52" customFormat="1" x14ac:dyDescent="0.25">
      <c r="A31" s="1"/>
      <c r="B31" s="1" t="s">
        <v>14</v>
      </c>
      <c r="C31" s="11">
        <f>C51+C36</f>
        <v>30</v>
      </c>
      <c r="D31" s="11">
        <f>D51+D36</f>
        <v>48.67</v>
      </c>
      <c r="E31" s="11">
        <f>E51+E36</f>
        <v>95.07</v>
      </c>
      <c r="F31" s="11">
        <f>F51+F36</f>
        <v>35.5</v>
      </c>
      <c r="G31" s="11">
        <f t="shared" ref="G31:H31" si="22">G51+G36</f>
        <v>85.2</v>
      </c>
      <c r="H31" s="11">
        <f t="shared" si="22"/>
        <v>95</v>
      </c>
      <c r="I31" s="39">
        <f t="shared" ref="D31:R31" si="23">I27+I28</f>
        <v>91.092222000000021</v>
      </c>
      <c r="J31" s="88">
        <f t="shared" si="23"/>
        <v>102.12269885999994</v>
      </c>
      <c r="K31" s="88">
        <f t="shared" si="23"/>
        <v>104.16515283719995</v>
      </c>
      <c r="L31" s="88">
        <f t="shared" si="23"/>
        <v>106.24845589394396</v>
      </c>
      <c r="M31" s="88">
        <f t="shared" si="23"/>
        <v>108.37342501182283</v>
      </c>
      <c r="N31" s="88">
        <f t="shared" si="23"/>
        <v>110.54089351205924</v>
      </c>
      <c r="O31" s="88">
        <f t="shared" si="23"/>
        <v>112.75171138230043</v>
      </c>
      <c r="P31" s="88">
        <f t="shared" si="23"/>
        <v>115.00674560994648</v>
      </c>
      <c r="Q31" s="88">
        <f t="shared" si="23"/>
        <v>117.30688052214545</v>
      </c>
      <c r="R31" s="88">
        <f t="shared" si="23"/>
        <v>119.6530181325883</v>
      </c>
    </row>
    <row r="32" spans="1:18" s="52" customFormat="1" x14ac:dyDescent="0.25">
      <c r="A32" s="1"/>
      <c r="B32" s="1"/>
      <c r="C32" s="21"/>
      <c r="D32" s="21"/>
      <c r="E32" s="21"/>
      <c r="F32" s="21"/>
      <c r="G32" s="21"/>
      <c r="H32" s="67"/>
      <c r="I32" s="12"/>
      <c r="J32" s="86"/>
      <c r="K32" s="86"/>
      <c r="L32" s="86"/>
      <c r="M32" s="86"/>
      <c r="N32" s="86"/>
      <c r="O32" s="86"/>
      <c r="P32" s="86"/>
      <c r="Q32" s="86"/>
      <c r="R32" s="86"/>
    </row>
    <row r="33" spans="1:86" s="52" customFormat="1" x14ac:dyDescent="0.25">
      <c r="A33" s="1"/>
      <c r="B33" s="1" t="s">
        <v>15</v>
      </c>
      <c r="C33" s="11">
        <f t="shared" ref="C33:E33" si="24">C27</f>
        <v>46</v>
      </c>
      <c r="D33" s="11">
        <f t="shared" si="24"/>
        <v>50</v>
      </c>
      <c r="E33" s="11">
        <f>E27</f>
        <v>9.8899999999999864</v>
      </c>
      <c r="F33" s="11">
        <f>F27</f>
        <v>41.799999999999955</v>
      </c>
      <c r="G33" s="11">
        <f t="shared" ref="D33:R33" si="25">G27</f>
        <v>90.5</v>
      </c>
      <c r="H33" s="11">
        <f t="shared" si="25"/>
        <v>97.299999999999955</v>
      </c>
      <c r="I33" s="39">
        <f>I27</f>
        <v>95.149782000000016</v>
      </c>
      <c r="J33" s="88">
        <f t="shared" si="25"/>
        <v>106.26141005999995</v>
      </c>
      <c r="K33" s="88">
        <f t="shared" si="25"/>
        <v>108.38663826119995</v>
      </c>
      <c r="L33" s="88">
        <f t="shared" si="25"/>
        <v>110.55437102642395</v>
      </c>
      <c r="M33" s="88">
        <f t="shared" si="25"/>
        <v>112.76545844695244</v>
      </c>
      <c r="N33" s="88">
        <f t="shared" si="25"/>
        <v>115.02076761589143</v>
      </c>
      <c r="O33" s="88">
        <f t="shared" si="25"/>
        <v>117.32118296820926</v>
      </c>
      <c r="P33" s="88">
        <f t="shared" si="25"/>
        <v>119.66760662757349</v>
      </c>
      <c r="Q33" s="88">
        <f t="shared" si="25"/>
        <v>122.060958760125</v>
      </c>
      <c r="R33" s="88">
        <f t="shared" si="25"/>
        <v>124.50217793532744</v>
      </c>
    </row>
    <row r="34" spans="1:86" s="52" customFormat="1" x14ac:dyDescent="0.25">
      <c r="A34" s="1"/>
      <c r="B34" s="74" t="s">
        <v>16</v>
      </c>
      <c r="C34" s="75"/>
      <c r="D34" s="75"/>
      <c r="E34" s="75"/>
      <c r="F34" s="75">
        <f t="shared" ref="C34:R34" si="26">F33/F11</f>
        <v>5.2191284804594777E-2</v>
      </c>
      <c r="G34" s="75">
        <f t="shared" si="26"/>
        <v>9.5767195767195765E-2</v>
      </c>
      <c r="H34" s="75">
        <f t="shared" si="26"/>
        <v>9.7838109602815443E-2</v>
      </c>
      <c r="I34" s="76">
        <f t="shared" si="26"/>
        <v>9.3800000000000022E-2</v>
      </c>
      <c r="J34" s="77">
        <f t="shared" si="26"/>
        <v>0.10269999999999996</v>
      </c>
      <c r="K34" s="77">
        <f t="shared" si="26"/>
        <v>0.10269999999999996</v>
      </c>
      <c r="L34" s="77">
        <f t="shared" si="26"/>
        <v>0.10269999999999996</v>
      </c>
      <c r="M34" s="77">
        <f t="shared" si="26"/>
        <v>0.10269999999999997</v>
      </c>
      <c r="N34" s="77">
        <f t="shared" si="26"/>
        <v>0.10269999999999993</v>
      </c>
      <c r="O34" s="77">
        <f t="shared" si="26"/>
        <v>0.10269999999999992</v>
      </c>
      <c r="P34" s="77">
        <f t="shared" si="26"/>
        <v>0.10269999999999996</v>
      </c>
      <c r="Q34" s="77">
        <f t="shared" si="26"/>
        <v>0.10269999999999999</v>
      </c>
      <c r="R34" s="77">
        <f t="shared" si="26"/>
        <v>0.10269999999999993</v>
      </c>
    </row>
    <row r="35" spans="1:86" s="52" customFormat="1" x14ac:dyDescent="0.25">
      <c r="A35" s="1"/>
      <c r="B35" s="13"/>
      <c r="C35" s="1"/>
      <c r="D35" s="1"/>
      <c r="E35" s="2"/>
      <c r="F35" s="1"/>
      <c r="G35" s="1"/>
      <c r="H35" s="1"/>
      <c r="I35" s="12"/>
      <c r="J35" s="86"/>
      <c r="K35" s="86"/>
      <c r="L35" s="86"/>
      <c r="M35" s="86"/>
      <c r="N35" s="86"/>
      <c r="O35" s="86"/>
      <c r="P35" s="86"/>
      <c r="Q35" s="86"/>
      <c r="R35" s="86"/>
    </row>
    <row r="36" spans="1:86" s="52" customFormat="1" x14ac:dyDescent="0.25">
      <c r="A36" s="1"/>
      <c r="B36" s="1" t="s">
        <v>17</v>
      </c>
      <c r="C36" s="2"/>
      <c r="D36" s="11">
        <v>15.32</v>
      </c>
      <c r="E36" s="11">
        <v>16</v>
      </c>
      <c r="F36" s="11">
        <v>12.9</v>
      </c>
      <c r="G36" s="11">
        <v>25</v>
      </c>
      <c r="H36" s="11">
        <v>23.8</v>
      </c>
      <c r="I36" s="20">
        <f>I33*I37</f>
        <v>26.641938960000008</v>
      </c>
      <c r="J36" s="85">
        <f t="shared" ref="J36:R36" si="27">J33*J37</f>
        <v>31.878423017999982</v>
      </c>
      <c r="K36" s="85">
        <f t="shared" si="27"/>
        <v>32.515991478359986</v>
      </c>
      <c r="L36" s="85">
        <f t="shared" si="27"/>
        <v>33.166311307927181</v>
      </c>
      <c r="M36" s="85">
        <f t="shared" si="27"/>
        <v>33.829637534085727</v>
      </c>
      <c r="N36" s="85">
        <f t="shared" si="27"/>
        <v>34.506230284767426</v>
      </c>
      <c r="O36" s="85">
        <f t="shared" si="27"/>
        <v>35.196354890462779</v>
      </c>
      <c r="P36" s="85">
        <f t="shared" si="27"/>
        <v>35.900281988272049</v>
      </c>
      <c r="Q36" s="85">
        <f t="shared" si="27"/>
        <v>36.6182876280375</v>
      </c>
      <c r="R36" s="85">
        <f t="shared" si="27"/>
        <v>37.350653380598231</v>
      </c>
    </row>
    <row r="37" spans="1:86" s="52" customFormat="1" x14ac:dyDescent="0.25">
      <c r="A37" s="1"/>
      <c r="B37" s="74" t="s">
        <v>18</v>
      </c>
      <c r="C37" s="78"/>
      <c r="D37" s="78">
        <f t="shared" ref="D37:H37" si="28">D36/D33</f>
        <v>0.30640000000000001</v>
      </c>
      <c r="E37" s="78">
        <f>E36/E33</f>
        <v>1.6177957532861498</v>
      </c>
      <c r="F37" s="78">
        <f t="shared" si="28"/>
        <v>0.30861244019138789</v>
      </c>
      <c r="G37" s="78">
        <f t="shared" si="28"/>
        <v>0.27624309392265195</v>
      </c>
      <c r="H37" s="78">
        <f t="shared" si="28"/>
        <v>0.24460431654676271</v>
      </c>
      <c r="I37" s="79">
        <v>0.28000000000000003</v>
      </c>
      <c r="J37" s="87">
        <v>0.3</v>
      </c>
      <c r="K37" s="87">
        <v>0.3</v>
      </c>
      <c r="L37" s="87">
        <v>0.3</v>
      </c>
      <c r="M37" s="87">
        <v>0.3</v>
      </c>
      <c r="N37" s="87">
        <v>0.3</v>
      </c>
      <c r="O37" s="87">
        <v>0.3</v>
      </c>
      <c r="P37" s="87">
        <v>0.3</v>
      </c>
      <c r="Q37" s="87">
        <v>0.3</v>
      </c>
      <c r="R37" s="87">
        <v>0.3</v>
      </c>
    </row>
    <row r="38" spans="1:86" s="52" customFormat="1" x14ac:dyDescent="0.25">
      <c r="A38" s="1"/>
      <c r="B38" s="1"/>
      <c r="C38" s="1"/>
      <c r="D38" s="1"/>
      <c r="E38" s="1"/>
      <c r="F38" s="1"/>
      <c r="G38" s="1"/>
      <c r="H38" s="1"/>
      <c r="I38" s="12"/>
      <c r="J38" s="86"/>
      <c r="K38" s="86"/>
      <c r="L38" s="86"/>
      <c r="M38" s="86"/>
      <c r="N38" s="86"/>
      <c r="O38" s="86"/>
      <c r="P38" s="86"/>
      <c r="Q38" s="86"/>
      <c r="R38" s="86"/>
    </row>
    <row r="39" spans="1:86" s="52" customFormat="1" x14ac:dyDescent="0.25">
      <c r="A39" s="1"/>
      <c r="B39" s="9" t="s">
        <v>19</v>
      </c>
      <c r="C39" s="9"/>
      <c r="D39" s="9"/>
      <c r="E39" s="10"/>
      <c r="F39" s="9">
        <v>2020</v>
      </c>
      <c r="G39" s="9">
        <v>2021</v>
      </c>
      <c r="H39" s="9">
        <v>2022</v>
      </c>
      <c r="I39" s="66">
        <v>2023</v>
      </c>
      <c r="J39" s="89">
        <v>2024</v>
      </c>
      <c r="K39" s="89">
        <v>2025</v>
      </c>
      <c r="L39" s="89">
        <v>2026</v>
      </c>
      <c r="M39" s="89">
        <v>2027</v>
      </c>
      <c r="N39" s="89">
        <v>2028</v>
      </c>
      <c r="O39" s="89">
        <v>2029</v>
      </c>
      <c r="P39" s="89">
        <v>2030</v>
      </c>
      <c r="Q39" s="89">
        <v>2031</v>
      </c>
      <c r="R39" s="89">
        <v>2032</v>
      </c>
      <c r="S39" s="9">
        <v>2033</v>
      </c>
      <c r="T39" s="9">
        <v>2034</v>
      </c>
      <c r="U39" s="9">
        <v>2035</v>
      </c>
      <c r="V39" s="9">
        <v>2036</v>
      </c>
      <c r="W39" s="9">
        <v>2037</v>
      </c>
      <c r="X39" s="9">
        <v>2038</v>
      </c>
      <c r="Y39" s="9">
        <v>2039</v>
      </c>
      <c r="Z39" s="9">
        <v>2040</v>
      </c>
      <c r="AA39" s="9">
        <v>2041</v>
      </c>
      <c r="AB39" s="9">
        <v>2042</v>
      </c>
      <c r="AC39" s="9">
        <v>2043</v>
      </c>
      <c r="AD39" s="9">
        <v>2044</v>
      </c>
      <c r="AE39" s="9">
        <v>2045</v>
      </c>
      <c r="AF39" s="9">
        <v>2046</v>
      </c>
      <c r="AG39" s="9">
        <v>2047</v>
      </c>
      <c r="AH39" s="9">
        <v>2048</v>
      </c>
      <c r="AI39" s="9">
        <v>2049</v>
      </c>
      <c r="AJ39" s="9">
        <v>2050</v>
      </c>
      <c r="AK39" s="9">
        <v>2051</v>
      </c>
      <c r="AL39" s="9">
        <v>2052</v>
      </c>
      <c r="AM39" s="9">
        <v>2053</v>
      </c>
      <c r="AN39" s="9">
        <v>2054</v>
      </c>
      <c r="AO39" s="9">
        <v>2055</v>
      </c>
      <c r="AP39" s="9">
        <v>2056</v>
      </c>
      <c r="AQ39" s="9">
        <v>2057</v>
      </c>
      <c r="AR39" s="9">
        <v>2058</v>
      </c>
      <c r="AS39" s="9">
        <v>2059</v>
      </c>
      <c r="AT39" s="9">
        <v>2060</v>
      </c>
      <c r="AU39" s="9">
        <v>2061</v>
      </c>
      <c r="AV39" s="9">
        <v>2062</v>
      </c>
      <c r="AW39" s="9">
        <v>2063</v>
      </c>
      <c r="AX39" s="9">
        <v>2064</v>
      </c>
      <c r="AY39" s="9">
        <v>2065</v>
      </c>
      <c r="AZ39" s="9">
        <v>2066</v>
      </c>
      <c r="BA39" s="9">
        <v>2067</v>
      </c>
      <c r="BB39" s="9">
        <v>2068</v>
      </c>
      <c r="BC39" s="9">
        <v>2069</v>
      </c>
      <c r="BD39" s="9">
        <v>2070</v>
      </c>
      <c r="BE39" s="9">
        <v>2071</v>
      </c>
      <c r="BF39" s="9">
        <v>2072</v>
      </c>
      <c r="BG39" s="9">
        <v>2073</v>
      </c>
      <c r="BH39" s="9">
        <v>2074</v>
      </c>
      <c r="BI39" s="9">
        <v>2075</v>
      </c>
      <c r="BJ39" s="9">
        <v>2076</v>
      </c>
      <c r="BK39" s="9">
        <v>2077</v>
      </c>
      <c r="BL39" s="9">
        <v>2078</v>
      </c>
      <c r="BM39" s="9">
        <v>2079</v>
      </c>
      <c r="BN39" s="9">
        <v>2080</v>
      </c>
      <c r="BO39" s="9">
        <v>2081</v>
      </c>
      <c r="BP39" s="9">
        <v>2082</v>
      </c>
      <c r="BQ39" s="9">
        <v>2083</v>
      </c>
      <c r="BR39" s="9">
        <v>2084</v>
      </c>
      <c r="BS39" s="9">
        <v>2085</v>
      </c>
      <c r="BT39" s="9">
        <v>2086</v>
      </c>
      <c r="BU39" s="9">
        <v>2087</v>
      </c>
      <c r="BV39" s="9">
        <v>2088</v>
      </c>
      <c r="BW39" s="9">
        <v>2089</v>
      </c>
      <c r="BX39" s="9">
        <v>2090</v>
      </c>
      <c r="BY39" s="9">
        <v>2091</v>
      </c>
      <c r="BZ39" s="9">
        <v>2092</v>
      </c>
      <c r="CA39" s="9">
        <v>2093</v>
      </c>
      <c r="CB39" s="9">
        <v>2094</v>
      </c>
      <c r="CC39" s="9">
        <v>2095</v>
      </c>
      <c r="CD39" s="9">
        <v>2096</v>
      </c>
      <c r="CE39" s="9">
        <v>2097</v>
      </c>
      <c r="CF39" s="9">
        <v>2098</v>
      </c>
      <c r="CG39" s="9">
        <v>2099</v>
      </c>
      <c r="CH39" s="9">
        <v>2100</v>
      </c>
    </row>
    <row r="40" spans="1:86" s="52" customFormat="1" x14ac:dyDescent="0.25">
      <c r="A40" s="1"/>
      <c r="B40" s="1" t="s">
        <v>20</v>
      </c>
      <c r="C40" s="11">
        <v>25.19</v>
      </c>
      <c r="D40" s="11">
        <v>23</v>
      </c>
      <c r="E40" s="11">
        <v>39</v>
      </c>
      <c r="F40" s="11">
        <v>40.700000000000003</v>
      </c>
      <c r="G40" s="11">
        <v>39.6</v>
      </c>
      <c r="H40" s="11">
        <v>40.5</v>
      </c>
      <c r="I40" s="20">
        <v>35.200000000000003</v>
      </c>
      <c r="J40" s="85">
        <v>32.6</v>
      </c>
      <c r="K40" s="85">
        <v>33.200000000000003</v>
      </c>
      <c r="L40" s="85">
        <f t="shared" ref="J40:R40" si="29">L41*L11</f>
        <v>32.294363493599995</v>
      </c>
      <c r="M40" s="85">
        <f t="shared" si="29"/>
        <v>30.744234045907199</v>
      </c>
      <c r="N40" s="85">
        <f t="shared" si="29"/>
        <v>28.058912963767728</v>
      </c>
      <c r="O40" s="85">
        <f t="shared" si="29"/>
        <v>28.530203302882583</v>
      </c>
      <c r="P40" s="85">
        <f t="shared" si="29"/>
        <v>29.186726391813259</v>
      </c>
      <c r="Q40" s="85">
        <f t="shared" si="29"/>
        <v>29.685603744065876</v>
      </c>
      <c r="R40" s="85">
        <f t="shared" si="29"/>
        <v>30.333857413974012</v>
      </c>
    </row>
    <row r="41" spans="1:86" s="52" customFormat="1" x14ac:dyDescent="0.25">
      <c r="A41" s="1"/>
      <c r="B41" s="74" t="s">
        <v>16</v>
      </c>
      <c r="C41" s="75">
        <f t="shared" ref="C41:K41" si="30">C40/C11</f>
        <v>3.0131578947368422E-2</v>
      </c>
      <c r="D41" s="75">
        <f t="shared" si="30"/>
        <v>2.6963657678780773E-2</v>
      </c>
      <c r="E41" s="75">
        <f t="shared" si="30"/>
        <v>4.6818727490996401E-2</v>
      </c>
      <c r="F41" s="75">
        <f t="shared" si="30"/>
        <v>5.0817829941316027E-2</v>
      </c>
      <c r="G41" s="75">
        <f t="shared" si="30"/>
        <v>4.1904761904761903E-2</v>
      </c>
      <c r="H41" s="75">
        <f t="shared" si="30"/>
        <v>4.072398190045249E-2</v>
      </c>
      <c r="I41" s="76">
        <f t="shared" si="30"/>
        <v>3.4700657538027785E-2</v>
      </c>
      <c r="J41" s="77">
        <f t="shared" si="30"/>
        <v>3.1507392929470412E-2</v>
      </c>
      <c r="K41" s="77">
        <f t="shared" si="30"/>
        <v>3.1458121173415669E-2</v>
      </c>
      <c r="L41" s="77">
        <v>0.03</v>
      </c>
      <c r="M41" s="77">
        <v>2.8000000000000001E-2</v>
      </c>
      <c r="N41" s="77">
        <v>2.5053304904051176E-2</v>
      </c>
      <c r="O41" s="77">
        <v>2.4974619289340107E-2</v>
      </c>
      <c r="P41" s="77">
        <v>2.5048355899419734E-2</v>
      </c>
      <c r="Q41" s="77">
        <v>2.4976958525345625E-2</v>
      </c>
      <c r="R41" s="77">
        <v>2.5021949078138719E-2</v>
      </c>
    </row>
    <row r="42" spans="1:86" s="52" customFormat="1" x14ac:dyDescent="0.25">
      <c r="A42" s="1"/>
      <c r="B42" s="1"/>
      <c r="C42" s="1"/>
      <c r="D42" s="1"/>
      <c r="E42" s="2"/>
      <c r="F42" s="1"/>
      <c r="G42" s="1"/>
      <c r="H42" s="1"/>
      <c r="I42" s="12"/>
      <c r="J42" s="86"/>
      <c r="K42" s="86"/>
      <c r="L42" s="86"/>
      <c r="M42" s="86"/>
      <c r="N42" s="86"/>
      <c r="O42" s="86"/>
      <c r="P42" s="86"/>
      <c r="Q42" s="86"/>
      <c r="R42" s="86"/>
    </row>
    <row r="43" spans="1:86" s="52" customFormat="1" x14ac:dyDescent="0.25">
      <c r="A43" s="1"/>
      <c r="B43" s="1" t="s">
        <v>21</v>
      </c>
      <c r="C43" s="11">
        <v>-35.74</v>
      </c>
      <c r="D43" s="11">
        <v>-43.77</v>
      </c>
      <c r="E43" s="11">
        <v>-31.54</v>
      </c>
      <c r="F43" s="38">
        <v>-19.899999999999999</v>
      </c>
      <c r="G43" s="38">
        <v>-25.7</v>
      </c>
      <c r="H43" s="38">
        <v>-36.700000000000003</v>
      </c>
      <c r="I43" s="20">
        <v>-53</v>
      </c>
      <c r="J43" s="85">
        <v>-41.5</v>
      </c>
      <c r="K43" s="85">
        <v>-34.299999999999997</v>
      </c>
      <c r="L43" s="85">
        <f t="shared" ref="J43:R43" si="31">L44*L11</f>
        <v>-34.257139077771235</v>
      </c>
      <c r="M43" s="85">
        <f t="shared" si="31"/>
        <v>-34.942281859326663</v>
      </c>
      <c r="N43" s="85">
        <f t="shared" si="31"/>
        <v>-35.641127496513192</v>
      </c>
      <c r="O43" s="85">
        <f t="shared" si="31"/>
        <v>-36.353950046443458</v>
      </c>
      <c r="P43" s="85">
        <f t="shared" si="31"/>
        <v>-37.081029047372326</v>
      </c>
      <c r="Q43" s="85">
        <f t="shared" si="31"/>
        <v>-37.822649628319773</v>
      </c>
      <c r="R43" s="85">
        <f t="shared" si="31"/>
        <v>-38.579102620886168</v>
      </c>
    </row>
    <row r="44" spans="1:86" s="52" customFormat="1" x14ac:dyDescent="0.25">
      <c r="A44" s="1"/>
      <c r="B44" s="74" t="s">
        <v>16</v>
      </c>
      <c r="C44" s="75">
        <f t="shared" ref="C44:K44" si="32">C43/C11</f>
        <v>-4.2751196172248804E-2</v>
      </c>
      <c r="D44" s="75">
        <f t="shared" si="32"/>
        <v>-5.1313012895662369E-2</v>
      </c>
      <c r="E44" s="75">
        <f t="shared" si="32"/>
        <v>-3.7863145258103241E-2</v>
      </c>
      <c r="F44" s="75">
        <f t="shared" si="32"/>
        <v>-2.4847047072043948E-2</v>
      </c>
      <c r="G44" s="75">
        <f t="shared" si="32"/>
        <v>-2.7195767195767193E-2</v>
      </c>
      <c r="H44" s="75">
        <f t="shared" si="32"/>
        <v>-3.6902966314731021E-2</v>
      </c>
      <c r="I44" s="76">
        <f t="shared" si="32"/>
        <v>-5.2248149133962286E-2</v>
      </c>
      <c r="J44" s="77">
        <f t="shared" si="32"/>
        <v>-4.0109104496104976E-2</v>
      </c>
      <c r="K44" s="77">
        <f t="shared" si="32"/>
        <v>-3.2500408320727626E-2</v>
      </c>
      <c r="L44" s="77">
        <v>-3.1823329558323898E-2</v>
      </c>
      <c r="M44" s="77">
        <v>-3.1823329558323898E-2</v>
      </c>
      <c r="N44" s="77">
        <v>-3.1823329558323898E-2</v>
      </c>
      <c r="O44" s="77">
        <v>-3.1823329558323898E-2</v>
      </c>
      <c r="P44" s="77">
        <v>-3.1823329558323898E-2</v>
      </c>
      <c r="Q44" s="77">
        <v>-3.1823329558323898E-2</v>
      </c>
      <c r="R44" s="77">
        <v>-3.1823329558323898E-2</v>
      </c>
    </row>
    <row r="45" spans="1:86" s="52" customFormat="1" x14ac:dyDescent="0.25">
      <c r="A45" s="1"/>
      <c r="B45" s="1"/>
      <c r="C45" s="1"/>
      <c r="D45" s="1"/>
      <c r="E45" s="2"/>
      <c r="F45" s="1"/>
      <c r="G45" s="1"/>
      <c r="H45" s="1"/>
      <c r="I45" s="12"/>
      <c r="J45" s="86"/>
      <c r="K45" s="86"/>
      <c r="L45" s="86"/>
      <c r="M45" s="86"/>
      <c r="N45" s="86"/>
      <c r="O45" s="86"/>
      <c r="P45" s="86"/>
      <c r="Q45" s="86"/>
      <c r="R45" s="86"/>
    </row>
    <row r="46" spans="1:86" s="52" customFormat="1" x14ac:dyDescent="0.25">
      <c r="A46" s="1"/>
      <c r="B46" s="1" t="s">
        <v>22</v>
      </c>
      <c r="C46" s="11">
        <v>-9.39</v>
      </c>
      <c r="D46" s="11">
        <v>-25</v>
      </c>
      <c r="E46" s="11">
        <v>-17</v>
      </c>
      <c r="F46" s="68">
        <f>9+52.6+8</f>
        <v>69.599999999999994</v>
      </c>
      <c r="G46" s="68">
        <f>-35.9+0.4+8.8</f>
        <v>-26.7</v>
      </c>
      <c r="H46" s="68">
        <f>22.3-68.8-8.9</f>
        <v>-55.4</v>
      </c>
      <c r="I46" s="20">
        <f t="shared" ref="I46:R46" si="33">I47*I11</f>
        <v>-30.431699999999999</v>
      </c>
      <c r="J46" s="85">
        <f t="shared" si="33"/>
        <v>-10.346777999999999</v>
      </c>
      <c r="K46" s="85">
        <f t="shared" si="33"/>
        <v>5.2768567799999992</v>
      </c>
      <c r="L46" s="85">
        <f t="shared" si="33"/>
        <v>10.7647878312</v>
      </c>
      <c r="M46" s="85">
        <f t="shared" si="33"/>
        <v>10.980083587824</v>
      </c>
      <c r="N46" s="85">
        <f t="shared" si="33"/>
        <v>11.199685259580479</v>
      </c>
      <c r="O46" s="85">
        <f t="shared" si="33"/>
        <v>11.423678964772089</v>
      </c>
      <c r="P46" s="85">
        <f t="shared" si="33"/>
        <v>11.652152544067532</v>
      </c>
      <c r="Q46" s="85">
        <f t="shared" si="33"/>
        <v>11.885195594948883</v>
      </c>
      <c r="R46" s="85">
        <f t="shared" si="33"/>
        <v>12.12289950684786</v>
      </c>
    </row>
    <row r="47" spans="1:86" s="52" customFormat="1" x14ac:dyDescent="0.25">
      <c r="A47" s="1"/>
      <c r="B47" s="74" t="s">
        <v>16</v>
      </c>
      <c r="C47" s="75"/>
      <c r="D47" s="75"/>
      <c r="E47" s="75"/>
      <c r="F47" s="75">
        <f t="shared" ref="C47:H47" si="34">F46/F11</f>
        <v>8.6902234985641147E-2</v>
      </c>
      <c r="G47" s="75">
        <f t="shared" si="34"/>
        <v>-2.8253968253968254E-2</v>
      </c>
      <c r="H47" s="75">
        <f t="shared" si="34"/>
        <v>-5.570638511814982E-2</v>
      </c>
      <c r="I47" s="79">
        <v>-0.03</v>
      </c>
      <c r="J47" s="87">
        <v>-0.01</v>
      </c>
      <c r="K47" s="87">
        <v>5.0000000000000001E-3</v>
      </c>
      <c r="L47" s="87">
        <v>0.01</v>
      </c>
      <c r="M47" s="87">
        <v>0.01</v>
      </c>
      <c r="N47" s="87">
        <v>0.01</v>
      </c>
      <c r="O47" s="87">
        <v>0.01</v>
      </c>
      <c r="P47" s="87">
        <v>0.01</v>
      </c>
      <c r="Q47" s="87">
        <v>0.01</v>
      </c>
      <c r="R47" s="87">
        <v>0.01</v>
      </c>
    </row>
    <row r="48" spans="1:86" s="52" customFormat="1" x14ac:dyDescent="0.25">
      <c r="A48" s="1"/>
      <c r="B48" s="1"/>
      <c r="C48" s="1"/>
      <c r="D48" s="1"/>
      <c r="E48" s="1"/>
      <c r="F48" s="1"/>
      <c r="G48" s="1"/>
      <c r="H48" s="1"/>
      <c r="I48" s="12"/>
      <c r="J48" s="86"/>
      <c r="K48" s="86"/>
      <c r="L48" s="86"/>
      <c r="M48" s="86"/>
      <c r="N48" s="86"/>
      <c r="O48" s="86"/>
      <c r="P48" s="86"/>
      <c r="Q48" s="86"/>
      <c r="R48" s="86"/>
    </row>
    <row r="49" spans="1:86" s="52" customFormat="1" x14ac:dyDescent="0.25">
      <c r="A49" s="1"/>
      <c r="B49" s="9" t="s">
        <v>23</v>
      </c>
      <c r="C49" s="11">
        <f t="shared" ref="C49:H49" si="35">C33-C36</f>
        <v>46</v>
      </c>
      <c r="D49" s="11">
        <f t="shared" si="35"/>
        <v>34.68</v>
      </c>
      <c r="E49" s="11">
        <f>E33-E36</f>
        <v>-6.1100000000000136</v>
      </c>
      <c r="F49" s="11">
        <f t="shared" si="35"/>
        <v>28.899999999999956</v>
      </c>
      <c r="G49" s="11">
        <f t="shared" si="35"/>
        <v>65.5</v>
      </c>
      <c r="H49" s="11">
        <f t="shared" si="35"/>
        <v>73.499999999999957</v>
      </c>
      <c r="I49" s="39">
        <f t="shared" ref="I49" si="36">I33-I36</f>
        <v>68.507843040000012</v>
      </c>
      <c r="J49" s="88">
        <f t="shared" ref="J49:R49" si="37">J33-J36</f>
        <v>74.382987041999968</v>
      </c>
      <c r="K49" s="88">
        <f t="shared" si="37"/>
        <v>75.87064678283997</v>
      </c>
      <c r="L49" s="88">
        <f t="shared" si="37"/>
        <v>77.388059718496777</v>
      </c>
      <c r="M49" s="88">
        <f t="shared" si="37"/>
        <v>78.935820912866717</v>
      </c>
      <c r="N49" s="88">
        <f t="shared" si="37"/>
        <v>80.514537331124004</v>
      </c>
      <c r="O49" s="88">
        <f t="shared" si="37"/>
        <v>82.124828077746486</v>
      </c>
      <c r="P49" s="88">
        <f t="shared" si="37"/>
        <v>83.767324639301449</v>
      </c>
      <c r="Q49" s="88">
        <f t="shared" si="37"/>
        <v>85.442671132087497</v>
      </c>
      <c r="R49" s="88">
        <f t="shared" si="37"/>
        <v>87.151524554729207</v>
      </c>
    </row>
    <row r="50" spans="1:86" s="52" customFormat="1" x14ac:dyDescent="0.25">
      <c r="A50" s="1"/>
      <c r="B50" s="9" t="s">
        <v>50</v>
      </c>
      <c r="C50" s="11"/>
      <c r="D50" s="11"/>
      <c r="E50" s="11"/>
      <c r="F50" s="11"/>
      <c r="G50" s="11"/>
      <c r="H50" s="11"/>
      <c r="I50" s="39"/>
      <c r="J50" s="88"/>
      <c r="K50" s="88"/>
      <c r="L50" s="88"/>
      <c r="M50" s="88"/>
      <c r="N50" s="88"/>
      <c r="O50" s="88"/>
      <c r="P50" s="88"/>
      <c r="Q50" s="88"/>
      <c r="R50" s="88"/>
    </row>
    <row r="51" spans="1:86" s="52" customFormat="1" x14ac:dyDescent="0.25">
      <c r="A51" s="1"/>
      <c r="B51" s="9" t="s">
        <v>24</v>
      </c>
      <c r="C51" s="11">
        <v>30</v>
      </c>
      <c r="D51" s="11">
        <v>33.35</v>
      </c>
      <c r="E51" s="11">
        <v>79.069999999999993</v>
      </c>
      <c r="F51" s="11">
        <v>22.6</v>
      </c>
      <c r="G51" s="11">
        <v>60.2</v>
      </c>
      <c r="H51" s="11">
        <v>71.2</v>
      </c>
      <c r="I51" s="39">
        <f t="shared" ref="I51" si="38">I31-I36+I50</f>
        <v>64.450283040000016</v>
      </c>
      <c r="J51" s="88">
        <f t="shared" ref="J51" si="39">J31-J36+J50</f>
        <v>70.244275841999965</v>
      </c>
      <c r="K51" s="88">
        <f t="shared" ref="K51" si="40">K31-K36+K50</f>
        <v>71.649161358839962</v>
      </c>
      <c r="L51" s="88">
        <f t="shared" ref="L51" si="41">L31-L36+L50</f>
        <v>73.082144586016767</v>
      </c>
      <c r="M51" s="88">
        <f t="shared" ref="M51" si="42">M31-M36+M50</f>
        <v>74.543787477737112</v>
      </c>
      <c r="N51" s="88">
        <f t="shared" ref="N51" si="43">N31-N36+N50</f>
        <v>76.034663227291816</v>
      </c>
      <c r="O51" s="88">
        <f t="shared" ref="O51" si="44">O31-O36+O50</f>
        <v>77.555356491837642</v>
      </c>
      <c r="P51" s="88">
        <f t="shared" ref="P51" si="45">P31-P36+P50</f>
        <v>79.106463621674436</v>
      </c>
      <c r="Q51" s="88">
        <f t="shared" ref="Q51" si="46">Q31-Q36+Q50</f>
        <v>80.688592894107956</v>
      </c>
      <c r="R51" s="88">
        <f t="shared" ref="R51" si="47">R31-R36+R50</f>
        <v>82.302364751990069</v>
      </c>
      <c r="S51" s="53">
        <f>R51*(1+$E$6)</f>
        <v>83.948412047029876</v>
      </c>
      <c r="T51" s="53">
        <f t="shared" ref="T51:CE51" si="48">S51*(1+$E$6)</f>
        <v>85.627380287970482</v>
      </c>
      <c r="U51" s="53">
        <f t="shared" si="48"/>
        <v>87.339927893729893</v>
      </c>
      <c r="V51" s="53">
        <f t="shared" si="48"/>
        <v>89.086726451604491</v>
      </c>
      <c r="W51" s="53">
        <f t="shared" si="48"/>
        <v>90.868460980636584</v>
      </c>
      <c r="X51" s="53">
        <f t="shared" si="48"/>
        <v>92.685830200249313</v>
      </c>
      <c r="Y51" s="53">
        <f t="shared" si="48"/>
        <v>94.5395468042543</v>
      </c>
      <c r="Z51" s="53">
        <f t="shared" si="48"/>
        <v>96.430337740339382</v>
      </c>
      <c r="AA51" s="53">
        <f t="shared" si="48"/>
        <v>98.358944495146176</v>
      </c>
      <c r="AB51" s="53">
        <f t="shared" si="48"/>
        <v>100.3261233850491</v>
      </c>
      <c r="AC51" s="53">
        <f t="shared" si="48"/>
        <v>102.33264585275009</v>
      </c>
      <c r="AD51" s="53">
        <f t="shared" si="48"/>
        <v>104.37929876980509</v>
      </c>
      <c r="AE51" s="53">
        <f t="shared" si="48"/>
        <v>106.4668847452012</v>
      </c>
      <c r="AF51" s="53">
        <f t="shared" si="48"/>
        <v>108.59622244010522</v>
      </c>
      <c r="AG51" s="53">
        <f t="shared" si="48"/>
        <v>110.76814688890732</v>
      </c>
      <c r="AH51" s="53">
        <f t="shared" si="48"/>
        <v>112.98350982668548</v>
      </c>
      <c r="AI51" s="53">
        <f t="shared" si="48"/>
        <v>115.24318002321918</v>
      </c>
      <c r="AJ51" s="53">
        <f t="shared" si="48"/>
        <v>117.54804362368357</v>
      </c>
      <c r="AK51" s="53">
        <f t="shared" si="48"/>
        <v>119.89900449615725</v>
      </c>
      <c r="AL51" s="53">
        <f t="shared" si="48"/>
        <v>122.2969845860804</v>
      </c>
      <c r="AM51" s="53">
        <f t="shared" si="48"/>
        <v>124.742924277802</v>
      </c>
      <c r="AN51" s="53">
        <f t="shared" si="48"/>
        <v>127.23778276335804</v>
      </c>
      <c r="AO51" s="53">
        <f t="shared" si="48"/>
        <v>129.78253841862519</v>
      </c>
      <c r="AP51" s="53">
        <f t="shared" si="48"/>
        <v>132.3781891869977</v>
      </c>
      <c r="AQ51" s="53">
        <f t="shared" si="48"/>
        <v>135.02575297073767</v>
      </c>
      <c r="AR51" s="53">
        <f t="shared" si="48"/>
        <v>137.72626803015243</v>
      </c>
      <c r="AS51" s="53">
        <f t="shared" si="48"/>
        <v>140.48079339075548</v>
      </c>
      <c r="AT51" s="53">
        <f t="shared" si="48"/>
        <v>143.29040925857061</v>
      </c>
      <c r="AU51" s="53">
        <f t="shared" si="48"/>
        <v>146.15621744374201</v>
      </c>
      <c r="AV51" s="53">
        <f t="shared" si="48"/>
        <v>149.07934179261684</v>
      </c>
      <c r="AW51" s="53">
        <f t="shared" si="48"/>
        <v>152.06092862846918</v>
      </c>
      <c r="AX51" s="53">
        <f t="shared" si="48"/>
        <v>155.10214720103858</v>
      </c>
      <c r="AY51" s="53">
        <f t="shared" si="48"/>
        <v>158.20419014505936</v>
      </c>
      <c r="AZ51" s="53">
        <f t="shared" si="48"/>
        <v>161.36827394796055</v>
      </c>
      <c r="BA51" s="53">
        <f t="shared" si="48"/>
        <v>164.59563942691975</v>
      </c>
      <c r="BB51" s="53">
        <f t="shared" si="48"/>
        <v>167.88755221545816</v>
      </c>
      <c r="BC51" s="53">
        <f t="shared" si="48"/>
        <v>171.24530325976733</v>
      </c>
      <c r="BD51" s="53">
        <f t="shared" si="48"/>
        <v>174.67020932496268</v>
      </c>
      <c r="BE51" s="53">
        <f t="shared" si="48"/>
        <v>178.16361351146193</v>
      </c>
      <c r="BF51" s="53">
        <f t="shared" si="48"/>
        <v>181.72688578169118</v>
      </c>
      <c r="BG51" s="53">
        <f t="shared" si="48"/>
        <v>185.36142349732501</v>
      </c>
      <c r="BH51" s="53">
        <f t="shared" si="48"/>
        <v>189.06865196727151</v>
      </c>
      <c r="BI51" s="53">
        <f t="shared" si="48"/>
        <v>192.85002500661693</v>
      </c>
      <c r="BJ51" s="53">
        <f t="shared" si="48"/>
        <v>196.70702550674926</v>
      </c>
      <c r="BK51" s="53">
        <f t="shared" si="48"/>
        <v>200.64116601688426</v>
      </c>
      <c r="BL51" s="53">
        <f t="shared" si="48"/>
        <v>204.65398933722196</v>
      </c>
      <c r="BM51" s="53">
        <f t="shared" si="48"/>
        <v>208.74706912396641</v>
      </c>
      <c r="BN51" s="53">
        <f t="shared" si="48"/>
        <v>212.92201050644573</v>
      </c>
      <c r="BO51" s="53">
        <f t="shared" si="48"/>
        <v>217.18045071657465</v>
      </c>
      <c r="BP51" s="53">
        <f t="shared" si="48"/>
        <v>221.52405973090615</v>
      </c>
      <c r="BQ51" s="53">
        <f t="shared" si="48"/>
        <v>225.95454092552427</v>
      </c>
      <c r="BR51" s="53">
        <f t="shared" si="48"/>
        <v>230.47363174403475</v>
      </c>
      <c r="BS51" s="53">
        <f t="shared" si="48"/>
        <v>235.08310437891544</v>
      </c>
      <c r="BT51" s="53">
        <f t="shared" si="48"/>
        <v>239.78476646649375</v>
      </c>
      <c r="BU51" s="53">
        <f t="shared" si="48"/>
        <v>244.58046179582362</v>
      </c>
      <c r="BV51" s="53">
        <f t="shared" si="48"/>
        <v>249.47207103174011</v>
      </c>
      <c r="BW51" s="53">
        <f t="shared" si="48"/>
        <v>254.46151245237493</v>
      </c>
      <c r="BX51" s="53">
        <f t="shared" si="48"/>
        <v>259.55074270142245</v>
      </c>
      <c r="BY51" s="53">
        <f t="shared" si="48"/>
        <v>264.74175755545093</v>
      </c>
      <c r="BZ51" s="53">
        <f t="shared" si="48"/>
        <v>270.03659270655993</v>
      </c>
      <c r="CA51" s="53">
        <f t="shared" si="48"/>
        <v>275.43732456069114</v>
      </c>
      <c r="CB51" s="53">
        <f t="shared" si="48"/>
        <v>280.94607105190499</v>
      </c>
      <c r="CC51" s="53">
        <f t="shared" si="48"/>
        <v>286.56499247294312</v>
      </c>
      <c r="CD51" s="53">
        <f t="shared" si="48"/>
        <v>292.296292322402</v>
      </c>
      <c r="CE51" s="53">
        <f t="shared" si="48"/>
        <v>298.14221816885004</v>
      </c>
      <c r="CF51" s="53">
        <f t="shared" ref="CF51:CH51" si="49">CE51*(1+$E$6)</f>
        <v>304.10506253222707</v>
      </c>
      <c r="CG51" s="53">
        <f t="shared" si="49"/>
        <v>310.18716378287161</v>
      </c>
      <c r="CH51" s="53">
        <f t="shared" si="49"/>
        <v>316.39090705852902</v>
      </c>
    </row>
    <row r="52" spans="1:86" s="52" customFormat="1" x14ac:dyDescent="0.25">
      <c r="A52" s="1"/>
      <c r="B52" s="6"/>
      <c r="C52" s="11"/>
      <c r="D52" s="11"/>
      <c r="E52" s="11"/>
      <c r="F52" s="11"/>
      <c r="G52" s="11"/>
      <c r="H52" s="11"/>
      <c r="I52" s="12"/>
      <c r="J52" s="86"/>
      <c r="K52" s="86"/>
      <c r="L52" s="86"/>
      <c r="M52" s="86"/>
      <c r="N52" s="86"/>
      <c r="O52" s="86"/>
      <c r="P52" s="86"/>
      <c r="Q52" s="86"/>
      <c r="R52" s="86"/>
    </row>
    <row r="53" spans="1:86" s="52" customFormat="1" x14ac:dyDescent="0.25">
      <c r="A53" s="1"/>
      <c r="B53" s="9" t="s">
        <v>25</v>
      </c>
      <c r="C53" s="24">
        <f t="shared" ref="C53:E53" si="50">C49+C40+C43-C46</f>
        <v>44.839999999999996</v>
      </c>
      <c r="D53" s="24">
        <f t="shared" si="50"/>
        <v>38.909999999999997</v>
      </c>
      <c r="E53" s="24">
        <f t="shared" si="50"/>
        <v>18.349999999999987</v>
      </c>
      <c r="F53" s="24">
        <f>F49+F40+F43-F46</f>
        <v>-19.900000000000027</v>
      </c>
      <c r="G53" s="24">
        <f t="shared" ref="D53:R53" si="51">G49+G40+G43-G46</f>
        <v>106.1</v>
      </c>
      <c r="H53" s="24">
        <f t="shared" si="51"/>
        <v>132.69999999999996</v>
      </c>
      <c r="I53" s="54">
        <f t="shared" si="51"/>
        <v>81.139543040000007</v>
      </c>
      <c r="J53" s="90">
        <f t="shared" si="51"/>
        <v>75.829765041999963</v>
      </c>
      <c r="K53" s="90">
        <f t="shared" si="51"/>
        <v>69.493790002839972</v>
      </c>
      <c r="L53" s="90">
        <f t="shared" si="51"/>
        <v>64.660496303125555</v>
      </c>
      <c r="M53" s="90">
        <f t="shared" si="51"/>
        <v>63.757689511623255</v>
      </c>
      <c r="N53" s="90">
        <f t="shared" si="51"/>
        <v>61.732637538798059</v>
      </c>
      <c r="O53" s="90">
        <f t="shared" si="51"/>
        <v>62.877402369413524</v>
      </c>
      <c r="P53" s="90">
        <f t="shared" si="51"/>
        <v>64.220869439674857</v>
      </c>
      <c r="Q53" s="90">
        <f t="shared" si="51"/>
        <v>65.420429652884721</v>
      </c>
      <c r="R53" s="90">
        <f t="shared" si="51"/>
        <v>66.783379840969189</v>
      </c>
    </row>
    <row r="54" spans="1:86" s="52" customFormat="1" x14ac:dyDescent="0.25">
      <c r="A54" s="1"/>
      <c r="B54" s="25" t="s">
        <v>26</v>
      </c>
      <c r="C54" s="1"/>
      <c r="D54" s="1"/>
      <c r="E54" s="1"/>
      <c r="F54" s="1"/>
      <c r="G54" s="1"/>
      <c r="H54" s="1"/>
      <c r="I54" s="71">
        <f t="shared" ref="I54:R54" si="52">I53/((1+$E$5)^I9)</f>
        <v>73.635402537348156</v>
      </c>
      <c r="J54" s="72">
        <f t="shared" si="52"/>
        <v>62.452226461206443</v>
      </c>
      <c r="K54" s="72">
        <f t="shared" si="52"/>
        <v>51.940762499615609</v>
      </c>
      <c r="L54" s="72">
        <f t="shared" si="52"/>
        <v>43.858670714974245</v>
      </c>
      <c r="M54" s="72">
        <f t="shared" si="52"/>
        <v>39.24669671602485</v>
      </c>
      <c r="N54" s="72">
        <f t="shared" si="52"/>
        <v>34.485734416392006</v>
      </c>
      <c r="O54" s="72">
        <f t="shared" si="52"/>
        <v>31.876699317900595</v>
      </c>
      <c r="P54" s="72">
        <f t="shared" si="52"/>
        <v>29.546704106587942</v>
      </c>
      <c r="Q54" s="72">
        <f t="shared" si="52"/>
        <v>27.314946984474073</v>
      </c>
      <c r="R54" s="72">
        <f t="shared" si="52"/>
        <v>25.305182404287965</v>
      </c>
    </row>
    <row r="55" spans="1:86" s="52" customFormat="1" x14ac:dyDescent="0.25">
      <c r="A55" s="1"/>
      <c r="B55" s="26"/>
      <c r="C55" s="26"/>
      <c r="D55" s="26"/>
      <c r="E55" s="26"/>
      <c r="F55" s="26"/>
      <c r="G55" s="26"/>
      <c r="H55" s="26"/>
      <c r="I55" s="73"/>
      <c r="J55" s="1"/>
      <c r="K55" s="1"/>
      <c r="L55" s="1"/>
      <c r="M55" s="1"/>
      <c r="N55" s="1"/>
      <c r="O55" s="1"/>
      <c r="P55" s="1"/>
      <c r="Q55" s="1"/>
      <c r="R55" s="1"/>
    </row>
    <row r="56" spans="1:86" s="52" customFormat="1" x14ac:dyDescent="0.25">
      <c r="A56" s="1"/>
      <c r="B56" s="1" t="s">
        <v>27</v>
      </c>
      <c r="C56" s="27">
        <f>(R53*(1+$E$6))/($E$5-$E$6)</f>
        <v>831.63883845836631</v>
      </c>
      <c r="D56" s="1"/>
      <c r="E56" s="1" t="s">
        <v>28</v>
      </c>
      <c r="F56" s="18">
        <f>NPV($E$5,I51:CH51)</f>
        <v>834.72847319745597</v>
      </c>
      <c r="G56" s="1"/>
      <c r="H56" s="1"/>
      <c r="I56" s="15"/>
      <c r="J56" s="1"/>
      <c r="K56" s="1"/>
      <c r="L56" s="1"/>
      <c r="M56" s="1"/>
      <c r="N56" s="1"/>
      <c r="O56" s="1"/>
      <c r="P56" s="1"/>
      <c r="Q56" s="1"/>
      <c r="R56" s="2"/>
    </row>
    <row r="57" spans="1:86" s="52" customFormat="1" x14ac:dyDescent="0.25">
      <c r="A57" s="1"/>
      <c r="B57" s="3" t="s">
        <v>29</v>
      </c>
      <c r="C57" s="28">
        <f>C56/((1+$E$5)^$R$9)</f>
        <v>315.11990785421324</v>
      </c>
      <c r="D57" s="16"/>
      <c r="E57" s="3"/>
      <c r="F57" s="3"/>
      <c r="G57" s="3"/>
      <c r="H57" s="16"/>
      <c r="I57" s="12"/>
      <c r="J57" s="1"/>
      <c r="K57" s="2"/>
      <c r="L57" s="84" t="s">
        <v>52</v>
      </c>
      <c r="M57" s="84"/>
      <c r="N57" s="84"/>
      <c r="O57" s="84"/>
      <c r="P57" s="84"/>
      <c r="Q57" s="84"/>
      <c r="R57" s="2"/>
    </row>
    <row r="58" spans="1:86" x14ac:dyDescent="0.25">
      <c r="A58" s="1"/>
      <c r="B58" s="6" t="s">
        <v>30</v>
      </c>
      <c r="C58" s="6"/>
      <c r="D58" s="1"/>
      <c r="E58" s="6"/>
      <c r="F58" s="6"/>
      <c r="G58" s="29" t="s">
        <v>31</v>
      </c>
      <c r="H58" s="29" t="s">
        <v>28</v>
      </c>
      <c r="I58" s="15"/>
      <c r="J58" s="1"/>
      <c r="K58" s="55"/>
      <c r="L58" s="60">
        <f>E64</f>
        <v>25.729173388508492</v>
      </c>
      <c r="M58" s="80">
        <v>-0.01</v>
      </c>
      <c r="N58" s="80">
        <v>0.01</v>
      </c>
      <c r="O58" s="80">
        <v>0.02</v>
      </c>
      <c r="P58" s="80">
        <v>0.03</v>
      </c>
      <c r="Q58" s="80">
        <v>0.04</v>
      </c>
    </row>
    <row r="59" spans="1:86" x14ac:dyDescent="0.25">
      <c r="A59" s="1"/>
      <c r="B59" s="30" t="s">
        <v>32</v>
      </c>
      <c r="C59" s="1"/>
      <c r="D59" s="23">
        <v>226.6</v>
      </c>
      <c r="E59" s="1"/>
      <c r="F59" s="1"/>
      <c r="G59" s="27">
        <f>C57+SUM(I54:R54)</f>
        <v>734.78293401302517</v>
      </c>
      <c r="H59" s="18">
        <f>F56</f>
        <v>834.72847319745597</v>
      </c>
      <c r="I59" s="15"/>
      <c r="K59" s="55"/>
      <c r="L59" s="57">
        <f>L60-1%</f>
        <v>8.1909411017964118E-2</v>
      </c>
      <c r="M59" s="61">
        <f t="dataTable" ref="M59:Q63" dt2D="1" dtr="1" r1="E6" r2="E5"/>
        <v>27.768722259617768</v>
      </c>
      <c r="N59" s="61">
        <v>31.891449301587528</v>
      </c>
      <c r="O59" s="61">
        <v>34.887302228879946</v>
      </c>
      <c r="P59" s="61">
        <v>38.919248582862167</v>
      </c>
      <c r="Q59" s="61">
        <v>44.594113711936473</v>
      </c>
    </row>
    <row r="60" spans="1:86" x14ac:dyDescent="0.25">
      <c r="A60" s="1"/>
      <c r="B60" s="31" t="s">
        <v>33</v>
      </c>
      <c r="C60" s="3"/>
      <c r="D60" s="82">
        <v>330.5</v>
      </c>
      <c r="E60" s="3"/>
      <c r="F60" s="3"/>
      <c r="G60" s="3"/>
      <c r="H60" s="3"/>
      <c r="I60" s="15"/>
      <c r="K60" s="56"/>
      <c r="L60" s="57">
        <f>L61-1%</f>
        <v>9.1909411017964113E-2</v>
      </c>
      <c r="M60" s="61">
        <v>24.552188619239423</v>
      </c>
      <c r="N60" s="62">
        <v>27.579569325862131</v>
      </c>
      <c r="O60" s="62">
        <v>29.697705328865322</v>
      </c>
      <c r="P60" s="62">
        <v>32.451768667404195</v>
      </c>
      <c r="Q60" s="61">
        <v>36.156165138155892</v>
      </c>
      <c r="R60" s="48"/>
    </row>
    <row r="61" spans="1:86" x14ac:dyDescent="0.25">
      <c r="A61" s="1"/>
      <c r="B61" s="6" t="s">
        <v>34</v>
      </c>
      <c r="C61" s="6"/>
      <c r="D61" s="6"/>
      <c r="E61" s="6"/>
      <c r="F61" s="6"/>
      <c r="G61" s="32">
        <f>G59+D59-D60</f>
        <v>630.88293401302519</v>
      </c>
      <c r="H61" s="33">
        <f>H59+D59-D60</f>
        <v>730.82847319745588</v>
      </c>
      <c r="I61" s="15"/>
      <c r="K61" s="55" t="s">
        <v>1</v>
      </c>
      <c r="L61" s="57">
        <v>0.10190941101796411</v>
      </c>
      <c r="M61" s="61">
        <v>21.914674340103964</v>
      </c>
      <c r="N61" s="62">
        <v>24.187918223495352</v>
      </c>
      <c r="O61" s="63">
        <v>25.729173388508492</v>
      </c>
      <c r="P61" s="62">
        <v>27.678654712192373</v>
      </c>
      <c r="Q61" s="61">
        <v>30.212308061866462</v>
      </c>
    </row>
    <row r="62" spans="1:86" x14ac:dyDescent="0.25">
      <c r="A62" s="1"/>
      <c r="B62" s="3" t="s">
        <v>35</v>
      </c>
      <c r="C62" s="3"/>
      <c r="D62" s="38">
        <f>26462401/1000000</f>
        <v>26.462401</v>
      </c>
      <c r="E62" s="3"/>
      <c r="F62" s="3"/>
      <c r="G62" s="3"/>
      <c r="H62" s="34"/>
      <c r="I62" s="15"/>
      <c r="K62" s="55"/>
      <c r="L62" s="58">
        <f>L61+1%</f>
        <v>0.1119094110179641</v>
      </c>
      <c r="M62" s="61">
        <v>19.714933943376856</v>
      </c>
      <c r="N62" s="62">
        <v>21.454371406790493</v>
      </c>
      <c r="O62" s="62">
        <v>22.602835694638074</v>
      </c>
      <c r="P62" s="62">
        <v>24.022853694179581</v>
      </c>
      <c r="Q62" s="61">
        <v>25.818408009002624</v>
      </c>
    </row>
    <row r="63" spans="1:86" x14ac:dyDescent="0.25">
      <c r="A63" s="1"/>
      <c r="B63" s="17" t="s">
        <v>36</v>
      </c>
      <c r="C63" s="17"/>
      <c r="D63" s="64">
        <f>D62*$J$5</f>
        <v>477.64633805</v>
      </c>
      <c r="E63" s="17"/>
      <c r="F63" s="17"/>
      <c r="G63" s="17"/>
      <c r="H63" s="35"/>
      <c r="I63" s="1"/>
      <c r="K63" s="55"/>
      <c r="L63" s="58">
        <f>L62+1%</f>
        <v>0.1219094110179641</v>
      </c>
      <c r="M63" s="61">
        <v>17.853703979923296</v>
      </c>
      <c r="N63" s="61">
        <v>19.206277002537036</v>
      </c>
      <c r="O63" s="61">
        <v>20.079343298791478</v>
      </c>
      <c r="P63" s="61">
        <v>21.138462076995552</v>
      </c>
      <c r="Q63" s="61">
        <v>22.447712331270814</v>
      </c>
    </row>
    <row r="64" spans="1:86" x14ac:dyDescent="0.25">
      <c r="A64" s="1"/>
      <c r="B64" s="6" t="s">
        <v>37</v>
      </c>
      <c r="D64" s="6" t="s">
        <v>38</v>
      </c>
      <c r="E64" s="36">
        <f>(G64+H64)/2</f>
        <v>25.729173388508492</v>
      </c>
      <c r="F64" s="6"/>
      <c r="G64" s="36">
        <f>G61/D62</f>
        <v>23.840729116493442</v>
      </c>
      <c r="H64" s="37">
        <f>H61/D62</f>
        <v>27.617617660523543</v>
      </c>
      <c r="I64" s="15"/>
    </row>
    <row r="65" spans="2:9" x14ac:dyDescent="0.25">
      <c r="B65" s="41"/>
      <c r="C65" s="41"/>
      <c r="D65" s="41"/>
      <c r="E65" s="41"/>
      <c r="F65" s="41"/>
      <c r="G65" s="41"/>
      <c r="H65" s="41"/>
      <c r="I65" s="22"/>
    </row>
  </sheetData>
  <sortState xmlns:xlrd2="http://schemas.microsoft.com/office/spreadsheetml/2017/richdata2" columnSort="1" ref="C10:H54">
    <sortCondition ref="C10:H10"/>
  </sortState>
  <mergeCells count="1">
    <mergeCell ref="L57:Q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G10" sqref="G10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40" t="s">
        <v>1</v>
      </c>
      <c r="C2" s="2"/>
      <c r="D2" s="2"/>
      <c r="E2" s="2"/>
      <c r="F2" s="2"/>
      <c r="G2" s="2"/>
      <c r="H2" s="2"/>
      <c r="I2" s="2"/>
      <c r="J2" s="2"/>
      <c r="K2" s="2"/>
      <c r="L2" s="41"/>
    </row>
    <row r="3" spans="1:12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2"/>
    </row>
    <row r="4" spans="1:12" x14ac:dyDescent="0.25">
      <c r="A4" s="43" t="s">
        <v>40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41</v>
      </c>
      <c r="C6" s="2"/>
      <c r="D6" s="44">
        <v>0.28999999999999998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42</v>
      </c>
      <c r="C7" s="2"/>
      <c r="D7" s="44">
        <v>0.05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43</v>
      </c>
      <c r="C8" s="2"/>
      <c r="D8" s="45">
        <v>1.5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44</v>
      </c>
      <c r="C9" s="2"/>
      <c r="D9" s="44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34</v>
      </c>
      <c r="B12" s="2"/>
      <c r="C12" s="23">
        <f>'VIB3'!D63</f>
        <v>477.64633805</v>
      </c>
      <c r="D12" s="2"/>
      <c r="E12" s="2" t="s">
        <v>33</v>
      </c>
      <c r="F12" s="2"/>
      <c r="G12" s="23">
        <f>'VIB3'!D60</f>
        <v>330.5</v>
      </c>
      <c r="H12" s="2"/>
      <c r="I12" s="2" t="s">
        <v>45</v>
      </c>
      <c r="J12" s="2"/>
      <c r="K12" s="23">
        <f>G12+C12</f>
        <v>808.14633804999994</v>
      </c>
      <c r="L12" s="2"/>
    </row>
    <row r="13" spans="1:12" x14ac:dyDescent="0.25">
      <c r="A13" s="2" t="s">
        <v>46</v>
      </c>
      <c r="B13" s="2"/>
      <c r="C13" s="46">
        <f>C12/K12</f>
        <v>0.59103941397857085</v>
      </c>
      <c r="D13" s="2"/>
      <c r="E13" s="2" t="s">
        <v>47</v>
      </c>
      <c r="F13" s="2"/>
      <c r="G13" s="47">
        <f>G12/K12</f>
        <v>0.40896058602142921</v>
      </c>
      <c r="H13" s="2"/>
      <c r="I13" s="2"/>
      <c r="J13" s="2"/>
      <c r="K13" s="2"/>
      <c r="L13" s="2"/>
    </row>
    <row r="14" spans="1:12" x14ac:dyDescent="0.25">
      <c r="A14" s="2" t="s">
        <v>48</v>
      </c>
      <c r="B14" s="2"/>
      <c r="C14" s="48">
        <f>D7+D8*(D9)</f>
        <v>0.14000000000000001</v>
      </c>
      <c r="D14" s="2"/>
      <c r="E14" s="2" t="s">
        <v>49</v>
      </c>
      <c r="F14" s="2"/>
      <c r="G14" s="47">
        <v>6.6000000000000003E-2</v>
      </c>
      <c r="H14" s="2"/>
      <c r="I14" s="49" t="s">
        <v>1</v>
      </c>
      <c r="J14" s="50"/>
      <c r="K14" s="51">
        <f>C13*C14+G14*G13*(1-D6)</f>
        <v>0.10190941101796411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VIB3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Alessandro Ognibene</cp:lastModifiedBy>
  <dcterms:created xsi:type="dcterms:W3CDTF">2023-05-02T11:48:48Z</dcterms:created>
  <dcterms:modified xsi:type="dcterms:W3CDTF">2023-11-19T14:43:25Z</dcterms:modified>
</cp:coreProperties>
</file>