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ACDC1116-054E-4E7B-AB19-E139847AAA54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VAC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N20" i="1"/>
  <c r="O20" i="1" s="1"/>
  <c r="P20" i="1" s="1"/>
  <c r="Q20" i="1" s="1"/>
  <c r="R20" i="1" s="1"/>
  <c r="L20" i="1"/>
  <c r="L62" i="1"/>
  <c r="L63" i="1"/>
  <c r="L65" i="1"/>
  <c r="M17" i="1"/>
  <c r="N17" i="1"/>
  <c r="O17" i="1" s="1"/>
  <c r="P17" i="1" s="1"/>
  <c r="Q17" i="1" s="1"/>
  <c r="R17" i="1" s="1"/>
  <c r="L17" i="1"/>
  <c r="D56" i="1"/>
  <c r="E56" i="1"/>
  <c r="F56" i="1"/>
  <c r="G56" i="1"/>
  <c r="H56" i="1"/>
  <c r="C56" i="1"/>
  <c r="H52" i="1"/>
  <c r="D65" i="1"/>
  <c r="D63" i="1"/>
  <c r="D66" i="1"/>
  <c r="C12" i="2" s="1"/>
  <c r="I23" i="1"/>
  <c r="J23" i="1"/>
  <c r="K23" i="1"/>
  <c r="J22" i="1"/>
  <c r="K22" i="1"/>
  <c r="I22" i="1"/>
  <c r="J25" i="1"/>
  <c r="K25" i="1"/>
  <c r="L25" i="1"/>
  <c r="M25" i="1"/>
  <c r="N25" i="1"/>
  <c r="O25" i="1"/>
  <c r="P25" i="1"/>
  <c r="Q25" i="1"/>
  <c r="R25" i="1"/>
  <c r="I25" i="1"/>
  <c r="H49" i="1"/>
  <c r="G49" i="1"/>
  <c r="F49" i="1"/>
  <c r="D49" i="1"/>
  <c r="E49" i="1"/>
  <c r="C49" i="1"/>
  <c r="G46" i="1"/>
  <c r="H46" i="1"/>
  <c r="F46" i="1"/>
  <c r="D46" i="1"/>
  <c r="E46" i="1"/>
  <c r="C46" i="1"/>
  <c r="D43" i="1"/>
  <c r="E43" i="1"/>
  <c r="F43" i="1"/>
  <c r="G43" i="1"/>
  <c r="H43" i="1"/>
  <c r="C43" i="1"/>
  <c r="D54" i="1"/>
  <c r="E54" i="1"/>
  <c r="F54" i="1"/>
  <c r="G54" i="1"/>
  <c r="H54" i="1"/>
  <c r="G53" i="1"/>
  <c r="F53" i="1"/>
  <c r="D53" i="1"/>
  <c r="E53" i="1"/>
  <c r="G39" i="1"/>
  <c r="H39" i="1"/>
  <c r="F39" i="1"/>
  <c r="D39" i="1"/>
  <c r="E39" i="1"/>
  <c r="C39" i="1"/>
  <c r="G31" i="1"/>
  <c r="H31" i="1"/>
  <c r="F31" i="1"/>
  <c r="D31" i="1"/>
  <c r="E31" i="1"/>
  <c r="C31" i="1"/>
  <c r="D28" i="1"/>
  <c r="E28" i="1"/>
  <c r="F28" i="1"/>
  <c r="G28" i="1"/>
  <c r="H28" i="1"/>
  <c r="C28" i="1"/>
  <c r="D26" i="1"/>
  <c r="E26" i="1"/>
  <c r="F26" i="1"/>
  <c r="G26" i="1"/>
  <c r="H26" i="1"/>
  <c r="C26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F19" i="1"/>
  <c r="D19" i="1"/>
  <c r="E19" i="1"/>
  <c r="C19" i="1"/>
  <c r="G14" i="1"/>
  <c r="H14" i="1"/>
  <c r="H16" i="1" s="1"/>
  <c r="F14" i="1"/>
  <c r="C16" i="1"/>
  <c r="D14" i="1"/>
  <c r="E14" i="1"/>
  <c r="C14" i="1"/>
  <c r="G11" i="1"/>
  <c r="G16" i="1" s="1"/>
  <c r="H11" i="1"/>
  <c r="I12" i="1" s="1"/>
  <c r="F11" i="1"/>
  <c r="F16" i="1" s="1"/>
  <c r="D11" i="1"/>
  <c r="E11" i="1"/>
  <c r="C11" i="1"/>
  <c r="L66" i="1"/>
  <c r="K12" i="1"/>
  <c r="G12" i="2"/>
  <c r="I47" i="1"/>
  <c r="J47" i="1"/>
  <c r="K47" i="1"/>
  <c r="I44" i="1"/>
  <c r="D16" i="1"/>
  <c r="C14" i="2"/>
  <c r="J9" i="1"/>
  <c r="K9" i="1" s="1"/>
  <c r="L9" i="1" s="1"/>
  <c r="M9" i="1" s="1"/>
  <c r="N9" i="1" s="1"/>
  <c r="O9" i="1" s="1"/>
  <c r="P9" i="1" s="1"/>
  <c r="Q9" i="1" s="1"/>
  <c r="R9" i="1" s="1"/>
  <c r="C30" i="1" l="1"/>
  <c r="C34" i="1" s="1"/>
  <c r="C54" i="1" s="1"/>
  <c r="C36" i="1"/>
  <c r="D30" i="1"/>
  <c r="D34" i="1" s="1"/>
  <c r="E23" i="1"/>
  <c r="E20" i="1"/>
  <c r="F17" i="1"/>
  <c r="G30" i="1"/>
  <c r="C23" i="1"/>
  <c r="D23" i="1"/>
  <c r="G23" i="1"/>
  <c r="H23" i="1"/>
  <c r="F23" i="1"/>
  <c r="C44" i="1"/>
  <c r="E16" i="1"/>
  <c r="E30" i="1" s="1"/>
  <c r="E34" i="1" s="1"/>
  <c r="E44" i="1"/>
  <c r="D50" i="1"/>
  <c r="F12" i="1"/>
  <c r="F20" i="1"/>
  <c r="C32" i="1"/>
  <c r="D32" i="1"/>
  <c r="H32" i="1"/>
  <c r="E32" i="1"/>
  <c r="F32" i="1"/>
  <c r="G32" i="1"/>
  <c r="I31" i="1"/>
  <c r="C50" i="1"/>
  <c r="D44" i="1"/>
  <c r="F47" i="1"/>
  <c r="F50" i="1"/>
  <c r="G47" i="1"/>
  <c r="E50" i="1"/>
  <c r="G50" i="1"/>
  <c r="G44" i="1"/>
  <c r="G12" i="1"/>
  <c r="F44" i="1"/>
  <c r="G20" i="1"/>
  <c r="D20" i="1"/>
  <c r="C20" i="1"/>
  <c r="D12" i="1"/>
  <c r="D47" i="1"/>
  <c r="H12" i="1"/>
  <c r="I16" i="1"/>
  <c r="I14" i="1" s="1"/>
  <c r="D17" i="1"/>
  <c r="C17" i="1"/>
  <c r="H20" i="1"/>
  <c r="H44" i="1"/>
  <c r="C47" i="1"/>
  <c r="H47" i="1"/>
  <c r="H50" i="1"/>
  <c r="E12" i="1"/>
  <c r="E47" i="1"/>
  <c r="K12" i="2"/>
  <c r="G13" i="2" s="1"/>
  <c r="C52" i="1" l="1"/>
  <c r="F30" i="1"/>
  <c r="F34" i="1" s="1"/>
  <c r="H30" i="1"/>
  <c r="H36" i="1" s="1"/>
  <c r="G17" i="1"/>
  <c r="G34" i="1"/>
  <c r="G36" i="1"/>
  <c r="H34" i="1"/>
  <c r="E17" i="1"/>
  <c r="E36" i="1"/>
  <c r="E52" i="1" s="1"/>
  <c r="H17" i="1"/>
  <c r="C13" i="2"/>
  <c r="K14" i="2" s="1"/>
  <c r="E5" i="1" s="1"/>
  <c r="F36" i="1"/>
  <c r="F52" i="1" s="1"/>
  <c r="D36" i="1"/>
  <c r="D52" i="1" s="1"/>
  <c r="G52" i="1" l="1"/>
  <c r="G37" i="1"/>
  <c r="G40" i="1"/>
  <c r="E37" i="1"/>
  <c r="E40" i="1"/>
  <c r="H37" i="1"/>
  <c r="F40" i="1"/>
  <c r="D37" i="1"/>
  <c r="D40" i="1"/>
  <c r="F37" i="1"/>
  <c r="H40" i="1"/>
  <c r="C40" i="1" l="1"/>
  <c r="C37" i="1"/>
  <c r="I49" i="1"/>
  <c r="I56" i="1" s="1"/>
  <c r="I19" i="1" l="1"/>
  <c r="I28" i="1" s="1"/>
  <c r="I30" i="1" l="1"/>
  <c r="I34" i="1" s="1"/>
  <c r="I36" i="1" l="1"/>
  <c r="I37" i="1" l="1"/>
  <c r="I39" i="1"/>
  <c r="I54" i="1" s="1"/>
  <c r="I52" i="1" l="1"/>
  <c r="I57" i="1" s="1"/>
  <c r="J19" i="1" l="1"/>
  <c r="J28" i="1" s="1"/>
  <c r="J31" i="1"/>
  <c r="J49" i="1"/>
  <c r="J56" i="1" s="1"/>
  <c r="J16" i="1"/>
  <c r="J14" i="1" s="1"/>
  <c r="J12" i="1"/>
  <c r="J30" i="1" l="1"/>
  <c r="J36" i="1" s="1"/>
  <c r="J39" i="1" s="1"/>
  <c r="J37" i="1" l="1"/>
  <c r="J34" i="1"/>
  <c r="J54" i="1" s="1"/>
  <c r="J52" i="1"/>
  <c r="K19" i="1"/>
  <c r="K28" i="1" s="1"/>
  <c r="K49" i="1"/>
  <c r="K56" i="1" s="1"/>
  <c r="K31" i="1"/>
  <c r="K16" i="1"/>
  <c r="K14" i="1" s="1"/>
  <c r="K30" i="1" l="1"/>
  <c r="K36" i="1" s="1"/>
  <c r="K39" i="1" l="1"/>
  <c r="K52" i="1" s="1"/>
  <c r="K37" i="1"/>
  <c r="K34" i="1"/>
  <c r="L11" i="1"/>
  <c r="L46" i="1" s="1"/>
  <c r="K54" i="1" l="1"/>
  <c r="L16" i="1"/>
  <c r="L14" i="1" s="1"/>
  <c r="L19" i="1"/>
  <c r="L49" i="1"/>
  <c r="L31" i="1"/>
  <c r="M11" i="1" l="1"/>
  <c r="M31" i="1" l="1"/>
  <c r="M49" i="1"/>
  <c r="M19" i="1"/>
  <c r="M46" i="1"/>
  <c r="M16" i="1"/>
  <c r="M14" i="1" s="1"/>
  <c r="N11" i="1"/>
  <c r="N49" i="1" l="1"/>
  <c r="N46" i="1"/>
  <c r="N16" i="1"/>
  <c r="N14" i="1" s="1"/>
  <c r="N31" i="1"/>
  <c r="O11" i="1"/>
  <c r="N19" i="1"/>
  <c r="O49" i="1" l="1"/>
  <c r="O46" i="1"/>
  <c r="O31" i="1"/>
  <c r="O16" i="1"/>
  <c r="P11" i="1"/>
  <c r="O19" i="1"/>
  <c r="P16" i="1" l="1"/>
  <c r="P31" i="1"/>
  <c r="P46" i="1"/>
  <c r="P19" i="1"/>
  <c r="P49" i="1"/>
  <c r="Q11" i="1"/>
  <c r="O14" i="1"/>
  <c r="Q19" i="1" l="1"/>
  <c r="Q16" i="1"/>
  <c r="R11" i="1"/>
  <c r="Q31" i="1"/>
  <c r="Q46" i="1"/>
  <c r="Q49" i="1"/>
  <c r="P14" i="1"/>
  <c r="Q14" i="1" l="1"/>
  <c r="R19" i="1"/>
  <c r="R46" i="1"/>
  <c r="R49" i="1"/>
  <c r="R31" i="1"/>
  <c r="R16" i="1"/>
  <c r="R14" i="1" l="1"/>
  <c r="J44" i="1" l="1"/>
  <c r="J57" i="1"/>
  <c r="K44" i="1"/>
  <c r="L44" i="1" s="1"/>
  <c r="M44" i="1" s="1"/>
  <c r="N44" i="1" s="1"/>
  <c r="O44" i="1" s="1"/>
  <c r="P44" i="1" s="1"/>
  <c r="Q44" i="1" s="1"/>
  <c r="R44" i="1" s="1"/>
  <c r="R43" i="1" s="1"/>
  <c r="K57" i="1"/>
  <c r="L43" i="1"/>
  <c r="P43" i="1" l="1"/>
  <c r="O43" i="1"/>
  <c r="N43" i="1"/>
  <c r="Q43" i="1"/>
  <c r="M43" i="1"/>
  <c r="O22" i="1" l="1"/>
  <c r="O28" i="1"/>
  <c r="O30" i="1" s="1"/>
  <c r="O36" i="1" s="1"/>
  <c r="O39" i="1" s="1"/>
  <c r="N22" i="1"/>
  <c r="N28" i="1" s="1"/>
  <c r="N30" i="1"/>
  <c r="Q22" i="1"/>
  <c r="Q28" i="1"/>
  <c r="Q30" i="1" s="1"/>
  <c r="Q36" i="1" s="1"/>
  <c r="L22" i="1"/>
  <c r="L28" i="1" s="1"/>
  <c r="L30" i="1" s="1"/>
  <c r="P22" i="1"/>
  <c r="P28" i="1"/>
  <c r="P30" i="1" s="1"/>
  <c r="P34" i="1" s="1"/>
  <c r="M22" i="1"/>
  <c r="M28" i="1" s="1"/>
  <c r="M30" i="1" s="1"/>
  <c r="R22" i="1"/>
  <c r="R28" i="1"/>
  <c r="R30" i="1" s="1"/>
  <c r="R36" i="1" s="1"/>
  <c r="P36" i="1" l="1"/>
  <c r="P37" i="1" s="1"/>
  <c r="R37" i="1"/>
  <c r="R39" i="1"/>
  <c r="R52" i="1" s="1"/>
  <c r="R56" i="1" s="1"/>
  <c r="Q37" i="1"/>
  <c r="Q39" i="1"/>
  <c r="Q52" i="1" s="1"/>
  <c r="L36" i="1"/>
  <c r="L34" i="1"/>
  <c r="M34" i="1"/>
  <c r="M36" i="1"/>
  <c r="N34" i="1"/>
  <c r="N36" i="1"/>
  <c r="O52" i="1"/>
  <c r="O37" i="1"/>
  <c r="R34" i="1"/>
  <c r="Q34" i="1"/>
  <c r="Q54" i="1" s="1"/>
  <c r="O34" i="1"/>
  <c r="O54" i="1" s="1"/>
  <c r="R54" i="1" l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P39" i="1"/>
  <c r="P54" i="1" s="1"/>
  <c r="O56" i="1"/>
  <c r="O57" i="1" s="1"/>
  <c r="Q56" i="1"/>
  <c r="Q57" i="1" s="1"/>
  <c r="C59" i="1"/>
  <c r="C60" i="1" s="1"/>
  <c r="R57" i="1"/>
  <c r="L37" i="1"/>
  <c r="L39" i="1"/>
  <c r="L52" i="1" s="1"/>
  <c r="N39" i="1"/>
  <c r="N54" i="1" s="1"/>
  <c r="N37" i="1"/>
  <c r="M39" i="1"/>
  <c r="M54" i="1" s="1"/>
  <c r="M37" i="1"/>
  <c r="L54" i="1" l="1"/>
  <c r="P52" i="1"/>
  <c r="P56" i="1" s="1"/>
  <c r="P57" i="1" s="1"/>
  <c r="L56" i="1"/>
  <c r="L57" i="1" s="1"/>
  <c r="M52" i="1"/>
  <c r="N52" i="1"/>
  <c r="F59" i="1"/>
  <c r="H62" i="1" s="1"/>
  <c r="H64" i="1" s="1"/>
  <c r="H67" i="1" s="1"/>
  <c r="M56" i="1" l="1"/>
  <c r="M57" i="1" s="1"/>
  <c r="N56" i="1"/>
  <c r="N57" i="1" s="1"/>
  <c r="G62" i="1" l="1"/>
  <c r="G64" i="1" s="1"/>
  <c r="G67" i="1" s="1"/>
  <c r="E67" i="1" s="1"/>
  <c r="L61" i="1" s="1"/>
  <c r="J6" i="1" l="1"/>
  <c r="N5" i="1" s="1"/>
</calcChain>
</file>

<file path=xl/sharedStrings.xml><?xml version="1.0" encoding="utf-8"?>
<sst xmlns="http://schemas.openxmlformats.org/spreadsheetml/2006/main" count="256" uniqueCount="143">
  <si>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</si>
  <si>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</si>
  <si>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</si>
  <si>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</si>
  <si>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</si>
  <si>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</si>
  <si>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</si>
  <si>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</si>
  <si>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</si>
  <si>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</si>
  <si>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</si>
  <si>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</si>
  <si>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</si>
  <si>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</si>
  <si>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</si>
  <si>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</si>
  <si>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</si>
  <si>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</si>
  <si>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</si>
  <si>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</si>
  <si>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</si>
  <si>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</si>
  <si>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</si>
  <si>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</si>
  <si>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</si>
  <si>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</si>
  <si>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</si>
  <si>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</si>
  <si>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</si>
  <si>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</si>
  <si>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</si>
  <si>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</si>
  <si>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</si>
  <si>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</si>
  <si>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</si>
  <si>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</si>
  <si>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</si>
  <si>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</si>
  <si>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</si>
  <si>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</si>
  <si>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</si>
  <si>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</si>
  <si>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</si>
  <si>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</si>
  <si>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</si>
  <si>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</si>
  <si>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</si>
  <si>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</si>
  <si>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</si>
  <si>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</si>
  <si>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</si>
  <si>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</si>
  <si>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Net income (loss)</t>
  </si>
  <si>
    <t>CONSOLIDATED STATEMENTS OF CASH FLOWS</t>
  </si>
  <si>
    <t>Deferred income taxes</t>
  </si>
  <si>
    <t>Other income</t>
  </si>
  <si>
    <t>Terminal Growth Rate</t>
  </si>
  <si>
    <t>2022</t>
  </si>
  <si>
    <t>2021</t>
  </si>
  <si>
    <t>2020</t>
  </si>
  <si>
    <t>—</t>
  </si>
  <si>
    <t xml:space="preserve">Other </t>
  </si>
  <si>
    <t>Basic</t>
  </si>
  <si>
    <t>Diluted</t>
  </si>
  <si>
    <t>Other</t>
  </si>
  <si>
    <t>Deferred revenue</t>
  </si>
  <si>
    <t>CONSOLIDATED STATEMENTS OF INCOME</t>
  </si>
  <si>
    <t>REVENUES</t>
  </si>
  <si>
    <t>Sale of vacation ownership products</t>
  </si>
  <si>
    <t>Management and exchange</t>
  </si>
  <si>
    <t>Rental</t>
  </si>
  <si>
    <t>Financing</t>
  </si>
  <si>
    <t>Cost reimbursements</t>
  </si>
  <si>
    <t>TOTAL REVENUES</t>
  </si>
  <si>
    <t>EXPENSES</t>
  </si>
  <si>
    <t>Cost of vacation ownership products</t>
  </si>
  <si>
    <t>Marketing and sales</t>
  </si>
  <si>
    <t>General and administrative</t>
  </si>
  <si>
    <t>Litigation charges</t>
  </si>
  <si>
    <t>Restructuring</t>
  </si>
  <si>
    <t>Royalty fee</t>
  </si>
  <si>
    <t>Impairment</t>
  </si>
  <si>
    <t>TOTAL EXPENSES</t>
  </si>
  <si>
    <t>Gains (losses) and other income (expense), net</t>
  </si>
  <si>
    <t>Interest expense</t>
  </si>
  <si>
    <t>Transaction and integration costs</t>
  </si>
  <si>
    <t>INCOME (LOSS) BEFORE INCOME TAXES AND NONCONTROLLING INTERESTS</t>
  </si>
  <si>
    <t>(Provision for) benefit from income taxes</t>
  </si>
  <si>
    <t>NET INCOME (LOSS)</t>
  </si>
  <si>
    <t>Net income attributable to noncontrolling interests</t>
  </si>
  <si>
    <t>NET INCOME (LOSS) ATTRIBUTABLE TO COMMON SHAREHOLDERS</t>
  </si>
  <si>
    <t>EARNINGS (LOSS) PER SHARE ATTRIBUTABLE TO COMMON SHAREHOLDERS</t>
  </si>
  <si>
    <t>CASH DIVIDENDS DECLARED PER SHARE</t>
  </si>
  <si>
    <t>OPERATING ACTIVITIES</t>
  </si>
  <si>
    <t>Adjustments to reconcile net income (loss) to net cash, cash equivalents, and restricted cash provided by operating activities:</t>
  </si>
  <si>
    <t>Depreciation and amortization of intangibles</t>
  </si>
  <si>
    <t>Amortization of debt discount and issuance costs</t>
  </si>
  <si>
    <t>Vacation ownership notes receivable reserve</t>
  </si>
  <si>
    <t>Share-based compensation</t>
  </si>
  <si>
    <t>Impairment charges</t>
  </si>
  <si>
    <t>Gains and other income, net</t>
  </si>
  <si>
    <t>Net change in assets and liabilities, net of the effects of acquisition:</t>
  </si>
  <si>
    <t>Accounts and contracts receivable</t>
  </si>
  <si>
    <t>Vacation ownership notes receivable originations</t>
  </si>
  <si>
    <t>Vacation ownership notes receivable collections</t>
  </si>
  <si>
    <t>Inventory</t>
  </si>
  <si>
    <t>Other assets</t>
  </si>
  <si>
    <t>Accounts payable, advance deposits and accrued liabilities</t>
  </si>
  <si>
    <t>Payroll and benefit liabilities</t>
  </si>
  <si>
    <t>Deferred compensation liability</t>
  </si>
  <si>
    <t>Other liabilities</t>
  </si>
  <si>
    <t>Deconsolidation of certain Consolidated Property Owners' Associations</t>
  </si>
  <si>
    <t>Purchase of vacation ownership units for future transfer to inventory</t>
  </si>
  <si>
    <t>Other, net</t>
  </si>
  <si>
    <t>Net cash, cash equivalents, and restricted cash provided by operating activities</t>
  </si>
  <si>
    <t>INVESTING ACTIVITIES</t>
  </si>
  <si>
    <t>Acquisition of a business, net of cash and restricted cash acquired</t>
  </si>
  <si>
    <t>Proceeds from disposition of subsidiaries, net of cash and restricted cash transferred</t>
  </si>
  <si>
    <t>Capital expenditures for property and equipment (excluding inventory)</t>
  </si>
  <si>
    <t>Issuance of note receivable to VIE</t>
  </si>
  <si>
    <t>Proceeds from collection of note receivable from VIE</t>
  </si>
  <si>
    <t>Purchase of company owned life insurance</t>
  </si>
  <si>
    <t>Dispositions, net</t>
  </si>
  <si>
    <t>Net cash, cash equivalents, and restricted cash provided by (used in) investing activities</t>
  </si>
  <si>
    <t>2019</t>
  </si>
  <si>
    <t>2018</t>
  </si>
  <si>
    <t>2017</t>
  </si>
  <si>
    <t>ILG acquisition-related costs</t>
  </si>
  <si>
    <t>INCOME BEFORE INCOME TAXES AND NONCONTROLLING INTERESTS</t>
  </si>
  <si>
    <t>Provision for income taxes</t>
  </si>
  <si>
    <t>NET INCOME</t>
  </si>
  <si>
    <t>Net (income) loss attributable to noncontrolling interests</t>
  </si>
  <si>
    <t>NET INCOME ATTRIBUTABLE TO COMMON SHAREHOLDERS</t>
  </si>
  <si>
    <t>EARNINGS PER SHARE ATTRIBUTABLE TO COMMON SHAREHOLDERS</t>
  </si>
  <si>
    <t>Adjustments to reconcile net income to net cash, cash equivalents and restricted cash provided by operating activities:</t>
  </si>
  <si>
    <t>(Gain) loss on disposal of property and equipment, net</t>
  </si>
  <si>
    <t>Accounts receivable</t>
  </si>
  <si>
    <t>Net cash, cash equivalents and restricted cash provided by operating activities</t>
  </si>
  <si>
    <t>Disposition of subsidiary shares to noncontrolling interest holder</t>
  </si>
  <si>
    <t>Proceeds from collection of notes receivable</t>
  </si>
  <si>
    <t>Net cash, cash equivalents and restricted cash provided by (used in) investing activities</t>
  </si>
  <si>
    <t>Marriott Vacations Worldwide Corp DCF</t>
  </si>
  <si>
    <t>Update: 30/07/2023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</si>
</sst>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&quot;($&quot;#,##0.00_);[Red]&quot;($&quot;#,##0.00\)"/>
    <numFmt numFmtId="169" formatCode="\(#,##0.00_);[Red]\(#,##0.00\)"/>
    <numFmt numFmtId="170" formatCode="&quot;($&quot;#,##0_);[Red]&quot;(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10" fillId="0" borderId="0" xfId="0" applyFont="1"/>
    <xf numFmtId="4" fontId="10" fillId="0" borderId="0" xfId="0" applyNumberFormat="1" applyFont="1"/>
    <xf numFmtId="168" fontId="10" fillId="0" borderId="0" xfId="0" applyNumberFormat="1" applyFont="1"/>
    <xf numFmtId="167" fontId="10" fillId="0" borderId="0" xfId="0" applyNumberFormat="1" applyFont="1"/>
    <xf numFmtId="169" fontId="10" fillId="0" borderId="0" xfId="0" applyNumberFormat="1" applyFont="1"/>
    <xf numFmtId="0" fontId="3" fillId="9" borderId="0" xfId="0" applyFont="1" applyFill="1" applyAlignment="1">
      <alignment horizontal="center"/>
    </xf>
    <xf numFmtId="0" fontId="10" fillId="0" borderId="0" xfId="0" applyFont="1"/>
    <xf numFmtId="0" fontId="0" fillId="0" borderId="0" xfId="0"/>
    <xf numFmtId="167" fontId="10" fillId="0" borderId="0" xfId="0" applyNumberFormat="1" applyFont="1" applyAlignment="1"/>
    <xf numFmtId="0" fontId="0" fillId="0" borderId="0" xfId="0" applyAlignment="1"/>
    <xf numFmtId="168" fontId="10" fillId="0" borderId="0" xfId="0" applyNumberFormat="1" applyFont="1" applyAlignment="1"/>
    <xf numFmtId="165" fontId="10" fillId="0" borderId="0" xfId="0" applyNumberFormat="1" applyFont="1" applyAlignment="1"/>
    <xf numFmtId="170" fontId="10" fillId="0" borderId="0" xfId="0" applyNumberFormat="1" applyFont="1" applyAlignment="1"/>
    <xf numFmtId="0" fontId="10" fillId="0" borderId="0" xfId="0" applyFont="1" applyAlignment="1"/>
    <xf numFmtId="166" fontId="10" fillId="0" borderId="0" xfId="0" applyNumberFormat="1" applyFont="1" applyAlignment="1"/>
    <xf numFmtId="3" fontId="10" fillId="0" borderId="0" xfId="0" applyNumberFormat="1" applyFont="1" applyAlignment="1"/>
    <xf numFmtId="167" fontId="0" fillId="0" borderId="0" xfId="0" applyNumberFormat="1" applyAlignment="1"/>
    <xf numFmtId="165" fontId="0" fillId="0" borderId="0" xfId="0" applyNumberFormat="1" applyAlignment="1"/>
    <xf numFmtId="3" fontId="0" fillId="0" borderId="0" xfId="0" applyNumberFormat="1" applyAlignment="1"/>
    <xf numFmtId="166" fontId="0" fillId="0" borderId="0" xfId="0" applyNumberFormat="1" applyAlignment="1"/>
    <xf numFmtId="1" fontId="3" fillId="2" borderId="3" xfId="1" applyNumberFormat="1" applyFont="1" applyFill="1" applyBorder="1"/>
    <xf numFmtId="164" fontId="3" fillId="2" borderId="0" xfId="0" applyNumberFormat="1" applyFont="1" applyFill="1"/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1" fontId="3" fillId="2" borderId="0" xfId="1" applyNumberFormat="1" applyFont="1" applyFill="1" applyBorder="1"/>
    <xf numFmtId="0" fontId="6" fillId="3" borderId="0" xfId="0" applyFont="1" applyFill="1" applyBorder="1"/>
    <xf numFmtId="9" fontId="1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8"/>
  <sheetViews>
    <sheetView tabSelected="1" zoomScaleNormal="100" workbookViewId="0">
      <selection activeCell="G6" sqref="G6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141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0.1325071277772541</v>
      </c>
      <c r="F5" s="2"/>
      <c r="G5" s="1"/>
      <c r="H5" s="1" t="s">
        <v>2</v>
      </c>
      <c r="I5" s="1"/>
      <c r="J5" s="7">
        <v>127.88</v>
      </c>
      <c r="K5" s="1"/>
      <c r="L5" s="1" t="s">
        <v>3</v>
      </c>
      <c r="M5" s="1"/>
      <c r="N5" s="7">
        <f>(J6/J5)-1</f>
        <v>2.1630942398929598E-2</v>
      </c>
      <c r="O5" s="1"/>
      <c r="P5" s="1" t="s">
        <v>142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57">
        <f>E67</f>
        <v>130.6461649139751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1" customFormat="1" x14ac:dyDescent="0.25">
      <c r="A11" s="1"/>
      <c r="B11" s="1" t="s">
        <v>7</v>
      </c>
      <c r="C11" s="11">
        <f>'Raw IS'!K12</f>
        <v>2183</v>
      </c>
      <c r="D11" s="11">
        <f>'Raw IS'!L12</f>
        <v>2968</v>
      </c>
      <c r="E11" s="11">
        <f>'Raw IS'!M12</f>
        <v>4355</v>
      </c>
      <c r="F11" s="11">
        <f>'Raw IS'!D11</f>
        <v>2886</v>
      </c>
      <c r="G11" s="11">
        <f>'Raw IS'!E11</f>
        <v>3890</v>
      </c>
      <c r="H11" s="11">
        <f>'Raw IS'!F11</f>
        <v>4656</v>
      </c>
      <c r="I11" s="20">
        <v>4970</v>
      </c>
      <c r="J11" s="103">
        <v>5190</v>
      </c>
      <c r="K11" s="103">
        <v>5600</v>
      </c>
      <c r="L11" s="103">
        <f t="shared" ref="L11" si="1">K11*(1+L12)</f>
        <v>5992</v>
      </c>
      <c r="M11" s="103">
        <f t="shared" ref="M11" si="2">L11*(1+M12)</f>
        <v>6381.48</v>
      </c>
      <c r="N11" s="103">
        <f t="shared" ref="N11" si="3">M11*(1+N12)</f>
        <v>6764.3688000000002</v>
      </c>
      <c r="O11" s="103">
        <f t="shared" ref="O11" si="4">N11*(1+O12)</f>
        <v>7136.4090839999999</v>
      </c>
      <c r="P11" s="103">
        <f t="shared" ref="P11" si="5">O11*(1+P12)</f>
        <v>7493.2295382000002</v>
      </c>
      <c r="Q11" s="103">
        <f t="shared" ref="Q11" si="6">P11*(1+Q12)</f>
        <v>7792.9587197280007</v>
      </c>
      <c r="R11" s="103">
        <f t="shared" ref="R11" si="7">Q11*(1+R12)</f>
        <v>8104.6770685171214</v>
      </c>
    </row>
    <row r="12" spans="1:18" s="51" customFormat="1" x14ac:dyDescent="0.25">
      <c r="A12" s="1"/>
      <c r="B12" s="71" t="s">
        <v>8</v>
      </c>
      <c r="C12" s="72"/>
      <c r="D12" s="72">
        <f>(D11/C11)-1</f>
        <v>0.35959688502061393</v>
      </c>
      <c r="E12" s="72">
        <f>(E11/D11)-1</f>
        <v>0.46731805929919146</v>
      </c>
      <c r="F12" s="72">
        <f>(F11/E11)-1</f>
        <v>-0.33731343283582094</v>
      </c>
      <c r="G12" s="72">
        <f>(G11/F11)-1</f>
        <v>0.34788634788634787</v>
      </c>
      <c r="H12" s="72">
        <f>(H11/G11)-1</f>
        <v>0.1969151670951157</v>
      </c>
      <c r="I12" s="73">
        <f t="shared" ref="I12:K12" si="8">(I11/H11)-1</f>
        <v>6.7439862542955309E-2</v>
      </c>
      <c r="J12" s="74">
        <f t="shared" si="8"/>
        <v>4.4265593561368277E-2</v>
      </c>
      <c r="K12" s="74">
        <f t="shared" si="8"/>
        <v>7.899807321772645E-2</v>
      </c>
      <c r="L12" s="74">
        <v>7.0000000000000007E-2</v>
      </c>
      <c r="M12" s="74">
        <v>6.5000000000000002E-2</v>
      </c>
      <c r="N12" s="74">
        <v>0.06</v>
      </c>
      <c r="O12" s="74">
        <v>5.5E-2</v>
      </c>
      <c r="P12" s="74">
        <v>0.05</v>
      </c>
      <c r="Q12" s="74">
        <v>0.04</v>
      </c>
      <c r="R12" s="74">
        <v>0.04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80"/>
      <c r="J13" s="104"/>
      <c r="K13" s="104"/>
      <c r="L13" s="104"/>
      <c r="M13" s="104"/>
      <c r="N13" s="104"/>
      <c r="O13" s="104"/>
      <c r="P13" s="104"/>
      <c r="Q13" s="104"/>
      <c r="R13" s="104"/>
    </row>
    <row r="14" spans="1:18" s="51" customFormat="1" x14ac:dyDescent="0.25">
      <c r="A14" s="1"/>
      <c r="B14" s="1" t="s">
        <v>9</v>
      </c>
      <c r="C14" s="11">
        <f>SUM('Raw IS'!K14:K18)</f>
        <v>993</v>
      </c>
      <c r="D14" s="11">
        <f>SUM('Raw IS'!L14:L18)</f>
        <v>1392</v>
      </c>
      <c r="E14" s="11">
        <f>SUM('Raw IS'!M14:M18)</f>
        <v>2136</v>
      </c>
      <c r="F14" s="11">
        <f>SUM('Raw IS'!D13:D17)</f>
        <v>1439</v>
      </c>
      <c r="G14" s="11">
        <f>SUM('Raw IS'!E13:E17)</f>
        <v>1820</v>
      </c>
      <c r="H14" s="11">
        <f>SUM('Raw IS'!F13:F17)</f>
        <v>1997</v>
      </c>
      <c r="I14" s="68">
        <f>I11-I16</f>
        <v>2137.1000000000004</v>
      </c>
      <c r="J14" s="69">
        <f t="shared" ref="J14:R14" si="9">J11-J16</f>
        <v>2231.7000000000003</v>
      </c>
      <c r="K14" s="69">
        <f t="shared" si="9"/>
        <v>2408.0000000000005</v>
      </c>
      <c r="L14" s="69">
        <f t="shared" si="9"/>
        <v>2558.5840000000003</v>
      </c>
      <c r="M14" s="69">
        <f t="shared" si="9"/>
        <v>2712.1289999999999</v>
      </c>
      <c r="N14" s="69">
        <f t="shared" si="9"/>
        <v>2861.3280024000005</v>
      </c>
      <c r="O14" s="69">
        <f t="shared" si="9"/>
        <v>3004.428224364</v>
      </c>
      <c r="P14" s="69">
        <f t="shared" si="9"/>
        <v>3139.6631765058</v>
      </c>
      <c r="Q14" s="69">
        <f t="shared" si="9"/>
        <v>3249.6637861265763</v>
      </c>
      <c r="R14" s="69">
        <f t="shared" si="9"/>
        <v>3363.4409834346061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05"/>
      <c r="K15" s="105"/>
      <c r="L15" s="105"/>
      <c r="M15" s="105"/>
      <c r="N15" s="105"/>
      <c r="O15" s="105"/>
      <c r="P15" s="105"/>
      <c r="Q15" s="105"/>
      <c r="R15" s="105"/>
    </row>
    <row r="16" spans="1:18" s="51" customFormat="1" x14ac:dyDescent="0.25">
      <c r="A16" s="1"/>
      <c r="B16" s="1" t="s">
        <v>10</v>
      </c>
      <c r="C16" s="11">
        <f t="shared" ref="C16:H16" si="10">C11-C14</f>
        <v>1190</v>
      </c>
      <c r="D16" s="11">
        <f t="shared" si="10"/>
        <v>1576</v>
      </c>
      <c r="E16" s="11">
        <f t="shared" si="10"/>
        <v>2219</v>
      </c>
      <c r="F16" s="11">
        <f t="shared" si="10"/>
        <v>1447</v>
      </c>
      <c r="G16" s="11">
        <f t="shared" si="10"/>
        <v>2070</v>
      </c>
      <c r="H16" s="11">
        <f t="shared" si="10"/>
        <v>2659</v>
      </c>
      <c r="I16" s="20">
        <f>I11*I17</f>
        <v>2832.8999999999996</v>
      </c>
      <c r="J16" s="103">
        <f t="shared" ref="J16:R16" si="11">J11*J17</f>
        <v>2958.2999999999997</v>
      </c>
      <c r="K16" s="103">
        <f>K11*K17</f>
        <v>3191.9999999999995</v>
      </c>
      <c r="L16" s="103">
        <f t="shared" si="11"/>
        <v>3433.4159999999997</v>
      </c>
      <c r="M16" s="103">
        <f t="shared" si="11"/>
        <v>3669.3509999999997</v>
      </c>
      <c r="N16" s="103">
        <f t="shared" si="11"/>
        <v>3903.0407975999997</v>
      </c>
      <c r="O16" s="103">
        <f t="shared" si="11"/>
        <v>4131.9808596359999</v>
      </c>
      <c r="P16" s="103">
        <f t="shared" si="11"/>
        <v>4353.5663616942002</v>
      </c>
      <c r="Q16" s="103">
        <f t="shared" si="11"/>
        <v>4543.2949336014244</v>
      </c>
      <c r="R16" s="103">
        <f t="shared" si="11"/>
        <v>4741.2360850825153</v>
      </c>
    </row>
    <row r="17" spans="1:18" s="51" customFormat="1" x14ac:dyDescent="0.25">
      <c r="A17" s="1"/>
      <c r="B17" s="71" t="s">
        <v>11</v>
      </c>
      <c r="C17" s="72">
        <f t="shared" ref="C17:H17" si="12">C16/C11</f>
        <v>0.5451213925790197</v>
      </c>
      <c r="D17" s="72">
        <f t="shared" si="12"/>
        <v>0.53099730458221028</v>
      </c>
      <c r="E17" s="72">
        <f t="shared" si="12"/>
        <v>0.50952927669345582</v>
      </c>
      <c r="F17" s="72">
        <f t="shared" si="12"/>
        <v>0.50138600138600142</v>
      </c>
      <c r="G17" s="72">
        <f t="shared" si="12"/>
        <v>0.53213367609254503</v>
      </c>
      <c r="H17" s="72">
        <f t="shared" si="12"/>
        <v>0.57109106529209619</v>
      </c>
      <c r="I17" s="76">
        <v>0.56999999999999995</v>
      </c>
      <c r="J17" s="106">
        <v>0.56999999999999995</v>
      </c>
      <c r="K17" s="106">
        <v>0.56999999999999995</v>
      </c>
      <c r="L17" s="106">
        <f>K17+0.3%</f>
        <v>0.57299999999999995</v>
      </c>
      <c r="M17" s="106">
        <f t="shared" ref="M17:R17" si="13">L17+0.2%</f>
        <v>0.57499999999999996</v>
      </c>
      <c r="N17" s="106">
        <f t="shared" si="13"/>
        <v>0.57699999999999996</v>
      </c>
      <c r="O17" s="106">
        <f t="shared" si="13"/>
        <v>0.57899999999999996</v>
      </c>
      <c r="P17" s="106">
        <f t="shared" si="13"/>
        <v>0.58099999999999996</v>
      </c>
      <c r="Q17" s="106">
        <f t="shared" si="13"/>
        <v>0.58299999999999996</v>
      </c>
      <c r="R17" s="106">
        <f t="shared" si="13"/>
        <v>0.58499999999999996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03"/>
      <c r="K18" s="103"/>
      <c r="L18" s="103"/>
      <c r="M18" s="103"/>
      <c r="N18" s="103"/>
      <c r="O18" s="103"/>
      <c r="P18" s="103"/>
      <c r="Q18" s="103"/>
      <c r="R18" s="103"/>
    </row>
    <row r="19" spans="1:18" s="51" customFormat="1" x14ac:dyDescent="0.25">
      <c r="A19" s="1"/>
      <c r="B19" s="1" t="s">
        <v>39</v>
      </c>
      <c r="C19" s="11">
        <f>'Raw IS'!K19</f>
        <v>106</v>
      </c>
      <c r="D19" s="11">
        <f>'Raw IS'!L19</f>
        <v>198</v>
      </c>
      <c r="E19" s="11">
        <f>'Raw IS'!M19</f>
        <v>300</v>
      </c>
      <c r="F19" s="11">
        <f>'Raw IS'!D18</f>
        <v>154</v>
      </c>
      <c r="G19" s="11">
        <f>'Raw IS'!E18</f>
        <v>227</v>
      </c>
      <c r="H19" s="11">
        <f>'Raw IS'!F18</f>
        <v>249</v>
      </c>
      <c r="I19" s="20">
        <f t="shared" ref="I19:R19" si="14">I20*I11</f>
        <v>248.5</v>
      </c>
      <c r="J19" s="103">
        <f t="shared" si="14"/>
        <v>269.88</v>
      </c>
      <c r="K19" s="103">
        <f t="shared" si="14"/>
        <v>324.8</v>
      </c>
      <c r="L19" s="103">
        <f t="shared" si="14"/>
        <v>335.55200000000002</v>
      </c>
      <c r="M19" s="103">
        <f t="shared" si="14"/>
        <v>344.59992</v>
      </c>
      <c r="N19" s="103">
        <f t="shared" si="14"/>
        <v>351.74717759999999</v>
      </c>
      <c r="O19" s="103">
        <f t="shared" si="14"/>
        <v>356.82045419999997</v>
      </c>
      <c r="P19" s="103">
        <f t="shared" si="14"/>
        <v>359.67501783359995</v>
      </c>
      <c r="Q19" s="103">
        <f t="shared" si="14"/>
        <v>358.47610110748798</v>
      </c>
      <c r="R19" s="103">
        <f t="shared" si="14"/>
        <v>356.60579101475327</v>
      </c>
    </row>
    <row r="20" spans="1:18" s="51" customFormat="1" x14ac:dyDescent="0.25">
      <c r="A20" s="1"/>
      <c r="B20" s="71" t="s">
        <v>16</v>
      </c>
      <c r="C20" s="72">
        <f t="shared" ref="C20:H20" si="15">C19/C11</f>
        <v>4.8557031607879067E-2</v>
      </c>
      <c r="D20" s="72">
        <f t="shared" si="15"/>
        <v>6.6711590296495954E-2</v>
      </c>
      <c r="E20" s="72">
        <f t="shared" si="15"/>
        <v>6.8886337543053955E-2</v>
      </c>
      <c r="F20" s="72">
        <f t="shared" si="15"/>
        <v>5.3361053361053359E-2</v>
      </c>
      <c r="G20" s="72">
        <f t="shared" si="15"/>
        <v>5.8354755784061699E-2</v>
      </c>
      <c r="H20" s="72">
        <f t="shared" si="15"/>
        <v>5.3479381443298966E-2</v>
      </c>
      <c r="I20" s="73">
        <v>0.05</v>
      </c>
      <c r="J20" s="74">
        <v>5.1999999999999998E-2</v>
      </c>
      <c r="K20" s="74">
        <v>5.8000000000000003E-2</v>
      </c>
      <c r="L20" s="74">
        <f>K20-0.2%</f>
        <v>5.6000000000000001E-2</v>
      </c>
      <c r="M20" s="74">
        <f t="shared" ref="M20:R20" si="16">L20-0.2%</f>
        <v>5.3999999999999999E-2</v>
      </c>
      <c r="N20" s="74">
        <f t="shared" si="16"/>
        <v>5.1999999999999998E-2</v>
      </c>
      <c r="O20" s="74">
        <f t="shared" si="16"/>
        <v>4.9999999999999996E-2</v>
      </c>
      <c r="P20" s="74">
        <f t="shared" si="16"/>
        <v>4.7999999999999994E-2</v>
      </c>
      <c r="Q20" s="74">
        <f t="shared" si="16"/>
        <v>4.5999999999999992E-2</v>
      </c>
      <c r="R20" s="74">
        <f t="shared" si="16"/>
        <v>4.3999999999999991E-2</v>
      </c>
    </row>
    <row r="21" spans="1:18" s="51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67"/>
      <c r="K21" s="67"/>
      <c r="L21" s="67"/>
      <c r="M21" s="67"/>
      <c r="N21" s="67"/>
      <c r="O21" s="67"/>
      <c r="P21" s="67"/>
      <c r="Q21" s="67"/>
      <c r="R21" s="67"/>
    </row>
    <row r="22" spans="1:18" s="51" customFormat="1" x14ac:dyDescent="0.25">
      <c r="A22" s="1"/>
      <c r="B22" s="1" t="s">
        <v>20</v>
      </c>
      <c r="C22" s="11">
        <f>'Raw IS'!K20</f>
        <v>21</v>
      </c>
      <c r="D22" s="11">
        <f>'Raw IS'!L20</f>
        <v>62</v>
      </c>
      <c r="E22" s="11">
        <f>'Raw IS'!M20</f>
        <v>141</v>
      </c>
      <c r="F22" s="11">
        <f>'Raw IS'!D19</f>
        <v>123</v>
      </c>
      <c r="G22" s="11">
        <f>'Raw IS'!E19</f>
        <v>146</v>
      </c>
      <c r="H22" s="11">
        <f>'Raw IS'!F19</f>
        <v>132</v>
      </c>
      <c r="I22" s="38">
        <f>I43</f>
        <v>129.18</v>
      </c>
      <c r="J22" s="107">
        <f t="shared" ref="J22:K22" si="17">J43</f>
        <v>133.65</v>
      </c>
      <c r="K22" s="107">
        <f t="shared" si="17"/>
        <v>130</v>
      </c>
      <c r="L22" s="107">
        <f>L23*L11</f>
        <v>139.1</v>
      </c>
      <c r="M22" s="107">
        <f t="shared" ref="M22:R22" si="18">M23*M11</f>
        <v>148.14150000000001</v>
      </c>
      <c r="N22" s="107">
        <f t="shared" si="18"/>
        <v>157.02999</v>
      </c>
      <c r="O22" s="107">
        <f t="shared" si="18"/>
        <v>165.66663944999999</v>
      </c>
      <c r="P22" s="107">
        <f t="shared" si="18"/>
        <v>173.9499714225</v>
      </c>
      <c r="Q22" s="107">
        <f t="shared" si="18"/>
        <v>180.90797027940002</v>
      </c>
      <c r="R22" s="107">
        <f t="shared" si="18"/>
        <v>188.14428909057605</v>
      </c>
    </row>
    <row r="23" spans="1:18" s="51" customFormat="1" x14ac:dyDescent="0.25">
      <c r="A23" s="1"/>
      <c r="B23" s="71" t="s">
        <v>16</v>
      </c>
      <c r="C23" s="72">
        <f>C22/C11</f>
        <v>9.6197892808062308E-3</v>
      </c>
      <c r="D23" s="72">
        <f t="shared" ref="D23:R23" si="19">D22/D11</f>
        <v>2.0889487870619946E-2</v>
      </c>
      <c r="E23" s="72">
        <f t="shared" si="19"/>
        <v>3.2376578645235361E-2</v>
      </c>
      <c r="F23" s="72">
        <f t="shared" si="19"/>
        <v>4.2619542619542622E-2</v>
      </c>
      <c r="G23" s="72">
        <f t="shared" si="19"/>
        <v>3.7532133676092545E-2</v>
      </c>
      <c r="H23" s="72">
        <f t="shared" si="19"/>
        <v>2.8350515463917526E-2</v>
      </c>
      <c r="I23" s="73">
        <f t="shared" si="19"/>
        <v>2.5991951710261571E-2</v>
      </c>
      <c r="J23" s="74">
        <f t="shared" si="19"/>
        <v>2.5751445086705203E-2</v>
      </c>
      <c r="K23" s="74">
        <f t="shared" si="19"/>
        <v>2.3214285714285715E-2</v>
      </c>
      <c r="L23" s="74">
        <v>2.3214285714285715E-2</v>
      </c>
      <c r="M23" s="74">
        <v>2.3214285714285715E-2</v>
      </c>
      <c r="N23" s="74">
        <v>2.3214285714285715E-2</v>
      </c>
      <c r="O23" s="74">
        <v>2.3214285714285715E-2</v>
      </c>
      <c r="P23" s="74">
        <v>2.3214285714285715E-2</v>
      </c>
      <c r="Q23" s="74">
        <v>2.3214285714285715E-2</v>
      </c>
      <c r="R23" s="74">
        <v>2.3214285714285715E-2</v>
      </c>
    </row>
    <row r="24" spans="1:18" s="51" customFormat="1" x14ac:dyDescent="0.25">
      <c r="A24" s="1"/>
      <c r="B24" s="13"/>
      <c r="C24" s="14"/>
      <c r="D24" s="14"/>
      <c r="E24" s="14"/>
      <c r="F24" s="14"/>
      <c r="G24" s="14"/>
      <c r="H24" s="14"/>
      <c r="I24" s="19"/>
      <c r="J24" s="67"/>
      <c r="K24" s="67"/>
      <c r="L24" s="67"/>
      <c r="M24" s="67"/>
      <c r="N24" s="67"/>
      <c r="O24" s="67"/>
      <c r="P24" s="67"/>
      <c r="Q24" s="67"/>
      <c r="R24" s="67"/>
    </row>
    <row r="25" spans="1:18" s="51" customFormat="1" x14ac:dyDescent="0.25">
      <c r="A25" s="1"/>
      <c r="B25" s="1" t="s">
        <v>61</v>
      </c>
      <c r="C25" s="65">
        <f>SUM('Raw IS'!K21:K24)</f>
        <v>817</v>
      </c>
      <c r="D25" s="65">
        <f>SUM('Raw IS'!L21:L24)</f>
        <v>1049</v>
      </c>
      <c r="E25" s="65">
        <f>SUM('Raw IS'!M21:M24)</f>
        <v>1320</v>
      </c>
      <c r="F25" s="65">
        <f>SUM('Raw IS'!D20:D24)</f>
        <v>1268</v>
      </c>
      <c r="G25" s="65">
        <f>SUM('Raw IS'!E20:E24)</f>
        <v>1247</v>
      </c>
      <c r="H25" s="65">
        <f>SUM('Raw IS'!F20:F24)</f>
        <v>1494</v>
      </c>
      <c r="I25" s="101">
        <f>I26*I11</f>
        <v>1590.4</v>
      </c>
      <c r="J25" s="108">
        <f t="shared" ref="J25:R25" si="20">J26*J11</f>
        <v>1660.8</v>
      </c>
      <c r="K25" s="108">
        <f t="shared" si="20"/>
        <v>1792</v>
      </c>
      <c r="L25" s="108">
        <f t="shared" si="20"/>
        <v>1917.44</v>
      </c>
      <c r="M25" s="108">
        <f t="shared" si="20"/>
        <v>2042.0735999999999</v>
      </c>
      <c r="N25" s="108">
        <f t="shared" si="20"/>
        <v>2164.5980159999999</v>
      </c>
      <c r="O25" s="108">
        <f t="shared" si="20"/>
        <v>2283.6509068800001</v>
      </c>
      <c r="P25" s="108">
        <f t="shared" si="20"/>
        <v>2397.8334522240002</v>
      </c>
      <c r="Q25" s="108">
        <f t="shared" si="20"/>
        <v>2493.7467903129605</v>
      </c>
      <c r="R25" s="108">
        <f t="shared" si="20"/>
        <v>2593.4966619254787</v>
      </c>
    </row>
    <row r="26" spans="1:18" s="51" customFormat="1" x14ac:dyDescent="0.25">
      <c r="A26" s="1"/>
      <c r="B26" s="71" t="s">
        <v>16</v>
      </c>
      <c r="C26" s="72">
        <f>C25/C11</f>
        <v>0.37425561154374715</v>
      </c>
      <c r="D26" s="72">
        <f t="shared" ref="D26:H26" si="21">D25/D11</f>
        <v>0.35343665768194071</v>
      </c>
      <c r="E26" s="72">
        <f t="shared" si="21"/>
        <v>0.30309988518943742</v>
      </c>
      <c r="F26" s="72">
        <f t="shared" si="21"/>
        <v>0.43936243936243935</v>
      </c>
      <c r="G26" s="72">
        <f t="shared" si="21"/>
        <v>0.32056555269922882</v>
      </c>
      <c r="H26" s="72">
        <f t="shared" si="21"/>
        <v>0.32087628865979384</v>
      </c>
      <c r="I26" s="73">
        <v>0.32</v>
      </c>
      <c r="J26" s="74">
        <v>0.32</v>
      </c>
      <c r="K26" s="74">
        <v>0.32</v>
      </c>
      <c r="L26" s="74">
        <v>0.32</v>
      </c>
      <c r="M26" s="74">
        <v>0.32</v>
      </c>
      <c r="N26" s="74">
        <v>0.32</v>
      </c>
      <c r="O26" s="74">
        <v>0.32</v>
      </c>
      <c r="P26" s="74">
        <v>0.32</v>
      </c>
      <c r="Q26" s="74">
        <v>0.32</v>
      </c>
      <c r="R26" s="74">
        <v>0.32</v>
      </c>
    </row>
    <row r="27" spans="1:18" s="51" customFormat="1" x14ac:dyDescent="0.25">
      <c r="A27" s="1"/>
      <c r="B27" s="1"/>
      <c r="C27" s="11"/>
      <c r="D27" s="11"/>
      <c r="E27" s="11"/>
      <c r="F27" s="11"/>
      <c r="G27" s="11"/>
      <c r="H27" s="11"/>
      <c r="I27" s="38"/>
      <c r="J27" s="107"/>
      <c r="K27" s="107"/>
      <c r="L27" s="107"/>
      <c r="M27" s="107"/>
      <c r="N27" s="107"/>
      <c r="O27" s="107"/>
      <c r="P27" s="107"/>
      <c r="Q27" s="107"/>
      <c r="R27" s="107"/>
    </row>
    <row r="28" spans="1:18" s="51" customFormat="1" x14ac:dyDescent="0.25">
      <c r="A28" s="1"/>
      <c r="B28" s="1" t="s">
        <v>12</v>
      </c>
      <c r="C28" s="11">
        <f>C19+C22+C25</f>
        <v>944</v>
      </c>
      <c r="D28" s="11">
        <f t="shared" ref="D28:R28" si="22">D19+D22+D25</f>
        <v>1309</v>
      </c>
      <c r="E28" s="11">
        <f t="shared" si="22"/>
        <v>1761</v>
      </c>
      <c r="F28" s="11">
        <f t="shared" si="22"/>
        <v>1545</v>
      </c>
      <c r="G28" s="11">
        <f t="shared" si="22"/>
        <v>1620</v>
      </c>
      <c r="H28" s="11">
        <f t="shared" si="22"/>
        <v>1875</v>
      </c>
      <c r="I28" s="38">
        <f t="shared" si="22"/>
        <v>1968.0800000000002</v>
      </c>
      <c r="J28" s="107">
        <f t="shared" si="22"/>
        <v>2064.33</v>
      </c>
      <c r="K28" s="107">
        <f t="shared" si="22"/>
        <v>2246.8000000000002</v>
      </c>
      <c r="L28" s="107">
        <f t="shared" si="22"/>
        <v>2392.0920000000001</v>
      </c>
      <c r="M28" s="107">
        <f t="shared" si="22"/>
        <v>2534.81502</v>
      </c>
      <c r="N28" s="107">
        <f t="shared" si="22"/>
        <v>2673.3751836000001</v>
      </c>
      <c r="O28" s="107">
        <f t="shared" si="22"/>
        <v>2806.1380005299998</v>
      </c>
      <c r="P28" s="107">
        <f t="shared" si="22"/>
        <v>2931.4584414801002</v>
      </c>
      <c r="Q28" s="107">
        <f t="shared" si="22"/>
        <v>3033.1308616998485</v>
      </c>
      <c r="R28" s="107">
        <f t="shared" si="22"/>
        <v>3138.246742030808</v>
      </c>
    </row>
    <row r="29" spans="1:18" s="51" customFormat="1" x14ac:dyDescent="0.25">
      <c r="A29" s="1"/>
      <c r="B29" s="1"/>
      <c r="C29" s="14"/>
      <c r="D29" s="14"/>
      <c r="E29" s="14"/>
      <c r="F29" s="14"/>
      <c r="G29" s="14"/>
      <c r="H29" s="14"/>
      <c r="I29" s="19"/>
      <c r="J29" s="67"/>
      <c r="K29" s="67"/>
      <c r="L29" s="67"/>
      <c r="M29" s="67"/>
      <c r="N29" s="67"/>
      <c r="O29" s="67"/>
      <c r="P29" s="67"/>
      <c r="Q29" s="67"/>
      <c r="R29" s="67"/>
    </row>
    <row r="30" spans="1:18" s="51" customFormat="1" x14ac:dyDescent="0.25">
      <c r="A30" s="1"/>
      <c r="B30" s="1" t="s">
        <v>13</v>
      </c>
      <c r="C30" s="11">
        <f>C16-C28</f>
        <v>246</v>
      </c>
      <c r="D30" s="11">
        <f t="shared" ref="D30:R30" si="23">D16-D28</f>
        <v>267</v>
      </c>
      <c r="E30" s="11">
        <f t="shared" si="23"/>
        <v>458</v>
      </c>
      <c r="F30" s="11">
        <f t="shared" si="23"/>
        <v>-98</v>
      </c>
      <c r="G30" s="11">
        <f t="shared" si="23"/>
        <v>450</v>
      </c>
      <c r="H30" s="11">
        <f t="shared" si="23"/>
        <v>784</v>
      </c>
      <c r="I30" s="38">
        <f>I16-I28</f>
        <v>864.81999999999948</v>
      </c>
      <c r="J30" s="107">
        <f t="shared" si="23"/>
        <v>893.9699999999998</v>
      </c>
      <c r="K30" s="107">
        <f t="shared" si="23"/>
        <v>945.19999999999936</v>
      </c>
      <c r="L30" s="107">
        <f t="shared" si="23"/>
        <v>1041.3239999999996</v>
      </c>
      <c r="M30" s="107">
        <f t="shared" si="23"/>
        <v>1134.5359799999997</v>
      </c>
      <c r="N30" s="107">
        <f t="shared" si="23"/>
        <v>1229.6656139999996</v>
      </c>
      <c r="O30" s="107">
        <f t="shared" si="23"/>
        <v>1325.8428591060001</v>
      </c>
      <c r="P30" s="107">
        <f t="shared" si="23"/>
        <v>1422.1079202141</v>
      </c>
      <c r="Q30" s="107">
        <f t="shared" si="23"/>
        <v>1510.1640719015759</v>
      </c>
      <c r="R30" s="107">
        <f t="shared" si="23"/>
        <v>1602.9893430517072</v>
      </c>
    </row>
    <row r="31" spans="1:18" s="51" customFormat="1" x14ac:dyDescent="0.25">
      <c r="A31" s="1"/>
      <c r="B31" s="1" t="s">
        <v>55</v>
      </c>
      <c r="C31" s="78">
        <f>SUM('Raw IS'!K26:K29)</f>
        <v>-6</v>
      </c>
      <c r="D31" s="78">
        <f>SUM('Raw IS'!L26:L29)</f>
        <v>-164</v>
      </c>
      <c r="E31" s="78">
        <f>SUM('Raw IS'!M26:M29)</f>
        <v>-233</v>
      </c>
      <c r="F31" s="78">
        <f>SUM('Raw IS'!D26:D29)</f>
        <v>-242</v>
      </c>
      <c r="G31" s="78">
        <f>SUM('Raw IS'!E26:E29)</f>
        <v>-323</v>
      </c>
      <c r="H31" s="78">
        <f>SUM('Raw IS'!F26:F29)</f>
        <v>-202</v>
      </c>
      <c r="I31" s="20">
        <f t="shared" ref="I31:R31" si="24">I32*I11</f>
        <v>-173.95000000000002</v>
      </c>
      <c r="J31" s="103">
        <f t="shared" si="24"/>
        <v>-155.69999999999999</v>
      </c>
      <c r="K31" s="103">
        <f t="shared" si="24"/>
        <v>-140</v>
      </c>
      <c r="L31" s="103">
        <f t="shared" si="24"/>
        <v>-149.80000000000001</v>
      </c>
      <c r="M31" s="103">
        <f t="shared" si="24"/>
        <v>-159.53700000000001</v>
      </c>
      <c r="N31" s="103">
        <f t="shared" si="24"/>
        <v>-169.10922000000002</v>
      </c>
      <c r="O31" s="103">
        <f t="shared" si="24"/>
        <v>-178.41022710000001</v>
      </c>
      <c r="P31" s="103">
        <f t="shared" si="24"/>
        <v>-187.33073845500002</v>
      </c>
      <c r="Q31" s="103">
        <f t="shared" si="24"/>
        <v>-194.82396799320003</v>
      </c>
      <c r="R31" s="103">
        <f t="shared" si="24"/>
        <v>-202.61692671292803</v>
      </c>
    </row>
    <row r="32" spans="1:18" s="51" customFormat="1" x14ac:dyDescent="0.25">
      <c r="A32" s="1"/>
      <c r="B32" s="71" t="s">
        <v>16</v>
      </c>
      <c r="C32" s="72">
        <f t="shared" ref="C32:H32" si="25">C31/C11</f>
        <v>-2.7485112230874941E-3</v>
      </c>
      <c r="D32" s="72">
        <f t="shared" si="25"/>
        <v>-5.5256064690026953E-2</v>
      </c>
      <c r="E32" s="72">
        <f t="shared" si="25"/>
        <v>-5.3501722158438576E-2</v>
      </c>
      <c r="F32" s="72">
        <f t="shared" si="25"/>
        <v>-8.3853083853083848E-2</v>
      </c>
      <c r="G32" s="72">
        <f t="shared" si="25"/>
        <v>-8.303341902313624E-2</v>
      </c>
      <c r="H32" s="72">
        <f t="shared" si="25"/>
        <v>-4.3384879725085909E-2</v>
      </c>
      <c r="I32" s="76">
        <v>-3.5000000000000003E-2</v>
      </c>
      <c r="J32" s="106">
        <v>-0.03</v>
      </c>
      <c r="K32" s="106">
        <v>-2.5000000000000001E-2</v>
      </c>
      <c r="L32" s="106">
        <v>-2.5000000000000001E-2</v>
      </c>
      <c r="M32" s="106">
        <v>-2.5000000000000001E-2</v>
      </c>
      <c r="N32" s="106">
        <v>-2.5000000000000001E-2</v>
      </c>
      <c r="O32" s="106">
        <v>-2.5000000000000001E-2</v>
      </c>
      <c r="P32" s="106">
        <v>-2.5000000000000001E-2</v>
      </c>
      <c r="Q32" s="106">
        <v>-2.5000000000000001E-2</v>
      </c>
      <c r="R32" s="106">
        <v>-2.5000000000000001E-2</v>
      </c>
    </row>
    <row r="33" spans="1:86" s="51" customFormat="1" x14ac:dyDescent="0.25">
      <c r="A33" s="1"/>
      <c r="B33" s="1"/>
      <c r="C33" s="65"/>
      <c r="D33" s="65"/>
      <c r="E33" s="65"/>
      <c r="F33" s="65"/>
      <c r="G33" s="65"/>
      <c r="H33" s="65"/>
      <c r="I33" s="12"/>
      <c r="J33" s="105"/>
      <c r="K33" s="105"/>
      <c r="L33" s="105"/>
      <c r="M33" s="105"/>
      <c r="N33" s="105"/>
      <c r="O33" s="105"/>
      <c r="P33" s="105"/>
      <c r="Q33" s="105"/>
      <c r="R33" s="105"/>
    </row>
    <row r="34" spans="1:86" s="51" customFormat="1" x14ac:dyDescent="0.25">
      <c r="A34" s="1"/>
      <c r="B34" s="1" t="s">
        <v>14</v>
      </c>
      <c r="C34" s="11">
        <f>C30+C31</f>
        <v>240</v>
      </c>
      <c r="D34" s="11">
        <f t="shared" ref="D34:R34" si="26">D30+D31</f>
        <v>103</v>
      </c>
      <c r="E34" s="11">
        <f t="shared" si="26"/>
        <v>225</v>
      </c>
      <c r="F34" s="11">
        <f t="shared" si="26"/>
        <v>-340</v>
      </c>
      <c r="G34" s="11">
        <f t="shared" si="26"/>
        <v>127</v>
      </c>
      <c r="H34" s="11">
        <f>H30+H31</f>
        <v>582</v>
      </c>
      <c r="I34" s="38">
        <f t="shared" si="26"/>
        <v>690.86999999999944</v>
      </c>
      <c r="J34" s="107">
        <f t="shared" si="26"/>
        <v>738.26999999999975</v>
      </c>
      <c r="K34" s="107">
        <f t="shared" si="26"/>
        <v>805.19999999999936</v>
      </c>
      <c r="L34" s="107">
        <f t="shared" si="26"/>
        <v>891.52399999999966</v>
      </c>
      <c r="M34" s="107">
        <f t="shared" si="26"/>
        <v>974.99897999999962</v>
      </c>
      <c r="N34" s="107">
        <f t="shared" si="26"/>
        <v>1060.5563939999995</v>
      </c>
      <c r="O34" s="107">
        <f t="shared" si="26"/>
        <v>1147.4326320060002</v>
      </c>
      <c r="P34" s="107">
        <f t="shared" si="26"/>
        <v>1234.7771817590999</v>
      </c>
      <c r="Q34" s="107">
        <f t="shared" si="26"/>
        <v>1315.3401039083758</v>
      </c>
      <c r="R34" s="107">
        <f t="shared" si="26"/>
        <v>1400.3724163387792</v>
      </c>
    </row>
    <row r="35" spans="1:86" s="51" customFormat="1" x14ac:dyDescent="0.25">
      <c r="A35" s="1"/>
      <c r="B35" s="1"/>
      <c r="C35" s="21"/>
      <c r="D35" s="21"/>
      <c r="E35" s="21"/>
      <c r="F35" s="21"/>
      <c r="G35" s="21"/>
      <c r="H35" s="65"/>
      <c r="I35" s="12"/>
      <c r="J35" s="105"/>
      <c r="K35" s="105"/>
      <c r="L35" s="105"/>
      <c r="M35" s="105"/>
      <c r="N35" s="105"/>
      <c r="O35" s="105"/>
      <c r="P35" s="105"/>
      <c r="Q35" s="105"/>
      <c r="R35" s="105"/>
    </row>
    <row r="36" spans="1:86" s="51" customFormat="1" x14ac:dyDescent="0.25">
      <c r="A36" s="1"/>
      <c r="B36" s="1" t="s">
        <v>15</v>
      </c>
      <c r="C36" s="11">
        <f>C30</f>
        <v>246</v>
      </c>
      <c r="D36" s="11">
        <f t="shared" ref="D36:R36" si="27">D30</f>
        <v>267</v>
      </c>
      <c r="E36" s="11">
        <f t="shared" si="27"/>
        <v>458</v>
      </c>
      <c r="F36" s="11">
        <f t="shared" si="27"/>
        <v>-98</v>
      </c>
      <c r="G36" s="11">
        <f t="shared" si="27"/>
        <v>450</v>
      </c>
      <c r="H36" s="11">
        <f t="shared" si="27"/>
        <v>784</v>
      </c>
      <c r="I36" s="38">
        <f t="shared" si="27"/>
        <v>864.81999999999948</v>
      </c>
      <c r="J36" s="107">
        <f t="shared" si="27"/>
        <v>893.9699999999998</v>
      </c>
      <c r="K36" s="107">
        <f t="shared" si="27"/>
        <v>945.19999999999936</v>
      </c>
      <c r="L36" s="107">
        <f t="shared" si="27"/>
        <v>1041.3239999999996</v>
      </c>
      <c r="M36" s="107">
        <f t="shared" si="27"/>
        <v>1134.5359799999997</v>
      </c>
      <c r="N36" s="107">
        <f t="shared" si="27"/>
        <v>1229.6656139999996</v>
      </c>
      <c r="O36" s="107">
        <f t="shared" si="27"/>
        <v>1325.8428591060001</v>
      </c>
      <c r="P36" s="107">
        <f t="shared" si="27"/>
        <v>1422.1079202141</v>
      </c>
      <c r="Q36" s="107">
        <f t="shared" si="27"/>
        <v>1510.1640719015759</v>
      </c>
      <c r="R36" s="107">
        <f t="shared" si="27"/>
        <v>1602.9893430517072</v>
      </c>
    </row>
    <row r="37" spans="1:86" s="51" customFormat="1" x14ac:dyDescent="0.25">
      <c r="A37" s="1"/>
      <c r="B37" s="71" t="s">
        <v>16</v>
      </c>
      <c r="C37" s="72">
        <f t="shared" ref="C37:R37" si="28">C36/C11</f>
        <v>0.11268896014658726</v>
      </c>
      <c r="D37" s="72">
        <f t="shared" si="28"/>
        <v>8.9959568733153639E-2</v>
      </c>
      <c r="E37" s="72">
        <f t="shared" si="28"/>
        <v>0.10516647531572905</v>
      </c>
      <c r="F37" s="72">
        <f t="shared" si="28"/>
        <v>-3.3957033957033957E-2</v>
      </c>
      <c r="G37" s="72">
        <f t="shared" si="28"/>
        <v>0.11568123393316196</v>
      </c>
      <c r="H37" s="72">
        <f t="shared" si="28"/>
        <v>0.16838487972508592</v>
      </c>
      <c r="I37" s="73">
        <f t="shared" si="28"/>
        <v>0.17400804828973832</v>
      </c>
      <c r="J37" s="74">
        <f t="shared" si="28"/>
        <v>0.17224855491329477</v>
      </c>
      <c r="K37" s="74">
        <f t="shared" si="28"/>
        <v>0.16878571428571418</v>
      </c>
      <c r="L37" s="74">
        <f t="shared" si="28"/>
        <v>0.17378571428571421</v>
      </c>
      <c r="M37" s="74">
        <f t="shared" si="28"/>
        <v>0.17778571428571424</v>
      </c>
      <c r="N37" s="74">
        <f t="shared" si="28"/>
        <v>0.18178571428571422</v>
      </c>
      <c r="O37" s="74">
        <f t="shared" si="28"/>
        <v>0.1857857142857143</v>
      </c>
      <c r="P37" s="74">
        <f t="shared" si="28"/>
        <v>0.18978571428571428</v>
      </c>
      <c r="Q37" s="74">
        <f t="shared" si="28"/>
        <v>0.19378571428571426</v>
      </c>
      <c r="R37" s="74">
        <f t="shared" si="28"/>
        <v>0.1977857142857142</v>
      </c>
    </row>
    <row r="38" spans="1:86" s="51" customFormat="1" x14ac:dyDescent="0.25">
      <c r="A38" s="1"/>
      <c r="B38" s="13"/>
      <c r="C38" s="1"/>
      <c r="D38" s="1"/>
      <c r="E38" s="2"/>
      <c r="F38" s="1"/>
      <c r="G38" s="1"/>
      <c r="H38" s="1"/>
      <c r="I38" s="12"/>
      <c r="J38" s="105"/>
      <c r="K38" s="105"/>
      <c r="L38" s="105"/>
      <c r="M38" s="105"/>
      <c r="N38" s="105"/>
      <c r="O38" s="105"/>
      <c r="P38" s="105"/>
      <c r="Q38" s="105"/>
      <c r="R38" s="105"/>
    </row>
    <row r="39" spans="1:86" s="51" customFormat="1" x14ac:dyDescent="0.25">
      <c r="A39" s="1"/>
      <c r="B39" s="1" t="s">
        <v>17</v>
      </c>
      <c r="C39" s="11">
        <f>'Raw IS'!K31</f>
        <v>-5</v>
      </c>
      <c r="D39" s="11">
        <f>'Raw IS'!L31</f>
        <v>-51</v>
      </c>
      <c r="E39" s="11">
        <f>'Raw IS'!M31</f>
        <v>-83</v>
      </c>
      <c r="F39" s="11">
        <f>'Raw IS'!D31</f>
        <v>84</v>
      </c>
      <c r="G39" s="11">
        <f>'Raw IS'!E31</f>
        <v>-74</v>
      </c>
      <c r="H39" s="11">
        <f>'Raw IS'!F31</f>
        <v>-191</v>
      </c>
      <c r="I39" s="20">
        <f>I36*I40</f>
        <v>-247.07907399999985</v>
      </c>
      <c r="J39" s="103">
        <f t="shared" ref="J39:R39" si="29">J36*J40</f>
        <v>-241.37189999999995</v>
      </c>
      <c r="K39" s="103">
        <f t="shared" si="29"/>
        <v>-245.75199999999984</v>
      </c>
      <c r="L39" s="103">
        <f t="shared" si="29"/>
        <v>-281.15747999999991</v>
      </c>
      <c r="M39" s="103">
        <f t="shared" si="29"/>
        <v>-306.32471459999994</v>
      </c>
      <c r="N39" s="103">
        <f t="shared" si="29"/>
        <v>-332.00971577999991</v>
      </c>
      <c r="O39" s="103">
        <f t="shared" si="29"/>
        <v>-357.97757195862005</v>
      </c>
      <c r="P39" s="103">
        <f t="shared" si="29"/>
        <v>-383.96913845780699</v>
      </c>
      <c r="Q39" s="103">
        <f t="shared" si="29"/>
        <v>-407.74429941342549</v>
      </c>
      <c r="R39" s="103">
        <f t="shared" si="29"/>
        <v>-432.80712262396099</v>
      </c>
    </row>
    <row r="40" spans="1:86" s="51" customFormat="1" x14ac:dyDescent="0.25">
      <c r="A40" s="1"/>
      <c r="B40" s="71" t="s">
        <v>18</v>
      </c>
      <c r="C40" s="75">
        <f>C39/C36</f>
        <v>-2.032520325203252E-2</v>
      </c>
      <c r="D40" s="75">
        <f t="shared" ref="D40:H40" si="30">D39/D36</f>
        <v>-0.19101123595505617</v>
      </c>
      <c r="E40" s="75">
        <f t="shared" si="30"/>
        <v>-0.18122270742358079</v>
      </c>
      <c r="F40" s="75">
        <f t="shared" si="30"/>
        <v>-0.8571428571428571</v>
      </c>
      <c r="G40" s="75">
        <f t="shared" si="30"/>
        <v>-0.16444444444444445</v>
      </c>
      <c r="H40" s="75">
        <f t="shared" si="30"/>
        <v>-0.24362244897959184</v>
      </c>
      <c r="I40" s="76">
        <v>-0.28570000000000001</v>
      </c>
      <c r="J40" s="106">
        <v>-0.27</v>
      </c>
      <c r="K40" s="106">
        <v>-0.26</v>
      </c>
      <c r="L40" s="106">
        <v>-0.27</v>
      </c>
      <c r="M40" s="106">
        <v>-0.27</v>
      </c>
      <c r="N40" s="106">
        <v>-0.27</v>
      </c>
      <c r="O40" s="106">
        <v>-0.27</v>
      </c>
      <c r="P40" s="106">
        <v>-0.27</v>
      </c>
      <c r="Q40" s="106">
        <v>-0.27</v>
      </c>
      <c r="R40" s="106">
        <v>-0.27</v>
      </c>
    </row>
    <row r="41" spans="1:86" s="51" customFormat="1" x14ac:dyDescent="0.25">
      <c r="A41" s="1"/>
      <c r="B41" s="1"/>
      <c r="C41" s="1"/>
      <c r="D41" s="1"/>
      <c r="E41" s="1"/>
      <c r="F41" s="1"/>
      <c r="G41" s="1"/>
      <c r="H41" s="1"/>
      <c r="I41" s="12"/>
      <c r="J41" s="105"/>
      <c r="K41" s="105"/>
      <c r="L41" s="105"/>
      <c r="M41" s="105"/>
      <c r="N41" s="105"/>
      <c r="O41" s="105"/>
      <c r="P41" s="105"/>
      <c r="Q41" s="105"/>
      <c r="R41" s="105"/>
    </row>
    <row r="42" spans="1:86" s="51" customFormat="1" x14ac:dyDescent="0.25">
      <c r="A42" s="1"/>
      <c r="B42" s="9" t="s">
        <v>19</v>
      </c>
      <c r="C42" s="9">
        <v>2017</v>
      </c>
      <c r="D42" s="9">
        <v>2018</v>
      </c>
      <c r="E42" s="10">
        <v>2019</v>
      </c>
      <c r="F42" s="9">
        <v>2020</v>
      </c>
      <c r="G42" s="9">
        <v>2021</v>
      </c>
      <c r="H42" s="9">
        <v>2022</v>
      </c>
      <c r="I42" s="64">
        <v>2023</v>
      </c>
      <c r="J42" s="109">
        <v>2024</v>
      </c>
      <c r="K42" s="109">
        <v>2025</v>
      </c>
      <c r="L42" s="109">
        <v>2026</v>
      </c>
      <c r="M42" s="109">
        <v>2027</v>
      </c>
      <c r="N42" s="109">
        <v>2028</v>
      </c>
      <c r="O42" s="109">
        <v>2029</v>
      </c>
      <c r="P42" s="109">
        <v>2030</v>
      </c>
      <c r="Q42" s="109">
        <v>2031</v>
      </c>
      <c r="R42" s="109">
        <v>2032</v>
      </c>
      <c r="S42" s="9">
        <v>2033</v>
      </c>
      <c r="T42" s="9">
        <v>2034</v>
      </c>
      <c r="U42" s="9">
        <v>2035</v>
      </c>
      <c r="V42" s="9">
        <v>2036</v>
      </c>
      <c r="W42" s="9">
        <v>2037</v>
      </c>
      <c r="X42" s="9">
        <v>2038</v>
      </c>
      <c r="Y42" s="9">
        <v>2039</v>
      </c>
      <c r="Z42" s="9">
        <v>2040</v>
      </c>
      <c r="AA42" s="9">
        <v>2041</v>
      </c>
      <c r="AB42" s="9">
        <v>2042</v>
      </c>
      <c r="AC42" s="9">
        <v>2043</v>
      </c>
      <c r="AD42" s="9">
        <v>2044</v>
      </c>
      <c r="AE42" s="9">
        <v>2045</v>
      </c>
      <c r="AF42" s="9">
        <v>2046</v>
      </c>
      <c r="AG42" s="9">
        <v>2047</v>
      </c>
      <c r="AH42" s="9">
        <v>2048</v>
      </c>
      <c r="AI42" s="9">
        <v>2049</v>
      </c>
      <c r="AJ42" s="9">
        <v>2050</v>
      </c>
      <c r="AK42" s="9">
        <v>2051</v>
      </c>
      <c r="AL42" s="9">
        <v>2052</v>
      </c>
      <c r="AM42" s="9">
        <v>2053</v>
      </c>
      <c r="AN42" s="9">
        <v>2054</v>
      </c>
      <c r="AO42" s="9">
        <v>2055</v>
      </c>
      <c r="AP42" s="9">
        <v>2056</v>
      </c>
      <c r="AQ42" s="9">
        <v>2057</v>
      </c>
      <c r="AR42" s="9">
        <v>2058</v>
      </c>
      <c r="AS42" s="9">
        <v>2059</v>
      </c>
      <c r="AT42" s="9">
        <v>2060</v>
      </c>
      <c r="AU42" s="9">
        <v>2061</v>
      </c>
      <c r="AV42" s="9">
        <v>2062</v>
      </c>
      <c r="AW42" s="9">
        <v>2063</v>
      </c>
      <c r="AX42" s="9">
        <v>2064</v>
      </c>
      <c r="AY42" s="9">
        <v>2065</v>
      </c>
      <c r="AZ42" s="9">
        <v>2066</v>
      </c>
      <c r="BA42" s="9">
        <v>2067</v>
      </c>
      <c r="BB42" s="9">
        <v>2068</v>
      </c>
      <c r="BC42" s="9">
        <v>2069</v>
      </c>
      <c r="BD42" s="9">
        <v>2070</v>
      </c>
      <c r="BE42" s="9">
        <v>2071</v>
      </c>
      <c r="BF42" s="9">
        <v>2072</v>
      </c>
      <c r="BG42" s="9">
        <v>2073</v>
      </c>
      <c r="BH42" s="9">
        <v>2074</v>
      </c>
      <c r="BI42" s="9">
        <v>2075</v>
      </c>
      <c r="BJ42" s="9">
        <v>2076</v>
      </c>
      <c r="BK42" s="9">
        <v>2077</v>
      </c>
      <c r="BL42" s="9">
        <v>2078</v>
      </c>
      <c r="BM42" s="9">
        <v>2079</v>
      </c>
      <c r="BN42" s="9">
        <v>2080</v>
      </c>
      <c r="BO42" s="9">
        <v>2081</v>
      </c>
      <c r="BP42" s="9">
        <v>2082</v>
      </c>
      <c r="BQ42" s="9">
        <v>2083</v>
      </c>
      <c r="BR42" s="9">
        <v>2084</v>
      </c>
      <c r="BS42" s="9">
        <v>2085</v>
      </c>
      <c r="BT42" s="9">
        <v>2086</v>
      </c>
      <c r="BU42" s="9">
        <v>2087</v>
      </c>
      <c r="BV42" s="9">
        <v>2088</v>
      </c>
      <c r="BW42" s="9">
        <v>2089</v>
      </c>
      <c r="BX42" s="9">
        <v>2090</v>
      </c>
      <c r="BY42" s="9">
        <v>2091</v>
      </c>
      <c r="BZ42" s="9">
        <v>2092</v>
      </c>
      <c r="CA42" s="9">
        <v>2093</v>
      </c>
      <c r="CB42" s="9">
        <v>2094</v>
      </c>
      <c r="CC42" s="9">
        <v>2095</v>
      </c>
      <c r="CD42" s="9">
        <v>2096</v>
      </c>
      <c r="CE42" s="9">
        <v>2097</v>
      </c>
      <c r="CF42" s="9">
        <v>2098</v>
      </c>
      <c r="CG42" s="9">
        <v>2099</v>
      </c>
      <c r="CH42" s="9">
        <v>2100</v>
      </c>
    </row>
    <row r="43" spans="1:86" s="51" customFormat="1" x14ac:dyDescent="0.25">
      <c r="A43" s="1"/>
      <c r="B43" s="1" t="s">
        <v>20</v>
      </c>
      <c r="C43" s="11">
        <f>C22</f>
        <v>21</v>
      </c>
      <c r="D43" s="11">
        <f t="shared" ref="D43:H43" si="31">D22</f>
        <v>62</v>
      </c>
      <c r="E43" s="11">
        <f t="shared" si="31"/>
        <v>141</v>
      </c>
      <c r="F43" s="11">
        <f t="shared" si="31"/>
        <v>123</v>
      </c>
      <c r="G43" s="11">
        <f t="shared" si="31"/>
        <v>146</v>
      </c>
      <c r="H43" s="11">
        <f t="shared" si="31"/>
        <v>132</v>
      </c>
      <c r="I43" s="20">
        <v>129.18</v>
      </c>
      <c r="J43" s="103">
        <v>133.65</v>
      </c>
      <c r="K43" s="103">
        <v>130</v>
      </c>
      <c r="L43" s="103">
        <f t="shared" ref="L43" si="32">L44*L11</f>
        <v>133.108</v>
      </c>
      <c r="M43" s="103">
        <f t="shared" ref="M43" si="33">M44*M11</f>
        <v>135.37853999999999</v>
      </c>
      <c r="N43" s="103">
        <f t="shared" ref="N43" si="34">N44*N11</f>
        <v>136.7368836</v>
      </c>
      <c r="O43" s="103">
        <f t="shared" ref="O43" si="35">O44*O11</f>
        <v>137.12100311399999</v>
      </c>
      <c r="P43" s="103">
        <f t="shared" ref="P43" si="36">P44*P11</f>
        <v>136.48382373149997</v>
      </c>
      <c r="Q43" s="103">
        <f t="shared" ref="Q43" si="37">Q44*Q11</f>
        <v>134.15021796103198</v>
      </c>
      <c r="R43" s="103">
        <f t="shared" ref="R43" si="38">R44*R11</f>
        <v>131.41154961095614</v>
      </c>
    </row>
    <row r="44" spans="1:86" s="51" customFormat="1" x14ac:dyDescent="0.25">
      <c r="A44" s="1"/>
      <c r="B44" s="71" t="s">
        <v>16</v>
      </c>
      <c r="C44" s="72">
        <f t="shared" ref="C44:K44" si="39">C43/C11</f>
        <v>9.6197892808062308E-3</v>
      </c>
      <c r="D44" s="72">
        <f t="shared" si="39"/>
        <v>2.0889487870619946E-2</v>
      </c>
      <c r="E44" s="72">
        <f t="shared" si="39"/>
        <v>3.2376578645235361E-2</v>
      </c>
      <c r="F44" s="72">
        <f t="shared" si="39"/>
        <v>4.2619542619542622E-2</v>
      </c>
      <c r="G44" s="72">
        <f t="shared" si="39"/>
        <v>3.7532133676092545E-2</v>
      </c>
      <c r="H44" s="72">
        <f t="shared" si="39"/>
        <v>2.8350515463917526E-2</v>
      </c>
      <c r="I44" s="73">
        <f t="shared" si="39"/>
        <v>2.5991951710261571E-2</v>
      </c>
      <c r="J44" s="74">
        <f t="shared" si="39"/>
        <v>2.5751445086705203E-2</v>
      </c>
      <c r="K44" s="74">
        <f t="shared" si="39"/>
        <v>2.3214285714285715E-2</v>
      </c>
      <c r="L44" s="74">
        <f>K44-0.1%</f>
        <v>2.2214285714285714E-2</v>
      </c>
      <c r="M44" s="74">
        <f t="shared" ref="M44:R44" si="40">L44-0.1%</f>
        <v>2.1214285714285713E-2</v>
      </c>
      <c r="N44" s="74">
        <f t="shared" si="40"/>
        <v>2.0214285714285712E-2</v>
      </c>
      <c r="O44" s="74">
        <f t="shared" si="40"/>
        <v>1.9214285714285712E-2</v>
      </c>
      <c r="P44" s="74">
        <f t="shared" si="40"/>
        <v>1.8214285714285711E-2</v>
      </c>
      <c r="Q44" s="74">
        <f t="shared" si="40"/>
        <v>1.721428571428571E-2</v>
      </c>
      <c r="R44" s="74">
        <f t="shared" si="40"/>
        <v>1.6214285714285709E-2</v>
      </c>
    </row>
    <row r="45" spans="1:86" s="51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05"/>
      <c r="K45" s="105"/>
      <c r="L45" s="105"/>
      <c r="M45" s="105"/>
      <c r="N45" s="105"/>
      <c r="O45" s="105"/>
      <c r="P45" s="105"/>
      <c r="Q45" s="105"/>
      <c r="R45" s="105"/>
    </row>
    <row r="46" spans="1:86" s="51" customFormat="1" x14ac:dyDescent="0.25">
      <c r="A46" s="1"/>
      <c r="B46" s="1" t="s">
        <v>21</v>
      </c>
      <c r="C46" s="11">
        <f>'Raw CF'!K34</f>
        <v>-26</v>
      </c>
      <c r="D46" s="11">
        <f>'Raw CF'!L34</f>
        <v>-40</v>
      </c>
      <c r="E46" s="11">
        <f>'Raw CF'!M34</f>
        <v>-46</v>
      </c>
      <c r="F46" s="37">
        <f>'Raw CF'!D36</f>
        <v>-41</v>
      </c>
      <c r="G46" s="37">
        <f>'Raw CF'!E36</f>
        <v>-47</v>
      </c>
      <c r="H46" s="37">
        <f>'Raw CF'!F36</f>
        <v>-65</v>
      </c>
      <c r="I46" s="20">
        <v>-99.3</v>
      </c>
      <c r="J46" s="103">
        <v>-94.2</v>
      </c>
      <c r="K46" s="103">
        <v>-66.11</v>
      </c>
      <c r="L46" s="103">
        <f t="shared" ref="L46:Q46" si="41">L47*L11</f>
        <v>-70.737700000000004</v>
      </c>
      <c r="M46" s="103">
        <f t="shared" si="41"/>
        <v>-75.3356505</v>
      </c>
      <c r="N46" s="103">
        <f t="shared" si="41"/>
        <v>-79.85578953000001</v>
      </c>
      <c r="O46" s="103">
        <f t="shared" si="41"/>
        <v>-84.247857954150007</v>
      </c>
      <c r="P46" s="103">
        <f t="shared" si="41"/>
        <v>-88.460250851857509</v>
      </c>
      <c r="Q46" s="103">
        <f t="shared" si="41"/>
        <v>-91.998660885931812</v>
      </c>
      <c r="R46" s="103">
        <f>R47*R11</f>
        <v>-95.6786073213691</v>
      </c>
    </row>
    <row r="47" spans="1:86" s="51" customFormat="1" x14ac:dyDescent="0.25">
      <c r="A47" s="1"/>
      <c r="B47" s="71" t="s">
        <v>16</v>
      </c>
      <c r="C47" s="72">
        <f t="shared" ref="C47:K47" si="42">C46/C11</f>
        <v>-1.1910215300045808E-2</v>
      </c>
      <c r="D47" s="72">
        <f t="shared" si="42"/>
        <v>-1.3477088948787063E-2</v>
      </c>
      <c r="E47" s="72">
        <f t="shared" si="42"/>
        <v>-1.0562571756601608E-2</v>
      </c>
      <c r="F47" s="72">
        <f t="shared" si="42"/>
        <v>-1.4206514206514207E-2</v>
      </c>
      <c r="G47" s="72">
        <f t="shared" si="42"/>
        <v>-1.2082262210796915E-2</v>
      </c>
      <c r="H47" s="72">
        <f t="shared" si="42"/>
        <v>-1.3960481099656358E-2</v>
      </c>
      <c r="I47" s="73">
        <f t="shared" si="42"/>
        <v>-1.9979879275653922E-2</v>
      </c>
      <c r="J47" s="74">
        <f t="shared" si="42"/>
        <v>-1.8150289017341042E-2</v>
      </c>
      <c r="K47" s="74">
        <f t="shared" si="42"/>
        <v>-1.1805357142857143E-2</v>
      </c>
      <c r="L47" s="74">
        <v>-1.1805357142857143E-2</v>
      </c>
      <c r="M47" s="74">
        <v>-1.1805357142857143E-2</v>
      </c>
      <c r="N47" s="74">
        <v>-1.1805357142857143E-2</v>
      </c>
      <c r="O47" s="74">
        <v>-1.1805357142857143E-2</v>
      </c>
      <c r="P47" s="74">
        <v>-1.1805357142857143E-2</v>
      </c>
      <c r="Q47" s="74">
        <v>-1.1805357142857143E-2</v>
      </c>
      <c r="R47" s="74">
        <v>-1.1805357142857143E-2</v>
      </c>
    </row>
    <row r="48" spans="1:86" s="51" customFormat="1" x14ac:dyDescent="0.25">
      <c r="A48" s="1"/>
      <c r="B48" s="1"/>
      <c r="C48" s="1"/>
      <c r="D48" s="102"/>
      <c r="E48" s="23"/>
      <c r="F48" s="1"/>
      <c r="G48" s="1"/>
      <c r="H48" s="1"/>
      <c r="I48" s="12"/>
      <c r="J48" s="105"/>
      <c r="K48" s="105"/>
      <c r="L48" s="105"/>
      <c r="M48" s="105"/>
      <c r="N48" s="105"/>
      <c r="O48" s="105"/>
      <c r="P48" s="105"/>
      <c r="Q48" s="105"/>
      <c r="R48" s="105"/>
    </row>
    <row r="49" spans="1:86" s="51" customFormat="1" x14ac:dyDescent="0.25">
      <c r="A49" s="1"/>
      <c r="B49" s="1" t="s">
        <v>22</v>
      </c>
      <c r="C49" s="11">
        <f>SUM('Raw CF'!K17:K28)</f>
        <v>-133</v>
      </c>
      <c r="D49" s="11">
        <f>SUM('Raw CF'!L17:L28)</f>
        <v>-185</v>
      </c>
      <c r="E49" s="11">
        <f>SUM('Raw CF'!M17:M28)</f>
        <v>-151</v>
      </c>
      <c r="F49" s="66">
        <f>SUM('Raw CF'!D17:D29)</f>
        <v>166</v>
      </c>
      <c r="G49" s="66">
        <f>SUM('Raw CF'!E17:E29)</f>
        <v>-101</v>
      </c>
      <c r="H49" s="66">
        <f>SUM('Raw CF'!F17:F29)</f>
        <v>-254</v>
      </c>
      <c r="I49" s="20">
        <f t="shared" ref="I49:R49" si="43">I50*I11</f>
        <v>49.7</v>
      </c>
      <c r="J49" s="103">
        <f t="shared" si="43"/>
        <v>51.9</v>
      </c>
      <c r="K49" s="103">
        <f t="shared" si="43"/>
        <v>56</v>
      </c>
      <c r="L49" s="103">
        <f t="shared" si="43"/>
        <v>59.92</v>
      </c>
      <c r="M49" s="103">
        <f t="shared" si="43"/>
        <v>63.814799999999998</v>
      </c>
      <c r="N49" s="103">
        <f t="shared" si="43"/>
        <v>67.643687999999997</v>
      </c>
      <c r="O49" s="103">
        <f t="shared" si="43"/>
        <v>71.364090840000003</v>
      </c>
      <c r="P49" s="103">
        <f t="shared" si="43"/>
        <v>74.932295382000007</v>
      </c>
      <c r="Q49" s="103">
        <f t="shared" si="43"/>
        <v>77.929587197280014</v>
      </c>
      <c r="R49" s="103">
        <f t="shared" si="43"/>
        <v>81.046770685171211</v>
      </c>
    </row>
    <row r="50" spans="1:86" s="51" customFormat="1" x14ac:dyDescent="0.25">
      <c r="A50" s="1"/>
      <c r="B50" s="71" t="s">
        <v>16</v>
      </c>
      <c r="C50" s="72">
        <f t="shared" ref="C50:H50" si="44">C49/C11</f>
        <v>-6.0925332111772791E-2</v>
      </c>
      <c r="D50" s="72">
        <f t="shared" si="44"/>
        <v>-6.2331536388140159E-2</v>
      </c>
      <c r="E50" s="72">
        <f t="shared" si="44"/>
        <v>-3.467278989667049E-2</v>
      </c>
      <c r="F50" s="72">
        <f t="shared" si="44"/>
        <v>5.7519057519057518E-2</v>
      </c>
      <c r="G50" s="72">
        <f t="shared" si="44"/>
        <v>-2.596401028277635E-2</v>
      </c>
      <c r="H50" s="72">
        <f t="shared" si="44"/>
        <v>-5.4553264604810997E-2</v>
      </c>
      <c r="I50" s="76">
        <v>0.01</v>
      </c>
      <c r="J50" s="106">
        <v>0.01</v>
      </c>
      <c r="K50" s="106">
        <v>0.01</v>
      </c>
      <c r="L50" s="106">
        <v>0.01</v>
      </c>
      <c r="M50" s="106">
        <v>0.01</v>
      </c>
      <c r="N50" s="106">
        <v>0.01</v>
      </c>
      <c r="O50" s="106">
        <v>0.01</v>
      </c>
      <c r="P50" s="106">
        <v>0.01</v>
      </c>
      <c r="Q50" s="106">
        <v>0.01</v>
      </c>
      <c r="R50" s="106">
        <v>0.01</v>
      </c>
    </row>
    <row r="51" spans="1:86" s="51" customFormat="1" x14ac:dyDescent="0.25">
      <c r="A51" s="1"/>
      <c r="B51" s="1"/>
      <c r="C51" s="1"/>
      <c r="D51" s="1"/>
      <c r="E51" s="1"/>
      <c r="F51" s="1"/>
      <c r="G51" s="1"/>
      <c r="H51" s="1"/>
      <c r="I51" s="12"/>
      <c r="J51" s="105"/>
      <c r="K51" s="105"/>
      <c r="L51" s="105"/>
      <c r="M51" s="105"/>
      <c r="N51" s="105"/>
      <c r="O51" s="105"/>
      <c r="P51" s="105"/>
      <c r="Q51" s="105"/>
      <c r="R51" s="105"/>
    </row>
    <row r="52" spans="1:86" s="51" customFormat="1" x14ac:dyDescent="0.25">
      <c r="A52" s="1"/>
      <c r="B52" s="9" t="s">
        <v>23</v>
      </c>
      <c r="C52" s="11">
        <f t="shared" ref="C52:G52" si="45">C36+C39</f>
        <v>241</v>
      </c>
      <c r="D52" s="11">
        <f t="shared" si="45"/>
        <v>216</v>
      </c>
      <c r="E52" s="11">
        <f t="shared" si="45"/>
        <v>375</v>
      </c>
      <c r="F52" s="11">
        <f t="shared" si="45"/>
        <v>-14</v>
      </c>
      <c r="G52" s="11">
        <f t="shared" si="45"/>
        <v>376</v>
      </c>
      <c r="H52" s="11">
        <f>H36+H39</f>
        <v>593</v>
      </c>
      <c r="I52" s="38">
        <f t="shared" ref="I52:R52" si="46">I36+I39</f>
        <v>617.7409259999996</v>
      </c>
      <c r="J52" s="107">
        <f t="shared" si="46"/>
        <v>652.59809999999982</v>
      </c>
      <c r="K52" s="107">
        <f t="shared" si="46"/>
        <v>699.44799999999952</v>
      </c>
      <c r="L52" s="107">
        <f t="shared" si="46"/>
        <v>760.16651999999976</v>
      </c>
      <c r="M52" s="107">
        <f t="shared" si="46"/>
        <v>828.21126539999977</v>
      </c>
      <c r="N52" s="107">
        <f t="shared" si="46"/>
        <v>897.6558982199997</v>
      </c>
      <c r="O52" s="107">
        <f t="shared" si="46"/>
        <v>967.86528714738006</v>
      </c>
      <c r="P52" s="107">
        <f t="shared" si="46"/>
        <v>1038.1387817562929</v>
      </c>
      <c r="Q52" s="107">
        <f t="shared" si="46"/>
        <v>1102.4197724881503</v>
      </c>
      <c r="R52" s="107">
        <f t="shared" si="46"/>
        <v>1170.1822204277462</v>
      </c>
    </row>
    <row r="53" spans="1:86" s="51" customFormat="1" x14ac:dyDescent="0.25">
      <c r="A53" s="1"/>
      <c r="B53" s="9" t="s">
        <v>50</v>
      </c>
      <c r="C53" s="11">
        <v>0</v>
      </c>
      <c r="D53" s="11">
        <f>'Raw IS'!L33</f>
        <v>3</v>
      </c>
      <c r="E53" s="11">
        <f>'Raw IS'!M33</f>
        <v>-4</v>
      </c>
      <c r="F53" s="11">
        <f>'Raw IS'!D33</f>
        <v>-19</v>
      </c>
      <c r="G53" s="11">
        <f>'Raw IS'!E33</f>
        <v>-4</v>
      </c>
      <c r="H53" s="11">
        <v>0</v>
      </c>
      <c r="I53" s="38">
        <v>-3</v>
      </c>
      <c r="J53" s="107">
        <v>-3</v>
      </c>
      <c r="K53" s="107">
        <v>-3</v>
      </c>
      <c r="L53" s="107">
        <v>-3</v>
      </c>
      <c r="M53" s="107">
        <v>-3</v>
      </c>
      <c r="N53" s="107">
        <v>-3</v>
      </c>
      <c r="O53" s="107">
        <v>-3</v>
      </c>
      <c r="P53" s="107">
        <v>-3</v>
      </c>
      <c r="Q53" s="107">
        <v>-3</v>
      </c>
      <c r="R53" s="107">
        <v>-3</v>
      </c>
    </row>
    <row r="54" spans="1:86" s="51" customFormat="1" x14ac:dyDescent="0.25">
      <c r="A54" s="1"/>
      <c r="B54" s="9" t="s">
        <v>24</v>
      </c>
      <c r="C54" s="11">
        <f>C34+C39+C53</f>
        <v>235</v>
      </c>
      <c r="D54" s="11">
        <f t="shared" ref="D54:H54" si="47">D34+D39+D53</f>
        <v>55</v>
      </c>
      <c r="E54" s="11">
        <f t="shared" si="47"/>
        <v>138</v>
      </c>
      <c r="F54" s="11">
        <f t="shared" si="47"/>
        <v>-275</v>
      </c>
      <c r="G54" s="11">
        <f t="shared" si="47"/>
        <v>49</v>
      </c>
      <c r="H54" s="11">
        <f t="shared" si="47"/>
        <v>391</v>
      </c>
      <c r="I54" s="38">
        <f t="shared" ref="I54" si="48">I34+I39+I53</f>
        <v>440.79092599999956</v>
      </c>
      <c r="J54" s="107">
        <f t="shared" ref="J54" si="49">J34+J39+J53</f>
        <v>493.89809999999977</v>
      </c>
      <c r="K54" s="107">
        <f t="shared" ref="K54" si="50">K34+K39+K53</f>
        <v>556.44799999999952</v>
      </c>
      <c r="L54" s="107">
        <f t="shared" ref="L54" si="51">L34+L39+L53</f>
        <v>607.36651999999981</v>
      </c>
      <c r="M54" s="107">
        <f t="shared" ref="M54" si="52">M34+M39+M53</f>
        <v>665.67426539999974</v>
      </c>
      <c r="N54" s="107">
        <f t="shared" ref="N54" si="53">N34+N39+N53</f>
        <v>725.54667821999965</v>
      </c>
      <c r="O54" s="107">
        <f t="shared" ref="O54" si="54">O34+O39+O53</f>
        <v>786.45506004738013</v>
      </c>
      <c r="P54" s="107">
        <f t="shared" ref="P54" si="55">P34+P39+P53</f>
        <v>847.80804330129286</v>
      </c>
      <c r="Q54" s="107">
        <f t="shared" ref="Q54" si="56">Q34+Q39+Q53</f>
        <v>904.59580449495024</v>
      </c>
      <c r="R54" s="107">
        <f t="shared" ref="R54" si="57">R34+R39+R53</f>
        <v>964.56529371481815</v>
      </c>
      <c r="S54" s="52">
        <f>R54*(1+$E$6)</f>
        <v>993.50225252626274</v>
      </c>
      <c r="T54" s="52">
        <f t="shared" ref="T54:CE54" si="58">S54*(1+$E$6)</f>
        <v>1023.3073201020507</v>
      </c>
      <c r="U54" s="52">
        <f t="shared" si="58"/>
        <v>1054.0065397051121</v>
      </c>
      <c r="V54" s="52">
        <f t="shared" si="58"/>
        <v>1085.6267358962655</v>
      </c>
      <c r="W54" s="52">
        <f t="shared" si="58"/>
        <v>1118.1955379731535</v>
      </c>
      <c r="X54" s="52">
        <f t="shared" si="58"/>
        <v>1151.7414041123482</v>
      </c>
      <c r="Y54" s="52">
        <f t="shared" si="58"/>
        <v>1186.2936462357186</v>
      </c>
      <c r="Z54" s="52">
        <f t="shared" si="58"/>
        <v>1221.8824556227901</v>
      </c>
      <c r="AA54" s="52">
        <f t="shared" si="58"/>
        <v>1258.5389292914738</v>
      </c>
      <c r="AB54" s="52">
        <f t="shared" si="58"/>
        <v>1296.295097170218</v>
      </c>
      <c r="AC54" s="52">
        <f t="shared" si="58"/>
        <v>1335.1839500853246</v>
      </c>
      <c r="AD54" s="52">
        <f t="shared" si="58"/>
        <v>1375.2394685878844</v>
      </c>
      <c r="AE54" s="52">
        <f t="shared" si="58"/>
        <v>1416.496652645521</v>
      </c>
      <c r="AF54" s="52">
        <f t="shared" si="58"/>
        <v>1458.9915522248866</v>
      </c>
      <c r="AG54" s="52">
        <f t="shared" si="58"/>
        <v>1502.7612987916332</v>
      </c>
      <c r="AH54" s="52">
        <f t="shared" si="58"/>
        <v>1547.8441377553822</v>
      </c>
      <c r="AI54" s="52">
        <f t="shared" si="58"/>
        <v>1594.2794618880437</v>
      </c>
      <c r="AJ54" s="52">
        <f t="shared" si="58"/>
        <v>1642.1078457446849</v>
      </c>
      <c r="AK54" s="52">
        <f t="shared" si="58"/>
        <v>1691.3710811170256</v>
      </c>
      <c r="AL54" s="52">
        <f t="shared" si="58"/>
        <v>1742.1122135505364</v>
      </c>
      <c r="AM54" s="52">
        <f t="shared" si="58"/>
        <v>1794.3755799570524</v>
      </c>
      <c r="AN54" s="52">
        <f t="shared" si="58"/>
        <v>1848.206847355764</v>
      </c>
      <c r="AO54" s="52">
        <f t="shared" si="58"/>
        <v>1903.6530527764369</v>
      </c>
      <c r="AP54" s="52">
        <f t="shared" si="58"/>
        <v>1960.7626443597301</v>
      </c>
      <c r="AQ54" s="52">
        <f t="shared" si="58"/>
        <v>2019.585523690522</v>
      </c>
      <c r="AR54" s="52">
        <f t="shared" si="58"/>
        <v>2080.1730894012376</v>
      </c>
      <c r="AS54" s="52">
        <f t="shared" si="58"/>
        <v>2142.5782820832746</v>
      </c>
      <c r="AT54" s="52">
        <f t="shared" si="58"/>
        <v>2206.8556305457728</v>
      </c>
      <c r="AU54" s="52">
        <f t="shared" si="58"/>
        <v>2273.0612994621461</v>
      </c>
      <c r="AV54" s="52">
        <f t="shared" si="58"/>
        <v>2341.2531384460103</v>
      </c>
      <c r="AW54" s="52">
        <f t="shared" si="58"/>
        <v>2411.4907325993909</v>
      </c>
      <c r="AX54" s="52">
        <f t="shared" si="58"/>
        <v>2483.8354545773727</v>
      </c>
      <c r="AY54" s="52">
        <f t="shared" si="58"/>
        <v>2558.3505182146941</v>
      </c>
      <c r="AZ54" s="52">
        <f t="shared" si="58"/>
        <v>2635.1010337611351</v>
      </c>
      <c r="BA54" s="52">
        <f t="shared" si="58"/>
        <v>2714.1540647739694</v>
      </c>
      <c r="BB54" s="52">
        <f t="shared" si="58"/>
        <v>2795.5786867171887</v>
      </c>
      <c r="BC54" s="52">
        <f t="shared" si="58"/>
        <v>2879.4460473187046</v>
      </c>
      <c r="BD54" s="52">
        <f t="shared" si="58"/>
        <v>2965.829428738266</v>
      </c>
      <c r="BE54" s="52">
        <f t="shared" si="58"/>
        <v>3054.8043116004142</v>
      </c>
      <c r="BF54" s="52">
        <f t="shared" si="58"/>
        <v>3146.4484409484267</v>
      </c>
      <c r="BG54" s="52">
        <f t="shared" si="58"/>
        <v>3240.8418941768796</v>
      </c>
      <c r="BH54" s="52">
        <f t="shared" si="58"/>
        <v>3338.0671510021862</v>
      </c>
      <c r="BI54" s="52">
        <f t="shared" si="58"/>
        <v>3438.209165532252</v>
      </c>
      <c r="BJ54" s="52">
        <f t="shared" si="58"/>
        <v>3541.3554404982197</v>
      </c>
      <c r="BK54" s="52">
        <f t="shared" si="58"/>
        <v>3647.5961037131665</v>
      </c>
      <c r="BL54" s="52">
        <f t="shared" si="58"/>
        <v>3757.0239868245617</v>
      </c>
      <c r="BM54" s="52">
        <f t="shared" si="58"/>
        <v>3869.7347064292985</v>
      </c>
      <c r="BN54" s="52">
        <f t="shared" si="58"/>
        <v>3985.8267476221777</v>
      </c>
      <c r="BO54" s="52">
        <f t="shared" si="58"/>
        <v>4105.4015500508431</v>
      </c>
      <c r="BP54" s="52">
        <f t="shared" si="58"/>
        <v>4228.5635965523688</v>
      </c>
      <c r="BQ54" s="52">
        <f t="shared" si="58"/>
        <v>4355.4205044489399</v>
      </c>
      <c r="BR54" s="52">
        <f t="shared" si="58"/>
        <v>4486.0831195824085</v>
      </c>
      <c r="BS54" s="52">
        <f t="shared" si="58"/>
        <v>4620.665613169881</v>
      </c>
      <c r="BT54" s="52">
        <f t="shared" si="58"/>
        <v>4759.2855815649773</v>
      </c>
      <c r="BU54" s="52">
        <f t="shared" si="58"/>
        <v>4902.0641490119269</v>
      </c>
      <c r="BV54" s="52">
        <f t="shared" si="58"/>
        <v>5049.1260734822845</v>
      </c>
      <c r="BW54" s="52">
        <f t="shared" si="58"/>
        <v>5200.5998556867535</v>
      </c>
      <c r="BX54" s="52">
        <f t="shared" si="58"/>
        <v>5356.6178513573559</v>
      </c>
      <c r="BY54" s="52">
        <f t="shared" si="58"/>
        <v>5517.3163868980764</v>
      </c>
      <c r="BZ54" s="52">
        <f t="shared" si="58"/>
        <v>5682.8358785050186</v>
      </c>
      <c r="CA54" s="52">
        <f t="shared" si="58"/>
        <v>5853.320954860169</v>
      </c>
      <c r="CB54" s="52">
        <f t="shared" si="58"/>
        <v>6028.9205835059738</v>
      </c>
      <c r="CC54" s="52">
        <f t="shared" si="58"/>
        <v>6209.7882010111534</v>
      </c>
      <c r="CD54" s="52">
        <f t="shared" si="58"/>
        <v>6396.0818470414879</v>
      </c>
      <c r="CE54" s="52">
        <f t="shared" si="58"/>
        <v>6587.9643024527331</v>
      </c>
      <c r="CF54" s="52">
        <f t="shared" ref="CF54:CH54" si="59">CE54*(1+$E$6)</f>
        <v>6785.6032315263155</v>
      </c>
      <c r="CG54" s="52">
        <f t="shared" si="59"/>
        <v>6989.1713284721054</v>
      </c>
      <c r="CH54" s="52">
        <f t="shared" si="59"/>
        <v>7198.8464683262691</v>
      </c>
    </row>
    <row r="55" spans="1:86" s="51" customFormat="1" x14ac:dyDescent="0.25">
      <c r="A55" s="1"/>
      <c r="B55" s="6"/>
      <c r="C55" s="11"/>
      <c r="D55" s="11"/>
      <c r="E55" s="11"/>
      <c r="F55" s="11"/>
      <c r="G55" s="11"/>
      <c r="H55" s="11"/>
      <c r="I55" s="12"/>
      <c r="J55" s="105"/>
      <c r="K55" s="105"/>
      <c r="L55" s="105"/>
      <c r="M55" s="105"/>
      <c r="N55" s="105"/>
      <c r="O55" s="105"/>
      <c r="P55" s="105"/>
      <c r="Q55" s="105"/>
      <c r="R55" s="105"/>
    </row>
    <row r="56" spans="1:86" s="51" customFormat="1" x14ac:dyDescent="0.25">
      <c r="A56" s="1"/>
      <c r="B56" s="9" t="s">
        <v>25</v>
      </c>
      <c r="C56" s="11">
        <f>C52+C46-C49</f>
        <v>348</v>
      </c>
      <c r="D56" s="11">
        <f t="shared" ref="D56:R56" si="60">D52+D46-D49</f>
        <v>361</v>
      </c>
      <c r="E56" s="11">
        <f t="shared" si="60"/>
        <v>480</v>
      </c>
      <c r="F56" s="11">
        <f t="shared" si="60"/>
        <v>-221</v>
      </c>
      <c r="G56" s="11">
        <f t="shared" si="60"/>
        <v>430</v>
      </c>
      <c r="H56" s="11">
        <f t="shared" si="60"/>
        <v>782</v>
      </c>
      <c r="I56" s="38">
        <f t="shared" si="60"/>
        <v>468.74092599999966</v>
      </c>
      <c r="J56" s="107">
        <f t="shared" si="60"/>
        <v>506.49809999999979</v>
      </c>
      <c r="K56" s="107">
        <f t="shared" si="60"/>
        <v>577.33799999999951</v>
      </c>
      <c r="L56" s="107">
        <f t="shared" si="60"/>
        <v>629.50881999999979</v>
      </c>
      <c r="M56" s="107">
        <f t="shared" si="60"/>
        <v>689.06081489999974</v>
      </c>
      <c r="N56" s="107">
        <f t="shared" si="60"/>
        <v>750.15642068999966</v>
      </c>
      <c r="O56" s="107">
        <f t="shared" si="60"/>
        <v>812.25333835322999</v>
      </c>
      <c r="P56" s="107">
        <f t="shared" si="60"/>
        <v>874.74623552243543</v>
      </c>
      <c r="Q56" s="107">
        <f t="shared" si="60"/>
        <v>932.49152440493845</v>
      </c>
      <c r="R56" s="107">
        <f t="shared" si="60"/>
        <v>993.45684242120592</v>
      </c>
    </row>
    <row r="57" spans="1:86" s="51" customFormat="1" x14ac:dyDescent="0.25">
      <c r="A57" s="1"/>
      <c r="B57" s="24" t="s">
        <v>26</v>
      </c>
      <c r="C57" s="1"/>
      <c r="D57" s="1"/>
      <c r="E57" s="1"/>
      <c r="F57" s="1"/>
      <c r="G57" s="1"/>
      <c r="H57" s="1"/>
      <c r="I57" s="68">
        <f t="shared" ref="I57:R57" si="61">I56/((1+$E$5)^I9)</f>
        <v>413.89666740551718</v>
      </c>
      <c r="J57" s="69">
        <f t="shared" si="61"/>
        <v>394.90800065969597</v>
      </c>
      <c r="K57" s="69">
        <f t="shared" si="61"/>
        <v>397.47270575421845</v>
      </c>
      <c r="L57" s="69">
        <f t="shared" si="61"/>
        <v>382.6820071247563</v>
      </c>
      <c r="M57" s="69">
        <f t="shared" si="61"/>
        <v>369.87317314151824</v>
      </c>
      <c r="N57" s="69">
        <f t="shared" si="61"/>
        <v>355.55448926850619</v>
      </c>
      <c r="O57" s="69">
        <f t="shared" si="61"/>
        <v>339.9420558649382</v>
      </c>
      <c r="P57" s="69">
        <f t="shared" si="61"/>
        <v>323.26190632830765</v>
      </c>
      <c r="Q57" s="69">
        <f t="shared" si="61"/>
        <v>304.28209419997984</v>
      </c>
      <c r="R57" s="69">
        <f t="shared" si="61"/>
        <v>286.24609107069352</v>
      </c>
    </row>
    <row r="58" spans="1:86" s="51" customFormat="1" x14ac:dyDescent="0.25">
      <c r="A58" s="1"/>
      <c r="B58" s="25"/>
      <c r="C58" s="25"/>
      <c r="D58" s="25"/>
      <c r="E58" s="25"/>
      <c r="F58" s="25"/>
      <c r="G58" s="25"/>
      <c r="H58" s="25"/>
      <c r="I58" s="70"/>
      <c r="J58" s="1"/>
      <c r="K58" s="1"/>
      <c r="L58" s="1"/>
      <c r="M58" s="1"/>
      <c r="N58" s="1"/>
      <c r="O58" s="1"/>
      <c r="P58" s="1"/>
      <c r="Q58" s="1"/>
      <c r="R58" s="1"/>
    </row>
    <row r="59" spans="1:86" s="51" customFormat="1" x14ac:dyDescent="0.25">
      <c r="A59" s="1"/>
      <c r="B59" s="1" t="s">
        <v>27</v>
      </c>
      <c r="C59" s="26">
        <f>(R56*(1+$E$6))/($E$5-$E$6)</f>
        <v>9982.3355690676108</v>
      </c>
      <c r="D59" s="1"/>
      <c r="E59" s="1" t="s">
        <v>28</v>
      </c>
      <c r="F59" s="18">
        <f>NPV($E$5,I54:CH54)</f>
        <v>6231.5472406938215</v>
      </c>
      <c r="G59" s="1"/>
      <c r="H59" s="1"/>
      <c r="I59" s="15"/>
      <c r="J59" s="1"/>
      <c r="K59" s="1"/>
      <c r="L59" s="1"/>
      <c r="M59" s="1"/>
      <c r="N59" s="1"/>
      <c r="O59" s="1"/>
      <c r="P59" s="1"/>
      <c r="Q59" s="1"/>
      <c r="R59" s="2"/>
    </row>
    <row r="60" spans="1:86" s="51" customFormat="1" x14ac:dyDescent="0.25">
      <c r="A60" s="1"/>
      <c r="B60" s="3" t="s">
        <v>29</v>
      </c>
      <c r="C60" s="27">
        <f>C59/((1+$E$5)^$R$9)</f>
        <v>2876.2241240773178</v>
      </c>
      <c r="D60" s="16"/>
      <c r="E60" s="3"/>
      <c r="F60" s="3"/>
      <c r="G60" s="3"/>
      <c r="H60" s="16"/>
      <c r="I60" s="12"/>
      <c r="J60" s="1"/>
      <c r="K60" s="2"/>
      <c r="L60" s="86" t="s">
        <v>56</v>
      </c>
      <c r="M60" s="86"/>
      <c r="N60" s="86"/>
      <c r="O60" s="86"/>
      <c r="P60" s="86"/>
      <c r="Q60" s="86"/>
      <c r="R60" s="2"/>
    </row>
    <row r="61" spans="1:86" x14ac:dyDescent="0.25">
      <c r="A61" s="1"/>
      <c r="B61" s="6" t="s">
        <v>30</v>
      </c>
      <c r="C61" s="6"/>
      <c r="D61" s="1"/>
      <c r="E61" s="6"/>
      <c r="F61" s="6"/>
      <c r="G61" s="28" t="s">
        <v>31</v>
      </c>
      <c r="H61" s="28" t="s">
        <v>28</v>
      </c>
      <c r="I61" s="15"/>
      <c r="J61" s="1"/>
      <c r="K61" s="53"/>
      <c r="L61" s="58">
        <f>E67</f>
        <v>130.6461649139751</v>
      </c>
      <c r="M61" s="77">
        <v>-0.01</v>
      </c>
      <c r="N61" s="77">
        <v>0.01</v>
      </c>
      <c r="O61" s="77">
        <v>0.03</v>
      </c>
      <c r="P61" s="77">
        <v>0.04</v>
      </c>
      <c r="Q61" s="77">
        <v>0.05</v>
      </c>
    </row>
    <row r="62" spans="1:86" x14ac:dyDescent="0.25">
      <c r="A62" s="1"/>
      <c r="B62" s="29" t="s">
        <v>32</v>
      </c>
      <c r="C62" s="1"/>
      <c r="D62" s="23">
        <v>306</v>
      </c>
      <c r="E62" s="1"/>
      <c r="F62" s="1"/>
      <c r="G62" s="26">
        <f>C60+SUM(I57:R57)</f>
        <v>6444.34331489545</v>
      </c>
      <c r="H62" s="18">
        <f>F59</f>
        <v>6231.5472406938215</v>
      </c>
      <c r="I62" s="15"/>
      <c r="K62" s="53"/>
      <c r="L62" s="55">
        <f>L63-1%</f>
        <v>0.10866722143741359</v>
      </c>
      <c r="M62" s="59">
        <f t="dataTable" ref="M62:Q66" dt2D="1" dtr="1" r1="E6" r2="E5"/>
        <v>144.07896060606737</v>
      </c>
      <c r="N62" s="59">
        <v>161.96566693236261</v>
      </c>
      <c r="O62" s="59">
        <v>188.72250571553366</v>
      </c>
      <c r="P62" s="59">
        <v>207.67477891130977</v>
      </c>
      <c r="Q62" s="59">
        <v>232.60739188259384</v>
      </c>
    </row>
    <row r="63" spans="1:86" x14ac:dyDescent="0.25">
      <c r="A63" s="1"/>
      <c r="B63" s="30" t="s">
        <v>33</v>
      </c>
      <c r="C63" s="3"/>
      <c r="D63" s="79">
        <f>7122-3129-1936-222</f>
        <v>1835</v>
      </c>
      <c r="E63" s="3"/>
      <c r="F63" s="3"/>
      <c r="G63" s="3"/>
      <c r="H63" s="3"/>
      <c r="I63" s="15"/>
      <c r="K63" s="54"/>
      <c r="L63" s="55">
        <f>L64-1%</f>
        <v>0.11866722143741358</v>
      </c>
      <c r="M63" s="59">
        <v>126.70651674920754</v>
      </c>
      <c r="N63" s="60">
        <v>140.54375373178294</v>
      </c>
      <c r="O63" s="60">
        <v>160.5243377721485</v>
      </c>
      <c r="P63" s="60">
        <v>174.20702135772098</v>
      </c>
      <c r="Q63" s="59">
        <v>191.67109700281128</v>
      </c>
      <c r="R63" s="47"/>
    </row>
    <row r="64" spans="1:86" x14ac:dyDescent="0.25">
      <c r="A64" s="1"/>
      <c r="B64" s="6" t="s">
        <v>34</v>
      </c>
      <c r="C64" s="6"/>
      <c r="D64" s="6"/>
      <c r="E64" s="6"/>
      <c r="F64" s="6"/>
      <c r="G64" s="31">
        <f>G62+D62-D63</f>
        <v>4915.34331489545</v>
      </c>
      <c r="H64" s="32">
        <f>H62+D62-D63</f>
        <v>4702.5472406938215</v>
      </c>
      <c r="I64" s="15"/>
      <c r="K64" s="53" t="s">
        <v>1</v>
      </c>
      <c r="L64" s="55">
        <v>0.12866722143741358</v>
      </c>
      <c r="M64" s="59">
        <v>111.99856938988253</v>
      </c>
      <c r="N64" s="60">
        <v>122.86083514855366</v>
      </c>
      <c r="O64" s="61">
        <v>138.0822698854486</v>
      </c>
      <c r="P64" s="60">
        <v>148.21598173805597</v>
      </c>
      <c r="Q64" s="59">
        <v>160.83717600848212</v>
      </c>
    </row>
    <row r="65" spans="1:17" x14ac:dyDescent="0.25">
      <c r="A65" s="1"/>
      <c r="B65" s="3" t="s">
        <v>35</v>
      </c>
      <c r="C65" s="3"/>
      <c r="D65" s="37">
        <f>36808928/1000000</f>
        <v>36.808928000000002</v>
      </c>
      <c r="E65" s="3"/>
      <c r="F65" s="3"/>
      <c r="G65" s="3"/>
      <c r="H65" s="33"/>
      <c r="I65" s="15"/>
      <c r="K65" s="53"/>
      <c r="L65" s="56">
        <f>L64+0.5%</f>
        <v>0.13366722143741358</v>
      </c>
      <c r="M65" s="59">
        <v>105.4668934117764</v>
      </c>
      <c r="N65" s="60">
        <v>115.13776059390545</v>
      </c>
      <c r="O65" s="60">
        <v>128.51017854808015</v>
      </c>
      <c r="P65" s="60">
        <v>137.30296629334333</v>
      </c>
      <c r="Q65" s="59">
        <v>148.13841239472163</v>
      </c>
    </row>
    <row r="66" spans="1:17" x14ac:dyDescent="0.25">
      <c r="A66" s="1"/>
      <c r="B66" s="17" t="s">
        <v>36</v>
      </c>
      <c r="C66" s="17"/>
      <c r="D66" s="62">
        <f>D65*$J$5</f>
        <v>4707.1257126399996</v>
      </c>
      <c r="E66" s="17"/>
      <c r="F66" s="17"/>
      <c r="G66" s="17"/>
      <c r="H66" s="34"/>
      <c r="I66" s="1"/>
      <c r="K66" s="53"/>
      <c r="L66" s="56">
        <f>L65+0.5%</f>
        <v>0.13866722143741358</v>
      </c>
      <c r="M66" s="59">
        <v>99.408094317745707</v>
      </c>
      <c r="N66" s="59">
        <v>108.04369142231903</v>
      </c>
      <c r="O66" s="59">
        <v>119.83774680912316</v>
      </c>
      <c r="P66" s="59">
        <v>127.50427507469144</v>
      </c>
      <c r="Q66" s="59">
        <v>136.86046048220783</v>
      </c>
    </row>
    <row r="67" spans="1:17" x14ac:dyDescent="0.25">
      <c r="A67" s="1"/>
      <c r="B67" s="6" t="s">
        <v>37</v>
      </c>
      <c r="D67" s="6" t="s">
        <v>38</v>
      </c>
      <c r="E67" s="35">
        <f>(G67+H67)/2</f>
        <v>130.6461649139751</v>
      </c>
      <c r="F67" s="6"/>
      <c r="G67" s="35">
        <f>G64/D65</f>
        <v>133.5367146496483</v>
      </c>
      <c r="H67" s="36">
        <f>H64/D65</f>
        <v>127.75561517830188</v>
      </c>
      <c r="I67" s="15"/>
    </row>
    <row r="68" spans="1:17" x14ac:dyDescent="0.25">
      <c r="B68" s="40"/>
      <c r="C68" s="40"/>
      <c r="D68" s="40"/>
      <c r="E68" s="40"/>
      <c r="F68" s="40"/>
      <c r="G68" s="40"/>
      <c r="H68" s="40"/>
      <c r="I68" s="22"/>
    </row>
  </sheetData>
  <sortState xmlns:xlrd2="http://schemas.microsoft.com/office/spreadsheetml/2017/richdata2" columnSort="1" ref="C10:H57">
    <sortCondition ref="C10:H10"/>
  </sortState>
  <mergeCells count="1">
    <mergeCell ref="L60:Q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U47"/>
  <sheetViews>
    <sheetView topLeftCell="A19" workbookViewId="0">
      <selection activeCell="H35" sqref="H35"/>
    </sheetView>
  </sheetViews>
  <sheetFormatPr defaultRowHeight="15" x14ac:dyDescent="0.25"/>
  <cols>
    <col min="1" max="1" width="44.5703125" customWidth="1"/>
    <col min="10" max="10" width="60" customWidth="1"/>
  </cols>
  <sheetData>
    <row r="1" spans="1:21" x14ac:dyDescent="0.25">
      <c r="A1" s="87" t="s">
        <v>66</v>
      </c>
      <c r="B1" s="87"/>
      <c r="C1" s="87"/>
      <c r="D1" s="87"/>
      <c r="E1" s="87"/>
      <c r="F1" s="87"/>
      <c r="J1" s="87" t="s">
        <v>66</v>
      </c>
      <c r="K1" s="87"/>
      <c r="L1" s="87"/>
      <c r="M1" s="87"/>
      <c r="N1" s="87"/>
      <c r="O1" s="87"/>
    </row>
    <row r="3" spans="1:21" x14ac:dyDescent="0.25"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</row>
    <row r="4" spans="1:21" x14ac:dyDescent="0.25">
      <c r="A4" s="88"/>
      <c r="B4" s="88"/>
      <c r="C4" s="88"/>
      <c r="D4" s="94" t="s">
        <v>59</v>
      </c>
      <c r="E4" s="94" t="s">
        <v>58</v>
      </c>
      <c r="F4" s="94" t="s">
        <v>57</v>
      </c>
      <c r="G4" s="94"/>
    </row>
    <row r="5" spans="1:21" x14ac:dyDescent="0.25">
      <c r="A5" s="87" t="s">
        <v>67</v>
      </c>
      <c r="B5" s="87"/>
      <c r="C5" s="87"/>
      <c r="D5" s="90"/>
      <c r="E5" s="90"/>
      <c r="F5" s="90"/>
      <c r="G5" s="90"/>
      <c r="K5" s="94" t="s">
        <v>126</v>
      </c>
      <c r="L5" s="94" t="s">
        <v>125</v>
      </c>
      <c r="M5" s="94" t="s">
        <v>124</v>
      </c>
      <c r="N5" s="94"/>
      <c r="O5" s="94"/>
      <c r="Q5" s="94"/>
      <c r="R5" s="94"/>
      <c r="T5" s="94"/>
      <c r="U5" s="94"/>
    </row>
    <row r="6" spans="1:21" x14ac:dyDescent="0.25">
      <c r="A6" s="87" t="s">
        <v>68</v>
      </c>
      <c r="B6" s="87"/>
      <c r="C6" s="87"/>
      <c r="D6" s="92">
        <v>546</v>
      </c>
      <c r="E6" s="92">
        <v>1153</v>
      </c>
      <c r="F6" s="92">
        <v>1618</v>
      </c>
      <c r="G6" s="92"/>
      <c r="J6" s="81" t="s">
        <v>67</v>
      </c>
      <c r="K6" s="90"/>
      <c r="L6" s="90"/>
      <c r="M6" s="90"/>
      <c r="N6" s="90"/>
      <c r="O6" s="90"/>
      <c r="Q6" s="90"/>
      <c r="R6" s="90"/>
      <c r="T6" s="90"/>
      <c r="U6" s="90"/>
    </row>
    <row r="7" spans="1:21" x14ac:dyDescent="0.25">
      <c r="A7" s="87" t="s">
        <v>69</v>
      </c>
      <c r="B7" s="87"/>
      <c r="C7" s="87"/>
      <c r="D7" s="96">
        <v>755</v>
      </c>
      <c r="E7" s="96">
        <v>855</v>
      </c>
      <c r="F7" s="96">
        <v>827</v>
      </c>
      <c r="G7" s="96"/>
      <c r="J7" t="s">
        <v>68</v>
      </c>
      <c r="K7" s="98">
        <v>757</v>
      </c>
      <c r="L7" s="98">
        <v>990</v>
      </c>
      <c r="M7" s="98">
        <v>1390</v>
      </c>
      <c r="N7" s="98"/>
      <c r="Q7" s="98"/>
      <c r="T7" s="98"/>
    </row>
    <row r="8" spans="1:21" x14ac:dyDescent="0.25">
      <c r="A8" s="87" t="s">
        <v>70</v>
      </c>
      <c r="B8" s="87"/>
      <c r="C8" s="87"/>
      <c r="D8" s="96">
        <v>276</v>
      </c>
      <c r="E8" s="96">
        <v>486</v>
      </c>
      <c r="F8" s="96">
        <v>551</v>
      </c>
      <c r="G8" s="96"/>
      <c r="J8" t="s">
        <v>69</v>
      </c>
      <c r="K8" s="99">
        <v>279</v>
      </c>
      <c r="L8" s="99">
        <v>499</v>
      </c>
      <c r="M8" s="99">
        <v>954</v>
      </c>
      <c r="N8" s="99"/>
      <c r="Q8" s="99"/>
      <c r="T8" s="99"/>
    </row>
    <row r="9" spans="1:21" x14ac:dyDescent="0.25">
      <c r="A9" s="87" t="s">
        <v>71</v>
      </c>
      <c r="B9" s="87"/>
      <c r="C9" s="87"/>
      <c r="D9" s="96">
        <v>267</v>
      </c>
      <c r="E9" s="96">
        <v>268</v>
      </c>
      <c r="F9" s="96">
        <v>293</v>
      </c>
      <c r="G9" s="96"/>
      <c r="J9" t="s">
        <v>70</v>
      </c>
      <c r="K9" s="99">
        <v>262</v>
      </c>
      <c r="L9" s="99">
        <v>371</v>
      </c>
      <c r="M9" s="99">
        <v>628</v>
      </c>
      <c r="N9" s="99"/>
      <c r="Q9" s="99"/>
      <c r="T9" s="99"/>
    </row>
    <row r="10" spans="1:21" x14ac:dyDescent="0.25">
      <c r="A10" s="87" t="s">
        <v>72</v>
      </c>
      <c r="B10" s="87"/>
      <c r="C10" s="87"/>
      <c r="D10" s="96">
        <v>1042</v>
      </c>
      <c r="E10" s="96">
        <v>1128</v>
      </c>
      <c r="F10" s="96">
        <v>1367</v>
      </c>
      <c r="G10" s="96"/>
      <c r="J10" t="s">
        <v>71</v>
      </c>
      <c r="K10" s="99">
        <v>135</v>
      </c>
      <c r="L10" s="99">
        <v>183</v>
      </c>
      <c r="M10" s="99">
        <v>275</v>
      </c>
      <c r="N10" s="99"/>
      <c r="Q10" s="99"/>
      <c r="T10" s="99"/>
    </row>
    <row r="11" spans="1:21" x14ac:dyDescent="0.25">
      <c r="A11" s="87" t="s">
        <v>73</v>
      </c>
      <c r="B11" s="87"/>
      <c r="C11" s="87"/>
      <c r="D11" s="96">
        <v>2886</v>
      </c>
      <c r="E11" s="96">
        <v>3890</v>
      </c>
      <c r="F11" s="96">
        <v>4656</v>
      </c>
      <c r="G11" s="96"/>
      <c r="J11" t="s">
        <v>72</v>
      </c>
      <c r="K11" s="99">
        <v>750</v>
      </c>
      <c r="L11" s="99">
        <v>925</v>
      </c>
      <c r="M11" s="99">
        <v>1108</v>
      </c>
      <c r="N11" s="99"/>
      <c r="Q11" s="99"/>
      <c r="T11" s="99"/>
    </row>
    <row r="12" spans="1:21" x14ac:dyDescent="0.25">
      <c r="A12" s="87" t="s">
        <v>74</v>
      </c>
      <c r="B12" s="87"/>
      <c r="C12" s="87"/>
      <c r="D12" s="90"/>
      <c r="E12" s="90"/>
      <c r="F12" s="90"/>
      <c r="G12" s="90"/>
      <c r="J12" s="81" t="s">
        <v>73</v>
      </c>
      <c r="K12" s="99">
        <v>2183</v>
      </c>
      <c r="L12" s="99">
        <v>2968</v>
      </c>
      <c r="M12" s="99">
        <v>4355</v>
      </c>
      <c r="N12" s="99"/>
      <c r="Q12" s="99"/>
      <c r="T12" s="99"/>
    </row>
    <row r="13" spans="1:21" x14ac:dyDescent="0.25">
      <c r="A13" s="87" t="s">
        <v>75</v>
      </c>
      <c r="B13" s="87"/>
      <c r="C13" s="87"/>
      <c r="D13" s="96">
        <v>150</v>
      </c>
      <c r="E13" s="96">
        <v>250</v>
      </c>
      <c r="F13" s="96">
        <v>289</v>
      </c>
      <c r="G13" s="96"/>
      <c r="J13" s="81" t="s">
        <v>74</v>
      </c>
      <c r="K13" s="90"/>
      <c r="L13" s="90"/>
      <c r="M13" s="90"/>
      <c r="N13" s="90"/>
      <c r="O13" s="90"/>
      <c r="Q13" s="90"/>
      <c r="R13" s="90"/>
      <c r="T13" s="90"/>
      <c r="U13" s="90"/>
    </row>
    <row r="14" spans="1:21" x14ac:dyDescent="0.25">
      <c r="A14" s="87" t="s">
        <v>76</v>
      </c>
      <c r="B14" s="87"/>
      <c r="C14" s="87"/>
      <c r="D14" s="96">
        <v>386</v>
      </c>
      <c r="E14" s="96">
        <v>617</v>
      </c>
      <c r="F14" s="96">
        <v>807</v>
      </c>
      <c r="G14" s="96"/>
      <c r="J14" t="s">
        <v>75</v>
      </c>
      <c r="K14" s="99">
        <v>194</v>
      </c>
      <c r="L14" s="99">
        <v>260</v>
      </c>
      <c r="M14" s="99">
        <v>356</v>
      </c>
      <c r="N14" s="99"/>
      <c r="Q14" s="99"/>
      <c r="T14" s="99"/>
    </row>
    <row r="15" spans="1:21" x14ac:dyDescent="0.25">
      <c r="A15" s="87" t="s">
        <v>69</v>
      </c>
      <c r="B15" s="87"/>
      <c r="C15" s="87"/>
      <c r="D15" s="96">
        <v>475</v>
      </c>
      <c r="E15" s="96">
        <v>521</v>
      </c>
      <c r="F15" s="96">
        <v>444</v>
      </c>
      <c r="G15" s="96"/>
      <c r="J15" t="s">
        <v>76</v>
      </c>
      <c r="K15" s="99">
        <v>388</v>
      </c>
      <c r="L15" s="99">
        <v>527</v>
      </c>
      <c r="M15" s="99">
        <v>762</v>
      </c>
      <c r="N15" s="99"/>
      <c r="Q15" s="99"/>
      <c r="T15" s="99"/>
    </row>
    <row r="16" spans="1:21" x14ac:dyDescent="0.25">
      <c r="A16" s="87" t="s">
        <v>70</v>
      </c>
      <c r="B16" s="87"/>
      <c r="C16" s="87"/>
      <c r="D16" s="96">
        <v>321</v>
      </c>
      <c r="E16" s="96">
        <v>344</v>
      </c>
      <c r="F16" s="96">
        <v>382</v>
      </c>
      <c r="G16" s="96"/>
      <c r="J16" t="s">
        <v>69</v>
      </c>
      <c r="K16" s="99">
        <v>147</v>
      </c>
      <c r="L16" s="99">
        <v>259</v>
      </c>
      <c r="M16" s="99">
        <v>506</v>
      </c>
      <c r="N16" s="99"/>
      <c r="Q16" s="99"/>
      <c r="T16" s="99"/>
    </row>
    <row r="17" spans="1:20" x14ac:dyDescent="0.25">
      <c r="A17" s="87" t="s">
        <v>71</v>
      </c>
      <c r="B17" s="87"/>
      <c r="C17" s="87"/>
      <c r="D17" s="96">
        <v>107</v>
      </c>
      <c r="E17" s="96">
        <v>88</v>
      </c>
      <c r="F17" s="96">
        <v>75</v>
      </c>
      <c r="G17" s="96"/>
      <c r="J17" t="s">
        <v>70</v>
      </c>
      <c r="K17" s="99">
        <v>221</v>
      </c>
      <c r="L17" s="99">
        <v>281</v>
      </c>
      <c r="M17" s="99">
        <v>416</v>
      </c>
      <c r="N17" s="99"/>
      <c r="Q17" s="99"/>
      <c r="T17" s="99"/>
    </row>
    <row r="18" spans="1:20" x14ac:dyDescent="0.25">
      <c r="A18" s="87" t="s">
        <v>77</v>
      </c>
      <c r="B18" s="87"/>
      <c r="C18" s="87"/>
      <c r="D18" s="96">
        <v>154</v>
      </c>
      <c r="E18" s="96">
        <v>227</v>
      </c>
      <c r="F18" s="96">
        <v>249</v>
      </c>
      <c r="G18" s="96"/>
      <c r="J18" t="s">
        <v>71</v>
      </c>
      <c r="K18" s="99">
        <v>43</v>
      </c>
      <c r="L18" s="99">
        <v>65</v>
      </c>
      <c r="M18" s="99">
        <v>96</v>
      </c>
      <c r="N18" s="99"/>
      <c r="Q18" s="99"/>
      <c r="T18" s="99"/>
    </row>
    <row r="19" spans="1:20" ht="30" customHeight="1" x14ac:dyDescent="0.25">
      <c r="A19" s="87" t="s">
        <v>51</v>
      </c>
      <c r="B19" s="87"/>
      <c r="C19" s="87"/>
      <c r="D19" s="96">
        <v>123</v>
      </c>
      <c r="E19" s="96">
        <v>146</v>
      </c>
      <c r="F19" s="96">
        <v>132</v>
      </c>
      <c r="G19" s="96"/>
      <c r="J19" t="s">
        <v>77</v>
      </c>
      <c r="K19" s="99">
        <v>106</v>
      </c>
      <c r="L19" s="99">
        <v>198</v>
      </c>
      <c r="M19" s="99">
        <v>300</v>
      </c>
      <c r="N19" s="99"/>
      <c r="Q19" s="99"/>
      <c r="T19" s="99"/>
    </row>
    <row r="20" spans="1:20" x14ac:dyDescent="0.25">
      <c r="A20" s="87" t="s">
        <v>78</v>
      </c>
      <c r="B20" s="87"/>
      <c r="C20" s="87"/>
      <c r="D20" s="96">
        <v>6</v>
      </c>
      <c r="E20" s="96">
        <v>10</v>
      </c>
      <c r="F20" s="96">
        <v>11</v>
      </c>
      <c r="G20" s="96"/>
      <c r="J20" t="s">
        <v>51</v>
      </c>
      <c r="K20" s="99">
        <v>21</v>
      </c>
      <c r="L20" s="99">
        <v>62</v>
      </c>
      <c r="M20" s="99">
        <v>141</v>
      </c>
      <c r="N20" s="99"/>
      <c r="Q20" s="99"/>
      <c r="T20" s="99"/>
    </row>
    <row r="21" spans="1:20" x14ac:dyDescent="0.25">
      <c r="A21" s="87" t="s">
        <v>79</v>
      </c>
      <c r="B21" s="87"/>
      <c r="C21" s="87"/>
      <c r="D21" s="96">
        <v>25</v>
      </c>
      <c r="E21" s="94" t="s">
        <v>60</v>
      </c>
      <c r="F21" s="94" t="s">
        <v>60</v>
      </c>
      <c r="G21" s="94"/>
      <c r="J21" t="s">
        <v>78</v>
      </c>
      <c r="K21" s="99">
        <v>4</v>
      </c>
      <c r="L21" s="99">
        <v>46</v>
      </c>
      <c r="M21" s="99">
        <v>7</v>
      </c>
      <c r="N21" s="99"/>
      <c r="Q21" s="99"/>
      <c r="T21" s="99"/>
    </row>
    <row r="22" spans="1:20" x14ac:dyDescent="0.25">
      <c r="A22" s="87" t="s">
        <v>80</v>
      </c>
      <c r="B22" s="87"/>
      <c r="C22" s="87"/>
      <c r="D22" s="96">
        <v>95</v>
      </c>
      <c r="E22" s="96">
        <v>106</v>
      </c>
      <c r="F22" s="96">
        <v>114</v>
      </c>
      <c r="G22" s="96"/>
      <c r="J22" t="s">
        <v>80</v>
      </c>
      <c r="K22" s="99">
        <v>63</v>
      </c>
      <c r="L22" s="99">
        <v>78</v>
      </c>
      <c r="M22" s="99">
        <v>106</v>
      </c>
      <c r="N22" s="99"/>
      <c r="Q22" s="99"/>
      <c r="T22" s="99"/>
    </row>
    <row r="23" spans="1:20" x14ac:dyDescent="0.25">
      <c r="A23" s="87" t="s">
        <v>81</v>
      </c>
      <c r="B23" s="87"/>
      <c r="C23" s="87"/>
      <c r="D23" s="96">
        <v>100</v>
      </c>
      <c r="E23" s="96">
        <v>3</v>
      </c>
      <c r="F23" s="96">
        <v>2</v>
      </c>
      <c r="G23" s="96"/>
      <c r="J23" t="s">
        <v>81</v>
      </c>
      <c r="K23" s="90" t="s">
        <v>60</v>
      </c>
      <c r="L23" s="90" t="s">
        <v>60</v>
      </c>
      <c r="M23" s="99">
        <v>99</v>
      </c>
      <c r="N23" s="99"/>
      <c r="Q23" s="90"/>
      <c r="T23" s="90"/>
    </row>
    <row r="24" spans="1:20" x14ac:dyDescent="0.25">
      <c r="A24" s="87" t="s">
        <v>72</v>
      </c>
      <c r="B24" s="87"/>
      <c r="C24" s="87"/>
      <c r="D24" s="96">
        <v>1042</v>
      </c>
      <c r="E24" s="96">
        <v>1128</v>
      </c>
      <c r="F24" s="96">
        <v>1367</v>
      </c>
      <c r="G24" s="96"/>
      <c r="J24" t="s">
        <v>72</v>
      </c>
      <c r="K24" s="99">
        <v>750</v>
      </c>
      <c r="L24" s="99">
        <v>925</v>
      </c>
      <c r="M24" s="99">
        <v>1108</v>
      </c>
      <c r="N24" s="99"/>
      <c r="Q24" s="99"/>
      <c r="T24" s="99"/>
    </row>
    <row r="25" spans="1:20" x14ac:dyDescent="0.25">
      <c r="A25" s="87" t="s">
        <v>82</v>
      </c>
      <c r="B25" s="87"/>
      <c r="C25" s="87"/>
      <c r="D25" s="96">
        <v>2984</v>
      </c>
      <c r="E25" s="96">
        <v>3440</v>
      </c>
      <c r="F25" s="96">
        <v>3872</v>
      </c>
      <c r="G25" s="96"/>
      <c r="J25" s="81" t="s">
        <v>82</v>
      </c>
      <c r="K25" s="99">
        <v>1937</v>
      </c>
      <c r="L25" s="99">
        <v>2701</v>
      </c>
      <c r="M25" s="99">
        <v>3897</v>
      </c>
      <c r="N25" s="99"/>
      <c r="Q25" s="99"/>
      <c r="T25" s="99"/>
    </row>
    <row r="26" spans="1:20" x14ac:dyDescent="0.25">
      <c r="A26" s="87" t="s">
        <v>83</v>
      </c>
      <c r="B26" s="87"/>
      <c r="C26" s="87"/>
      <c r="D26" s="95">
        <v>-26</v>
      </c>
      <c r="E26" s="95">
        <v>-51</v>
      </c>
      <c r="F26" s="96">
        <v>40</v>
      </c>
      <c r="G26" s="96"/>
      <c r="J26" t="s">
        <v>100</v>
      </c>
      <c r="K26" s="99">
        <v>6</v>
      </c>
      <c r="L26" s="99">
        <v>21</v>
      </c>
      <c r="M26" s="99">
        <v>16</v>
      </c>
      <c r="N26" s="99"/>
      <c r="Q26" s="99"/>
      <c r="T26" s="99"/>
    </row>
    <row r="27" spans="1:20" x14ac:dyDescent="0.25">
      <c r="A27" s="87" t="s">
        <v>84</v>
      </c>
      <c r="B27" s="87"/>
      <c r="C27" s="87"/>
      <c r="D27" s="95">
        <v>-150</v>
      </c>
      <c r="E27" s="95">
        <v>-164</v>
      </c>
      <c r="F27" s="95">
        <v>-118</v>
      </c>
      <c r="G27" s="95"/>
      <c r="J27" t="s">
        <v>84</v>
      </c>
      <c r="K27" s="100">
        <v>-10</v>
      </c>
      <c r="L27" s="100">
        <v>-54</v>
      </c>
      <c r="M27" s="100">
        <v>-132</v>
      </c>
      <c r="N27" s="100"/>
      <c r="Q27" s="100"/>
      <c r="T27" s="100"/>
    </row>
    <row r="28" spans="1:20" x14ac:dyDescent="0.25">
      <c r="A28" s="87" t="s">
        <v>85</v>
      </c>
      <c r="B28" s="87"/>
      <c r="C28" s="87"/>
      <c r="D28" s="95">
        <v>-66</v>
      </c>
      <c r="E28" s="95">
        <v>-110</v>
      </c>
      <c r="F28" s="95">
        <v>-125</v>
      </c>
      <c r="G28" s="110"/>
      <c r="J28" t="s">
        <v>127</v>
      </c>
      <c r="K28" s="100">
        <v>-1</v>
      </c>
      <c r="L28" s="100">
        <v>-127</v>
      </c>
      <c r="M28" s="100">
        <v>-118</v>
      </c>
      <c r="N28" s="100"/>
      <c r="Q28" s="100"/>
      <c r="T28" s="100"/>
    </row>
    <row r="29" spans="1:20" x14ac:dyDescent="0.25">
      <c r="A29" s="87" t="s">
        <v>64</v>
      </c>
      <c r="B29" s="87"/>
      <c r="C29" s="87"/>
      <c r="D29" s="94" t="s">
        <v>60</v>
      </c>
      <c r="E29" s="96">
        <v>2</v>
      </c>
      <c r="F29" s="96">
        <v>1</v>
      </c>
      <c r="G29" s="96"/>
      <c r="J29" t="s">
        <v>64</v>
      </c>
      <c r="K29" s="100">
        <v>-1</v>
      </c>
      <c r="L29" s="100">
        <v>-4</v>
      </c>
      <c r="M29" s="99">
        <v>1</v>
      </c>
      <c r="N29" s="99"/>
      <c r="Q29" s="100"/>
      <c r="T29" s="100"/>
    </row>
    <row r="30" spans="1:20" x14ac:dyDescent="0.25">
      <c r="A30" s="87" t="s">
        <v>86</v>
      </c>
      <c r="B30" s="87"/>
      <c r="C30" s="87"/>
      <c r="D30" s="95">
        <v>-340</v>
      </c>
      <c r="E30" s="96">
        <v>127</v>
      </c>
      <c r="F30" s="96">
        <v>582</v>
      </c>
      <c r="G30" s="96"/>
      <c r="J30" s="81" t="s">
        <v>128</v>
      </c>
      <c r="K30" s="99">
        <v>240</v>
      </c>
      <c r="L30" s="99">
        <v>103</v>
      </c>
      <c r="M30" s="99">
        <v>225</v>
      </c>
      <c r="N30" s="99"/>
      <c r="Q30" s="99"/>
      <c r="T30" s="99"/>
    </row>
    <row r="31" spans="1:20" x14ac:dyDescent="0.25">
      <c r="A31" s="87" t="s">
        <v>87</v>
      </c>
      <c r="B31" s="87"/>
      <c r="C31" s="87"/>
      <c r="D31" s="96">
        <v>84</v>
      </c>
      <c r="E31" s="95">
        <v>-74</v>
      </c>
      <c r="F31" s="95">
        <v>-191</v>
      </c>
      <c r="G31" s="95"/>
      <c r="J31" t="s">
        <v>129</v>
      </c>
      <c r="K31" s="100">
        <v>-5</v>
      </c>
      <c r="L31" s="100">
        <v>-51</v>
      </c>
      <c r="M31" s="100">
        <v>-83</v>
      </c>
      <c r="N31" s="100"/>
      <c r="Q31" s="100"/>
      <c r="T31" s="100"/>
    </row>
    <row r="32" spans="1:20" x14ac:dyDescent="0.25">
      <c r="A32" s="87" t="s">
        <v>88</v>
      </c>
      <c r="B32" s="87"/>
      <c r="C32" s="87"/>
      <c r="D32" s="95">
        <v>-256</v>
      </c>
      <c r="E32" s="96">
        <v>53</v>
      </c>
      <c r="F32" s="96">
        <v>391</v>
      </c>
      <c r="G32" s="96"/>
      <c r="J32" s="81" t="s">
        <v>130</v>
      </c>
      <c r="K32" s="99">
        <v>235</v>
      </c>
      <c r="L32" s="99">
        <v>52</v>
      </c>
      <c r="M32" s="99">
        <v>142</v>
      </c>
      <c r="N32" s="99"/>
      <c r="Q32" s="99"/>
      <c r="T32" s="99"/>
    </row>
    <row r="33" spans="1:21" x14ac:dyDescent="0.25">
      <c r="A33" s="87" t="s">
        <v>89</v>
      </c>
      <c r="B33" s="87"/>
      <c r="C33" s="87"/>
      <c r="D33" s="95">
        <v>-19</v>
      </c>
      <c r="E33" s="95">
        <v>-4</v>
      </c>
      <c r="F33" s="94" t="s">
        <v>60</v>
      </c>
      <c r="G33" s="94"/>
      <c r="J33" t="s">
        <v>131</v>
      </c>
      <c r="K33" s="90" t="s">
        <v>60</v>
      </c>
      <c r="L33" s="99">
        <v>3</v>
      </c>
      <c r="M33" s="100">
        <v>-4</v>
      </c>
      <c r="N33" s="100"/>
      <c r="Q33" s="99"/>
      <c r="T33" s="90"/>
    </row>
    <row r="34" spans="1:21" x14ac:dyDescent="0.25">
      <c r="A34" s="87" t="s">
        <v>90</v>
      </c>
      <c r="B34" s="87"/>
      <c r="C34" s="87"/>
      <c r="D34" s="93">
        <v>-275</v>
      </c>
      <c r="E34" s="92">
        <v>49</v>
      </c>
      <c r="F34" s="92">
        <v>391</v>
      </c>
      <c r="G34" s="92"/>
      <c r="J34" s="81" t="s">
        <v>132</v>
      </c>
      <c r="K34" s="98">
        <v>235</v>
      </c>
      <c r="L34" s="98">
        <v>55</v>
      </c>
      <c r="M34" s="98">
        <v>138</v>
      </c>
      <c r="N34" s="98"/>
      <c r="Q34" s="98"/>
      <c r="T34" s="98"/>
    </row>
    <row r="35" spans="1:21" x14ac:dyDescent="0.25">
      <c r="A35" s="88"/>
      <c r="B35" s="88"/>
      <c r="C35" s="88"/>
      <c r="D35" s="90"/>
      <c r="E35" s="90"/>
      <c r="F35" s="90"/>
      <c r="G35" s="90"/>
      <c r="K35" s="90"/>
      <c r="L35" s="90"/>
      <c r="M35" s="90"/>
      <c r="N35" s="90"/>
      <c r="O35" s="90"/>
      <c r="Q35" s="90"/>
      <c r="R35" s="90"/>
      <c r="T35" s="90"/>
      <c r="U35" s="90"/>
    </row>
    <row r="36" spans="1:21" x14ac:dyDescent="0.25">
      <c r="A36" s="87" t="s">
        <v>91</v>
      </c>
      <c r="B36" s="87"/>
      <c r="C36" s="87"/>
      <c r="D36" s="90"/>
      <c r="E36" s="90"/>
      <c r="F36" s="90"/>
      <c r="G36" s="90"/>
      <c r="J36" s="81" t="s">
        <v>133</v>
      </c>
      <c r="K36" s="90"/>
      <c r="L36" s="90"/>
      <c r="M36" s="90"/>
      <c r="N36" s="90"/>
      <c r="O36" s="90"/>
      <c r="Q36" s="90"/>
      <c r="R36" s="90"/>
      <c r="T36" s="90"/>
      <c r="U36" s="90"/>
    </row>
    <row r="37" spans="1:21" x14ac:dyDescent="0.25">
      <c r="A37" s="87" t="s">
        <v>62</v>
      </c>
      <c r="B37" s="87"/>
      <c r="C37" s="87"/>
      <c r="D37" s="91">
        <v>-6.65</v>
      </c>
      <c r="E37" s="89">
        <v>1.1499999999999999</v>
      </c>
      <c r="F37" s="89">
        <v>9.69</v>
      </c>
      <c r="G37" s="89"/>
      <c r="J37" t="s">
        <v>62</v>
      </c>
      <c r="K37" s="97">
        <v>8.6999999999999993</v>
      </c>
      <c r="L37" s="97">
        <v>1.64</v>
      </c>
      <c r="M37" s="97">
        <v>3.13</v>
      </c>
      <c r="N37" s="97"/>
      <c r="Q37" s="97"/>
      <c r="T37" s="97"/>
    </row>
    <row r="38" spans="1:21" x14ac:dyDescent="0.25">
      <c r="A38" s="87" t="s">
        <v>63</v>
      </c>
      <c r="B38" s="87"/>
      <c r="C38" s="87"/>
      <c r="D38" s="91">
        <v>-6.65</v>
      </c>
      <c r="E38" s="89">
        <v>1.1299999999999999</v>
      </c>
      <c r="F38" s="89">
        <v>8.77</v>
      </c>
      <c r="G38" s="89"/>
      <c r="J38" t="s">
        <v>63</v>
      </c>
      <c r="K38" s="97">
        <v>8.49</v>
      </c>
      <c r="L38" s="97">
        <v>1.61</v>
      </c>
      <c r="M38" s="97">
        <v>3.09</v>
      </c>
      <c r="N38" s="97"/>
      <c r="Q38" s="97"/>
      <c r="T38" s="97"/>
    </row>
    <row r="39" spans="1:21" x14ac:dyDescent="0.25">
      <c r="A39" s="88"/>
      <c r="B39" s="88"/>
      <c r="C39" s="88"/>
      <c r="D39" s="90"/>
      <c r="E39" s="90"/>
      <c r="F39" s="90"/>
      <c r="G39" s="90"/>
      <c r="K39" s="90"/>
      <c r="L39" s="90"/>
      <c r="M39" s="90"/>
      <c r="N39" s="90"/>
      <c r="O39" s="90"/>
      <c r="Q39" s="90"/>
      <c r="R39" s="90"/>
      <c r="T39" s="90"/>
      <c r="U39" s="90"/>
    </row>
    <row r="40" spans="1:21" x14ac:dyDescent="0.25">
      <c r="A40" s="87" t="s">
        <v>92</v>
      </c>
      <c r="B40" s="87"/>
      <c r="C40" s="87"/>
      <c r="D40" s="89">
        <v>0.54</v>
      </c>
      <c r="E40" s="89">
        <v>1.08</v>
      </c>
      <c r="F40" s="89">
        <v>2.58</v>
      </c>
      <c r="G40" s="89"/>
      <c r="J40" s="81" t="s">
        <v>92</v>
      </c>
      <c r="K40" s="97">
        <v>1.45</v>
      </c>
      <c r="L40" s="97">
        <v>1.65</v>
      </c>
      <c r="M40" s="97">
        <v>1.89</v>
      </c>
      <c r="N40" s="97"/>
      <c r="Q40" s="97"/>
      <c r="T40" s="97"/>
    </row>
    <row r="41" spans="1:21" x14ac:dyDescent="0.25">
      <c r="B41" s="84"/>
      <c r="G41" s="84"/>
    </row>
    <row r="42" spans="1:21" x14ac:dyDescent="0.25">
      <c r="B42" s="81"/>
      <c r="G42" s="83"/>
    </row>
    <row r="43" spans="1:21" x14ac:dyDescent="0.25">
      <c r="B43" s="84"/>
      <c r="G43" s="83"/>
    </row>
    <row r="46" spans="1:21" x14ac:dyDescent="0.25">
      <c r="B46" s="82"/>
      <c r="G46" s="82"/>
    </row>
    <row r="47" spans="1:21" x14ac:dyDescent="0.25">
      <c r="B47" s="82"/>
      <c r="G47" s="82"/>
    </row>
  </sheetData>
  <sortState xmlns:xlrd2="http://schemas.microsoft.com/office/spreadsheetml/2017/richdata2" columnSort="1" ref="K5:U40">
    <sortCondition ref="K5:U5"/>
  </sortState>
  <mergeCells count="40">
    <mergeCell ref="J1:O1"/>
    <mergeCell ref="J3:U3"/>
    <mergeCell ref="A40:C4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U53"/>
  <sheetViews>
    <sheetView topLeftCell="A16" workbookViewId="0">
      <selection activeCell="D9" sqref="D9"/>
    </sheetView>
  </sheetViews>
  <sheetFormatPr defaultRowHeight="15" x14ac:dyDescent="0.25"/>
  <cols>
    <col min="1" max="1" width="38.85546875" customWidth="1"/>
    <col min="10" max="10" width="51.42578125" customWidth="1"/>
  </cols>
  <sheetData>
    <row r="1" spans="1:21" x14ac:dyDescent="0.25">
      <c r="A1" s="87" t="s">
        <v>53</v>
      </c>
      <c r="B1" s="87"/>
      <c r="C1" s="87"/>
      <c r="D1" s="87"/>
      <c r="E1" s="87"/>
      <c r="F1" s="87"/>
      <c r="J1" s="87" t="s">
        <v>53</v>
      </c>
      <c r="K1" s="87"/>
      <c r="L1" s="87"/>
      <c r="M1" s="87"/>
      <c r="N1" s="87"/>
      <c r="O1" s="87"/>
    </row>
    <row r="3" spans="1:21" x14ac:dyDescent="0.25"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</row>
    <row r="4" spans="1:21" x14ac:dyDescent="0.25">
      <c r="A4" s="88"/>
      <c r="B4" s="88"/>
      <c r="C4" s="88"/>
      <c r="D4" s="94" t="s">
        <v>59</v>
      </c>
      <c r="E4" s="94" t="s">
        <v>58</v>
      </c>
      <c r="F4" s="94" t="s">
        <v>57</v>
      </c>
      <c r="G4" s="94"/>
      <c r="H4" s="94"/>
    </row>
    <row r="5" spans="1:21" x14ac:dyDescent="0.25">
      <c r="A5" s="87" t="s">
        <v>93</v>
      </c>
      <c r="B5" s="87"/>
      <c r="C5" s="87"/>
      <c r="D5" s="90"/>
      <c r="E5" s="90"/>
      <c r="F5" s="90"/>
      <c r="G5" s="90"/>
      <c r="H5" s="90"/>
      <c r="K5" s="94" t="s">
        <v>126</v>
      </c>
      <c r="L5" s="94" t="s">
        <v>125</v>
      </c>
      <c r="M5" s="94" t="s">
        <v>124</v>
      </c>
      <c r="N5" s="94"/>
      <c r="O5" s="94"/>
      <c r="Q5" s="94"/>
      <c r="R5" s="94"/>
      <c r="T5" s="94"/>
      <c r="U5" s="94"/>
    </row>
    <row r="6" spans="1:21" x14ac:dyDescent="0.25">
      <c r="A6" s="87" t="s">
        <v>52</v>
      </c>
      <c r="B6" s="87"/>
      <c r="C6" s="87"/>
      <c r="D6" s="93">
        <v>-256</v>
      </c>
      <c r="E6" s="92">
        <v>53</v>
      </c>
      <c r="F6" s="92">
        <v>391</v>
      </c>
      <c r="G6" s="92"/>
      <c r="J6" s="81" t="s">
        <v>93</v>
      </c>
      <c r="K6" s="90"/>
      <c r="L6" s="90"/>
      <c r="M6" s="90"/>
      <c r="N6" s="90"/>
      <c r="O6" s="90"/>
      <c r="Q6" s="90"/>
      <c r="R6" s="90"/>
      <c r="T6" s="90"/>
      <c r="U6" s="90"/>
    </row>
    <row r="7" spans="1:21" x14ac:dyDescent="0.25">
      <c r="A7" s="87" t="s">
        <v>94</v>
      </c>
      <c r="B7" s="87"/>
      <c r="C7" s="87"/>
      <c r="D7" s="90"/>
      <c r="E7" s="90"/>
      <c r="F7" s="90"/>
      <c r="G7" s="90"/>
      <c r="H7" s="90"/>
      <c r="J7" t="s">
        <v>24</v>
      </c>
      <c r="K7" s="98">
        <v>235</v>
      </c>
      <c r="L7" s="98">
        <v>52</v>
      </c>
      <c r="M7" s="98">
        <v>142</v>
      </c>
      <c r="N7" s="98"/>
      <c r="Q7" s="98"/>
      <c r="T7" s="98"/>
    </row>
    <row r="8" spans="1:21" x14ac:dyDescent="0.25">
      <c r="A8" s="87" t="s">
        <v>95</v>
      </c>
      <c r="B8" s="87"/>
      <c r="C8" s="87"/>
      <c r="D8" s="96">
        <v>123</v>
      </c>
      <c r="E8" s="96">
        <v>146</v>
      </c>
      <c r="F8" s="96">
        <v>132</v>
      </c>
      <c r="G8" s="96"/>
      <c r="J8" t="s">
        <v>134</v>
      </c>
      <c r="K8" s="90"/>
      <c r="L8" s="90"/>
      <c r="M8" s="90"/>
      <c r="N8" s="90"/>
      <c r="O8" s="90"/>
      <c r="Q8" s="90"/>
      <c r="R8" s="90"/>
      <c r="T8" s="90"/>
      <c r="U8" s="90"/>
    </row>
    <row r="9" spans="1:21" x14ac:dyDescent="0.25">
      <c r="A9" s="87" t="s">
        <v>96</v>
      </c>
      <c r="B9" s="87"/>
      <c r="C9" s="87"/>
      <c r="D9" s="96">
        <v>22</v>
      </c>
      <c r="E9" s="96">
        <v>56</v>
      </c>
      <c r="F9" s="96">
        <v>25</v>
      </c>
      <c r="G9" s="96"/>
      <c r="J9" t="s">
        <v>95</v>
      </c>
      <c r="K9" s="99">
        <v>21</v>
      </c>
      <c r="L9" s="99">
        <v>62</v>
      </c>
      <c r="M9" s="99">
        <v>141</v>
      </c>
      <c r="N9" s="99"/>
      <c r="Q9" s="99"/>
      <c r="T9" s="99"/>
    </row>
    <row r="10" spans="1:21" x14ac:dyDescent="0.25">
      <c r="A10" s="87" t="s">
        <v>97</v>
      </c>
      <c r="B10" s="87"/>
      <c r="C10" s="87"/>
      <c r="D10" s="96">
        <v>150</v>
      </c>
      <c r="E10" s="96">
        <v>101</v>
      </c>
      <c r="F10" s="96">
        <v>150</v>
      </c>
      <c r="G10" s="96"/>
      <c r="J10" t="s">
        <v>96</v>
      </c>
      <c r="K10" s="99">
        <v>10</v>
      </c>
      <c r="L10" s="99">
        <v>16</v>
      </c>
      <c r="M10" s="99">
        <v>19</v>
      </c>
      <c r="N10" s="99"/>
      <c r="Q10" s="99"/>
      <c r="T10" s="99"/>
    </row>
    <row r="11" spans="1:21" x14ac:dyDescent="0.25">
      <c r="A11" s="87" t="s">
        <v>98</v>
      </c>
      <c r="B11" s="87"/>
      <c r="C11" s="87"/>
      <c r="D11" s="96">
        <v>36</v>
      </c>
      <c r="E11" s="96">
        <v>51</v>
      </c>
      <c r="F11" s="96">
        <v>39</v>
      </c>
      <c r="G11" s="96"/>
      <c r="J11" t="s">
        <v>97</v>
      </c>
      <c r="K11" s="99">
        <v>52</v>
      </c>
      <c r="L11" s="99">
        <v>68</v>
      </c>
      <c r="M11" s="99">
        <v>112</v>
      </c>
      <c r="N11" s="99"/>
      <c r="Q11" s="99"/>
      <c r="T11" s="99"/>
    </row>
    <row r="12" spans="1:21" x14ac:dyDescent="0.25">
      <c r="A12" s="87" t="s">
        <v>99</v>
      </c>
      <c r="B12" s="87"/>
      <c r="C12" s="87"/>
      <c r="D12" s="96">
        <v>100</v>
      </c>
      <c r="E12" s="96">
        <v>3</v>
      </c>
      <c r="F12" s="94" t="s">
        <v>60</v>
      </c>
      <c r="G12" s="94"/>
      <c r="J12" t="s">
        <v>98</v>
      </c>
      <c r="K12" s="99">
        <v>16</v>
      </c>
      <c r="L12" s="99">
        <v>29</v>
      </c>
      <c r="M12" s="99">
        <v>33</v>
      </c>
      <c r="N12" s="99"/>
      <c r="Q12" s="99"/>
      <c r="T12" s="99"/>
    </row>
    <row r="13" spans="1:21" x14ac:dyDescent="0.25">
      <c r="J13" t="s">
        <v>99</v>
      </c>
      <c r="K13" s="90" t="s">
        <v>60</v>
      </c>
      <c r="L13" s="90" t="s">
        <v>60</v>
      </c>
      <c r="M13" s="99">
        <v>99</v>
      </c>
      <c r="N13" s="99"/>
      <c r="Q13" s="90"/>
      <c r="T13" s="90"/>
    </row>
    <row r="14" spans="1:21" x14ac:dyDescent="0.25">
      <c r="A14" s="87" t="s">
        <v>100</v>
      </c>
      <c r="B14" s="87"/>
      <c r="C14" s="87"/>
      <c r="D14" s="95">
        <v>-4</v>
      </c>
      <c r="E14" s="94" t="s">
        <v>60</v>
      </c>
      <c r="F14" s="95">
        <v>-48</v>
      </c>
      <c r="G14" s="95"/>
      <c r="J14" t="s">
        <v>135</v>
      </c>
      <c r="K14" s="99">
        <v>2</v>
      </c>
      <c r="L14" s="99">
        <v>1</v>
      </c>
      <c r="M14" s="100">
        <v>-18</v>
      </c>
      <c r="N14" s="100"/>
      <c r="Q14" s="99"/>
      <c r="T14" s="99"/>
    </row>
    <row r="15" spans="1:21" x14ac:dyDescent="0.25">
      <c r="A15" s="87" t="s">
        <v>54</v>
      </c>
      <c r="B15" s="87"/>
      <c r="C15" s="87"/>
      <c r="D15" s="95">
        <v>-38</v>
      </c>
      <c r="E15" s="96">
        <v>34</v>
      </c>
      <c r="F15" s="96">
        <v>87</v>
      </c>
      <c r="G15" s="96"/>
      <c r="J15" t="s">
        <v>54</v>
      </c>
      <c r="K15" s="100">
        <v>-61</v>
      </c>
      <c r="L15" s="99">
        <v>54</v>
      </c>
      <c r="M15" s="99">
        <v>5</v>
      </c>
      <c r="N15" s="99"/>
      <c r="Q15" s="99"/>
      <c r="T15" s="100"/>
    </row>
    <row r="16" spans="1:21" x14ac:dyDescent="0.25">
      <c r="A16" s="87" t="s">
        <v>101</v>
      </c>
      <c r="B16" s="87"/>
      <c r="C16" s="87"/>
      <c r="D16" s="90"/>
      <c r="E16" s="90"/>
      <c r="F16" s="90"/>
      <c r="G16" s="90"/>
      <c r="H16" s="90"/>
      <c r="J16" t="s">
        <v>101</v>
      </c>
      <c r="K16" s="90"/>
      <c r="L16" s="90"/>
      <c r="M16" s="90"/>
      <c r="N16" s="90"/>
      <c r="O16" s="90"/>
      <c r="Q16" s="90"/>
      <c r="R16" s="90"/>
      <c r="T16" s="90"/>
      <c r="U16" s="90"/>
    </row>
    <row r="17" spans="1:21" x14ac:dyDescent="0.25">
      <c r="A17" s="87" t="s">
        <v>102</v>
      </c>
      <c r="B17" s="87"/>
      <c r="C17" s="87"/>
      <c r="D17" s="96">
        <v>21</v>
      </c>
      <c r="E17" s="94" t="s">
        <v>60</v>
      </c>
      <c r="F17" s="95">
        <v>-45</v>
      </c>
      <c r="G17" s="95"/>
      <c r="J17" t="s">
        <v>136</v>
      </c>
      <c r="K17" s="100">
        <v>-9</v>
      </c>
      <c r="L17" s="100">
        <v>-38</v>
      </c>
      <c r="M17" s="99">
        <v>69</v>
      </c>
      <c r="N17" s="99"/>
      <c r="Q17" s="100"/>
      <c r="T17" s="100"/>
    </row>
    <row r="18" spans="1:21" x14ac:dyDescent="0.25">
      <c r="A18" s="87" t="s">
        <v>103</v>
      </c>
      <c r="B18" s="87"/>
      <c r="C18" s="87"/>
      <c r="D18" s="95">
        <v>-377</v>
      </c>
      <c r="E18" s="95">
        <v>-750</v>
      </c>
      <c r="F18" s="95">
        <v>-980</v>
      </c>
      <c r="G18" s="95"/>
      <c r="J18" t="s">
        <v>103</v>
      </c>
      <c r="K18" s="100">
        <v>-466</v>
      </c>
      <c r="L18" s="100">
        <v>-630</v>
      </c>
      <c r="M18" s="100">
        <v>-817</v>
      </c>
      <c r="N18" s="100"/>
      <c r="Q18" s="100"/>
      <c r="T18" s="100"/>
    </row>
    <row r="19" spans="1:21" x14ac:dyDescent="0.25">
      <c r="A19" s="87" t="s">
        <v>104</v>
      </c>
      <c r="B19" s="87"/>
      <c r="C19" s="87"/>
      <c r="D19" s="96">
        <v>620</v>
      </c>
      <c r="E19" s="96">
        <v>686</v>
      </c>
      <c r="F19" s="96">
        <v>642</v>
      </c>
      <c r="G19" s="96"/>
      <c r="J19" t="s">
        <v>104</v>
      </c>
      <c r="K19" s="99">
        <v>270</v>
      </c>
      <c r="L19" s="99">
        <v>386</v>
      </c>
      <c r="M19" s="99">
        <v>493</v>
      </c>
      <c r="N19" s="99"/>
      <c r="Q19" s="99"/>
      <c r="T19" s="99"/>
    </row>
    <row r="20" spans="1:21" x14ac:dyDescent="0.25">
      <c r="A20" s="87" t="s">
        <v>105</v>
      </c>
      <c r="B20" s="87"/>
      <c r="C20" s="87"/>
      <c r="D20" s="96">
        <v>18</v>
      </c>
      <c r="E20" s="96">
        <v>61</v>
      </c>
      <c r="F20" s="96">
        <v>104</v>
      </c>
      <c r="G20" s="96"/>
      <c r="J20" t="s">
        <v>105</v>
      </c>
      <c r="K20" s="99">
        <v>45</v>
      </c>
      <c r="L20" s="99">
        <v>9</v>
      </c>
      <c r="M20" s="99">
        <v>65</v>
      </c>
      <c r="N20" s="99"/>
      <c r="Q20" s="99"/>
      <c r="T20" s="99"/>
    </row>
    <row r="21" spans="1:21" x14ac:dyDescent="0.25">
      <c r="A21" s="87" t="s">
        <v>106</v>
      </c>
      <c r="B21" s="87"/>
      <c r="C21" s="87"/>
      <c r="D21" s="96">
        <v>44</v>
      </c>
      <c r="E21" s="95">
        <v>-46</v>
      </c>
      <c r="F21" s="95">
        <v>-49</v>
      </c>
      <c r="G21" s="95"/>
      <c r="J21" t="s">
        <v>112</v>
      </c>
      <c r="K21" s="100">
        <v>-34</v>
      </c>
      <c r="L21" s="90" t="s">
        <v>60</v>
      </c>
      <c r="M21" s="100">
        <v>-20</v>
      </c>
      <c r="N21" s="100"/>
      <c r="Q21" s="90"/>
      <c r="T21" s="100"/>
    </row>
    <row r="22" spans="1:21" x14ac:dyDescent="0.25">
      <c r="A22" s="87" t="s">
        <v>107</v>
      </c>
      <c r="B22" s="87"/>
      <c r="C22" s="87"/>
      <c r="D22" s="95">
        <v>-146</v>
      </c>
      <c r="E22" s="96">
        <v>42</v>
      </c>
      <c r="F22" s="96">
        <v>112</v>
      </c>
      <c r="G22" s="96"/>
      <c r="J22" t="s">
        <v>106</v>
      </c>
      <c r="K22" s="100">
        <v>-21</v>
      </c>
      <c r="L22" s="99">
        <v>21</v>
      </c>
      <c r="M22" s="99">
        <v>24</v>
      </c>
      <c r="N22" s="99"/>
      <c r="Q22" s="99"/>
      <c r="T22" s="100"/>
    </row>
    <row r="23" spans="1:21" x14ac:dyDescent="0.25">
      <c r="A23" s="87" t="s">
        <v>65</v>
      </c>
      <c r="B23" s="87"/>
      <c r="C23" s="87"/>
      <c r="D23" s="96">
        <v>59</v>
      </c>
      <c r="E23" s="96">
        <v>88</v>
      </c>
      <c r="F23" s="95">
        <v>-9</v>
      </c>
      <c r="G23" s="95"/>
      <c r="J23" t="s">
        <v>107</v>
      </c>
      <c r="K23" s="99">
        <v>39</v>
      </c>
      <c r="L23" s="99">
        <v>21</v>
      </c>
      <c r="M23" s="99">
        <v>17</v>
      </c>
      <c r="N23" s="99"/>
      <c r="Q23" s="99"/>
      <c r="T23" s="99"/>
    </row>
    <row r="24" spans="1:21" x14ac:dyDescent="0.25">
      <c r="A24" s="87" t="s">
        <v>108</v>
      </c>
      <c r="B24" s="87"/>
      <c r="C24" s="87"/>
      <c r="D24" s="95">
        <v>-29</v>
      </c>
      <c r="E24" s="96">
        <v>35</v>
      </c>
      <c r="F24" s="96">
        <v>53</v>
      </c>
      <c r="G24" s="96"/>
      <c r="J24" t="s">
        <v>65</v>
      </c>
      <c r="K24" s="99">
        <v>9</v>
      </c>
      <c r="L24" s="99">
        <v>40</v>
      </c>
      <c r="M24" s="99">
        <v>10</v>
      </c>
      <c r="N24" s="99"/>
      <c r="Q24" s="99"/>
      <c r="T24" s="99"/>
    </row>
    <row r="25" spans="1:21" x14ac:dyDescent="0.25">
      <c r="A25" s="87" t="s">
        <v>109</v>
      </c>
      <c r="B25" s="87"/>
      <c r="C25" s="87"/>
      <c r="D25" s="96">
        <v>17</v>
      </c>
      <c r="E25" s="96">
        <v>22</v>
      </c>
      <c r="F25" s="96">
        <v>13</v>
      </c>
      <c r="G25" s="96"/>
      <c r="J25" t="s">
        <v>108</v>
      </c>
      <c r="K25" s="99">
        <v>16</v>
      </c>
      <c r="L25" s="100">
        <v>-8</v>
      </c>
      <c r="M25" s="100">
        <v>-25</v>
      </c>
      <c r="N25" s="100"/>
      <c r="Q25" s="100"/>
      <c r="T25" s="99"/>
    </row>
    <row r="26" spans="1:21" x14ac:dyDescent="0.25">
      <c r="A26" s="87" t="s">
        <v>110</v>
      </c>
      <c r="B26" s="87"/>
      <c r="C26" s="87"/>
      <c r="D26" s="94" t="s">
        <v>60</v>
      </c>
      <c r="E26" s="96">
        <v>27</v>
      </c>
      <c r="F26" s="95">
        <v>-38</v>
      </c>
      <c r="G26" s="95"/>
      <c r="J26" t="s">
        <v>109</v>
      </c>
      <c r="K26" s="99">
        <v>12</v>
      </c>
      <c r="L26" s="99">
        <v>10</v>
      </c>
      <c r="M26" s="99">
        <v>18</v>
      </c>
      <c r="N26" s="99"/>
      <c r="Q26" s="99"/>
      <c r="T26" s="99"/>
    </row>
    <row r="27" spans="1:21" x14ac:dyDescent="0.25">
      <c r="A27" s="87" t="s">
        <v>111</v>
      </c>
      <c r="B27" s="87"/>
      <c r="C27" s="87"/>
      <c r="D27" s="94" t="s">
        <v>60</v>
      </c>
      <c r="E27" s="95">
        <v>-168</v>
      </c>
      <c r="F27" s="95">
        <v>-48</v>
      </c>
      <c r="G27" s="95"/>
      <c r="J27" t="s">
        <v>110</v>
      </c>
      <c r="K27" s="90" t="s">
        <v>60</v>
      </c>
      <c r="L27" s="90" t="s">
        <v>60</v>
      </c>
      <c r="M27" s="99">
        <v>23</v>
      </c>
      <c r="N27" s="99"/>
      <c r="Q27" s="90"/>
      <c r="T27" s="90"/>
    </row>
    <row r="28" spans="1:21" x14ac:dyDescent="0.25">
      <c r="A28" s="87" t="s">
        <v>112</v>
      </c>
      <c r="B28" s="87"/>
      <c r="C28" s="87"/>
      <c r="D28" s="95">
        <v>-61</v>
      </c>
      <c r="E28" s="95">
        <v>-98</v>
      </c>
      <c r="F28" s="95">
        <v>-12</v>
      </c>
      <c r="G28" s="95"/>
      <c r="J28" t="s">
        <v>113</v>
      </c>
      <c r="K28" s="99">
        <v>6</v>
      </c>
      <c r="L28" s="99">
        <v>4</v>
      </c>
      <c r="M28" s="100">
        <v>-8</v>
      </c>
      <c r="N28" s="100"/>
      <c r="Q28" s="99"/>
      <c r="T28" s="99"/>
    </row>
    <row r="29" spans="1:21" x14ac:dyDescent="0.25">
      <c r="A29" s="87" t="s">
        <v>113</v>
      </c>
      <c r="B29" s="87"/>
      <c r="C29" s="87"/>
      <c r="D29" s="94" t="s">
        <v>60</v>
      </c>
      <c r="E29" s="94" t="s">
        <v>60</v>
      </c>
      <c r="F29" s="96">
        <v>3</v>
      </c>
      <c r="G29" s="96"/>
      <c r="J29" t="s">
        <v>137</v>
      </c>
      <c r="K29" s="99">
        <v>142</v>
      </c>
      <c r="L29" s="99">
        <v>97</v>
      </c>
      <c r="M29" s="99">
        <v>382</v>
      </c>
      <c r="N29" s="99"/>
      <c r="Q29" s="99"/>
      <c r="T29" s="99"/>
    </row>
    <row r="30" spans="1:21" x14ac:dyDescent="0.25">
      <c r="A30" s="87" t="s">
        <v>114</v>
      </c>
      <c r="B30" s="87"/>
      <c r="C30" s="87"/>
      <c r="D30" s="96">
        <v>299</v>
      </c>
      <c r="E30" s="96">
        <v>343</v>
      </c>
      <c r="F30" s="96">
        <v>522</v>
      </c>
      <c r="G30" s="96"/>
      <c r="J30" s="81" t="s">
        <v>115</v>
      </c>
      <c r="K30" s="90"/>
      <c r="L30" s="90"/>
      <c r="M30" s="90"/>
      <c r="N30" s="90"/>
      <c r="O30" s="90"/>
      <c r="Q30" s="90"/>
      <c r="R30" s="90"/>
      <c r="T30" s="90"/>
      <c r="U30" s="90"/>
    </row>
    <row r="31" spans="1:21" x14ac:dyDescent="0.25">
      <c r="A31" s="87" t="s">
        <v>115</v>
      </c>
      <c r="B31" s="87"/>
      <c r="C31" s="87"/>
      <c r="D31" s="90"/>
      <c r="E31" s="90"/>
      <c r="F31" s="90"/>
      <c r="G31" s="90"/>
      <c r="H31" s="90"/>
      <c r="J31" t="s">
        <v>116</v>
      </c>
      <c r="K31" s="90" t="s">
        <v>60</v>
      </c>
      <c r="L31" s="100">
        <v>-1393</v>
      </c>
      <c r="M31" s="90" t="s">
        <v>60</v>
      </c>
      <c r="N31" s="90"/>
      <c r="Q31" s="100"/>
      <c r="T31" s="90"/>
    </row>
    <row r="32" spans="1:21" x14ac:dyDescent="0.25">
      <c r="A32" s="87" t="s">
        <v>116</v>
      </c>
      <c r="B32" s="87"/>
      <c r="C32" s="87"/>
      <c r="D32" s="94" t="s">
        <v>60</v>
      </c>
      <c r="E32" s="95">
        <v>-157</v>
      </c>
      <c r="F32" s="94" t="s">
        <v>60</v>
      </c>
      <c r="G32" s="94"/>
      <c r="J32" t="s">
        <v>138</v>
      </c>
      <c r="K32" s="90" t="s">
        <v>60</v>
      </c>
      <c r="L32" s="99">
        <v>40</v>
      </c>
      <c r="M32" s="90" t="s">
        <v>60</v>
      </c>
      <c r="N32" s="90"/>
      <c r="Q32" s="99"/>
      <c r="T32" s="90"/>
    </row>
    <row r="33" spans="1:20" x14ac:dyDescent="0.25">
      <c r="A33" s="87" t="s">
        <v>117</v>
      </c>
      <c r="B33" s="87"/>
      <c r="C33" s="87"/>
      <c r="D33" s="94" t="s">
        <v>60</v>
      </c>
      <c r="E33" s="94" t="s">
        <v>60</v>
      </c>
      <c r="F33" s="96">
        <v>94</v>
      </c>
      <c r="G33" s="96"/>
      <c r="J33" t="s">
        <v>139</v>
      </c>
      <c r="K33" s="90" t="s">
        <v>60</v>
      </c>
      <c r="L33" s="90" t="s">
        <v>60</v>
      </c>
      <c r="M33" s="99">
        <v>38</v>
      </c>
      <c r="N33" s="99"/>
      <c r="Q33" s="90"/>
      <c r="T33" s="90"/>
    </row>
    <row r="34" spans="1:20" x14ac:dyDescent="0.25">
      <c r="J34" t="s">
        <v>118</v>
      </c>
      <c r="K34" s="100">
        <v>-26</v>
      </c>
      <c r="L34" s="100">
        <v>-40</v>
      </c>
      <c r="M34" s="100">
        <v>-46</v>
      </c>
      <c r="N34" s="100"/>
      <c r="Q34" s="100"/>
      <c r="T34" s="100"/>
    </row>
    <row r="35" spans="1:20" x14ac:dyDescent="0.25">
      <c r="J35" t="s">
        <v>121</v>
      </c>
      <c r="K35" s="100">
        <v>-12</v>
      </c>
      <c r="L35" s="100">
        <v>-14</v>
      </c>
      <c r="M35" s="100">
        <v>-6</v>
      </c>
      <c r="N35" s="100"/>
      <c r="Q35" s="100"/>
      <c r="T35" s="100"/>
    </row>
    <row r="36" spans="1:20" x14ac:dyDescent="0.25">
      <c r="A36" s="87" t="s">
        <v>118</v>
      </c>
      <c r="B36" s="87"/>
      <c r="C36" s="87"/>
      <c r="D36" s="95">
        <v>-41</v>
      </c>
      <c r="E36" s="95">
        <v>-47</v>
      </c>
      <c r="F36" s="95">
        <v>-65</v>
      </c>
      <c r="G36" s="95"/>
      <c r="J36" t="s">
        <v>122</v>
      </c>
      <c r="K36" s="90" t="s">
        <v>60</v>
      </c>
      <c r="L36" s="90" t="s">
        <v>60</v>
      </c>
      <c r="M36" s="99">
        <v>51</v>
      </c>
      <c r="N36" s="99"/>
      <c r="Q36" s="90"/>
      <c r="T36" s="90"/>
    </row>
    <row r="37" spans="1:20" x14ac:dyDescent="0.25">
      <c r="A37" s="87" t="s">
        <v>119</v>
      </c>
      <c r="B37" s="87"/>
      <c r="C37" s="87"/>
      <c r="D37" s="94" t="s">
        <v>60</v>
      </c>
      <c r="E37" s="94" t="s">
        <v>60</v>
      </c>
      <c r="F37" s="95">
        <v>-47</v>
      </c>
      <c r="G37" s="95"/>
      <c r="J37" t="s">
        <v>140</v>
      </c>
      <c r="K37" s="100">
        <v>-38</v>
      </c>
      <c r="L37" s="100">
        <v>-1407</v>
      </c>
      <c r="M37" s="99">
        <v>37</v>
      </c>
      <c r="N37" s="99"/>
      <c r="Q37" s="100"/>
      <c r="T37" s="100"/>
    </row>
    <row r="38" spans="1:20" x14ac:dyDescent="0.25">
      <c r="A38" s="87" t="s">
        <v>120</v>
      </c>
      <c r="B38" s="87"/>
      <c r="C38" s="87"/>
      <c r="D38" s="94" t="s">
        <v>60</v>
      </c>
      <c r="E38" s="94" t="s">
        <v>60</v>
      </c>
      <c r="F38" s="96">
        <v>47</v>
      </c>
      <c r="G38" s="96"/>
    </row>
    <row r="39" spans="1:20" x14ac:dyDescent="0.25">
      <c r="A39" s="87" t="s">
        <v>121</v>
      </c>
      <c r="B39" s="87"/>
      <c r="C39" s="87"/>
      <c r="D39" s="95">
        <v>-6</v>
      </c>
      <c r="E39" s="95">
        <v>-14</v>
      </c>
      <c r="F39" s="95">
        <v>-18</v>
      </c>
      <c r="G39" s="95"/>
    </row>
    <row r="40" spans="1:20" x14ac:dyDescent="0.25">
      <c r="A40" s="87" t="s">
        <v>122</v>
      </c>
      <c r="B40" s="87"/>
      <c r="C40" s="87"/>
      <c r="D40" s="96">
        <v>15</v>
      </c>
      <c r="E40" s="96">
        <v>3</v>
      </c>
      <c r="F40" s="96">
        <v>3</v>
      </c>
      <c r="G40" s="96"/>
    </row>
    <row r="41" spans="1:20" x14ac:dyDescent="0.25">
      <c r="A41" s="87" t="s">
        <v>113</v>
      </c>
      <c r="B41" s="87"/>
      <c r="C41" s="87"/>
      <c r="D41" s="94" t="s">
        <v>60</v>
      </c>
      <c r="E41" s="96">
        <v>2</v>
      </c>
      <c r="F41" s="96">
        <v>2</v>
      </c>
      <c r="G41" s="96"/>
    </row>
    <row r="44" spans="1:20" x14ac:dyDescent="0.25">
      <c r="A44" s="87" t="s">
        <v>123</v>
      </c>
      <c r="B44" s="87"/>
      <c r="C44" s="87"/>
      <c r="D44" s="95">
        <v>-32</v>
      </c>
      <c r="E44" s="95">
        <v>-213</v>
      </c>
      <c r="F44" s="96">
        <v>16</v>
      </c>
      <c r="G44" s="96"/>
    </row>
    <row r="45" spans="1:20" x14ac:dyDescent="0.25">
      <c r="D45" s="82"/>
    </row>
    <row r="46" spans="1:20" x14ac:dyDescent="0.25">
      <c r="D46" s="82"/>
    </row>
    <row r="47" spans="1:20" x14ac:dyDescent="0.25">
      <c r="D47" s="82"/>
    </row>
    <row r="49" spans="4:4" x14ac:dyDescent="0.25">
      <c r="D49" s="85"/>
    </row>
    <row r="50" spans="4:4" x14ac:dyDescent="0.25">
      <c r="D50" s="85"/>
    </row>
    <row r="52" spans="4:4" x14ac:dyDescent="0.25">
      <c r="D52" s="82"/>
    </row>
    <row r="53" spans="4:4" x14ac:dyDescent="0.25">
      <c r="D53" s="84"/>
    </row>
  </sheetData>
  <sortState xmlns:xlrd2="http://schemas.microsoft.com/office/spreadsheetml/2017/richdata2" columnSort="1" ref="K5:U37">
    <sortCondition ref="K5:U5"/>
  </sortState>
  <mergeCells count="39">
    <mergeCell ref="J1:O1"/>
    <mergeCell ref="J3:U3"/>
    <mergeCell ref="A30:C30"/>
    <mergeCell ref="A18:C18"/>
    <mergeCell ref="A44:C44"/>
    <mergeCell ref="A41:C41"/>
    <mergeCell ref="A40:C40"/>
    <mergeCell ref="A39:C39"/>
    <mergeCell ref="A38:C38"/>
    <mergeCell ref="A37:C37"/>
    <mergeCell ref="A36:C36"/>
    <mergeCell ref="A33:C33"/>
    <mergeCell ref="A32:C32"/>
    <mergeCell ref="A31:C31"/>
    <mergeCell ref="A29:C29"/>
    <mergeCell ref="A28:C28"/>
    <mergeCell ref="A27:C27"/>
    <mergeCell ref="A26:C26"/>
    <mergeCell ref="A25:C25"/>
    <mergeCell ref="A24:C24"/>
    <mergeCell ref="A22:C22"/>
    <mergeCell ref="A21:C21"/>
    <mergeCell ref="A20:C20"/>
    <mergeCell ref="A19:C19"/>
    <mergeCell ref="A23:C23"/>
    <mergeCell ref="A17:C17"/>
    <mergeCell ref="A16:C16"/>
    <mergeCell ref="A15:C15"/>
    <mergeCell ref="A14:C14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G14" sqref="G14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v>0.26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3.7600000000000001E-2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2.0099999999999998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'VAC DCF'!D66</f>
        <v>4707.1257126399996</v>
      </c>
      <c r="D12" s="2"/>
      <c r="E12" s="2" t="s">
        <v>33</v>
      </c>
      <c r="F12" s="2"/>
      <c r="G12" s="23">
        <f>'VAC DCF'!D63</f>
        <v>1835</v>
      </c>
      <c r="H12" s="2"/>
      <c r="I12" s="2" t="s">
        <v>45</v>
      </c>
      <c r="J12" s="2"/>
      <c r="K12" s="23">
        <f>G12+C12</f>
        <v>6542.1257126399996</v>
      </c>
      <c r="L12" s="2"/>
    </row>
    <row r="13" spans="1:12" x14ac:dyDescent="0.25">
      <c r="A13" s="2" t="s">
        <v>46</v>
      </c>
      <c r="B13" s="2"/>
      <c r="C13" s="45">
        <f>C12/K12</f>
        <v>0.71951012857264296</v>
      </c>
      <c r="D13" s="2"/>
      <c r="E13" s="2" t="s">
        <v>47</v>
      </c>
      <c r="F13" s="2"/>
      <c r="G13" s="46">
        <f>G12/K12</f>
        <v>0.28048987142735704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0.15819999999999998</v>
      </c>
      <c r="D14" s="2"/>
      <c r="E14" s="2" t="s">
        <v>49</v>
      </c>
      <c r="F14" s="2"/>
      <c r="G14" s="46">
        <v>0.09</v>
      </c>
      <c r="H14" s="2"/>
      <c r="I14" s="48" t="s">
        <v>1</v>
      </c>
      <c r="J14" s="49"/>
      <c r="K14" s="50">
        <f>C13*C14+G14*G13*(1-D6)</f>
        <v>0.1325071277772541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VAC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2023-07-30T13:33:11Z</dcterms:modified>
</cp:coreProperties>
</file>