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84EE0ED0-C910-418E-9C81-654A5997991D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MSFT DCF" sheetId="1" r:id="rId1"/>
    <sheet name="Sheet1" sheetId="3" r:id="rId2"/>
    <sheet name="WACC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" l="1"/>
  <c r="K48" i="1"/>
  <c r="L48" i="1"/>
  <c r="M48" i="1"/>
  <c r="N48" i="1"/>
  <c r="O48" i="1"/>
  <c r="P48" i="1"/>
  <c r="Q48" i="1"/>
  <c r="R48" i="1"/>
  <c r="S48" i="1"/>
  <c r="J48" i="1"/>
  <c r="K45" i="1"/>
  <c r="L45" i="1"/>
  <c r="M45" i="1"/>
  <c r="N45" i="1"/>
  <c r="O45" i="1"/>
  <c r="P45" i="1"/>
  <c r="Q45" i="1"/>
  <c r="R45" i="1"/>
  <c r="S45" i="1"/>
  <c r="J45" i="1"/>
  <c r="J38" i="1"/>
  <c r="K38" i="1"/>
  <c r="K39" i="1" s="1"/>
  <c r="L38" i="1"/>
  <c r="M38" i="1"/>
  <c r="N38" i="1"/>
  <c r="O38" i="1"/>
  <c r="P38" i="1"/>
  <c r="Q38" i="1"/>
  <c r="R38" i="1"/>
  <c r="S38" i="1"/>
  <c r="J16" i="1"/>
  <c r="K11" i="1"/>
  <c r="L11" i="1"/>
  <c r="M11" i="1" s="1"/>
  <c r="J11" i="1"/>
  <c r="J25" i="1" s="1"/>
  <c r="M67" i="1"/>
  <c r="M63" i="1"/>
  <c r="M64" i="1"/>
  <c r="M66" i="1"/>
  <c r="K25" i="1"/>
  <c r="K22" i="1"/>
  <c r="L22" i="1"/>
  <c r="J22" i="1"/>
  <c r="K19" i="1"/>
  <c r="K31" i="1" s="1"/>
  <c r="L19" i="1"/>
  <c r="J19" i="1"/>
  <c r="J31" i="1" s="1"/>
  <c r="D64" i="1"/>
  <c r="G12" i="2" s="1"/>
  <c r="D63" i="1"/>
  <c r="J39" i="1"/>
  <c r="S41" i="1"/>
  <c r="I39" i="1"/>
  <c r="I38" i="1"/>
  <c r="I46" i="1"/>
  <c r="I49" i="1"/>
  <c r="C54" i="1"/>
  <c r="D54" i="1"/>
  <c r="E54" i="1"/>
  <c r="F54" i="1"/>
  <c r="G54" i="1"/>
  <c r="H54" i="1"/>
  <c r="I54" i="1"/>
  <c r="I57" i="1" s="1"/>
  <c r="I52" i="1"/>
  <c r="I51" i="1"/>
  <c r="I42" i="1"/>
  <c r="I34" i="1"/>
  <c r="I32" i="1"/>
  <c r="I31" i="1"/>
  <c r="I20" i="1"/>
  <c r="I23" i="1"/>
  <c r="I26" i="1"/>
  <c r="I29" i="1"/>
  <c r="I17" i="1"/>
  <c r="I16" i="1"/>
  <c r="I12" i="1"/>
  <c r="H57" i="1"/>
  <c r="D6" i="2"/>
  <c r="H55" i="1"/>
  <c r="C55" i="1"/>
  <c r="D55" i="1"/>
  <c r="E55" i="1"/>
  <c r="F55" i="1"/>
  <c r="G55" i="1"/>
  <c r="N10" i="3"/>
  <c r="M10" i="3"/>
  <c r="L10" i="3"/>
  <c r="C25" i="1"/>
  <c r="C31" i="1" s="1"/>
  <c r="H31" i="1"/>
  <c r="D31" i="1"/>
  <c r="E31" i="1"/>
  <c r="F31" i="1"/>
  <c r="G31" i="1"/>
  <c r="H32" i="1"/>
  <c r="D67" i="1"/>
  <c r="C12" i="2" s="1"/>
  <c r="M22" i="1" l="1"/>
  <c r="M19" i="1"/>
  <c r="M31" i="1" s="1"/>
  <c r="M39" i="1"/>
  <c r="N11" i="1"/>
  <c r="M25" i="1"/>
  <c r="L39" i="1"/>
  <c r="L25" i="1"/>
  <c r="L31" i="1" s="1"/>
  <c r="S54" i="1"/>
  <c r="D29" i="1"/>
  <c r="E29" i="1"/>
  <c r="F29" i="1"/>
  <c r="G29" i="1"/>
  <c r="H29" i="1"/>
  <c r="C29" i="1"/>
  <c r="E26" i="1"/>
  <c r="G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F49" i="1"/>
  <c r="G49" i="1"/>
  <c r="H49" i="1"/>
  <c r="E49" i="1"/>
  <c r="D49" i="1"/>
  <c r="C49" i="1"/>
  <c r="D46" i="1"/>
  <c r="C46" i="1"/>
  <c r="F46" i="1"/>
  <c r="H46" i="1"/>
  <c r="F32" i="1"/>
  <c r="D32" i="1"/>
  <c r="D26" i="1"/>
  <c r="G52" i="1"/>
  <c r="H52" i="1"/>
  <c r="G46" i="1"/>
  <c r="F26" i="1"/>
  <c r="H26" i="1"/>
  <c r="G16" i="1"/>
  <c r="F16" i="1"/>
  <c r="F34" i="1" s="1"/>
  <c r="F36" i="1" s="1"/>
  <c r="H16" i="1"/>
  <c r="E52" i="1"/>
  <c r="D52" i="1"/>
  <c r="C52" i="1"/>
  <c r="E46" i="1"/>
  <c r="D44" i="1"/>
  <c r="E44" i="1" s="1"/>
  <c r="E16" i="1"/>
  <c r="D16" i="1"/>
  <c r="D34" i="1" s="1"/>
  <c r="C16" i="1"/>
  <c r="C34" i="1" s="1"/>
  <c r="H12" i="1"/>
  <c r="G12" i="1"/>
  <c r="F12" i="1"/>
  <c r="E12" i="1"/>
  <c r="D12" i="1"/>
  <c r="K9" i="1"/>
  <c r="L9" i="1" s="1"/>
  <c r="M9" i="1" s="1"/>
  <c r="N9" i="1" s="1"/>
  <c r="O9" i="1" s="1"/>
  <c r="P9" i="1" s="1"/>
  <c r="Q9" i="1" s="1"/>
  <c r="R9" i="1" s="1"/>
  <c r="S9" i="1" s="1"/>
  <c r="O11" i="1" l="1"/>
  <c r="N25" i="1"/>
  <c r="N22" i="1"/>
  <c r="N19" i="1"/>
  <c r="N31" i="1" s="1"/>
  <c r="N39" i="1"/>
  <c r="C36" i="1"/>
  <c r="H34" i="1"/>
  <c r="H36" i="1" s="1"/>
  <c r="D36" i="1"/>
  <c r="E17" i="1"/>
  <c r="E34" i="1"/>
  <c r="G17" i="1"/>
  <c r="G34" i="1"/>
  <c r="F38" i="1"/>
  <c r="C17" i="1"/>
  <c r="F52" i="1"/>
  <c r="K12" i="2"/>
  <c r="D17" i="1"/>
  <c r="H17" i="1"/>
  <c r="F17" i="1"/>
  <c r="C32" i="1"/>
  <c r="E32" i="1"/>
  <c r="G32" i="1"/>
  <c r="O22" i="1" l="1"/>
  <c r="O19" i="1"/>
  <c r="P11" i="1"/>
  <c r="O25" i="1"/>
  <c r="O39" i="1"/>
  <c r="I36" i="1"/>
  <c r="I55" i="1" s="1"/>
  <c r="G36" i="1"/>
  <c r="E36" i="1"/>
  <c r="F42" i="1"/>
  <c r="D38" i="1"/>
  <c r="H38" i="1"/>
  <c r="H42" i="1" s="1"/>
  <c r="C13" i="2"/>
  <c r="G13" i="2"/>
  <c r="G38" i="1"/>
  <c r="E38" i="1"/>
  <c r="E42" i="1" s="1"/>
  <c r="C38" i="1"/>
  <c r="C42" i="1" s="1"/>
  <c r="O31" i="1" l="1"/>
  <c r="Q11" i="1"/>
  <c r="P25" i="1"/>
  <c r="P39" i="1"/>
  <c r="P22" i="1"/>
  <c r="P19" i="1"/>
  <c r="P31" i="1" s="1"/>
  <c r="D57" i="1"/>
  <c r="D42" i="1"/>
  <c r="G57" i="1"/>
  <c r="G42" i="1"/>
  <c r="D39" i="1"/>
  <c r="E57" i="1"/>
  <c r="C57" i="1"/>
  <c r="F57" i="1"/>
  <c r="F39" i="1"/>
  <c r="H39" i="1"/>
  <c r="K14" i="2"/>
  <c r="E5" i="1" s="1"/>
  <c r="G39" i="1"/>
  <c r="C39" i="1"/>
  <c r="E39" i="1"/>
  <c r="Q22" i="1" l="1"/>
  <c r="Q19" i="1"/>
  <c r="Q31" i="1" s="1"/>
  <c r="Q39" i="1"/>
  <c r="R11" i="1"/>
  <c r="Q25" i="1"/>
  <c r="S11" i="1" l="1"/>
  <c r="R25" i="1"/>
  <c r="R22" i="1"/>
  <c r="R19" i="1"/>
  <c r="R31" i="1" s="1"/>
  <c r="R39" i="1"/>
  <c r="S22" i="1" l="1"/>
  <c r="S19" i="1"/>
  <c r="S31" i="1" s="1"/>
  <c r="S32" i="1" s="1"/>
  <c r="S51" i="1"/>
  <c r="S57" i="1" s="1"/>
  <c r="S16" i="1"/>
  <c r="S34" i="1" s="1"/>
  <c r="S25" i="1"/>
  <c r="S39" i="1"/>
  <c r="J41" i="1"/>
  <c r="J54" i="1"/>
  <c r="J51" i="1"/>
  <c r="J32" i="1"/>
  <c r="S14" i="1" l="1"/>
  <c r="C60" i="1"/>
  <c r="C61" i="1" s="1"/>
  <c r="S58" i="1"/>
  <c r="J14" i="1"/>
  <c r="J34" i="1"/>
  <c r="J57" i="1"/>
  <c r="J58" i="1" s="1"/>
  <c r="K16" i="1"/>
  <c r="K34" i="1" s="1"/>
  <c r="K14" i="1"/>
  <c r="K51" i="1"/>
  <c r="K41" i="1"/>
  <c r="K54" i="1" s="1"/>
  <c r="K57" i="1" l="1"/>
  <c r="K58" i="1" s="1"/>
  <c r="K32" i="1"/>
  <c r="L32" i="1"/>
  <c r="L16" i="1"/>
  <c r="L34" i="1" s="1"/>
  <c r="L41" i="1"/>
  <c r="L54" i="1" s="1"/>
  <c r="L51" i="1"/>
  <c r="L14" i="1"/>
  <c r="M32" i="1"/>
  <c r="M16" i="1"/>
  <c r="M34" i="1" s="1"/>
  <c r="M51" i="1"/>
  <c r="M41" i="1"/>
  <c r="M54" i="1" s="1"/>
  <c r="M57" i="1" l="1"/>
  <c r="M58" i="1" s="1"/>
  <c r="L57" i="1"/>
  <c r="L58" i="1" s="1"/>
  <c r="M14" i="1"/>
  <c r="N16" i="1"/>
  <c r="N34" i="1" s="1"/>
  <c r="N51" i="1"/>
  <c r="N32" i="1"/>
  <c r="N41" i="1" l="1"/>
  <c r="N54" i="1" s="1"/>
  <c r="N57" i="1" s="1"/>
  <c r="N58" i="1" s="1"/>
  <c r="N14" i="1"/>
  <c r="O16" i="1"/>
  <c r="O34" i="1" s="1"/>
  <c r="O51" i="1"/>
  <c r="O14" i="1"/>
  <c r="O32" i="1" l="1"/>
  <c r="O41" i="1"/>
  <c r="O54" i="1" l="1"/>
  <c r="O57" i="1" s="1"/>
  <c r="O58" i="1" s="1"/>
  <c r="P51" i="1"/>
  <c r="P32" i="1"/>
  <c r="P41" i="1"/>
  <c r="P16" i="1"/>
  <c r="P34" i="1" s="1"/>
  <c r="P14" i="1" l="1"/>
  <c r="P54" i="1"/>
  <c r="P57" i="1" s="1"/>
  <c r="P58" i="1" s="1"/>
  <c r="Q16" i="1"/>
  <c r="Q34" i="1" s="1"/>
  <c r="Q41" i="1"/>
  <c r="Q54" i="1" s="1"/>
  <c r="Q14" i="1"/>
  <c r="Q51" i="1"/>
  <c r="Q32" i="1"/>
  <c r="Q57" i="1" l="1"/>
  <c r="Q58" i="1" s="1"/>
  <c r="R41" i="1"/>
  <c r="R54" i="1" s="1"/>
  <c r="R51" i="1"/>
  <c r="R32" i="1"/>
  <c r="R16" i="1"/>
  <c r="R14" i="1" l="1"/>
  <c r="R34" i="1"/>
  <c r="R57" i="1"/>
  <c r="R58" i="1" s="1"/>
  <c r="H63" i="1" s="1"/>
  <c r="H65" i="1" s="1"/>
  <c r="H68" i="1" l="1"/>
  <c r="P28" i="1"/>
  <c r="P36" i="1" s="1"/>
  <c r="P55" i="1" s="1"/>
  <c r="K28" i="1"/>
  <c r="K36" i="1" s="1"/>
  <c r="K55" i="1" s="1"/>
  <c r="M28" i="1"/>
  <c r="M36" i="1"/>
  <c r="M55" i="1" s="1"/>
  <c r="Q28" i="1"/>
  <c r="Q36" i="1" s="1"/>
  <c r="Q55" i="1" s="1"/>
  <c r="R28" i="1"/>
  <c r="R36" i="1" s="1"/>
  <c r="R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I55" i="1" s="1"/>
  <c r="S28" i="1"/>
  <c r="S36" i="1" s="1"/>
  <c r="S55" i="1" s="1"/>
  <c r="L28" i="1"/>
  <c r="L36" i="1" s="1"/>
  <c r="L55" i="1" s="1"/>
  <c r="N28" i="1"/>
  <c r="N36" i="1" s="1"/>
  <c r="N55" i="1" s="1"/>
  <c r="O28" i="1"/>
  <c r="O36" i="1" s="1"/>
  <c r="O55" i="1" s="1"/>
  <c r="J28" i="1"/>
  <c r="J36" i="1" s="1"/>
  <c r="J55" i="1" s="1"/>
  <c r="F60" i="1" l="1"/>
  <c r="I63" i="1" s="1"/>
  <c r="I65" i="1" s="1"/>
  <c r="I68" i="1" s="1"/>
  <c r="D68" i="1" s="1"/>
  <c r="M62" i="1" s="1"/>
  <c r="J6" i="1" l="1"/>
  <c r="N5" i="1" s="1"/>
</calcChain>
</file>

<file path=xl/sharedStrings.xml><?xml version="1.0" encoding="utf-8"?>
<sst xmlns="http://schemas.openxmlformats.org/spreadsheetml/2006/main" count="157" uniqueCount="122">
  <si>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</si>
  <si>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</si>
  <si>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</si>
  <si>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</si>
  <si>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</si>
  <si>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</si>
  <si>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</si>
  <si>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</si>
  <si>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</si>
  <si>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</si>
  <si>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</si>
  <si>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</si>
  <si>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</si>
  <si>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</si>
  <si>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</si>
  <si>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</si>
  <si>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</si>
  <si>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</si>
  <si>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</si>
  <si>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</si>
  <si>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</si>
  <si>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</si>
  <si>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</si>
  <si>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</si>
  <si>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</si>
  <si>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</si>
  <si>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</si>
  <si>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</si>
  <si>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</si>
  <si>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</si>
  <si>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</si>
  <si>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</si>
  <si>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</si>
  <si>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</si>
  <si>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</si>
  <si>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</si>
  <si>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</si>
  <si>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</si>
  <si>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</si>
  <si>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</si>
  <si>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</si>
  <si>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</si>
  <si>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</si>
  <si>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</si>
  <si>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</si>
  <si>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</si>
  <si>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</si>
  <si>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</si>
  <si>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</si>
  <si>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</si>
  <si>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</si>
  <si>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</si>
  <si>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</si>
  <si>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</si>
  <si>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Year Ended June 30,</t>
  </si>
  <si>
    <t>Revenue:</t>
  </si>
  <si>
    <t>Product</t>
  </si>
  <si>
    <t>Service and other</t>
  </si>
  <si>
    <t>Total revenue</t>
  </si>
  <si>
    <t>Cost of revenue:</t>
  </si>
  <si>
    <t>Total cost of revenue</t>
  </si>
  <si>
    <t>Gross margin</t>
  </si>
  <si>
    <t>Research and development</t>
  </si>
  <si>
    <t>Sales and marketing</t>
  </si>
  <si>
    <t>General and administrative</t>
  </si>
  <si>
    <t>Other income, net</t>
  </si>
  <si>
    <t>Income before income taxes</t>
  </si>
  <si>
    <t>Provision for income taxes</t>
  </si>
  <si>
    <t>Earnings per share:</t>
  </si>
  <si>
    <t>Basic</t>
  </si>
  <si>
    <t>Diluted</t>
  </si>
  <si>
    <t>Weighted average shares outstanding:</t>
  </si>
  <si>
    <t>S&amp;M</t>
  </si>
  <si>
    <t>G&amp;A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</si>
  <si>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</si>
  <si>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</si>
  <si>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</si>
  <si>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</si>
  <si>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gains on investments and derivatives</t>
  </si>
  <si>
    <t>Deferred income taxes</t>
  </si>
  <si>
    <t>Changes in operating assets and liabilities:</t>
  </si>
  <si>
    <t>Accounts receivable</t>
  </si>
  <si>
    <t>Inventories</t>
  </si>
  <si>
    <t>Other current assets</t>
  </si>
  <si>
    <t>Other long-term assets</t>
  </si>
  <si>
    <t>Accounts payable</t>
  </si>
  <si>
    <t>Unearned revenue</t>
  </si>
  <si>
    <t>Income taxes</t>
  </si>
  <si>
    <t>Other current liabilities</t>
  </si>
  <si>
    <t>Other long-term liabilities</t>
  </si>
  <si>
    <t>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</si>
  <si>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</si>
  <si>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</si>
  <si>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</si>
  <si>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</si>
  <si>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</si>
  <si>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</si>
  <si>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>Investing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</si>
  <si>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</si>
  <si>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</si>
  <si>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</si>
  <si>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</si>
  <si>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</si>
  <si>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</si>
  <si>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</si>
  <si>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</si>
  <si>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</si>
  <si>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</si>
  <si>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(In millions, except per share amounts)</t>
  </si>
  <si>
    <t>Restructuring</t>
  </si>
  <si>
    <t>$39,240</t>
  </si>
  <si>
    <t>$16,571</t>
  </si>
  <si>
    <t>$25,489</t>
  </si>
  <si>
    <t>(In millions)</t>
  </si>
  <si>
    <t>Repayments of short-term debt, maturities of 90 days or less, net</t>
  </si>
  <si>
    <t>Proceeds from issuance of debt</t>
  </si>
  <si>
    <t>Net cash from (used in) financing</t>
  </si>
  <si>
    <t>Securities lending payable</t>
  </si>
  <si>
    <t>$11,356</t>
  </si>
  <si>
    <t>$11,946</t>
  </si>
  <si>
    <t>$7,663</t>
  </si>
  <si>
    <t>Microsoft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</si>
</sst>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6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4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7" xfId="0" applyFont="1" applyFill="1" applyBorder="1"/>
    <xf numFmtId="0" fontId="0" fillId="2" borderId="8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3" xfId="0" applyFont="1" applyFill="1" applyBorder="1"/>
    <xf numFmtId="1" fontId="3" fillId="2" borderId="10" xfId="0" applyNumberFormat="1" applyFont="1" applyFill="1" applyBorder="1"/>
    <xf numFmtId="3" fontId="3" fillId="2" borderId="3" xfId="0" applyNumberFormat="1" applyFont="1" applyFill="1" applyBorder="1"/>
    <xf numFmtId="0" fontId="6" fillId="3" borderId="3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9" xfId="0" applyNumberFormat="1" applyFont="1" applyFill="1" applyBorder="1"/>
    <xf numFmtId="3" fontId="3" fillId="2" borderId="0" xfId="0" applyNumberFormat="1" applyFont="1" applyFill="1" applyBorder="1"/>
    <xf numFmtId="0" fontId="6" fillId="4" borderId="0" xfId="0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6" fillId="3" borderId="0" xfId="0" applyFont="1" applyFill="1" applyBorder="1"/>
    <xf numFmtId="0" fontId="0" fillId="0" borderId="3" xfId="0" applyBorder="1"/>
    <xf numFmtId="0" fontId="3" fillId="2" borderId="11" xfId="0" applyFont="1" applyFill="1" applyBorder="1"/>
    <xf numFmtId="164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1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3" fontId="3" fillId="2" borderId="1" xfId="0" applyNumberFormat="1" applyFont="1" applyFill="1" applyBorder="1"/>
    <xf numFmtId="0" fontId="7" fillId="5" borderId="0" xfId="0" applyFont="1" applyFill="1"/>
    <xf numFmtId="164" fontId="7" fillId="5" borderId="0" xfId="1" applyNumberFormat="1" applyFont="1" applyFill="1"/>
    <xf numFmtId="164" fontId="7" fillId="5" borderId="0" xfId="1" applyNumberFormat="1" applyFont="1" applyFill="1" applyBorder="1"/>
    <xf numFmtId="164" fontId="7" fillId="5" borderId="3" xfId="1" applyNumberFormat="1" applyFont="1" applyFill="1" applyBorder="1"/>
    <xf numFmtId="0" fontId="10" fillId="5" borderId="0" xfId="0" applyFont="1" applyFill="1"/>
    <xf numFmtId="164" fontId="10" fillId="5" borderId="0" xfId="1" applyNumberFormat="1" applyFont="1" applyFill="1"/>
    <xf numFmtId="164" fontId="10" fillId="5" borderId="0" xfId="1" applyNumberFormat="1" applyFont="1" applyFill="1" applyBorder="1"/>
    <xf numFmtId="164" fontId="10" fillId="5" borderId="3" xfId="0" applyNumberFormat="1" applyFont="1" applyFill="1" applyBorder="1"/>
    <xf numFmtId="164" fontId="10" fillId="5" borderId="0" xfId="0" applyNumberFormat="1" applyFont="1" applyFill="1" applyBorder="1"/>
    <xf numFmtId="9" fontId="10" fillId="5" borderId="0" xfId="0" applyNumberFormat="1" applyFont="1" applyFill="1" applyBorder="1"/>
    <xf numFmtId="164" fontId="10" fillId="5" borderId="3" xfId="1" applyNumberFormat="1" applyFont="1" applyFill="1" applyBorder="1"/>
    <xf numFmtId="164" fontId="3" fillId="5" borderId="3" xfId="0" applyNumberFormat="1" applyFont="1" applyFill="1" applyBorder="1"/>
    <xf numFmtId="164" fontId="3" fillId="5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I69"/>
  <sheetViews>
    <sheetView tabSelected="1" topLeftCell="A52" workbookViewId="0">
      <selection activeCell="K62" sqref="K62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9" width="9.140625" style="2"/>
    <col min="20" max="16384" width="9.140625" style="50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8"/>
      <c r="S2" s="38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8.91035178163673E-2</v>
      </c>
      <c r="G5" s="1"/>
      <c r="H5" s="1" t="s">
        <v>2</v>
      </c>
      <c r="I5" s="1"/>
      <c r="J5" s="7">
        <v>338.37</v>
      </c>
      <c r="K5" s="1"/>
      <c r="L5" s="1" t="s">
        <v>3</v>
      </c>
      <c r="M5" s="1"/>
      <c r="N5" s="64">
        <f>(J6/J5)-1</f>
        <v>-7.6523125482220178E-2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D68</f>
        <v>312.47687003058115</v>
      </c>
      <c r="K6" s="1"/>
      <c r="L6" s="1" t="s">
        <v>53</v>
      </c>
      <c r="M6" s="1"/>
      <c r="N6" s="63">
        <v>45138</v>
      </c>
      <c r="O6" s="1"/>
      <c r="P6" s="1"/>
      <c r="Q6" s="1"/>
    </row>
    <row r="7" spans="1:86" x14ac:dyDescent="0.25">
      <c r="B7" s="63"/>
      <c r="C7" s="1"/>
      <c r="D7" s="1"/>
      <c r="E7" s="9"/>
      <c r="F7" s="1"/>
      <c r="G7" s="1"/>
      <c r="H7" s="1"/>
      <c r="I7" s="1"/>
      <c r="J7" s="1"/>
      <c r="K7" s="1"/>
      <c r="L7" s="54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6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J9" s="1">
        <v>1</v>
      </c>
      <c r="K9" s="1">
        <f>J9+1</f>
        <v>2</v>
      </c>
      <c r="L9" s="1">
        <f t="shared" ref="L9:S9" si="0">K9+1</f>
        <v>3</v>
      </c>
      <c r="M9" s="1">
        <f t="shared" si="0"/>
        <v>4</v>
      </c>
      <c r="N9" s="1">
        <f t="shared" si="0"/>
        <v>5</v>
      </c>
      <c r="O9" s="1">
        <f t="shared" si="0"/>
        <v>6</v>
      </c>
      <c r="P9" s="1">
        <f t="shared" si="0"/>
        <v>7</v>
      </c>
      <c r="Q9" s="1">
        <f t="shared" si="0"/>
        <v>8</v>
      </c>
      <c r="R9" s="1">
        <f t="shared" si="0"/>
        <v>9</v>
      </c>
      <c r="S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7">
        <v>2023</v>
      </c>
      <c r="J10" s="59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1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96571</v>
      </c>
      <c r="D11" s="12">
        <v>110360</v>
      </c>
      <c r="E11" s="12">
        <v>125843</v>
      </c>
      <c r="F11" s="12">
        <v>143015</v>
      </c>
      <c r="G11" s="12">
        <v>168088</v>
      </c>
      <c r="H11" s="12">
        <v>198270</v>
      </c>
      <c r="I11" s="68">
        <v>211915</v>
      </c>
      <c r="J11" s="20">
        <f>I11*(1+J12)</f>
        <v>235239.99999999997</v>
      </c>
      <c r="K11" s="68">
        <f t="shared" ref="K11:S11" si="1">J11*(1+K12)</f>
        <v>266720</v>
      </c>
      <c r="L11" s="68">
        <f t="shared" si="1"/>
        <v>304370</v>
      </c>
      <c r="M11" s="68">
        <f t="shared" si="1"/>
        <v>339210</v>
      </c>
      <c r="N11" s="68">
        <f t="shared" si="1"/>
        <v>386870</v>
      </c>
      <c r="O11" s="68">
        <f t="shared" si="1"/>
        <v>403180</v>
      </c>
      <c r="P11" s="68">
        <f t="shared" si="1"/>
        <v>446559.99999999994</v>
      </c>
      <c r="Q11" s="68">
        <f t="shared" si="1"/>
        <v>491740</v>
      </c>
      <c r="R11" s="68">
        <f t="shared" si="1"/>
        <v>538400</v>
      </c>
      <c r="S11" s="68">
        <f t="shared" si="1"/>
        <v>534050</v>
      </c>
    </row>
    <row r="12" spans="1:86" x14ac:dyDescent="0.25">
      <c r="A12" s="1"/>
      <c r="B12" s="80" t="s">
        <v>8</v>
      </c>
      <c r="C12" s="81"/>
      <c r="D12" s="81">
        <f>(D11/C11)-1</f>
        <v>0.14278613662486661</v>
      </c>
      <c r="E12" s="81">
        <f t="shared" ref="E12:H12" si="2">(E11/D11)-1</f>
        <v>0.14029539688292858</v>
      </c>
      <c r="F12" s="81">
        <f t="shared" si="2"/>
        <v>0.13645574247276371</v>
      </c>
      <c r="G12" s="81">
        <f t="shared" si="2"/>
        <v>0.17531727441177503</v>
      </c>
      <c r="H12" s="81">
        <f t="shared" si="2"/>
        <v>0.17956070629670173</v>
      </c>
      <c r="I12" s="82">
        <f t="shared" ref="I12" si="3">(I11/H11)-1</f>
        <v>6.8820295556564215E-2</v>
      </c>
      <c r="J12" s="83">
        <v>0.11006771582945984</v>
      </c>
      <c r="K12" s="82">
        <v>0.13382077877911924</v>
      </c>
      <c r="L12" s="82">
        <v>0.1411592681463707</v>
      </c>
      <c r="M12" s="82">
        <v>0.11446594605250193</v>
      </c>
      <c r="N12" s="82">
        <v>0.14050293328616492</v>
      </c>
      <c r="O12" s="82">
        <v>4.2158864734923807E-2</v>
      </c>
      <c r="P12" s="82">
        <v>0.10759462274914422</v>
      </c>
      <c r="Q12" s="82">
        <v>0.10117341454675755</v>
      </c>
      <c r="R12" s="82">
        <v>9.4887542197096053E-2</v>
      </c>
      <c r="S12" s="82">
        <v>-8.0794947994056177E-3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69"/>
      <c r="J13" s="13"/>
      <c r="K13" s="69"/>
      <c r="L13" s="69"/>
      <c r="M13" s="69"/>
      <c r="N13" s="69"/>
      <c r="O13" s="69"/>
      <c r="P13" s="69"/>
      <c r="Q13" s="69"/>
      <c r="R13" s="70"/>
      <c r="S13" s="70"/>
    </row>
    <row r="14" spans="1:86" x14ac:dyDescent="0.25">
      <c r="A14" s="1"/>
      <c r="B14" s="1" t="s">
        <v>9</v>
      </c>
      <c r="C14" s="12">
        <v>34261</v>
      </c>
      <c r="D14" s="12">
        <v>38353</v>
      </c>
      <c r="E14" s="12">
        <v>42910</v>
      </c>
      <c r="F14" s="12">
        <v>46078</v>
      </c>
      <c r="G14" s="12">
        <v>52232</v>
      </c>
      <c r="H14" s="79">
        <v>62650</v>
      </c>
      <c r="I14" s="58">
        <v>65863</v>
      </c>
      <c r="J14" s="60">
        <f t="shared" ref="J14:K14" si="4">J11-J16</f>
        <v>74429.935999999987</v>
      </c>
      <c r="K14" s="58">
        <f t="shared" si="4"/>
        <v>84576.912000000011</v>
      </c>
      <c r="L14" s="58">
        <f t="shared" ref="L14:S14" si="5">L11-L16</f>
        <v>95419.994999999995</v>
      </c>
      <c r="M14" s="58">
        <f t="shared" si="5"/>
        <v>107868.77999999997</v>
      </c>
      <c r="N14" s="58">
        <f t="shared" si="5"/>
        <v>122831.22499999998</v>
      </c>
      <c r="O14" s="58">
        <f t="shared" si="5"/>
        <v>124985.80000000005</v>
      </c>
      <c r="P14" s="58">
        <f t="shared" si="5"/>
        <v>136200.79999999999</v>
      </c>
      <c r="Q14" s="58">
        <f t="shared" si="5"/>
        <v>147522</v>
      </c>
      <c r="R14" s="58">
        <f t="shared" si="5"/>
        <v>158828</v>
      </c>
      <c r="S14" s="58">
        <f t="shared" si="5"/>
        <v>154874.5</v>
      </c>
    </row>
    <row r="15" spans="1:86" x14ac:dyDescent="0.25">
      <c r="A15" s="1"/>
      <c r="B15" s="17"/>
      <c r="C15" s="17"/>
      <c r="D15" s="17"/>
      <c r="E15" s="17"/>
      <c r="F15" s="17"/>
      <c r="G15" s="17"/>
      <c r="H15" s="69"/>
      <c r="I15" s="69"/>
      <c r="J15" s="13"/>
      <c r="K15" s="69"/>
      <c r="L15" s="69"/>
      <c r="M15" s="69"/>
      <c r="N15" s="69"/>
      <c r="O15" s="69"/>
      <c r="P15" s="69"/>
      <c r="Q15" s="69"/>
      <c r="R15" s="70"/>
      <c r="S15" s="70"/>
    </row>
    <row r="16" spans="1:86" x14ac:dyDescent="0.25">
      <c r="A16" s="1"/>
      <c r="B16" s="1" t="s">
        <v>10</v>
      </c>
      <c r="C16" s="12">
        <f t="shared" ref="C16:F16" si="6">C11-C14</f>
        <v>62310</v>
      </c>
      <c r="D16" s="12">
        <f t="shared" si="6"/>
        <v>72007</v>
      </c>
      <c r="E16" s="12">
        <f t="shared" si="6"/>
        <v>82933</v>
      </c>
      <c r="F16" s="12">
        <f t="shared" si="6"/>
        <v>96937</v>
      </c>
      <c r="G16" s="12">
        <f>G11-G14</f>
        <v>115856</v>
      </c>
      <c r="H16" s="12">
        <f>H11-H14</f>
        <v>135620</v>
      </c>
      <c r="I16" s="66">
        <f>I11-I14</f>
        <v>146052</v>
      </c>
      <c r="J16" s="20">
        <f>J11*J17</f>
        <v>160810.06399999998</v>
      </c>
      <c r="K16" s="68">
        <f t="shared" ref="J16:S16" si="7">K11*K17</f>
        <v>182143.08799999999</v>
      </c>
      <c r="L16" s="68">
        <f t="shared" si="7"/>
        <v>208950.005</v>
      </c>
      <c r="M16" s="68">
        <f t="shared" si="7"/>
        <v>231341.22000000003</v>
      </c>
      <c r="N16" s="68">
        <f t="shared" si="7"/>
        <v>264038.77500000002</v>
      </c>
      <c r="O16" s="68">
        <f t="shared" si="7"/>
        <v>278194.19999999995</v>
      </c>
      <c r="P16" s="68">
        <f t="shared" si="7"/>
        <v>310359.19999999995</v>
      </c>
      <c r="Q16" s="68">
        <f t="shared" si="7"/>
        <v>344218</v>
      </c>
      <c r="R16" s="68">
        <f t="shared" si="7"/>
        <v>379572</v>
      </c>
      <c r="S16" s="68">
        <f t="shared" si="7"/>
        <v>379175.5</v>
      </c>
    </row>
    <row r="17" spans="1:19" x14ac:dyDescent="0.25">
      <c r="A17" s="1"/>
      <c r="B17" s="84" t="s">
        <v>11</v>
      </c>
      <c r="C17" s="85">
        <f>C16/C11</f>
        <v>0.64522475691460168</v>
      </c>
      <c r="D17" s="85">
        <f t="shared" ref="D17:I17" si="8">D16/D11</f>
        <v>0.65247372236317502</v>
      </c>
      <c r="E17" s="85">
        <f t="shared" si="8"/>
        <v>0.65901957200638894</v>
      </c>
      <c r="F17" s="85">
        <f t="shared" si="8"/>
        <v>0.67781001992797962</v>
      </c>
      <c r="G17" s="85">
        <f t="shared" si="8"/>
        <v>0.68925800771024703</v>
      </c>
      <c r="H17" s="85">
        <f t="shared" si="8"/>
        <v>0.68401674484289099</v>
      </c>
      <c r="I17" s="86">
        <f t="shared" si="8"/>
        <v>0.68920085883491022</v>
      </c>
      <c r="J17" s="87">
        <v>0.68359999999999999</v>
      </c>
      <c r="K17" s="88">
        <v>0.68289999999999995</v>
      </c>
      <c r="L17" s="88">
        <v>0.6865</v>
      </c>
      <c r="M17" s="88">
        <v>0.68200000000000005</v>
      </c>
      <c r="N17" s="88">
        <v>0.6825</v>
      </c>
      <c r="O17" s="88">
        <v>0.69</v>
      </c>
      <c r="P17" s="88">
        <v>0.69499999999999995</v>
      </c>
      <c r="Q17" s="88">
        <v>0.7</v>
      </c>
      <c r="R17" s="88">
        <v>0.70499999999999996</v>
      </c>
      <c r="S17" s="89">
        <v>0.71</v>
      </c>
    </row>
    <row r="18" spans="1:19" x14ac:dyDescent="0.25">
      <c r="A18" s="1"/>
      <c r="B18" s="6"/>
      <c r="C18" s="1"/>
      <c r="D18" s="1"/>
      <c r="E18" s="1"/>
      <c r="F18" s="1"/>
      <c r="G18" s="1"/>
      <c r="H18" s="1"/>
      <c r="I18" s="69"/>
      <c r="J18" s="13"/>
      <c r="K18" s="69"/>
      <c r="L18" s="69"/>
      <c r="M18" s="69"/>
      <c r="N18" s="69"/>
      <c r="O18" s="69"/>
      <c r="P18" s="69"/>
      <c r="Q18" s="69"/>
      <c r="R18" s="70"/>
      <c r="S18" s="70"/>
    </row>
    <row r="19" spans="1:19" x14ac:dyDescent="0.25">
      <c r="A19" s="1"/>
      <c r="B19" s="1" t="s">
        <v>12</v>
      </c>
      <c r="C19" s="12">
        <v>13037</v>
      </c>
      <c r="D19" s="12">
        <v>14726</v>
      </c>
      <c r="E19" s="12">
        <v>16876</v>
      </c>
      <c r="F19" s="12">
        <v>19269</v>
      </c>
      <c r="G19" s="12">
        <v>20716</v>
      </c>
      <c r="H19" s="12">
        <v>24512</v>
      </c>
      <c r="I19" s="68">
        <v>27195</v>
      </c>
      <c r="J19" s="20">
        <f>J20*J11</f>
        <v>28641.504348562306</v>
      </c>
      <c r="K19" s="68">
        <f t="shared" ref="K19:S19" si="9">K20*K11</f>
        <v>32168.739344438574</v>
      </c>
      <c r="L19" s="68">
        <f t="shared" si="9"/>
        <v>36376.289233361182</v>
      </c>
      <c r="M19" s="68">
        <f t="shared" si="9"/>
        <v>40230.302909132959</v>
      </c>
      <c r="N19" s="68">
        <f t="shared" si="9"/>
        <v>45624.014962885638</v>
      </c>
      <c r="O19" s="68">
        <f t="shared" si="9"/>
        <v>47151.881002115988</v>
      </c>
      <c r="P19" s="68">
        <f t="shared" si="9"/>
        <v>52022.503197326965</v>
      </c>
      <c r="Q19" s="68">
        <f t="shared" si="9"/>
        <v>57075.361681849536</v>
      </c>
      <c r="R19" s="68">
        <f t="shared" si="9"/>
        <v>62290.779852706321</v>
      </c>
      <c r="S19" s="68">
        <f t="shared" si="9"/>
        <v>66111.420188291057</v>
      </c>
    </row>
    <row r="20" spans="1:19" x14ac:dyDescent="0.25">
      <c r="A20" s="1"/>
      <c r="B20" s="80" t="s">
        <v>18</v>
      </c>
      <c r="C20" s="81">
        <f>C19/C11</f>
        <v>0.13499911981857907</v>
      </c>
      <c r="D20" s="81">
        <f t="shared" ref="D20:S20" si="10">D19/D11</f>
        <v>0.13343602754621239</v>
      </c>
      <c r="E20" s="81">
        <f t="shared" si="10"/>
        <v>0.13410360528595155</v>
      </c>
      <c r="F20" s="81">
        <f t="shared" si="10"/>
        <v>0.1347341187987274</v>
      </c>
      <c r="G20" s="81">
        <f t="shared" si="10"/>
        <v>0.12324496692208843</v>
      </c>
      <c r="H20" s="81">
        <f t="shared" si="10"/>
        <v>0.12362939426035205</v>
      </c>
      <c r="I20" s="82">
        <f t="shared" si="10"/>
        <v>0.12832975485454073</v>
      </c>
      <c r="J20" s="83">
        <v>0.12175439699269813</v>
      </c>
      <c r="K20" s="82">
        <v>0.12060865081148235</v>
      </c>
      <c r="L20" s="82">
        <v>0.11951338579150765</v>
      </c>
      <c r="M20" s="82">
        <v>0.11859999088804268</v>
      </c>
      <c r="N20" s="82">
        <v>0.117931126639144</v>
      </c>
      <c r="O20" s="82">
        <v>0.11694995039961305</v>
      </c>
      <c r="P20" s="82">
        <v>0.11649611070702028</v>
      </c>
      <c r="Q20" s="82">
        <v>0.11606816952423951</v>
      </c>
      <c r="R20" s="82">
        <v>0.1156960992806581</v>
      </c>
      <c r="S20" s="82">
        <v>0.12379256659168815</v>
      </c>
    </row>
    <row r="21" spans="1:19" x14ac:dyDescent="0.25">
      <c r="A21" s="1"/>
      <c r="B21" s="14"/>
      <c r="C21" s="12"/>
      <c r="D21" s="12"/>
      <c r="E21" s="12"/>
      <c r="F21" s="12"/>
      <c r="G21" s="12"/>
      <c r="H21" s="12"/>
      <c r="I21" s="68"/>
      <c r="J21" s="20"/>
      <c r="K21" s="68"/>
      <c r="L21" s="68"/>
      <c r="M21" s="68"/>
      <c r="N21" s="68"/>
      <c r="O21" s="68"/>
      <c r="P21" s="68"/>
      <c r="Q21" s="68"/>
      <c r="R21" s="68"/>
      <c r="S21" s="70"/>
    </row>
    <row r="22" spans="1:19" x14ac:dyDescent="0.25">
      <c r="A22" s="1"/>
      <c r="B22" s="1" t="s">
        <v>72</v>
      </c>
      <c r="C22" s="12">
        <v>15461</v>
      </c>
      <c r="D22" s="12">
        <v>17469</v>
      </c>
      <c r="E22" s="12">
        <v>18213</v>
      </c>
      <c r="F22" s="12">
        <v>19598</v>
      </c>
      <c r="G22" s="12">
        <v>20117</v>
      </c>
      <c r="H22" s="12">
        <v>21825</v>
      </c>
      <c r="I22" s="68">
        <v>22759</v>
      </c>
      <c r="J22" s="20">
        <f>J23*J11</f>
        <v>23969.553133624915</v>
      </c>
      <c r="K22" s="68">
        <f t="shared" ref="K22:S22" si="11">K23*K11</f>
        <v>26921.431834531257</v>
      </c>
      <c r="L22" s="68">
        <f t="shared" si="11"/>
        <v>30442.653673913112</v>
      </c>
      <c r="M22" s="68">
        <f t="shared" si="11"/>
        <v>33668.007498031147</v>
      </c>
      <c r="N22" s="68">
        <f t="shared" si="11"/>
        <v>38181.906840974967</v>
      </c>
      <c r="O22" s="68">
        <f t="shared" si="11"/>
        <v>39460.55009108872</v>
      </c>
      <c r="P22" s="68">
        <f t="shared" si="11"/>
        <v>43536.685062252785</v>
      </c>
      <c r="Q22" s="68">
        <f t="shared" si="11"/>
        <v>47765.330263548945</v>
      </c>
      <c r="R22" s="68">
        <f t="shared" si="11"/>
        <v>52130.018704458285</v>
      </c>
      <c r="S22" s="68">
        <f t="shared" si="11"/>
        <v>55327.442988244758</v>
      </c>
    </row>
    <row r="23" spans="1:19" x14ac:dyDescent="0.25">
      <c r="A23" s="1"/>
      <c r="B23" s="80" t="s">
        <v>18</v>
      </c>
      <c r="C23" s="81">
        <f>C22/C11</f>
        <v>0.16009982292820826</v>
      </c>
      <c r="D23" s="81">
        <f t="shared" ref="D23:S23" si="12">D22/D11</f>
        <v>0.15829104748097136</v>
      </c>
      <c r="E23" s="81">
        <f t="shared" si="12"/>
        <v>0.14472795467368069</v>
      </c>
      <c r="F23" s="81">
        <f t="shared" si="12"/>
        <v>0.13703457679264414</v>
      </c>
      <c r="G23" s="81">
        <f t="shared" si="12"/>
        <v>0.1196813573842273</v>
      </c>
      <c r="H23" s="81">
        <f t="shared" si="12"/>
        <v>0.11007716749886519</v>
      </c>
      <c r="I23" s="82">
        <f t="shared" si="12"/>
        <v>0.10739683363612769</v>
      </c>
      <c r="J23" s="83">
        <v>0.10189403644628856</v>
      </c>
      <c r="K23" s="82">
        <v>0.10093518234302361</v>
      </c>
      <c r="L23" s="82">
        <v>0.10001857500382137</v>
      </c>
      <c r="M23" s="82">
        <v>9.9254171451405165E-2</v>
      </c>
      <c r="N23" s="82">
        <v>9.8694411148383093E-2</v>
      </c>
      <c r="O23" s="82">
        <v>9.7873282630806885E-2</v>
      </c>
      <c r="P23" s="82">
        <v>9.7493472461153682E-2</v>
      </c>
      <c r="Q23" s="82">
        <v>9.7135336282484538E-2</v>
      </c>
      <c r="R23" s="82">
        <v>9.6823957474848232E-2</v>
      </c>
      <c r="S23" s="82">
        <v>0.10359974344770108</v>
      </c>
    </row>
    <row r="24" spans="1:19" x14ac:dyDescent="0.25">
      <c r="A24" s="1"/>
      <c r="B24" s="14"/>
      <c r="C24" s="12"/>
      <c r="D24" s="12"/>
      <c r="E24" s="12"/>
      <c r="F24" s="12"/>
      <c r="G24" s="12"/>
      <c r="H24" s="12"/>
      <c r="I24" s="68"/>
      <c r="J24" s="20"/>
      <c r="K24" s="68"/>
      <c r="L24" s="68"/>
      <c r="M24" s="68"/>
      <c r="N24" s="68"/>
      <c r="O24" s="68"/>
      <c r="P24" s="68"/>
      <c r="Q24" s="68"/>
      <c r="R24" s="68"/>
      <c r="S24" s="70"/>
    </row>
    <row r="25" spans="1:19" x14ac:dyDescent="0.25">
      <c r="A25" s="1"/>
      <c r="B25" s="1" t="s">
        <v>73</v>
      </c>
      <c r="C25" s="12">
        <f>4481+306</f>
        <v>4787</v>
      </c>
      <c r="D25" s="12">
        <v>4754</v>
      </c>
      <c r="E25" s="12">
        <v>4885</v>
      </c>
      <c r="F25" s="12">
        <v>5111</v>
      </c>
      <c r="G25" s="12">
        <v>5107</v>
      </c>
      <c r="H25" s="12">
        <v>5900</v>
      </c>
      <c r="I25" s="66">
        <v>7575</v>
      </c>
      <c r="J25" s="61">
        <f>J26*J11</f>
        <v>7977.914890250393</v>
      </c>
      <c r="K25" s="66">
        <f t="shared" ref="K25:S25" si="13">K26*K11</f>
        <v>8960.4045057592284</v>
      </c>
      <c r="L25" s="66">
        <f t="shared" si="13"/>
        <v>10132.391650770765</v>
      </c>
      <c r="M25" s="66">
        <f t="shared" si="13"/>
        <v>11205.903457866598</v>
      </c>
      <c r="N25" s="66">
        <f t="shared" si="13"/>
        <v>12708.288778961525</v>
      </c>
      <c r="O25" s="66">
        <f t="shared" si="13"/>
        <v>13133.866467770862</v>
      </c>
      <c r="P25" s="66">
        <f t="shared" si="13"/>
        <v>14490.548325786052</v>
      </c>
      <c r="Q25" s="66">
        <f t="shared" si="13"/>
        <v>15897.990981430783</v>
      </c>
      <c r="R25" s="66">
        <f t="shared" si="13"/>
        <v>17350.713637957357</v>
      </c>
      <c r="S25" s="66">
        <f t="shared" si="13"/>
        <v>18414.929506391054</v>
      </c>
    </row>
    <row r="26" spans="1:19" x14ac:dyDescent="0.25">
      <c r="A26" s="1"/>
      <c r="B26" s="80" t="s">
        <v>18</v>
      </c>
      <c r="C26" s="81">
        <f t="shared" ref="C26:S26" si="14">C25/C11</f>
        <v>4.9569746611301528E-2</v>
      </c>
      <c r="D26" s="81">
        <f t="shared" si="14"/>
        <v>4.3077201884740846E-2</v>
      </c>
      <c r="E26" s="81">
        <f t="shared" si="14"/>
        <v>3.8818209991815199E-2</v>
      </c>
      <c r="F26" s="81">
        <f t="shared" si="14"/>
        <v>3.5737510051393209E-2</v>
      </c>
      <c r="G26" s="81">
        <f t="shared" si="14"/>
        <v>3.0382894674218265E-2</v>
      </c>
      <c r="H26" s="81">
        <f t="shared" si="14"/>
        <v>2.9757401523175468E-2</v>
      </c>
      <c r="I26" s="82">
        <f t="shared" si="14"/>
        <v>3.5745463983200811E-2</v>
      </c>
      <c r="J26" s="83">
        <v>3.3913938489416741E-2</v>
      </c>
      <c r="K26" s="82">
        <v>3.3594797937009702E-2</v>
      </c>
      <c r="L26" s="82">
        <v>3.3289718601605824E-2</v>
      </c>
      <c r="M26" s="82">
        <v>3.30352980686495E-2</v>
      </c>
      <c r="N26" s="82">
        <v>3.2848990045652351E-2</v>
      </c>
      <c r="O26" s="82">
        <v>3.2575689438391939E-2</v>
      </c>
      <c r="P26" s="82">
        <v>3.2449275183146845E-2</v>
      </c>
      <c r="Q26" s="82">
        <v>3.2330074798533337E-2</v>
      </c>
      <c r="R26" s="82">
        <v>3.2226436920425997E-2</v>
      </c>
      <c r="S26" s="82">
        <v>3.4481658096416165E-2</v>
      </c>
    </row>
    <row r="27" spans="1:19" x14ac:dyDescent="0.25">
      <c r="A27" s="1"/>
      <c r="B27" s="14"/>
      <c r="C27" s="12"/>
      <c r="D27" s="12"/>
      <c r="E27" s="12"/>
      <c r="F27" s="12"/>
      <c r="G27" s="12"/>
      <c r="H27" s="12"/>
      <c r="I27" s="66"/>
      <c r="J27" s="61"/>
      <c r="K27" s="66"/>
      <c r="L27" s="66"/>
      <c r="M27" s="66"/>
      <c r="N27" s="66"/>
      <c r="O27" s="66"/>
      <c r="P27" s="66"/>
      <c r="Q27" s="66"/>
      <c r="R27" s="66"/>
      <c r="S27" s="70"/>
    </row>
    <row r="28" spans="1:19" x14ac:dyDescent="0.25">
      <c r="A28" s="1"/>
      <c r="B28" s="1" t="s">
        <v>15</v>
      </c>
      <c r="C28" s="12">
        <v>876</v>
      </c>
      <c r="D28" s="12">
        <v>1416</v>
      </c>
      <c r="E28" s="12">
        <v>729</v>
      </c>
      <c r="F28" s="12">
        <v>77</v>
      </c>
      <c r="G28" s="12">
        <v>1186</v>
      </c>
      <c r="H28" s="12">
        <v>333</v>
      </c>
      <c r="I28" s="66">
        <v>788</v>
      </c>
      <c r="J28" s="61">
        <f t="shared" ref="I28:S28" si="15">J29*J11</f>
        <v>940.95999999999992</v>
      </c>
      <c r="K28" s="66">
        <f t="shared" si="15"/>
        <v>1066.8800000000001</v>
      </c>
      <c r="L28" s="66">
        <f t="shared" si="15"/>
        <v>1217.48</v>
      </c>
      <c r="M28" s="66">
        <f t="shared" si="15"/>
        <v>1356.84</v>
      </c>
      <c r="N28" s="66">
        <f t="shared" si="15"/>
        <v>1547.48</v>
      </c>
      <c r="O28" s="66">
        <f t="shared" si="15"/>
        <v>1612.72</v>
      </c>
      <c r="P28" s="66">
        <f t="shared" si="15"/>
        <v>1786.2399999999998</v>
      </c>
      <c r="Q28" s="66">
        <f t="shared" si="15"/>
        <v>1966.96</v>
      </c>
      <c r="R28" s="66">
        <f t="shared" si="15"/>
        <v>2153.6</v>
      </c>
      <c r="S28" s="66">
        <f t="shared" si="15"/>
        <v>2136.1999999999998</v>
      </c>
    </row>
    <row r="29" spans="1:19" x14ac:dyDescent="0.25">
      <c r="A29" s="1"/>
      <c r="B29" s="84" t="s">
        <v>18</v>
      </c>
      <c r="C29" s="85">
        <f t="shared" ref="C29:I29" si="16">C28/C11</f>
        <v>9.0710461732818343E-3</v>
      </c>
      <c r="D29" s="85">
        <f t="shared" si="16"/>
        <v>1.2830735773831098E-2</v>
      </c>
      <c r="E29" s="85">
        <f t="shared" si="16"/>
        <v>5.7929324634663831E-3</v>
      </c>
      <c r="F29" s="85">
        <f t="shared" si="16"/>
        <v>5.3840506240604132E-4</v>
      </c>
      <c r="G29" s="85">
        <f t="shared" si="16"/>
        <v>7.0558278996716009E-3</v>
      </c>
      <c r="H29" s="85">
        <f t="shared" si="16"/>
        <v>1.6795279164775307E-3</v>
      </c>
      <c r="I29" s="86">
        <f t="shared" si="16"/>
        <v>3.7184720288795034E-3</v>
      </c>
      <c r="J29" s="90">
        <v>4.0000000000000001E-3</v>
      </c>
      <c r="K29" s="86">
        <v>4.0000000000000001E-3</v>
      </c>
      <c r="L29" s="86">
        <v>4.0000000000000001E-3</v>
      </c>
      <c r="M29" s="86">
        <v>4.0000000000000001E-3</v>
      </c>
      <c r="N29" s="86">
        <v>4.0000000000000001E-3</v>
      </c>
      <c r="O29" s="86">
        <v>4.0000000000000001E-3</v>
      </c>
      <c r="P29" s="86">
        <v>4.0000000000000001E-3</v>
      </c>
      <c r="Q29" s="86">
        <v>4.0000000000000001E-3</v>
      </c>
      <c r="R29" s="86">
        <v>4.0000000000000001E-3</v>
      </c>
      <c r="S29" s="86">
        <v>4.0000000000000001E-3</v>
      </c>
    </row>
    <row r="30" spans="1:19" x14ac:dyDescent="0.25">
      <c r="A30" s="1"/>
      <c r="B30" s="1"/>
      <c r="C30" s="1"/>
      <c r="D30" s="1"/>
      <c r="E30" s="1"/>
      <c r="F30" s="12"/>
      <c r="G30" s="12"/>
      <c r="H30" s="12"/>
      <c r="I30" s="69"/>
      <c r="J30" s="13"/>
      <c r="K30" s="69"/>
      <c r="L30" s="69"/>
      <c r="M30" s="69"/>
      <c r="N30" s="69"/>
      <c r="O30" s="69"/>
      <c r="P30" s="69"/>
      <c r="Q30" s="69"/>
      <c r="R30" s="70"/>
      <c r="S30" s="70"/>
    </row>
    <row r="31" spans="1:19" x14ac:dyDescent="0.25">
      <c r="A31" s="1"/>
      <c r="B31" s="1" t="s">
        <v>13</v>
      </c>
      <c r="C31" s="12">
        <f t="shared" ref="C31:S31" si="17">C19+C22+C25</f>
        <v>33285</v>
      </c>
      <c r="D31" s="12">
        <f t="shared" si="17"/>
        <v>36949</v>
      </c>
      <c r="E31" s="12">
        <f t="shared" si="17"/>
        <v>39974</v>
      </c>
      <c r="F31" s="12">
        <f t="shared" si="17"/>
        <v>43978</v>
      </c>
      <c r="G31" s="12">
        <f t="shared" si="17"/>
        <v>45940</v>
      </c>
      <c r="H31" s="12">
        <f t="shared" si="17"/>
        <v>52237</v>
      </c>
      <c r="I31" s="66">
        <f>I19+I22+I25</f>
        <v>57529</v>
      </c>
      <c r="J31" s="61">
        <f t="shared" ref="J31:S31" si="18">J19+J22+J25</f>
        <v>60588.972372437616</v>
      </c>
      <c r="K31" s="66">
        <f t="shared" si="18"/>
        <v>68050.575684729061</v>
      </c>
      <c r="L31" s="66">
        <f t="shared" si="18"/>
        <v>76951.334558045055</v>
      </c>
      <c r="M31" s="66">
        <f t="shared" si="18"/>
        <v>85104.213865030702</v>
      </c>
      <c r="N31" s="66">
        <f t="shared" si="18"/>
        <v>96514.210582822125</v>
      </c>
      <c r="O31" s="66">
        <f t="shared" si="18"/>
        <v>99746.297560975567</v>
      </c>
      <c r="P31" s="66">
        <f t="shared" si="18"/>
        <v>110049.7365853658</v>
      </c>
      <c r="Q31" s="66">
        <f t="shared" si="18"/>
        <v>120738.68292682926</v>
      </c>
      <c r="R31" s="66">
        <f t="shared" si="18"/>
        <v>131771.51219512196</v>
      </c>
      <c r="S31" s="66">
        <f t="shared" si="18"/>
        <v>139853.79268292687</v>
      </c>
    </row>
    <row r="32" spans="1:19" x14ac:dyDescent="0.25">
      <c r="A32" s="1"/>
      <c r="B32" s="84" t="s">
        <v>18</v>
      </c>
      <c r="C32" s="85">
        <f t="shared" ref="C32:S32" si="19">C31/C11</f>
        <v>0.34466868935808886</v>
      </c>
      <c r="D32" s="85">
        <f t="shared" si="19"/>
        <v>0.3348042769119246</v>
      </c>
      <c r="E32" s="85">
        <f t="shared" si="19"/>
        <v>0.31764976995144745</v>
      </c>
      <c r="F32" s="85">
        <f t="shared" si="19"/>
        <v>0.30750620564276476</v>
      </c>
      <c r="G32" s="85">
        <f t="shared" si="19"/>
        <v>0.27330921898053401</v>
      </c>
      <c r="H32" s="85">
        <f t="shared" si="19"/>
        <v>0.26346396328239269</v>
      </c>
      <c r="I32" s="86">
        <f t="shared" si="19"/>
        <v>0.27147205247386924</v>
      </c>
      <c r="J32" s="90">
        <f t="shared" si="19"/>
        <v>0.25756237192840342</v>
      </c>
      <c r="K32" s="86">
        <f t="shared" si="19"/>
        <v>0.25513863109151569</v>
      </c>
      <c r="L32" s="86">
        <f t="shared" si="19"/>
        <v>0.25282167939693484</v>
      </c>
      <c r="M32" s="86">
        <f t="shared" si="19"/>
        <v>0.25088946040809734</v>
      </c>
      <c r="N32" s="86">
        <f t="shared" si="19"/>
        <v>0.24947452783317942</v>
      </c>
      <c r="O32" s="86">
        <f t="shared" si="19"/>
        <v>0.24739892246881187</v>
      </c>
      <c r="P32" s="86">
        <f t="shared" si="19"/>
        <v>0.24643885835132079</v>
      </c>
      <c r="Q32" s="86">
        <f t="shared" si="19"/>
        <v>0.24553358060525737</v>
      </c>
      <c r="R32" s="86">
        <f t="shared" si="19"/>
        <v>0.24474649367593232</v>
      </c>
      <c r="S32" s="86">
        <f t="shared" si="19"/>
        <v>0.26187396813580538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49"/>
      <c r="J33" s="19"/>
      <c r="K33" s="49"/>
      <c r="L33" s="49"/>
      <c r="M33" s="49"/>
      <c r="N33" s="49"/>
      <c r="O33" s="49"/>
      <c r="P33" s="49"/>
      <c r="Q33" s="49"/>
      <c r="R33" s="49"/>
      <c r="S33" s="49"/>
    </row>
    <row r="34" spans="1:86" x14ac:dyDescent="0.25">
      <c r="A34" s="1"/>
      <c r="B34" s="1" t="s">
        <v>14</v>
      </c>
      <c r="C34" s="12">
        <f t="shared" ref="C34:R34" si="20">C16-C19-C22-C25</f>
        <v>29025</v>
      </c>
      <c r="D34" s="12">
        <f t="shared" si="20"/>
        <v>35058</v>
      </c>
      <c r="E34" s="12">
        <f t="shared" si="20"/>
        <v>42959</v>
      </c>
      <c r="F34" s="12">
        <f t="shared" si="20"/>
        <v>52959</v>
      </c>
      <c r="G34" s="12">
        <f t="shared" si="20"/>
        <v>69916</v>
      </c>
      <c r="H34" s="12">
        <f t="shared" si="20"/>
        <v>83383</v>
      </c>
      <c r="I34" s="66">
        <f>I16-I19-I22-I25</f>
        <v>88523</v>
      </c>
      <c r="J34" s="61">
        <f t="shared" ref="J34:S34" si="21">J16-J19-J22-J25</f>
        <v>100221.09162756237</v>
      </c>
      <c r="K34" s="66">
        <f t="shared" si="21"/>
        <v>114092.51231527094</v>
      </c>
      <c r="L34" s="66">
        <f t="shared" si="21"/>
        <v>131998.67044195495</v>
      </c>
      <c r="M34" s="66">
        <f t="shared" si="21"/>
        <v>146237.00613496933</v>
      </c>
      <c r="N34" s="66">
        <f t="shared" si="21"/>
        <v>167524.5644171779</v>
      </c>
      <c r="O34" s="66">
        <f t="shared" si="21"/>
        <v>178447.90243902439</v>
      </c>
      <c r="P34" s="66">
        <f t="shared" si="21"/>
        <v>200309.46341463414</v>
      </c>
      <c r="Q34" s="66">
        <f t="shared" si="21"/>
        <v>223479.31707317077</v>
      </c>
      <c r="R34" s="66">
        <f t="shared" si="21"/>
        <v>247800.48780487804</v>
      </c>
      <c r="S34" s="66">
        <f t="shared" si="21"/>
        <v>239321.70731707313</v>
      </c>
    </row>
    <row r="35" spans="1:86" x14ac:dyDescent="0.25">
      <c r="A35" s="1"/>
      <c r="B35" s="1"/>
      <c r="C35" s="21"/>
      <c r="D35" s="21"/>
      <c r="E35" s="21"/>
      <c r="F35" s="21"/>
      <c r="G35" s="21"/>
      <c r="H35" s="21"/>
      <c r="I35" s="70"/>
      <c r="J35" s="22"/>
      <c r="K35" s="70"/>
      <c r="L35" s="70"/>
      <c r="M35" s="70"/>
      <c r="N35" s="70"/>
      <c r="O35" s="70"/>
      <c r="P35" s="70"/>
      <c r="Q35" s="70"/>
      <c r="R35" s="70"/>
      <c r="S35" s="70"/>
    </row>
    <row r="36" spans="1:86" x14ac:dyDescent="0.25">
      <c r="A36" s="1"/>
      <c r="B36" s="1" t="s">
        <v>16</v>
      </c>
      <c r="C36" s="12">
        <f t="shared" ref="C36:G36" si="22">C34+C28</f>
        <v>29901</v>
      </c>
      <c r="D36" s="12">
        <f t="shared" si="22"/>
        <v>36474</v>
      </c>
      <c r="E36" s="12">
        <f t="shared" si="22"/>
        <v>43688</v>
      </c>
      <c r="F36" s="12">
        <f t="shared" si="22"/>
        <v>53036</v>
      </c>
      <c r="G36" s="12">
        <f t="shared" si="22"/>
        <v>71102</v>
      </c>
      <c r="H36" s="12">
        <f>H34+H28</f>
        <v>83716</v>
      </c>
      <c r="I36" s="66">
        <f>I34+I28</f>
        <v>89311</v>
      </c>
      <c r="J36" s="61">
        <f t="shared" ref="J36:R36" si="23">J34+J28</f>
        <v>101162.05162756238</v>
      </c>
      <c r="K36" s="66">
        <f t="shared" si="23"/>
        <v>115159.39231527095</v>
      </c>
      <c r="L36" s="66">
        <f t="shared" si="23"/>
        <v>133216.15044195496</v>
      </c>
      <c r="M36" s="66">
        <f t="shared" si="23"/>
        <v>147593.84613496932</v>
      </c>
      <c r="N36" s="66">
        <f t="shared" si="23"/>
        <v>169072.04441717791</v>
      </c>
      <c r="O36" s="66">
        <f t="shared" si="23"/>
        <v>180060.62243902439</v>
      </c>
      <c r="P36" s="66">
        <f t="shared" si="23"/>
        <v>202095.70341463413</v>
      </c>
      <c r="Q36" s="66">
        <f t="shared" si="23"/>
        <v>225446.27707317076</v>
      </c>
      <c r="R36" s="66">
        <f t="shared" si="23"/>
        <v>249954.08780487804</v>
      </c>
      <c r="S36" s="66">
        <f t="shared" ref="S36" si="24">S34+S28</f>
        <v>241457.90731707314</v>
      </c>
    </row>
    <row r="37" spans="1:86" x14ac:dyDescent="0.25">
      <c r="A37" s="1"/>
      <c r="B37" s="1"/>
      <c r="C37" s="21"/>
      <c r="D37" s="21"/>
      <c r="E37" s="21"/>
      <c r="F37" s="21"/>
      <c r="G37" s="21"/>
      <c r="H37" s="21"/>
      <c r="I37" s="69"/>
      <c r="J37" s="13"/>
      <c r="K37" s="69"/>
      <c r="L37" s="69"/>
      <c r="M37" s="69"/>
      <c r="N37" s="69"/>
      <c r="O37" s="69"/>
      <c r="P37" s="69"/>
      <c r="Q37" s="69"/>
      <c r="R37" s="70"/>
      <c r="S37" s="70"/>
    </row>
    <row r="38" spans="1:86" x14ac:dyDescent="0.25">
      <c r="A38" s="1"/>
      <c r="B38" s="1" t="s">
        <v>17</v>
      </c>
      <c r="C38" s="12">
        <f t="shared" ref="C38:S38" si="25">C34</f>
        <v>29025</v>
      </c>
      <c r="D38" s="12">
        <f t="shared" si="25"/>
        <v>35058</v>
      </c>
      <c r="E38" s="12">
        <f t="shared" si="25"/>
        <v>42959</v>
      </c>
      <c r="F38" s="12">
        <f>F34</f>
        <v>52959</v>
      </c>
      <c r="G38" s="12">
        <f t="shared" si="25"/>
        <v>69916</v>
      </c>
      <c r="H38" s="12">
        <f t="shared" si="25"/>
        <v>83383</v>
      </c>
      <c r="I38" s="12">
        <f t="shared" si="25"/>
        <v>88523</v>
      </c>
      <c r="J38" s="61">
        <f t="shared" si="25"/>
        <v>100221.09162756237</v>
      </c>
      <c r="K38" s="66">
        <f t="shared" si="25"/>
        <v>114092.51231527094</v>
      </c>
      <c r="L38" s="66">
        <f t="shared" si="25"/>
        <v>131998.67044195495</v>
      </c>
      <c r="M38" s="66">
        <f t="shared" si="25"/>
        <v>146237.00613496933</v>
      </c>
      <c r="N38" s="66">
        <f t="shared" si="25"/>
        <v>167524.5644171779</v>
      </c>
      <c r="O38" s="66">
        <f t="shared" si="25"/>
        <v>178447.90243902439</v>
      </c>
      <c r="P38" s="66">
        <f t="shared" si="25"/>
        <v>200309.46341463414</v>
      </c>
      <c r="Q38" s="66">
        <f t="shared" si="25"/>
        <v>223479.31707317077</v>
      </c>
      <c r="R38" s="66">
        <f t="shared" si="25"/>
        <v>247800.48780487804</v>
      </c>
      <c r="S38" s="66">
        <f t="shared" si="25"/>
        <v>239321.70731707313</v>
      </c>
    </row>
    <row r="39" spans="1:86" x14ac:dyDescent="0.25">
      <c r="A39" s="1"/>
      <c r="B39" s="80" t="s">
        <v>18</v>
      </c>
      <c r="C39" s="81">
        <f t="shared" ref="C39:I39" si="26">C38/C11</f>
        <v>0.30055606755651282</v>
      </c>
      <c r="D39" s="81">
        <f t="shared" si="26"/>
        <v>0.31766944545125048</v>
      </c>
      <c r="E39" s="81">
        <f t="shared" si="26"/>
        <v>0.3413698020549415</v>
      </c>
      <c r="F39" s="81">
        <f t="shared" si="26"/>
        <v>0.37030381428521486</v>
      </c>
      <c r="G39" s="81">
        <f t="shared" si="26"/>
        <v>0.41594878872971303</v>
      </c>
      <c r="H39" s="81">
        <f t="shared" si="26"/>
        <v>0.4205527815604983</v>
      </c>
      <c r="I39" s="81">
        <f t="shared" si="26"/>
        <v>0.41772880636104098</v>
      </c>
      <c r="J39" s="83">
        <f t="shared" ref="J39" si="27">J38/J11</f>
        <v>0.42603762807159662</v>
      </c>
      <c r="K39" s="82">
        <f t="shared" ref="K39" si="28">K38/K11</f>
        <v>0.42776136890848432</v>
      </c>
      <c r="L39" s="82">
        <f t="shared" ref="L39" si="29">L38/L11</f>
        <v>0.43367832060306516</v>
      </c>
      <c r="M39" s="82">
        <f t="shared" ref="M39" si="30">M38/M11</f>
        <v>0.43111053959190276</v>
      </c>
      <c r="N39" s="82">
        <f t="shared" ref="N39" si="31">N38/N11</f>
        <v>0.43302547216682064</v>
      </c>
      <c r="O39" s="82">
        <f t="shared" ref="O39" si="32">O38/O11</f>
        <v>0.44260107753118805</v>
      </c>
      <c r="P39" s="82">
        <f t="shared" ref="P39" si="33">P38/P11</f>
        <v>0.44856114164867916</v>
      </c>
      <c r="Q39" s="82">
        <f t="shared" ref="Q39" si="34">Q38/Q11</f>
        <v>0.45446641939474269</v>
      </c>
      <c r="R39" s="82">
        <f t="shared" ref="R39" si="35">R38/R11</f>
        <v>0.4602535063240677</v>
      </c>
      <c r="S39" s="82">
        <f t="shared" ref="S39" si="36">S38/S11</f>
        <v>0.44812603186419459</v>
      </c>
    </row>
    <row r="40" spans="1:86" x14ac:dyDescent="0.25">
      <c r="A40" s="1"/>
      <c r="B40" s="14"/>
      <c r="C40" s="1"/>
      <c r="D40" s="1"/>
      <c r="F40" s="1"/>
      <c r="G40" s="1"/>
      <c r="H40" s="1"/>
      <c r="I40" s="69"/>
      <c r="J40" s="13"/>
      <c r="K40" s="69"/>
      <c r="L40" s="69"/>
      <c r="M40" s="69"/>
      <c r="N40" s="69"/>
      <c r="O40" s="70"/>
      <c r="P40" s="70"/>
      <c r="Q40" s="70"/>
      <c r="R40" s="70"/>
      <c r="S40" s="70"/>
    </row>
    <row r="41" spans="1:86" x14ac:dyDescent="0.25">
      <c r="A41" s="1"/>
      <c r="B41" s="1" t="s">
        <v>19</v>
      </c>
      <c r="C41" s="12">
        <v>4412</v>
      </c>
      <c r="D41" s="12">
        <v>19903</v>
      </c>
      <c r="E41" s="23">
        <v>4448</v>
      </c>
      <c r="F41" s="12">
        <v>8755</v>
      </c>
      <c r="G41" s="12">
        <v>9831</v>
      </c>
      <c r="H41" s="18">
        <v>10978</v>
      </c>
      <c r="I41" s="68">
        <v>16950</v>
      </c>
      <c r="J41" s="20">
        <f t="shared" ref="J41:R41" si="37">J42*J38</f>
        <v>19062.051627562363</v>
      </c>
      <c r="K41" s="68">
        <f t="shared" si="37"/>
        <v>21449.392315270936</v>
      </c>
      <c r="L41" s="68">
        <f t="shared" si="37"/>
        <v>24776.150441954946</v>
      </c>
      <c r="M41" s="68">
        <f t="shared" si="37"/>
        <v>27053.846134969324</v>
      </c>
      <c r="N41" s="68">
        <f t="shared" si="37"/>
        <v>30992.044417177909</v>
      </c>
      <c r="O41" s="68">
        <f t="shared" si="37"/>
        <v>32120.622439024388</v>
      </c>
      <c r="P41" s="68">
        <f t="shared" si="37"/>
        <v>36055.703414634147</v>
      </c>
      <c r="Q41" s="68">
        <f t="shared" si="37"/>
        <v>40226.277073170735</v>
      </c>
      <c r="R41" s="68">
        <f t="shared" si="37"/>
        <v>44604.087804878043</v>
      </c>
      <c r="S41" s="68">
        <f t="shared" ref="S41" si="38">S42*S38</f>
        <v>43077.907317073164</v>
      </c>
    </row>
    <row r="42" spans="1:86" x14ac:dyDescent="0.25">
      <c r="A42" s="1"/>
      <c r="B42" s="84" t="s">
        <v>20</v>
      </c>
      <c r="C42" s="85">
        <f>C41/C38</f>
        <v>0.15200689061154177</v>
      </c>
      <c r="D42" s="85">
        <f t="shared" ref="D42:G42" si="39">D41/D38</f>
        <v>0.56771635575332302</v>
      </c>
      <c r="E42" s="85">
        <f t="shared" si="39"/>
        <v>0.10354058520915291</v>
      </c>
      <c r="F42" s="85">
        <f>F41/F38</f>
        <v>0.1653165656451217</v>
      </c>
      <c r="G42" s="85">
        <f t="shared" si="39"/>
        <v>0.14061159105211968</v>
      </c>
      <c r="H42" s="85">
        <f>H41/H38</f>
        <v>0.13165753211086192</v>
      </c>
      <c r="I42" s="86">
        <f>I41/I38</f>
        <v>0.19147566169244151</v>
      </c>
      <c r="J42" s="87">
        <v>0.19020000000000001</v>
      </c>
      <c r="K42" s="88">
        <v>0.188</v>
      </c>
      <c r="L42" s="88">
        <v>0.18770000000000001</v>
      </c>
      <c r="M42" s="88">
        <v>0.185</v>
      </c>
      <c r="N42" s="88">
        <v>0.185</v>
      </c>
      <c r="O42" s="88">
        <v>0.18</v>
      </c>
      <c r="P42" s="88">
        <v>0.18</v>
      </c>
      <c r="Q42" s="88">
        <v>0.18</v>
      </c>
      <c r="R42" s="88">
        <v>0.18</v>
      </c>
      <c r="S42" s="88">
        <v>0.18</v>
      </c>
    </row>
    <row r="43" spans="1:86" x14ac:dyDescent="0.25">
      <c r="A43" s="1"/>
      <c r="B43" s="1"/>
      <c r="C43" s="1"/>
      <c r="D43" s="1"/>
      <c r="E43" s="1"/>
      <c r="F43" s="1"/>
      <c r="G43" s="1"/>
      <c r="H43" s="1"/>
      <c r="I43" s="69"/>
      <c r="J43" s="13"/>
      <c r="K43" s="69"/>
      <c r="L43" s="69"/>
      <c r="M43" s="69"/>
      <c r="N43" s="69"/>
      <c r="O43" s="69"/>
      <c r="P43" s="69"/>
      <c r="Q43" s="69"/>
      <c r="R43" s="70"/>
      <c r="S43" s="70"/>
    </row>
    <row r="44" spans="1:86" x14ac:dyDescent="0.25">
      <c r="A44" s="1"/>
      <c r="B44" s="10" t="s">
        <v>21</v>
      </c>
      <c r="C44" s="10">
        <v>2017</v>
      </c>
      <c r="D44" s="10">
        <f>C44+1</f>
        <v>2018</v>
      </c>
      <c r="E44" s="10">
        <f>D44+1</f>
        <v>2019</v>
      </c>
      <c r="F44" s="10">
        <v>2020</v>
      </c>
      <c r="G44" s="10">
        <v>2021</v>
      </c>
      <c r="H44" s="10">
        <v>2022</v>
      </c>
      <c r="I44" s="71">
        <v>2023</v>
      </c>
      <c r="J44" s="62">
        <v>2024</v>
      </c>
      <c r="K44" s="71">
        <v>2025</v>
      </c>
      <c r="L44" s="71">
        <v>2026</v>
      </c>
      <c r="M44" s="71">
        <v>2027</v>
      </c>
      <c r="N44" s="71">
        <v>2028</v>
      </c>
      <c r="O44" s="71">
        <v>2029</v>
      </c>
      <c r="P44" s="71">
        <v>2030</v>
      </c>
      <c r="Q44" s="71">
        <v>2031</v>
      </c>
      <c r="R44" s="71">
        <v>2032</v>
      </c>
      <c r="S44" s="67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x14ac:dyDescent="0.25">
      <c r="A45" s="1"/>
      <c r="B45" s="1" t="s">
        <v>22</v>
      </c>
      <c r="C45" s="12">
        <v>8778</v>
      </c>
      <c r="D45" s="12">
        <v>10261</v>
      </c>
      <c r="E45" s="23">
        <v>11682</v>
      </c>
      <c r="F45" s="12">
        <v>12796</v>
      </c>
      <c r="G45" s="12">
        <v>11686</v>
      </c>
      <c r="H45" s="12">
        <v>14460</v>
      </c>
      <c r="I45" s="68">
        <v>13861</v>
      </c>
      <c r="J45" s="20">
        <f>J46*J11</f>
        <v>17000</v>
      </c>
      <c r="K45" s="68">
        <f t="shared" ref="K45:S45" si="40">K46*K11</f>
        <v>19430</v>
      </c>
      <c r="L45" s="68">
        <f t="shared" si="40"/>
        <v>24200</v>
      </c>
      <c r="M45" s="68">
        <f t="shared" si="40"/>
        <v>28540</v>
      </c>
      <c r="N45" s="68">
        <f t="shared" si="40"/>
        <v>31199.999999999996</v>
      </c>
      <c r="O45" s="68">
        <f t="shared" si="40"/>
        <v>28450</v>
      </c>
      <c r="P45" s="68">
        <f t="shared" si="40"/>
        <v>31450</v>
      </c>
      <c r="Q45" s="68">
        <f t="shared" si="40"/>
        <v>34310</v>
      </c>
      <c r="R45" s="68">
        <f t="shared" si="40"/>
        <v>37360</v>
      </c>
      <c r="S45" s="68">
        <f t="shared" si="40"/>
        <v>40590</v>
      </c>
    </row>
    <row r="46" spans="1:86" x14ac:dyDescent="0.25">
      <c r="A46" s="1"/>
      <c r="B46" s="80" t="s">
        <v>18</v>
      </c>
      <c r="C46" s="81">
        <f t="shared" ref="C46:I46" si="41">C45/C11</f>
        <v>9.0896853092543306E-2</v>
      </c>
      <c r="D46" s="81">
        <f t="shared" si="41"/>
        <v>9.2977528089887643E-2</v>
      </c>
      <c r="E46" s="81">
        <f t="shared" si="41"/>
        <v>9.2829954784930432E-2</v>
      </c>
      <c r="F46" s="81">
        <f t="shared" si="41"/>
        <v>8.9473132188931229E-2</v>
      </c>
      <c r="G46" s="81">
        <f t="shared" si="41"/>
        <v>6.9523106943981727E-2</v>
      </c>
      <c r="H46" s="81">
        <f t="shared" si="41"/>
        <v>7.2930851868663937E-2</v>
      </c>
      <c r="I46" s="82">
        <f t="shared" si="41"/>
        <v>6.5408300497841118E-2</v>
      </c>
      <c r="J46" s="83">
        <v>7.2266621322904276E-2</v>
      </c>
      <c r="K46" s="82">
        <v>7.2847930413917211E-2</v>
      </c>
      <c r="L46" s="82">
        <v>7.9508492952656301E-2</v>
      </c>
      <c r="M46" s="82">
        <v>8.4136670499100855E-2</v>
      </c>
      <c r="N46" s="82">
        <v>8.064724584485744E-2</v>
      </c>
      <c r="O46" s="82">
        <v>7.0564016072225802E-2</v>
      </c>
      <c r="P46" s="82">
        <v>7.0427266212826953E-2</v>
      </c>
      <c r="Q46" s="82">
        <v>6.977264408020499E-2</v>
      </c>
      <c r="R46" s="82">
        <v>6.9390787518573555E-2</v>
      </c>
      <c r="S46" s="82">
        <v>7.6004119464469624E-2</v>
      </c>
    </row>
    <row r="47" spans="1:86" x14ac:dyDescent="0.25">
      <c r="A47" s="1"/>
      <c r="B47" s="1"/>
      <c r="C47" s="1"/>
      <c r="D47" s="1"/>
      <c r="F47" s="1"/>
      <c r="G47" s="1"/>
      <c r="H47" s="1"/>
      <c r="I47" s="69"/>
      <c r="J47" s="13"/>
      <c r="K47" s="69"/>
      <c r="L47" s="69"/>
      <c r="M47" s="69"/>
      <c r="N47" s="69"/>
      <c r="O47" s="70"/>
      <c r="P47" s="70"/>
      <c r="Q47" s="70"/>
      <c r="R47" s="70"/>
      <c r="S47" s="70"/>
    </row>
    <row r="48" spans="1:86" x14ac:dyDescent="0.25">
      <c r="A48" s="1"/>
      <c r="B48" s="1" t="s">
        <v>23</v>
      </c>
      <c r="C48" s="12">
        <v>-8129</v>
      </c>
      <c r="D48" s="12">
        <v>-11632</v>
      </c>
      <c r="E48" s="23">
        <v>-13925</v>
      </c>
      <c r="F48" s="12">
        <v>-15441</v>
      </c>
      <c r="G48" s="12">
        <v>-20622</v>
      </c>
      <c r="H48" s="12">
        <v>-23886</v>
      </c>
      <c r="I48" s="68">
        <v>-28107</v>
      </c>
      <c r="J48" s="20">
        <f>J49*J11</f>
        <v>-35790</v>
      </c>
      <c r="K48" s="68">
        <f t="shared" ref="K48:S48" si="42">K49*K11</f>
        <v>-39040.000000000007</v>
      </c>
      <c r="L48" s="68">
        <f t="shared" si="42"/>
        <v>-42939.999999999993</v>
      </c>
      <c r="M48" s="68">
        <f t="shared" si="42"/>
        <v>-40780</v>
      </c>
      <c r="N48" s="68">
        <f t="shared" si="42"/>
        <v>-44110</v>
      </c>
      <c r="O48" s="68">
        <f t="shared" si="42"/>
        <v>-34390</v>
      </c>
      <c r="P48" s="68">
        <f t="shared" si="42"/>
        <v>-36300</v>
      </c>
      <c r="Q48" s="68">
        <f t="shared" si="42"/>
        <v>-38310</v>
      </c>
      <c r="R48" s="68">
        <f t="shared" si="42"/>
        <v>-40410</v>
      </c>
      <c r="S48" s="68">
        <f t="shared" si="42"/>
        <v>-42720</v>
      </c>
    </row>
    <row r="49" spans="1:87" x14ac:dyDescent="0.25">
      <c r="A49" s="1"/>
      <c r="B49" s="80" t="s">
        <v>18</v>
      </c>
      <c r="C49" s="81">
        <f t="shared" ref="C49:I49" si="43">C48/C11</f>
        <v>-8.4176409066904143E-2</v>
      </c>
      <c r="D49" s="81">
        <f t="shared" si="43"/>
        <v>-0.10540050743022834</v>
      </c>
      <c r="E49" s="81">
        <f t="shared" si="43"/>
        <v>-0.11065375110256431</v>
      </c>
      <c r="F49" s="81">
        <f t="shared" si="43"/>
        <v>-0.10796769569625564</v>
      </c>
      <c r="G49" s="81">
        <f t="shared" si="43"/>
        <v>-0.12268573604302509</v>
      </c>
      <c r="H49" s="81">
        <f t="shared" si="43"/>
        <v>-0.12047208352246935</v>
      </c>
      <c r="I49" s="82">
        <f t="shared" si="43"/>
        <v>-0.13263336715192411</v>
      </c>
      <c r="J49" s="83">
        <v>-0.15214249277333788</v>
      </c>
      <c r="K49" s="82">
        <v>-0.14637072585482905</v>
      </c>
      <c r="L49" s="82">
        <v>-0.14107829286723395</v>
      </c>
      <c r="M49" s="82">
        <v>-0.12022051236697032</v>
      </c>
      <c r="N49" s="82">
        <v>-0.11401762866079045</v>
      </c>
      <c r="O49" s="82">
        <v>-8.5296889726672945E-2</v>
      </c>
      <c r="P49" s="82">
        <v>-8.1288068792547491E-2</v>
      </c>
      <c r="Q49" s="82">
        <v>-7.7907024037092779E-2</v>
      </c>
      <c r="R49" s="82">
        <v>-7.5055720653789001E-2</v>
      </c>
      <c r="S49" s="82">
        <v>-7.9992510064600689E-2</v>
      </c>
    </row>
    <row r="50" spans="1:87" x14ac:dyDescent="0.25">
      <c r="A50" s="1"/>
      <c r="B50" s="1"/>
      <c r="C50" s="1"/>
      <c r="D50" s="1"/>
      <c r="F50" s="1"/>
      <c r="G50" s="1"/>
      <c r="H50" s="1"/>
      <c r="I50" s="69"/>
      <c r="J50" s="13"/>
      <c r="K50" s="69"/>
      <c r="L50" s="69"/>
      <c r="M50" s="69"/>
      <c r="N50" s="69"/>
      <c r="O50" s="70"/>
      <c r="P50" s="70"/>
      <c r="Q50" s="70"/>
      <c r="R50" s="70"/>
      <c r="S50" s="70"/>
    </row>
    <row r="51" spans="1:87" x14ac:dyDescent="0.25">
      <c r="A51" s="1"/>
      <c r="B51" s="1" t="s">
        <v>24</v>
      </c>
      <c r="C51" s="1">
        <v>4876</v>
      </c>
      <c r="D51" s="1">
        <v>20467</v>
      </c>
      <c r="E51" s="2">
        <v>3866</v>
      </c>
      <c r="F51" s="23">
        <v>-1483</v>
      </c>
      <c r="G51" s="23">
        <v>-936</v>
      </c>
      <c r="H51" s="23">
        <v>446</v>
      </c>
      <c r="I51" s="68">
        <f>-4087+1242-1991-2833-2721+5535-358+2272+553</f>
        <v>-2388</v>
      </c>
      <c r="J51" s="20">
        <f t="shared" ref="I51:S51" si="44">J52*J11</f>
        <v>-2352.3999999999996</v>
      </c>
      <c r="K51" s="68">
        <f t="shared" si="44"/>
        <v>-2667.2000000000003</v>
      </c>
      <c r="L51" s="68">
        <f t="shared" si="44"/>
        <v>-3043.7000000000003</v>
      </c>
      <c r="M51" s="68">
        <f t="shared" si="44"/>
        <v>-3392.1</v>
      </c>
      <c r="N51" s="68">
        <f t="shared" si="44"/>
        <v>-3868.7000000000003</v>
      </c>
      <c r="O51" s="68">
        <f t="shared" si="44"/>
        <v>-4031.8</v>
      </c>
      <c r="P51" s="68">
        <f t="shared" si="44"/>
        <v>-4465.5999999999995</v>
      </c>
      <c r="Q51" s="68">
        <f t="shared" si="44"/>
        <v>-4917.4000000000005</v>
      </c>
      <c r="R51" s="68">
        <f t="shared" si="44"/>
        <v>-5384</v>
      </c>
      <c r="S51" s="68">
        <f t="shared" si="44"/>
        <v>-5340.5</v>
      </c>
    </row>
    <row r="52" spans="1:87" x14ac:dyDescent="0.25">
      <c r="A52" s="1"/>
      <c r="B52" s="80" t="s">
        <v>18</v>
      </c>
      <c r="C52" s="81">
        <f t="shared" ref="C52:I52" si="45">C51/C11</f>
        <v>5.0491348334386101E-2</v>
      </c>
      <c r="D52" s="81">
        <f t="shared" si="45"/>
        <v>0.18545668720550923</v>
      </c>
      <c r="E52" s="81">
        <f t="shared" si="45"/>
        <v>3.0720818798026111E-2</v>
      </c>
      <c r="F52" s="81">
        <f t="shared" si="45"/>
        <v>-1.03695416564696E-2</v>
      </c>
      <c r="G52" s="81">
        <f t="shared" si="45"/>
        <v>-5.5685117319499312E-3</v>
      </c>
      <c r="H52" s="81">
        <f t="shared" si="45"/>
        <v>2.2494578100569931E-3</v>
      </c>
      <c r="I52" s="82">
        <f t="shared" si="45"/>
        <v>-1.126866904183281E-2</v>
      </c>
      <c r="J52" s="91">
        <v>-0.01</v>
      </c>
      <c r="K52" s="92">
        <v>-0.01</v>
      </c>
      <c r="L52" s="92">
        <v>-0.01</v>
      </c>
      <c r="M52" s="92">
        <v>-0.01</v>
      </c>
      <c r="N52" s="92">
        <v>-0.01</v>
      </c>
      <c r="O52" s="92">
        <v>-0.01</v>
      </c>
      <c r="P52" s="92">
        <v>-0.01</v>
      </c>
      <c r="Q52" s="92">
        <v>-0.01</v>
      </c>
      <c r="R52" s="92">
        <v>-0.01</v>
      </c>
      <c r="S52" s="92">
        <v>-0.01</v>
      </c>
    </row>
    <row r="53" spans="1:87" x14ac:dyDescent="0.25">
      <c r="A53" s="1"/>
      <c r="B53" s="1"/>
      <c r="C53" s="1"/>
      <c r="D53" s="1"/>
      <c r="E53" s="1"/>
      <c r="F53" s="1"/>
      <c r="G53" s="1"/>
      <c r="H53" s="1"/>
      <c r="I53" s="69"/>
      <c r="J53" s="13"/>
      <c r="K53" s="69"/>
      <c r="L53" s="69"/>
      <c r="M53" s="69"/>
      <c r="N53" s="69"/>
      <c r="O53" s="69"/>
      <c r="P53" s="69"/>
      <c r="Q53" s="69"/>
      <c r="R53" s="70"/>
      <c r="S53" s="70"/>
    </row>
    <row r="54" spans="1:87" x14ac:dyDescent="0.25">
      <c r="A54" s="1"/>
      <c r="B54" s="10" t="s">
        <v>25</v>
      </c>
      <c r="C54" s="66">
        <f t="shared" ref="C54:H54" si="46">C38-C41</f>
        <v>24613</v>
      </c>
      <c r="D54" s="66">
        <f t="shared" si="46"/>
        <v>15155</v>
      </c>
      <c r="E54" s="66">
        <f t="shared" si="46"/>
        <v>38511</v>
      </c>
      <c r="F54" s="66">
        <f t="shared" si="46"/>
        <v>44204</v>
      </c>
      <c r="G54" s="66">
        <f t="shared" si="46"/>
        <v>60085</v>
      </c>
      <c r="H54" s="66">
        <f t="shared" si="46"/>
        <v>72405</v>
      </c>
      <c r="I54" s="66">
        <f>I38-I41</f>
        <v>71573</v>
      </c>
      <c r="J54" s="61">
        <f t="shared" ref="J54:S54" si="47">J38-J41</f>
        <v>81159.040000000008</v>
      </c>
      <c r="K54" s="66">
        <f t="shared" si="47"/>
        <v>92643.12000000001</v>
      </c>
      <c r="L54" s="66">
        <f t="shared" si="47"/>
        <v>107222.52</v>
      </c>
      <c r="M54" s="66">
        <f t="shared" si="47"/>
        <v>119183.16</v>
      </c>
      <c r="N54" s="66">
        <f t="shared" si="47"/>
        <v>136532.51999999999</v>
      </c>
      <c r="O54" s="66">
        <f t="shared" si="47"/>
        <v>146327.28</v>
      </c>
      <c r="P54" s="66">
        <f t="shared" si="47"/>
        <v>164253.76000000001</v>
      </c>
      <c r="Q54" s="66">
        <f t="shared" si="47"/>
        <v>183253.04000000004</v>
      </c>
      <c r="R54" s="66">
        <f t="shared" si="47"/>
        <v>203196.4</v>
      </c>
      <c r="S54" s="66">
        <f t="shared" si="47"/>
        <v>196243.79999999996</v>
      </c>
    </row>
    <row r="55" spans="1:87" x14ac:dyDescent="0.25">
      <c r="A55" s="1"/>
      <c r="B55" s="10" t="s">
        <v>26</v>
      </c>
      <c r="C55" s="12">
        <f t="shared" ref="C55:G55" si="48">C36-C41</f>
        <v>25489</v>
      </c>
      <c r="D55" s="12">
        <f t="shared" si="48"/>
        <v>16571</v>
      </c>
      <c r="E55" s="12">
        <f t="shared" si="48"/>
        <v>39240</v>
      </c>
      <c r="F55" s="12">
        <f t="shared" si="48"/>
        <v>44281</v>
      </c>
      <c r="G55" s="12">
        <f t="shared" si="48"/>
        <v>61271</v>
      </c>
      <c r="H55" s="12">
        <f>H36-H41</f>
        <v>72738</v>
      </c>
      <c r="I55" s="66">
        <f>I36-I41</f>
        <v>72361</v>
      </c>
      <c r="J55" s="61">
        <f t="shared" ref="J55:S55" si="49">J36-J41</f>
        <v>82100.000000000015</v>
      </c>
      <c r="K55" s="66">
        <f t="shared" si="49"/>
        <v>93710.000000000015</v>
      </c>
      <c r="L55" s="66">
        <f t="shared" si="49"/>
        <v>108440.00000000001</v>
      </c>
      <c r="M55" s="66">
        <f t="shared" si="49"/>
        <v>120540</v>
      </c>
      <c r="N55" s="66">
        <f t="shared" si="49"/>
        <v>138080</v>
      </c>
      <c r="O55" s="66">
        <f t="shared" si="49"/>
        <v>147940</v>
      </c>
      <c r="P55" s="66">
        <f t="shared" si="49"/>
        <v>166040</v>
      </c>
      <c r="Q55" s="66">
        <f t="shared" si="49"/>
        <v>185220.00000000003</v>
      </c>
      <c r="R55" s="66">
        <f t="shared" si="49"/>
        <v>205350</v>
      </c>
      <c r="S55" s="66">
        <f t="shared" si="49"/>
        <v>198379.99999999997</v>
      </c>
      <c r="T55" s="57">
        <f t="shared" ref="T55:CE55" si="50">S55*(1+$E$6)</f>
        <v>204331.39999999997</v>
      </c>
      <c r="U55" s="57">
        <f t="shared" si="50"/>
        <v>210461.34199999998</v>
      </c>
      <c r="V55" s="57">
        <f t="shared" si="50"/>
        <v>216775.18225999997</v>
      </c>
      <c r="W55" s="57">
        <f t="shared" si="50"/>
        <v>223278.43772779999</v>
      </c>
      <c r="X55" s="57">
        <f t="shared" si="50"/>
        <v>229976.790859634</v>
      </c>
      <c r="Y55" s="57">
        <f t="shared" si="50"/>
        <v>236876.09458542304</v>
      </c>
      <c r="Z55" s="57">
        <f t="shared" si="50"/>
        <v>243982.37742298574</v>
      </c>
      <c r="AA55" s="57">
        <f t="shared" si="50"/>
        <v>251301.84874567532</v>
      </c>
      <c r="AB55" s="57">
        <f t="shared" si="50"/>
        <v>258840.9042080456</v>
      </c>
      <c r="AC55" s="57">
        <f t="shared" si="50"/>
        <v>266606.131334287</v>
      </c>
      <c r="AD55" s="57">
        <f t="shared" si="50"/>
        <v>274604.3152743156</v>
      </c>
      <c r="AE55" s="57">
        <f t="shared" si="50"/>
        <v>282842.44473254506</v>
      </c>
      <c r="AF55" s="57">
        <f t="shared" si="50"/>
        <v>291327.7180745214</v>
      </c>
      <c r="AG55" s="57">
        <f t="shared" si="50"/>
        <v>300067.54961675702</v>
      </c>
      <c r="AH55" s="57">
        <f t="shared" si="50"/>
        <v>309069.57610525977</v>
      </c>
      <c r="AI55" s="57">
        <f t="shared" si="50"/>
        <v>318341.66338841757</v>
      </c>
      <c r="AJ55" s="57">
        <f t="shared" si="50"/>
        <v>327891.91329007008</v>
      </c>
      <c r="AK55" s="57">
        <f t="shared" si="50"/>
        <v>337728.67068877217</v>
      </c>
      <c r="AL55" s="57">
        <f t="shared" si="50"/>
        <v>347860.53080943535</v>
      </c>
      <c r="AM55" s="57">
        <f t="shared" si="50"/>
        <v>358296.34673371841</v>
      </c>
      <c r="AN55" s="57">
        <f t="shared" si="50"/>
        <v>369045.23713572999</v>
      </c>
      <c r="AO55" s="57">
        <f t="shared" si="50"/>
        <v>380116.59424980188</v>
      </c>
      <c r="AP55" s="57">
        <f t="shared" si="50"/>
        <v>391520.09207729594</v>
      </c>
      <c r="AQ55" s="57">
        <f t="shared" si="50"/>
        <v>403265.69483961485</v>
      </c>
      <c r="AR55" s="57">
        <f t="shared" si="50"/>
        <v>415363.66568480333</v>
      </c>
      <c r="AS55" s="57">
        <f t="shared" si="50"/>
        <v>427824.57565534743</v>
      </c>
      <c r="AT55" s="57">
        <f t="shared" si="50"/>
        <v>440659.31292500789</v>
      </c>
      <c r="AU55" s="57">
        <f t="shared" si="50"/>
        <v>453879.09231275815</v>
      </c>
      <c r="AV55" s="57">
        <f t="shared" si="50"/>
        <v>467495.46508214093</v>
      </c>
      <c r="AW55" s="57">
        <f t="shared" si="50"/>
        <v>481520.32903460518</v>
      </c>
      <c r="AX55" s="57">
        <f t="shared" si="50"/>
        <v>495965.93890564336</v>
      </c>
      <c r="AY55" s="57">
        <f t="shared" si="50"/>
        <v>510844.91707281268</v>
      </c>
      <c r="AZ55" s="57">
        <f t="shared" si="50"/>
        <v>526170.26458499709</v>
      </c>
      <c r="BA55" s="57">
        <f t="shared" si="50"/>
        <v>541955.37252254703</v>
      </c>
      <c r="BB55" s="57">
        <f t="shared" si="50"/>
        <v>558214.03369822341</v>
      </c>
      <c r="BC55" s="57">
        <f t="shared" si="50"/>
        <v>574960.45470917015</v>
      </c>
      <c r="BD55" s="57">
        <f t="shared" si="50"/>
        <v>592209.26835044532</v>
      </c>
      <c r="BE55" s="57">
        <f t="shared" si="50"/>
        <v>609975.54640095867</v>
      </c>
      <c r="BF55" s="57">
        <f t="shared" si="50"/>
        <v>628274.81279298745</v>
      </c>
      <c r="BG55" s="57">
        <f t="shared" si="50"/>
        <v>647123.05717677705</v>
      </c>
      <c r="BH55" s="57">
        <f t="shared" si="50"/>
        <v>666536.74889208039</v>
      </c>
      <c r="BI55" s="57">
        <f t="shared" si="50"/>
        <v>686532.8513588428</v>
      </c>
      <c r="BJ55" s="57">
        <f t="shared" si="50"/>
        <v>707128.83689960814</v>
      </c>
      <c r="BK55" s="57">
        <f t="shared" si="50"/>
        <v>728342.70200659637</v>
      </c>
      <c r="BL55" s="57">
        <f t="shared" si="50"/>
        <v>750192.98306679423</v>
      </c>
      <c r="BM55" s="57">
        <f t="shared" si="50"/>
        <v>772698.77255879808</v>
      </c>
      <c r="BN55" s="57">
        <f t="shared" si="50"/>
        <v>795879.73573556205</v>
      </c>
      <c r="BO55" s="57">
        <f t="shared" si="50"/>
        <v>819756.12780762895</v>
      </c>
      <c r="BP55" s="57">
        <f t="shared" si="50"/>
        <v>844348.81164185784</v>
      </c>
      <c r="BQ55" s="57">
        <f t="shared" si="50"/>
        <v>869679.27599111362</v>
      </c>
      <c r="BR55" s="57">
        <f t="shared" si="50"/>
        <v>895769.6542708471</v>
      </c>
      <c r="BS55" s="57">
        <f t="shared" si="50"/>
        <v>922642.74389897252</v>
      </c>
      <c r="BT55" s="57">
        <f t="shared" si="50"/>
        <v>950322.02621594176</v>
      </c>
      <c r="BU55" s="57">
        <f t="shared" si="50"/>
        <v>978831.68700242008</v>
      </c>
      <c r="BV55" s="57">
        <f t="shared" si="50"/>
        <v>1008196.6376124927</v>
      </c>
      <c r="BW55" s="57">
        <f t="shared" si="50"/>
        <v>1038442.5367408674</v>
      </c>
      <c r="BX55" s="57">
        <f t="shared" si="50"/>
        <v>1069595.8128430934</v>
      </c>
      <c r="BY55" s="57">
        <f t="shared" si="50"/>
        <v>1101683.6872283863</v>
      </c>
      <c r="BZ55" s="57">
        <f t="shared" si="50"/>
        <v>1134734.1978452378</v>
      </c>
      <c r="CA55" s="57">
        <f t="shared" si="50"/>
        <v>1168776.223780595</v>
      </c>
      <c r="CB55" s="57">
        <f t="shared" si="50"/>
        <v>1203839.5104940129</v>
      </c>
      <c r="CC55" s="57">
        <f t="shared" si="50"/>
        <v>1239954.6958088332</v>
      </c>
      <c r="CD55" s="57">
        <f t="shared" si="50"/>
        <v>1277153.3366830982</v>
      </c>
      <c r="CE55" s="57">
        <f t="shared" si="50"/>
        <v>1315467.9367835913</v>
      </c>
      <c r="CF55" s="57">
        <f t="shared" ref="CF55:CI55" si="51">CE55*(1+$E$6)</f>
        <v>1354931.9748870991</v>
      </c>
      <c r="CG55" s="57">
        <f t="shared" si="51"/>
        <v>1395579.9341337122</v>
      </c>
      <c r="CH55" s="57">
        <f t="shared" si="51"/>
        <v>1437447.3321577236</v>
      </c>
      <c r="CI55" s="57">
        <f t="shared" si="51"/>
        <v>1480570.7521224553</v>
      </c>
    </row>
    <row r="56" spans="1:87" x14ac:dyDescent="0.25">
      <c r="A56" s="1"/>
      <c r="B56" s="6"/>
      <c r="C56" s="21"/>
      <c r="D56" s="21"/>
      <c r="E56" s="21"/>
      <c r="F56" s="21"/>
      <c r="G56" s="21"/>
      <c r="H56" s="21"/>
      <c r="I56" s="69"/>
      <c r="J56" s="13"/>
      <c r="K56" s="69"/>
      <c r="L56" s="69"/>
      <c r="M56" s="69"/>
      <c r="N56" s="69"/>
      <c r="O56" s="69"/>
      <c r="P56" s="69"/>
      <c r="Q56" s="69"/>
      <c r="R56" s="70"/>
      <c r="S56" s="70"/>
    </row>
    <row r="57" spans="1:87" x14ac:dyDescent="0.25">
      <c r="A57" s="1"/>
      <c r="B57" s="10" t="s">
        <v>27</v>
      </c>
      <c r="C57" s="12">
        <f>C54+C45+C48-C51</f>
        <v>20386</v>
      </c>
      <c r="D57" s="12">
        <f t="shared" ref="D57:F57" si="52">D54+D45+D48-D51</f>
        <v>-6683</v>
      </c>
      <c r="E57" s="12">
        <f t="shared" si="52"/>
        <v>32402</v>
      </c>
      <c r="F57" s="12">
        <f t="shared" si="52"/>
        <v>43042</v>
      </c>
      <c r="G57" s="12">
        <f>G54+G45+G48-G51</f>
        <v>52085</v>
      </c>
      <c r="H57" s="12">
        <f>H54+H45+H48-H51</f>
        <v>62533</v>
      </c>
      <c r="I57" s="66">
        <f>I54+I45+I48-I51</f>
        <v>59715</v>
      </c>
      <c r="J57" s="61">
        <f t="shared" ref="J57:S57" si="53">J54+J45+J48-J51</f>
        <v>64721.44000000001</v>
      </c>
      <c r="K57" s="66">
        <f t="shared" si="53"/>
        <v>75700.319999999992</v>
      </c>
      <c r="L57" s="66">
        <f t="shared" si="53"/>
        <v>91526.220000000016</v>
      </c>
      <c r="M57" s="66">
        <f t="shared" si="53"/>
        <v>110335.26000000001</v>
      </c>
      <c r="N57" s="66">
        <f t="shared" si="53"/>
        <v>127491.21999999999</v>
      </c>
      <c r="O57" s="66">
        <f t="shared" si="53"/>
        <v>144419.07999999999</v>
      </c>
      <c r="P57" s="66">
        <f t="shared" si="53"/>
        <v>163869.36000000002</v>
      </c>
      <c r="Q57" s="66">
        <f t="shared" si="53"/>
        <v>184170.44000000003</v>
      </c>
      <c r="R57" s="66">
        <f t="shared" si="53"/>
        <v>205530.4</v>
      </c>
      <c r="S57" s="66">
        <f t="shared" si="53"/>
        <v>199454.29999999996</v>
      </c>
    </row>
    <row r="58" spans="1:87" x14ac:dyDescent="0.25">
      <c r="A58" s="1"/>
      <c r="B58" s="24" t="s">
        <v>28</v>
      </c>
      <c r="C58" s="1"/>
      <c r="D58" s="1"/>
      <c r="E58" s="1"/>
      <c r="F58" s="1"/>
      <c r="G58" s="1"/>
      <c r="H58" s="1"/>
      <c r="I58" s="58"/>
      <c r="J58" s="60">
        <f>J57/((1+$E$5)^J9)</f>
        <v>59426.343723290251</v>
      </c>
      <c r="K58" s="58">
        <f t="shared" ref="K58:S58" si="54">K57/((1+$E$5)^K9)</f>
        <v>63820.381170272769</v>
      </c>
      <c r="L58" s="58">
        <f t="shared" si="54"/>
        <v>70849.704635813701</v>
      </c>
      <c r="M58" s="58">
        <f t="shared" si="54"/>
        <v>78421.957659358857</v>
      </c>
      <c r="N58" s="58">
        <f t="shared" si="54"/>
        <v>83202.135444957137</v>
      </c>
      <c r="O58" s="58">
        <f t="shared" si="54"/>
        <v>86538.549013528333</v>
      </c>
      <c r="P58" s="58">
        <f t="shared" si="54"/>
        <v>90159.943692745379</v>
      </c>
      <c r="Q58" s="58">
        <f t="shared" si="54"/>
        <v>93039.343890312637</v>
      </c>
      <c r="R58" s="58">
        <f t="shared" si="54"/>
        <v>95335.274213487835</v>
      </c>
      <c r="S58" s="58">
        <f t="shared" si="54"/>
        <v>84947.733405525752</v>
      </c>
    </row>
    <row r="59" spans="1:87" x14ac:dyDescent="0.25">
      <c r="A59" s="1"/>
      <c r="B59" s="25"/>
      <c r="C59" s="25"/>
      <c r="D59" s="25"/>
      <c r="E59" s="25"/>
      <c r="F59" s="25"/>
      <c r="G59" s="25"/>
      <c r="H59" s="25"/>
      <c r="I59" s="69"/>
      <c r="J59" s="13"/>
      <c r="K59" s="1"/>
      <c r="L59" s="1"/>
      <c r="M59" s="1"/>
      <c r="N59" s="1"/>
      <c r="O59" s="1"/>
      <c r="P59" s="1"/>
      <c r="Q59" s="1"/>
      <c r="R59" s="1"/>
    </row>
    <row r="60" spans="1:87" x14ac:dyDescent="0.25">
      <c r="A60" s="1"/>
      <c r="B60" s="1" t="s">
        <v>29</v>
      </c>
      <c r="C60" s="26">
        <f>(S57*(1+$E$6))/($E$5-$E$6)</f>
        <v>3475900.1932556522</v>
      </c>
      <c r="D60" s="1"/>
      <c r="E60" s="1" t="s">
        <v>30</v>
      </c>
      <c r="F60" s="18">
        <f>NPV($E$5,J55:CI55)</f>
        <v>2306712.804282208</v>
      </c>
      <c r="G60" s="1"/>
      <c r="H60" s="1"/>
      <c r="I60" s="69"/>
      <c r="J60" s="13"/>
      <c r="K60" s="1"/>
      <c r="L60" s="1"/>
      <c r="M60" s="1"/>
      <c r="N60" s="1"/>
      <c r="O60" s="1"/>
      <c r="P60" s="1"/>
      <c r="Q60" s="1"/>
    </row>
    <row r="61" spans="1:87" x14ac:dyDescent="0.25">
      <c r="A61" s="1"/>
      <c r="B61" s="3" t="s">
        <v>31</v>
      </c>
      <c r="C61" s="27">
        <f>C60/((1+$E$5)^$S$9)</f>
        <v>1480388.4547031408</v>
      </c>
      <c r="D61" s="16"/>
      <c r="E61" s="3"/>
      <c r="F61" s="3"/>
      <c r="G61" s="3"/>
      <c r="H61" s="16"/>
      <c r="I61" s="73"/>
      <c r="J61" s="13"/>
      <c r="M61" s="51" t="s">
        <v>52</v>
      </c>
      <c r="N61" s="52"/>
      <c r="O61" s="52"/>
      <c r="P61" s="52"/>
      <c r="Q61" s="52"/>
      <c r="R61" s="51"/>
    </row>
    <row r="62" spans="1:87" x14ac:dyDescent="0.25">
      <c r="A62" s="1"/>
      <c r="B62" s="6" t="s">
        <v>32</v>
      </c>
      <c r="C62" s="6"/>
      <c r="D62" s="1"/>
      <c r="E62" s="6"/>
      <c r="F62" s="6"/>
      <c r="H62" s="28" t="s">
        <v>33</v>
      </c>
      <c r="I62" s="28" t="s">
        <v>30</v>
      </c>
      <c r="J62" s="13"/>
      <c r="L62" s="51"/>
      <c r="M62" s="78">
        <f>D68</f>
        <v>312.47687003058115</v>
      </c>
      <c r="N62" s="74">
        <v>0.01</v>
      </c>
      <c r="O62" s="74">
        <v>0.02</v>
      </c>
      <c r="P62" s="74">
        <v>0.03</v>
      </c>
      <c r="Q62" s="74">
        <v>0.04</v>
      </c>
      <c r="R62" s="74">
        <v>0.05</v>
      </c>
    </row>
    <row r="63" spans="1:87" x14ac:dyDescent="0.25">
      <c r="A63" s="1"/>
      <c r="B63" s="29" t="s">
        <v>34</v>
      </c>
      <c r="C63" s="1"/>
      <c r="D63" s="35">
        <f>34704+76558</f>
        <v>111262</v>
      </c>
      <c r="E63" s="1"/>
      <c r="F63" s="1"/>
      <c r="H63" s="26">
        <f>C61+SUM(J58:S58)</f>
        <v>2286129.8215524335</v>
      </c>
      <c r="I63" s="18">
        <f>F60</f>
        <v>2306712.804282208</v>
      </c>
      <c r="J63" s="13"/>
      <c r="L63" s="51"/>
      <c r="M63" s="53">
        <f>M64-0.5%</f>
        <v>7.4114591504231678E-2</v>
      </c>
      <c r="N63" s="75">
        <f t="dataTable" ref="N63:R67" dt2D="1" dtr="1" r1="E6" r2="E5"/>
        <v>330.19582422760732</v>
      </c>
      <c r="O63" s="75">
        <v>368.6484519897715</v>
      </c>
      <c r="P63" s="75">
        <v>422.43594203513652</v>
      </c>
      <c r="Q63" s="75">
        <v>502.54397703884359</v>
      </c>
      <c r="R63" s="75">
        <v>635.0118566332676</v>
      </c>
    </row>
    <row r="64" spans="1:87" x14ac:dyDescent="0.25">
      <c r="A64" s="1"/>
      <c r="B64" s="30" t="s">
        <v>35</v>
      </c>
      <c r="C64" s="3"/>
      <c r="D64" s="31">
        <f>104149-18095</f>
        <v>86054</v>
      </c>
      <c r="E64" s="3"/>
      <c r="F64" s="3"/>
      <c r="G64" s="38"/>
      <c r="H64" s="3"/>
      <c r="I64" s="3"/>
      <c r="J64" s="13"/>
      <c r="L64" s="52"/>
      <c r="M64" s="53">
        <f>M65-1%</f>
        <v>7.9114591504231682E-2</v>
      </c>
      <c r="N64" s="75">
        <v>303.8688828027382</v>
      </c>
      <c r="O64" s="76">
        <v>335.57054762664905</v>
      </c>
      <c r="P64" s="76">
        <v>378.86958837946327</v>
      </c>
      <c r="Q64" s="76">
        <v>441.14333687535031</v>
      </c>
      <c r="R64" s="75">
        <v>538.07766237846397</v>
      </c>
    </row>
    <row r="65" spans="1:18" x14ac:dyDescent="0.25">
      <c r="A65" s="1"/>
      <c r="B65" s="6" t="s">
        <v>36</v>
      </c>
      <c r="C65" s="6"/>
      <c r="D65" s="6"/>
      <c r="E65" s="6"/>
      <c r="F65" s="6"/>
      <c r="H65" s="32">
        <f>(H63+D63-D64)</f>
        <v>2311337.8215524335</v>
      </c>
      <c r="I65" s="33">
        <f>(I63+D63-D64)</f>
        <v>2331920.804282208</v>
      </c>
      <c r="J65" s="72"/>
      <c r="L65" s="51" t="s">
        <v>1</v>
      </c>
      <c r="M65" s="55">
        <v>8.9114591504231677E-2</v>
      </c>
      <c r="N65" s="75">
        <v>261.11003904922291</v>
      </c>
      <c r="O65" s="76">
        <v>283.27795694869917</v>
      </c>
      <c r="P65" s="77">
        <v>312.41504038795142</v>
      </c>
      <c r="Q65" s="76">
        <v>352.18957854977066</v>
      </c>
      <c r="R65" s="75">
        <v>409.35889089258131</v>
      </c>
    </row>
    <row r="66" spans="1:18" x14ac:dyDescent="0.25">
      <c r="A66" s="1"/>
      <c r="B66" s="3" t="s">
        <v>37</v>
      </c>
      <c r="C66" s="3"/>
      <c r="D66" s="35">
        <f>7429763722/1000000</f>
        <v>7429.7637219999997</v>
      </c>
      <c r="E66" s="3"/>
      <c r="F66" s="3"/>
      <c r="G66" s="38"/>
      <c r="H66" s="3"/>
      <c r="I66" s="3"/>
      <c r="J66" s="13"/>
      <c r="L66" s="51"/>
      <c r="M66" s="56">
        <f>M65+1%</f>
        <v>9.9114591504231672E-2</v>
      </c>
      <c r="N66" s="75">
        <v>227.99669944980712</v>
      </c>
      <c r="O66" s="76">
        <v>243.98975591850467</v>
      </c>
      <c r="P66" s="76">
        <v>264.38823037906906</v>
      </c>
      <c r="Q66" s="76">
        <v>291.18809659263434</v>
      </c>
      <c r="R66" s="75">
        <v>327.75232975085822</v>
      </c>
    </row>
    <row r="67" spans="1:18" x14ac:dyDescent="0.25">
      <c r="A67" s="1"/>
      <c r="B67" s="17" t="s">
        <v>38</v>
      </c>
      <c r="C67" s="17"/>
      <c r="D67" s="17">
        <f>D66*$J$5</f>
        <v>2514009.1506131398</v>
      </c>
      <c r="E67" s="17"/>
      <c r="F67" s="17"/>
      <c r="H67" s="17"/>
      <c r="I67" s="17"/>
      <c r="J67" s="13"/>
      <c r="L67" s="51"/>
      <c r="M67" s="56">
        <f>M66+1%</f>
        <v>0.10911459150423167</v>
      </c>
      <c r="N67" s="75">
        <v>201.69060700214123</v>
      </c>
      <c r="O67" s="75">
        <v>213.52637602284952</v>
      </c>
      <c r="P67" s="75">
        <v>228.25827085258766</v>
      </c>
      <c r="Q67" s="75">
        <v>247.04222321957701</v>
      </c>
      <c r="R67" s="75">
        <v>271.71033599828633</v>
      </c>
    </row>
    <row r="68" spans="1:18" x14ac:dyDescent="0.25">
      <c r="A68" s="1"/>
      <c r="B68" s="6" t="s">
        <v>39</v>
      </c>
      <c r="C68" s="6" t="s">
        <v>40</v>
      </c>
      <c r="D68" s="34">
        <f>(H68+I68)/2</f>
        <v>312.47687003058115</v>
      </c>
      <c r="F68" s="6"/>
      <c r="H68" s="34">
        <f>H65/D66</f>
        <v>311.09169928357431</v>
      </c>
      <c r="I68" s="34">
        <f>I65/D66</f>
        <v>313.86204077758799</v>
      </c>
      <c r="J68" s="13"/>
    </row>
    <row r="69" spans="1:18" x14ac:dyDescent="0.25">
      <c r="A69"/>
      <c r="C69" s="1"/>
      <c r="D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B9D3-B7E5-46C7-8ABD-26567D06A5AF}">
  <dimension ref="A1:N41"/>
  <sheetViews>
    <sheetView topLeftCell="A4" workbookViewId="0">
      <selection activeCell="L10" sqref="L10:N10"/>
    </sheetView>
  </sheetViews>
  <sheetFormatPr defaultRowHeight="15" x14ac:dyDescent="0.25"/>
  <cols>
    <col min="1" max="1" width="15" customWidth="1"/>
    <col min="6" max="6" width="40.5703125" customWidth="1"/>
    <col min="7" max="7" width="30.28515625" customWidth="1"/>
  </cols>
  <sheetData>
    <row r="1" spans="1:14" x14ac:dyDescent="0.25">
      <c r="A1" t="s">
        <v>108</v>
      </c>
      <c r="G1" t="s">
        <v>113</v>
      </c>
    </row>
    <row r="2" spans="1:14" x14ac:dyDescent="0.25">
      <c r="A2" t="s">
        <v>54</v>
      </c>
      <c r="B2">
        <v>2017</v>
      </c>
      <c r="C2">
        <v>2018</v>
      </c>
      <c r="D2">
        <v>2019</v>
      </c>
      <c r="G2" t="s">
        <v>54</v>
      </c>
      <c r="H2">
        <v>2017</v>
      </c>
      <c r="I2">
        <v>2018</v>
      </c>
      <c r="J2">
        <v>2019</v>
      </c>
    </row>
    <row r="3" spans="1:14" x14ac:dyDescent="0.25">
      <c r="A3" t="s">
        <v>55</v>
      </c>
      <c r="G3" t="s">
        <v>74</v>
      </c>
    </row>
    <row r="4" spans="1:14" x14ac:dyDescent="0.25">
      <c r="A4" t="s">
        <v>56</v>
      </c>
      <c r="B4" s="35">
        <v>63811</v>
      </c>
      <c r="C4" s="35">
        <v>64497</v>
      </c>
      <c r="D4" s="35">
        <v>66069</v>
      </c>
      <c r="G4" t="s">
        <v>26</v>
      </c>
      <c r="H4" t="s">
        <v>112</v>
      </c>
      <c r="I4" t="s">
        <v>111</v>
      </c>
      <c r="J4" t="s">
        <v>110</v>
      </c>
    </row>
    <row r="5" spans="1:14" x14ac:dyDescent="0.25">
      <c r="A5" t="s">
        <v>57</v>
      </c>
      <c r="B5" s="35">
        <v>32760</v>
      </c>
      <c r="C5" s="35">
        <v>45863</v>
      </c>
      <c r="D5" s="35">
        <v>59774</v>
      </c>
      <c r="G5" t="s">
        <v>75</v>
      </c>
    </row>
    <row r="6" spans="1:14" x14ac:dyDescent="0.25">
      <c r="A6" t="s">
        <v>58</v>
      </c>
      <c r="B6" s="35">
        <v>96571</v>
      </c>
      <c r="C6" s="35">
        <v>110360</v>
      </c>
      <c r="D6" s="35">
        <v>125843</v>
      </c>
      <c r="G6" t="s">
        <v>76</v>
      </c>
      <c r="H6" s="35">
        <v>8778</v>
      </c>
      <c r="I6" s="35">
        <v>10261</v>
      </c>
      <c r="J6" s="35">
        <v>11682</v>
      </c>
    </row>
    <row r="7" spans="1:14" x14ac:dyDescent="0.25">
      <c r="A7" t="s">
        <v>59</v>
      </c>
      <c r="G7" t="s">
        <v>77</v>
      </c>
      <c r="H7" s="35">
        <v>3266</v>
      </c>
      <c r="I7" s="35">
        <v>3940</v>
      </c>
      <c r="J7" s="35">
        <v>4652</v>
      </c>
    </row>
    <row r="8" spans="1:14" x14ac:dyDescent="0.25">
      <c r="A8" t="s">
        <v>56</v>
      </c>
      <c r="B8" s="35">
        <v>15175</v>
      </c>
      <c r="C8" s="35">
        <v>15420</v>
      </c>
      <c r="D8" s="35">
        <v>16273</v>
      </c>
      <c r="G8" t="s">
        <v>78</v>
      </c>
      <c r="H8" s="35">
        <v>-2073</v>
      </c>
      <c r="I8" s="35">
        <v>-2212</v>
      </c>
      <c r="J8">
        <v>-792</v>
      </c>
    </row>
    <row r="9" spans="1:14" x14ac:dyDescent="0.25">
      <c r="A9" t="s">
        <v>57</v>
      </c>
      <c r="B9" s="35">
        <v>19086</v>
      </c>
      <c r="C9" s="35">
        <v>22933</v>
      </c>
      <c r="D9" s="35">
        <v>26637</v>
      </c>
      <c r="G9" t="s">
        <v>79</v>
      </c>
      <c r="H9">
        <v>-829</v>
      </c>
      <c r="I9" s="35">
        <v>-5143</v>
      </c>
      <c r="J9" s="35">
        <v>-6463</v>
      </c>
    </row>
    <row r="10" spans="1:14" x14ac:dyDescent="0.25">
      <c r="A10" t="s">
        <v>60</v>
      </c>
      <c r="B10" s="35">
        <v>34261</v>
      </c>
      <c r="C10" s="35">
        <v>38353</v>
      </c>
      <c r="D10" s="35">
        <v>42910</v>
      </c>
      <c r="G10" t="s">
        <v>80</v>
      </c>
      <c r="L10" s="35">
        <f>SUM(H11:H19)</f>
        <v>4876</v>
      </c>
      <c r="M10" s="35">
        <f>SUM(I11:I19)</f>
        <v>20467</v>
      </c>
      <c r="N10" s="35">
        <f>SUM(J11:J19)</f>
        <v>3866</v>
      </c>
    </row>
    <row r="11" spans="1:14" x14ac:dyDescent="0.25">
      <c r="A11" t="s">
        <v>61</v>
      </c>
      <c r="B11" s="35">
        <v>62310</v>
      </c>
      <c r="C11" s="35">
        <v>72007</v>
      </c>
      <c r="D11" s="35">
        <v>82933</v>
      </c>
      <c r="G11" t="s">
        <v>81</v>
      </c>
      <c r="H11" s="35">
        <v>-1216</v>
      </c>
      <c r="I11" s="35">
        <v>-3862</v>
      </c>
      <c r="J11" s="35">
        <v>-2812</v>
      </c>
    </row>
    <row r="12" spans="1:14" x14ac:dyDescent="0.25">
      <c r="A12" t="s">
        <v>62</v>
      </c>
      <c r="B12" s="35">
        <v>13037</v>
      </c>
      <c r="C12" s="35">
        <v>14726</v>
      </c>
      <c r="D12" s="35">
        <v>16876</v>
      </c>
      <c r="G12" t="s">
        <v>82</v>
      </c>
      <c r="H12">
        <v>50</v>
      </c>
      <c r="I12">
        <v>-465</v>
      </c>
      <c r="J12">
        <v>597</v>
      </c>
    </row>
    <row r="13" spans="1:14" x14ac:dyDescent="0.25">
      <c r="A13" t="s">
        <v>63</v>
      </c>
      <c r="B13" s="35">
        <v>15461</v>
      </c>
      <c r="C13" s="35">
        <v>17469</v>
      </c>
      <c r="D13" s="35">
        <v>18213</v>
      </c>
      <c r="G13" t="s">
        <v>83</v>
      </c>
      <c r="H13" s="35">
        <v>1028</v>
      </c>
      <c r="I13">
        <v>-952</v>
      </c>
      <c r="J13" s="35">
        <v>-1718</v>
      </c>
    </row>
    <row r="14" spans="1:14" x14ac:dyDescent="0.25">
      <c r="A14" t="s">
        <v>64</v>
      </c>
      <c r="B14" s="35">
        <v>4481</v>
      </c>
      <c r="C14" s="35">
        <v>4754</v>
      </c>
      <c r="D14" s="35">
        <v>4885</v>
      </c>
      <c r="G14" t="s">
        <v>84</v>
      </c>
      <c r="H14">
        <v>-917</v>
      </c>
      <c r="I14">
        <v>-285</v>
      </c>
      <c r="J14" s="35">
        <v>-1834</v>
      </c>
    </row>
    <row r="15" spans="1:14" x14ac:dyDescent="0.25">
      <c r="A15" t="s">
        <v>109</v>
      </c>
      <c r="B15">
        <v>306</v>
      </c>
      <c r="C15">
        <v>0</v>
      </c>
      <c r="D15">
        <v>0</v>
      </c>
      <c r="G15" t="s">
        <v>85</v>
      </c>
      <c r="H15">
        <v>81</v>
      </c>
      <c r="I15" s="35">
        <v>1148</v>
      </c>
      <c r="J15">
        <v>232</v>
      </c>
    </row>
    <row r="16" spans="1:14" x14ac:dyDescent="0.25">
      <c r="A16" t="s">
        <v>14</v>
      </c>
      <c r="B16" s="35">
        <v>29025</v>
      </c>
      <c r="C16" s="35">
        <v>35058</v>
      </c>
      <c r="D16" s="35">
        <v>42959</v>
      </c>
      <c r="G16" t="s">
        <v>86</v>
      </c>
      <c r="H16" s="35">
        <v>3820</v>
      </c>
      <c r="I16" s="35">
        <v>5922</v>
      </c>
      <c r="J16" s="35">
        <v>4462</v>
      </c>
    </row>
    <row r="17" spans="1:10" x14ac:dyDescent="0.25">
      <c r="A17" t="s">
        <v>65</v>
      </c>
      <c r="B17">
        <v>876</v>
      </c>
      <c r="C17" s="35">
        <v>1416</v>
      </c>
      <c r="D17">
        <v>729</v>
      </c>
      <c r="G17" t="s">
        <v>87</v>
      </c>
      <c r="H17" s="35">
        <v>1792</v>
      </c>
      <c r="I17" s="35">
        <v>18183</v>
      </c>
      <c r="J17" s="35">
        <v>2929</v>
      </c>
    </row>
    <row r="18" spans="1:10" x14ac:dyDescent="0.25">
      <c r="A18" t="s">
        <v>66</v>
      </c>
      <c r="B18" s="35">
        <v>29901</v>
      </c>
      <c r="C18" s="35">
        <v>36474</v>
      </c>
      <c r="D18" s="35">
        <v>43688</v>
      </c>
      <c r="G18" t="s">
        <v>88</v>
      </c>
      <c r="H18">
        <v>356</v>
      </c>
      <c r="I18">
        <v>798</v>
      </c>
      <c r="J18" s="35">
        <v>1419</v>
      </c>
    </row>
    <row r="19" spans="1:10" x14ac:dyDescent="0.25">
      <c r="A19" t="s">
        <v>67</v>
      </c>
      <c r="B19" s="35">
        <v>4412</v>
      </c>
      <c r="C19" s="35">
        <v>19903</v>
      </c>
      <c r="D19" s="35">
        <v>4448</v>
      </c>
      <c r="G19" t="s">
        <v>89</v>
      </c>
      <c r="H19">
        <v>-118</v>
      </c>
      <c r="I19">
        <v>-20</v>
      </c>
      <c r="J19">
        <v>591</v>
      </c>
    </row>
    <row r="20" spans="1:10" x14ac:dyDescent="0.25">
      <c r="A20" t="s">
        <v>26</v>
      </c>
      <c r="B20" s="35">
        <v>25489</v>
      </c>
      <c r="C20" s="35">
        <v>16571</v>
      </c>
      <c r="D20" s="35">
        <v>39240</v>
      </c>
      <c r="G20" t="s">
        <v>90</v>
      </c>
      <c r="H20" s="35">
        <v>39507</v>
      </c>
      <c r="I20" s="35">
        <v>43884</v>
      </c>
      <c r="J20" s="35">
        <v>52185</v>
      </c>
    </row>
    <row r="21" spans="1:10" x14ac:dyDescent="0.25">
      <c r="A21" t="s">
        <v>68</v>
      </c>
      <c r="G21" t="s">
        <v>91</v>
      </c>
    </row>
    <row r="22" spans="1:10" x14ac:dyDescent="0.25">
      <c r="A22" t="s">
        <v>69</v>
      </c>
      <c r="B22">
        <v>3.29</v>
      </c>
      <c r="C22">
        <v>2.15</v>
      </c>
      <c r="D22">
        <v>5.1100000000000003</v>
      </c>
      <c r="G22" t="s">
        <v>114</v>
      </c>
      <c r="H22" s="35">
        <v>-4963</v>
      </c>
      <c r="I22" s="35">
        <v>-7324</v>
      </c>
      <c r="J22">
        <v>0</v>
      </c>
    </row>
    <row r="23" spans="1:10" x14ac:dyDescent="0.25">
      <c r="A23" t="s">
        <v>70</v>
      </c>
      <c r="B23">
        <v>3.25</v>
      </c>
      <c r="C23">
        <v>2.13</v>
      </c>
      <c r="D23">
        <v>5.0599999999999996</v>
      </c>
      <c r="G23" t="s">
        <v>115</v>
      </c>
      <c r="H23" s="35">
        <v>44344</v>
      </c>
      <c r="I23" s="35">
        <v>7183</v>
      </c>
      <c r="J23">
        <v>0</v>
      </c>
    </row>
    <row r="24" spans="1:10" x14ac:dyDescent="0.25">
      <c r="A24" t="s">
        <v>71</v>
      </c>
      <c r="G24" t="s">
        <v>92</v>
      </c>
      <c r="H24" s="35">
        <v>-7922</v>
      </c>
      <c r="I24" s="35">
        <v>-10060</v>
      </c>
      <c r="J24" s="35">
        <v>-4000</v>
      </c>
    </row>
    <row r="25" spans="1:10" x14ac:dyDescent="0.25">
      <c r="A25" t="s">
        <v>69</v>
      </c>
      <c r="B25" s="35">
        <v>7746</v>
      </c>
      <c r="C25" s="35">
        <v>7700</v>
      </c>
      <c r="D25" s="35">
        <v>7673</v>
      </c>
      <c r="G25" t="s">
        <v>93</v>
      </c>
      <c r="H25">
        <v>772</v>
      </c>
      <c r="I25" s="35">
        <v>1002</v>
      </c>
      <c r="J25" s="35">
        <v>1142</v>
      </c>
    </row>
    <row r="26" spans="1:10" x14ac:dyDescent="0.25">
      <c r="A26" t="s">
        <v>70</v>
      </c>
      <c r="B26" s="35">
        <v>7832</v>
      </c>
      <c r="C26" s="35">
        <v>7794</v>
      </c>
      <c r="D26" s="35">
        <v>7753</v>
      </c>
      <c r="G26" t="s">
        <v>94</v>
      </c>
      <c r="H26" s="35">
        <v>-11788</v>
      </c>
      <c r="I26" s="35">
        <v>-10721</v>
      </c>
      <c r="J26" s="35">
        <v>-19543</v>
      </c>
    </row>
    <row r="27" spans="1:10" x14ac:dyDescent="0.25">
      <c r="G27" t="s">
        <v>95</v>
      </c>
      <c r="H27" s="35">
        <v>-11845</v>
      </c>
      <c r="I27" s="35">
        <v>-12699</v>
      </c>
      <c r="J27" s="35">
        <v>-13811</v>
      </c>
    </row>
    <row r="28" spans="1:10" x14ac:dyDescent="0.25">
      <c r="G28" t="s">
        <v>96</v>
      </c>
      <c r="H28">
        <v>-190</v>
      </c>
      <c r="I28">
        <v>-971</v>
      </c>
      <c r="J28">
        <v>-675</v>
      </c>
    </row>
    <row r="29" spans="1:10" x14ac:dyDescent="0.25">
      <c r="G29" t="s">
        <v>116</v>
      </c>
      <c r="H29" s="35">
        <v>8408</v>
      </c>
      <c r="I29" s="35">
        <v>-33590</v>
      </c>
      <c r="J29" s="35">
        <v>-36887</v>
      </c>
    </row>
    <row r="30" spans="1:10" x14ac:dyDescent="0.25">
      <c r="G30" t="s">
        <v>97</v>
      </c>
    </row>
    <row r="31" spans="1:10" x14ac:dyDescent="0.25">
      <c r="G31" t="s">
        <v>98</v>
      </c>
      <c r="H31" s="35">
        <v>-8129</v>
      </c>
      <c r="I31" s="35">
        <v>-11632</v>
      </c>
      <c r="J31" s="35">
        <v>-13925</v>
      </c>
    </row>
    <row r="32" spans="1:10" x14ac:dyDescent="0.25">
      <c r="G32" t="s">
        <v>99</v>
      </c>
      <c r="H32" s="35">
        <v>-25944</v>
      </c>
      <c r="I32">
        <v>-888</v>
      </c>
      <c r="J32" s="35">
        <v>-2388</v>
      </c>
    </row>
    <row r="33" spans="7:10" x14ac:dyDescent="0.25">
      <c r="G33" t="s">
        <v>100</v>
      </c>
      <c r="H33" s="35">
        <v>-176905</v>
      </c>
      <c r="I33" s="35">
        <v>-137380</v>
      </c>
      <c r="J33" s="35">
        <v>-57697</v>
      </c>
    </row>
    <row r="34" spans="7:10" x14ac:dyDescent="0.25">
      <c r="G34" t="s">
        <v>101</v>
      </c>
      <c r="H34" s="35">
        <v>28044</v>
      </c>
      <c r="I34" s="35">
        <v>26360</v>
      </c>
      <c r="J34" s="35">
        <v>20043</v>
      </c>
    </row>
    <row r="35" spans="7:10" x14ac:dyDescent="0.25">
      <c r="G35" t="s">
        <v>102</v>
      </c>
      <c r="H35" s="35">
        <v>136350</v>
      </c>
      <c r="I35" s="35">
        <v>117577</v>
      </c>
      <c r="J35" s="35">
        <v>38194</v>
      </c>
    </row>
    <row r="36" spans="7:10" x14ac:dyDescent="0.25">
      <c r="G36" t="s">
        <v>117</v>
      </c>
      <c r="H36">
        <v>-197</v>
      </c>
      <c r="I36">
        <v>-98</v>
      </c>
      <c r="J36">
        <v>0</v>
      </c>
    </row>
    <row r="37" spans="7:10" x14ac:dyDescent="0.25">
      <c r="G37" t="s">
        <v>103</v>
      </c>
      <c r="H37" s="35">
        <v>-46781</v>
      </c>
      <c r="I37" s="35">
        <v>-6061</v>
      </c>
      <c r="J37" s="35">
        <v>-15773</v>
      </c>
    </row>
    <row r="38" spans="7:10" x14ac:dyDescent="0.25">
      <c r="G38" t="s">
        <v>104</v>
      </c>
      <c r="H38">
        <v>19</v>
      </c>
      <c r="I38">
        <v>50</v>
      </c>
      <c r="J38">
        <v>-115</v>
      </c>
    </row>
    <row r="39" spans="7:10" x14ac:dyDescent="0.25">
      <c r="G39" t="s">
        <v>105</v>
      </c>
      <c r="H39" s="35">
        <v>1153</v>
      </c>
      <c r="I39" s="35">
        <v>4283</v>
      </c>
      <c r="J39">
        <v>-590</v>
      </c>
    </row>
    <row r="40" spans="7:10" x14ac:dyDescent="0.25">
      <c r="G40" t="s">
        <v>106</v>
      </c>
      <c r="H40" s="35">
        <v>6510</v>
      </c>
      <c r="I40" s="35">
        <v>7663</v>
      </c>
      <c r="J40" s="35">
        <v>11946</v>
      </c>
    </row>
    <row r="41" spans="7:10" x14ac:dyDescent="0.25">
      <c r="G41" t="s">
        <v>107</v>
      </c>
      <c r="H41" t="s">
        <v>120</v>
      </c>
      <c r="I41" t="s">
        <v>119</v>
      </c>
      <c r="J41" t="s">
        <v>118</v>
      </c>
    </row>
  </sheetData>
  <sortState xmlns:xlrd2="http://schemas.microsoft.com/office/spreadsheetml/2017/richdata2" columnSort="1" ref="H2:J41">
    <sortCondition ref="H2: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7" sqref="E7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7" t="s">
        <v>1</v>
      </c>
      <c r="C2" s="2"/>
      <c r="D2" s="2"/>
      <c r="E2" s="2"/>
      <c r="F2" s="2"/>
      <c r="G2" s="2"/>
      <c r="H2" s="2"/>
      <c r="I2" s="2"/>
      <c r="J2" s="2"/>
      <c r="K2" s="2"/>
      <c r="L2" s="38"/>
    </row>
    <row r="3" spans="1:14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2"/>
    </row>
    <row r="4" spans="1:14" x14ac:dyDescent="0.25">
      <c r="A4" s="40" t="s">
        <v>42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1">
        <f>'MSFT DCF'!I42</f>
        <v>0.19147566169244151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1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2">
        <v>0.91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1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3">
        <f>'MSFT DCF'!D67</f>
        <v>2514009.1506131398</v>
      </c>
      <c r="D12" s="2"/>
      <c r="E12" s="2" t="s">
        <v>35</v>
      </c>
      <c r="F12" s="2"/>
      <c r="G12" s="23">
        <f>'MSFT DCF'!D64</f>
        <v>86054</v>
      </c>
      <c r="H12" s="2"/>
      <c r="I12" s="2" t="s">
        <v>47</v>
      </c>
      <c r="J12" s="2"/>
      <c r="K12" s="23">
        <f>G12+C12</f>
        <v>2600063.1506131398</v>
      </c>
      <c r="L12" s="2"/>
    </row>
    <row r="13" spans="1:14" x14ac:dyDescent="0.25">
      <c r="A13" s="2" t="s">
        <v>48</v>
      </c>
      <c r="B13" s="2"/>
      <c r="C13" s="43">
        <f>C12/K12</f>
        <v>0.96690311157261433</v>
      </c>
      <c r="D13" s="2"/>
      <c r="E13" s="2" t="s">
        <v>49</v>
      </c>
      <c r="F13" s="2"/>
      <c r="G13" s="44">
        <f>G12/K12</f>
        <v>3.3096888427385687E-2</v>
      </c>
      <c r="H13" s="2"/>
      <c r="I13" s="2"/>
      <c r="J13" s="2"/>
      <c r="K13" s="2"/>
      <c r="L13" s="2"/>
      <c r="M13" s="35"/>
    </row>
    <row r="14" spans="1:14" x14ac:dyDescent="0.25">
      <c r="A14" s="2" t="s">
        <v>50</v>
      </c>
      <c r="B14" s="2"/>
      <c r="C14" s="45">
        <f>D7+D8*(D9)</f>
        <v>9.1600000000000001E-2</v>
      </c>
      <c r="D14" s="2"/>
      <c r="E14" s="2" t="s">
        <v>51</v>
      </c>
      <c r="F14" s="2"/>
      <c r="G14" s="46">
        <v>0.02</v>
      </c>
      <c r="H14" s="2"/>
      <c r="I14" s="47" t="s">
        <v>1</v>
      </c>
      <c r="J14" s="48"/>
      <c r="K14" s="65">
        <f>C13*C14+G14*G13*(1-D6)</f>
        <v>8.91035178163673E-2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 DCF</vt:lpstr>
      <vt:lpstr>Sheet1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2023-07-31T10:56:06Z</dcterms:modified>
</cp:coreProperties>
</file>