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83412396-9000-4648-9DAB-0C2BDFCCD06F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ETSY DCF" sheetId="1" r:id="rId1"/>
    <sheet name="Sheet1" sheetId="3" r:id="rId2"/>
    <sheet name="Sheet2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K19" i="1"/>
  <c r="L19" i="1"/>
  <c r="M19" i="1"/>
  <c r="N19" i="1"/>
  <c r="O19" i="1"/>
  <c r="P19" i="1"/>
  <c r="Q19" i="1"/>
  <c r="R19" i="1"/>
  <c r="J22" i="1"/>
  <c r="K22" i="1"/>
  <c r="L22" i="1"/>
  <c r="M22" i="1"/>
  <c r="N22" i="1"/>
  <c r="O22" i="1"/>
  <c r="P22" i="1"/>
  <c r="Q22" i="1"/>
  <c r="R22" i="1"/>
  <c r="J25" i="1"/>
  <c r="K25" i="1"/>
  <c r="L25" i="1"/>
  <c r="M25" i="1"/>
  <c r="N25" i="1"/>
  <c r="O25" i="1"/>
  <c r="P25" i="1"/>
  <c r="Q25" i="1"/>
  <c r="R25" i="1"/>
  <c r="I25" i="1"/>
  <c r="I22" i="1"/>
  <c r="I19" i="1"/>
  <c r="I16" i="1"/>
  <c r="J31" i="1"/>
  <c r="J32" i="1" s="1"/>
  <c r="L31" i="1"/>
  <c r="L32" i="1" s="1"/>
  <c r="N31" i="1"/>
  <c r="N32" i="1" s="1"/>
  <c r="P31" i="1"/>
  <c r="P32" i="1" s="1"/>
  <c r="R31" i="1"/>
  <c r="R32" i="1" s="1"/>
  <c r="G31" i="1"/>
  <c r="D67" i="1"/>
  <c r="D69" i="1"/>
  <c r="I52" i="1"/>
  <c r="J52" i="1"/>
  <c r="K52" i="1"/>
  <c r="L52" i="1"/>
  <c r="M52" i="1"/>
  <c r="N52" i="1"/>
  <c r="O52" i="1"/>
  <c r="P52" i="1"/>
  <c r="Q52" i="1"/>
  <c r="R52" i="1"/>
  <c r="I49" i="1"/>
  <c r="J49" i="1"/>
  <c r="K49" i="1"/>
  <c r="L49" i="1"/>
  <c r="M49" i="1"/>
  <c r="N49" i="1"/>
  <c r="O49" i="1"/>
  <c r="P49" i="1"/>
  <c r="Q49" i="1"/>
  <c r="R49" i="1"/>
  <c r="J36" i="1"/>
  <c r="K36" i="1"/>
  <c r="L36" i="1"/>
  <c r="M36" i="1"/>
  <c r="N36" i="1"/>
  <c r="O36" i="1"/>
  <c r="P36" i="1"/>
  <c r="Q36" i="1"/>
  <c r="R36" i="1"/>
  <c r="I36" i="1"/>
  <c r="H58" i="1"/>
  <c r="L34" i="1"/>
  <c r="L39" i="1" s="1"/>
  <c r="P34" i="1"/>
  <c r="P39" i="1" s="1"/>
  <c r="H34" i="1"/>
  <c r="J11" i="1"/>
  <c r="K11" i="1"/>
  <c r="L11" i="1" s="1"/>
  <c r="M11" i="1" s="1"/>
  <c r="N11" i="1" s="1"/>
  <c r="O11" i="1" s="1"/>
  <c r="P11" i="1" s="1"/>
  <c r="Q11" i="1" s="1"/>
  <c r="R11" i="1" s="1"/>
  <c r="I11" i="1"/>
  <c r="C60" i="1"/>
  <c r="C58" i="1"/>
  <c r="C57" i="1"/>
  <c r="G54" i="1"/>
  <c r="H54" i="1"/>
  <c r="F54" i="1"/>
  <c r="D54" i="1"/>
  <c r="E54" i="1"/>
  <c r="C54" i="1"/>
  <c r="G51" i="1"/>
  <c r="H51" i="1"/>
  <c r="F51" i="1"/>
  <c r="D51" i="1"/>
  <c r="E51" i="1"/>
  <c r="C51" i="1"/>
  <c r="G48" i="1"/>
  <c r="H48" i="1"/>
  <c r="F48" i="1"/>
  <c r="D48" i="1"/>
  <c r="E48" i="1"/>
  <c r="C48" i="1"/>
  <c r="D58" i="1"/>
  <c r="E58" i="1"/>
  <c r="F58" i="1"/>
  <c r="G58" i="1"/>
  <c r="G44" i="1"/>
  <c r="H44" i="1"/>
  <c r="F44" i="1"/>
  <c r="D44" i="1"/>
  <c r="E44" i="1"/>
  <c r="C44" i="1"/>
  <c r="G36" i="1"/>
  <c r="H36" i="1"/>
  <c r="F36" i="1"/>
  <c r="D36" i="1"/>
  <c r="E36" i="1"/>
  <c r="C36" i="1"/>
  <c r="G28" i="1"/>
  <c r="H28" i="1"/>
  <c r="F28" i="1"/>
  <c r="D28" i="1"/>
  <c r="E28" i="1"/>
  <c r="C28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H31" i="1" s="1"/>
  <c r="F19" i="1"/>
  <c r="D19" i="1"/>
  <c r="E19" i="1"/>
  <c r="C19" i="1"/>
  <c r="C31" i="1" s="1"/>
  <c r="G14" i="1"/>
  <c r="H14" i="1"/>
  <c r="F14" i="1"/>
  <c r="D14" i="1"/>
  <c r="E14" i="1"/>
  <c r="C14" i="1"/>
  <c r="G11" i="1"/>
  <c r="H11" i="1"/>
  <c r="F11" i="1"/>
  <c r="D11" i="1"/>
  <c r="E11" i="1"/>
  <c r="E20" i="1" s="1"/>
  <c r="C11" i="1"/>
  <c r="C20" i="1" s="1"/>
  <c r="G20" i="1"/>
  <c r="L67" i="1"/>
  <c r="L66" i="1" s="1"/>
  <c r="L69" i="1"/>
  <c r="L70" i="1" s="1"/>
  <c r="G12" i="2"/>
  <c r="D70" i="1"/>
  <c r="C12" i="2" s="1"/>
  <c r="Q31" i="1" l="1"/>
  <c r="Q32" i="1" s="1"/>
  <c r="O31" i="1"/>
  <c r="O32" i="1" s="1"/>
  <c r="M31" i="1"/>
  <c r="M32" i="1" s="1"/>
  <c r="K31" i="1"/>
  <c r="K32" i="1" s="1"/>
  <c r="R34" i="1"/>
  <c r="R39" i="1" s="1"/>
  <c r="N34" i="1"/>
  <c r="N39" i="1" s="1"/>
  <c r="J34" i="1"/>
  <c r="Q34" i="1"/>
  <c r="Q39" i="1" s="1"/>
  <c r="M34" i="1"/>
  <c r="M39" i="1" s="1"/>
  <c r="J39" i="1"/>
  <c r="E37" i="1"/>
  <c r="G37" i="1"/>
  <c r="F37" i="1"/>
  <c r="C37" i="1"/>
  <c r="D37" i="1"/>
  <c r="H37" i="1"/>
  <c r="D20" i="1"/>
  <c r="D31" i="1"/>
  <c r="H20" i="1"/>
  <c r="F20" i="1"/>
  <c r="E31" i="1"/>
  <c r="F31" i="1"/>
  <c r="H12" i="1"/>
  <c r="C32" i="1"/>
  <c r="C16" i="1"/>
  <c r="C34" i="1" s="1"/>
  <c r="G29" i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C14" i="2"/>
  <c r="E52" i="1"/>
  <c r="D52" i="1"/>
  <c r="C52" i="1"/>
  <c r="F52" i="1"/>
  <c r="G52" i="1"/>
  <c r="H52" i="1"/>
  <c r="G49" i="1"/>
  <c r="H49" i="1"/>
  <c r="E49" i="1"/>
  <c r="C49" i="1"/>
  <c r="E32" i="1"/>
  <c r="G32" i="1"/>
  <c r="G26" i="1"/>
  <c r="D55" i="1"/>
  <c r="C55" i="1"/>
  <c r="D49" i="1"/>
  <c r="E26" i="1"/>
  <c r="C26" i="1"/>
  <c r="D16" i="1"/>
  <c r="E16" i="1"/>
  <c r="F55" i="1"/>
  <c r="G55" i="1"/>
  <c r="H55" i="1"/>
  <c r="F49" i="1"/>
  <c r="F16" i="1"/>
  <c r="G16" i="1"/>
  <c r="G34" i="1" s="1"/>
  <c r="G39" i="1" s="1"/>
  <c r="H16" i="1"/>
  <c r="H39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K34" i="1" l="1"/>
  <c r="K39" i="1" s="1"/>
  <c r="O34" i="1"/>
  <c r="O39" i="1" s="1"/>
  <c r="C41" i="1"/>
  <c r="C39" i="1"/>
  <c r="D34" i="1"/>
  <c r="D39" i="1" s="1"/>
  <c r="E34" i="1"/>
  <c r="E39" i="1" s="1"/>
  <c r="F34" i="1"/>
  <c r="F39" i="1" s="1"/>
  <c r="E41" i="1"/>
  <c r="E57" i="1" s="1"/>
  <c r="F17" i="1"/>
  <c r="D17" i="1"/>
  <c r="H17" i="1"/>
  <c r="I54" i="1"/>
  <c r="E55" i="1"/>
  <c r="K12" i="2"/>
  <c r="G17" i="1"/>
  <c r="C17" i="1"/>
  <c r="E17" i="1"/>
  <c r="H32" i="1"/>
  <c r="F32" i="1"/>
  <c r="D32" i="1"/>
  <c r="E45" i="1" l="1"/>
  <c r="G41" i="1"/>
  <c r="G57" i="1" s="1"/>
  <c r="I14" i="1"/>
  <c r="C13" i="2"/>
  <c r="G13" i="2"/>
  <c r="D41" i="1"/>
  <c r="D57" i="1" s="1"/>
  <c r="F41" i="1"/>
  <c r="F57" i="1" s="1"/>
  <c r="H41" i="1"/>
  <c r="H57" i="1" s="1"/>
  <c r="H60" i="1" s="1"/>
  <c r="F45" i="1" l="1"/>
  <c r="H45" i="1"/>
  <c r="C45" i="1"/>
  <c r="G60" i="1"/>
  <c r="G45" i="1"/>
  <c r="D60" i="1"/>
  <c r="D45" i="1"/>
  <c r="G42" i="1"/>
  <c r="F60" i="1"/>
  <c r="E60" i="1"/>
  <c r="E42" i="1"/>
  <c r="C42" i="1"/>
  <c r="K14" i="2"/>
  <c r="E5" i="1" s="1"/>
  <c r="D42" i="1"/>
  <c r="H42" i="1"/>
  <c r="F42" i="1"/>
  <c r="J16" i="1" l="1"/>
  <c r="J54" i="1"/>
  <c r="J14" i="1"/>
  <c r="J41" i="1" l="1"/>
  <c r="J42" i="1" s="1"/>
  <c r="K54" i="1"/>
  <c r="K16" i="1"/>
  <c r="K41" i="1" s="1"/>
  <c r="J44" i="1" l="1"/>
  <c r="J57" i="1" s="1"/>
  <c r="J60" i="1" s="1"/>
  <c r="J61" i="1" s="1"/>
  <c r="K44" i="1"/>
  <c r="K57" i="1" s="1"/>
  <c r="K60" i="1" s="1"/>
  <c r="K61" i="1" s="1"/>
  <c r="K42" i="1"/>
  <c r="K14" i="1"/>
  <c r="L54" i="1"/>
  <c r="L16" i="1"/>
  <c r="K58" i="1" l="1"/>
  <c r="J58" i="1"/>
  <c r="L41" i="1"/>
  <c r="L14" i="1"/>
  <c r="L44" i="1" l="1"/>
  <c r="L57" i="1" s="1"/>
  <c r="L60" i="1" s="1"/>
  <c r="L61" i="1" s="1"/>
  <c r="L42" i="1"/>
  <c r="L58" i="1"/>
  <c r="M16" i="1"/>
  <c r="M54" i="1"/>
  <c r="M14" i="1"/>
  <c r="M41" i="1" l="1"/>
  <c r="M44" i="1" s="1"/>
  <c r="N54" i="1"/>
  <c r="N16" i="1"/>
  <c r="M42" i="1" l="1"/>
  <c r="M57" i="1"/>
  <c r="M60" i="1" s="1"/>
  <c r="M61" i="1" s="1"/>
  <c r="M58" i="1"/>
  <c r="N14" i="1"/>
  <c r="N41" i="1"/>
  <c r="N42" i="1" l="1"/>
  <c r="N44" i="1"/>
  <c r="N57" i="1" s="1"/>
  <c r="N60" i="1" s="1"/>
  <c r="N61" i="1" s="1"/>
  <c r="N58" i="1" l="1"/>
  <c r="O54" i="1"/>
  <c r="O16" i="1"/>
  <c r="O41" i="1" l="1"/>
  <c r="O14" i="1"/>
  <c r="O42" i="1" l="1"/>
  <c r="O44" i="1"/>
  <c r="O57" i="1" s="1"/>
  <c r="O60" i="1" s="1"/>
  <c r="O61" i="1" s="1"/>
  <c r="P54" i="1"/>
  <c r="P16" i="1"/>
  <c r="P41" i="1" s="1"/>
  <c r="O58" i="1" l="1"/>
  <c r="P44" i="1"/>
  <c r="P57" i="1" s="1"/>
  <c r="P60" i="1" s="1"/>
  <c r="P61" i="1" s="1"/>
  <c r="P42" i="1"/>
  <c r="P14" i="1"/>
  <c r="Q54" i="1"/>
  <c r="Q16" i="1"/>
  <c r="Q14" i="1" s="1"/>
  <c r="Q41" i="1" l="1"/>
  <c r="Q42" i="1" s="1"/>
  <c r="P58" i="1"/>
  <c r="Q44" i="1"/>
  <c r="Q57" i="1" s="1"/>
  <c r="Q60" i="1" s="1"/>
  <c r="Q61" i="1" s="1"/>
  <c r="Q58" i="1" l="1"/>
  <c r="R54" i="1"/>
  <c r="R16" i="1"/>
  <c r="R14" i="1" l="1"/>
  <c r="R41" i="1"/>
  <c r="R44" i="1" l="1"/>
  <c r="R57" i="1" s="1"/>
  <c r="R60" i="1" s="1"/>
  <c r="R42" i="1"/>
  <c r="R58" i="1" l="1"/>
  <c r="R61" i="1"/>
  <c r="C63" i="1"/>
  <c r="C64" i="1" s="1"/>
  <c r="S58" i="1" l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I31" i="1" l="1"/>
  <c r="I32" i="1" s="1"/>
  <c r="I34" i="1" l="1"/>
  <c r="I39" i="1" s="1"/>
  <c r="I41" i="1" l="1"/>
  <c r="I44" i="1"/>
  <c r="I58" i="1" s="1"/>
  <c r="F63" i="1" s="1"/>
  <c r="H66" i="1" s="1"/>
  <c r="H68" i="1" s="1"/>
  <c r="H71" i="1" s="1"/>
  <c r="I42" i="1"/>
  <c r="I57" i="1"/>
  <c r="I60" i="1" s="1"/>
  <c r="I61" i="1" s="1"/>
  <c r="G66" i="1" s="1"/>
  <c r="G68" i="1" s="1"/>
  <c r="G71" i="1" s="1"/>
  <c r="D71" i="1" l="1"/>
  <c r="L65" i="1" s="1"/>
  <c r="J6" i="1" l="1"/>
  <c r="N5" i="1" s="1"/>
</calcChain>
</file>

<file path=xl/sharedStrings.xml><?xml version="1.0" encoding="utf-8"?>
<sst xmlns="http://schemas.openxmlformats.org/spreadsheetml/2006/main" count="281" uniqueCount="168">
  <si>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</si>
  <si>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</si>
  <si>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</si>
  <si>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</si>
  <si>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</si>
  <si>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</si>
  <si>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</si>
  <si>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</si>
  <si>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</si>
  <si>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</si>
  <si>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</si>
  <si>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</si>
  <si>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</si>
  <si>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</si>
  <si>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</si>
  <si>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</si>
  <si>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</si>
  <si>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</si>
  <si>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</si>
  <si>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</si>
  <si>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</si>
  <si>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</si>
  <si>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</si>
  <si>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</si>
  <si>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</si>
  <si>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</si>
  <si>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</si>
  <si>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</si>
  <si>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</si>
  <si>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</si>
  <si>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</si>
  <si>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</si>
  <si>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</si>
  <si>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</si>
  <si>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</si>
  <si>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</si>
  <si>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</si>
  <si>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</si>
  <si>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</si>
  <si>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</si>
  <si>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</si>
  <si>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</si>
  <si>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</si>
  <si>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</si>
  <si>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</si>
  <si>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</si>
  <si>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</si>
  <si>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</si>
  <si>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</si>
  <si>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</si>
  <si>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</si>
  <si>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</si>
  <si>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</si>
  <si>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</si>
  <si>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</si>
  <si>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</si>
  <si>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Consolidated Statements of Operations</t>
  </si>
  <si>
    <t>(In thousands, except share and per share amounts)</t>
  </si>
  <si>
    <t/>
  </si>
  <si>
    <t>Year Ended</t>
  </si>
  <si>
    <t>December 31,</t>
  </si>
  <si>
    <t>Cost of revenue</t>
  </si>
  <si>
    <t>Gross profit</t>
  </si>
  <si>
    <t>Operating expenses:</t>
  </si>
  <si>
    <t>Marketing</t>
  </si>
  <si>
    <t>Product development</t>
  </si>
  <si>
    <t>General and administrative</t>
  </si>
  <si>
    <t>Goodwill impairment</t>
  </si>
  <si>
    <t>Total operating expenses</t>
  </si>
  <si>
    <t>(Loss) income from operations</t>
  </si>
  <si>
    <t>Other (expense) income:</t>
  </si>
  <si>
    <t>Loss on extinguishment of debt</t>
  </si>
  <si>
    <t>Interest expense</t>
  </si>
  <si>
    <t>Interest and other income</t>
  </si>
  <si>
    <t>Foreign exchange (loss) gain</t>
  </si>
  <si>
    <t>Total other (expense) income</t>
  </si>
  <si>
    <t>(Loss) income before income taxes</t>
  </si>
  <si>
    <t>(Provision) benefit for income taxes</t>
  </si>
  <si>
    <t>Net (loss) income</t>
  </si>
  <si>
    <t>Net (loss) income per share attributable to common</t>
  </si>
  <si>
    <t>stockholders:</t>
  </si>
  <si>
    <t>Basic</t>
  </si>
  <si>
    <t>Diluted</t>
  </si>
  <si>
    <t>Weighted average common shares outstanding:</t>
  </si>
  <si>
    <t>Consolidated Statements of Cash Flows</t>
  </si>
  <si>
    <t>(In thousands)</t>
  </si>
  <si>
    <t>Cash flows from operating activities</t>
  </si>
  <si>
    <t>Adjustments to reconcile net (loss) income to net cash</t>
  </si>
  <si>
    <t>provided by operating activities:</t>
  </si>
  <si>
    <t>Stock-based compensation expense</t>
  </si>
  <si>
    <t>Depreciation and amortization expense</t>
  </si>
  <si>
    <t>Provision for expected credit losses</t>
  </si>
  <si>
    <t>Foreign exchange loss (gain)</t>
  </si>
  <si>
    <t>Non-cash interest expense</t>
  </si>
  <si>
    <t>Interest expense on marketable securities</t>
  </si>
  <si>
    <t>Deferred (benefit) provision for income taxes</t>
  </si>
  <si>
    <t>Other non-cash expense, net</t>
  </si>
  <si>
    <t>Changes in operating assets and liabilities, net of</t>
  </si>
  <si>
    <t>acquisitions:</t>
  </si>
  <si>
    <t>Accounts receivable</t>
  </si>
  <si>
    <t>Funds receivable and seller accounts</t>
  </si>
  <si>
    <t>Prepaid expenses and other current assets</t>
  </si>
  <si>
    <t>Other assets</t>
  </si>
  <si>
    <t>Accounts payable</t>
  </si>
  <si>
    <t>Accrued and other current liabilities</t>
  </si>
  <si>
    <t>Funds payable and amounts due to sellers</t>
  </si>
  <si>
    <t>Deferred revenue</t>
  </si>
  <si>
    <t>Other liabilities</t>
  </si>
  <si>
    <t>Net cash provided by operating activities</t>
  </si>
  <si>
    <t>Cash flows from investing activities</t>
  </si>
  <si>
    <t>Acquisition of businesses, net of cash acquired</t>
  </si>
  <si>
    <t>Cash paid for asset acquisition and intangible assets</t>
  </si>
  <si>
    <t>Purchases of property and equipment</t>
  </si>
  <si>
    <t>Development of internal-use software</t>
  </si>
  <si>
    <t>Purchases of marketable securities</t>
  </si>
  <si>
    <t>Sales and maturities of marketable securities</t>
  </si>
  <si>
    <t>Net cash used in investing activities</t>
  </si>
  <si>
    <t>Cash flows from financing activities</t>
  </si>
  <si>
    <t>Payment of tax obligations on vested equity awards</t>
  </si>
  <si>
    <t>Repurchase of stock</t>
  </si>
  <si>
    <t>Proceeds from exercise of stock options</t>
  </si>
  <si>
    <t>Proceeds from issuance of convertible senior notes</t>
  </si>
  <si>
    <t>Payment of debt issuance costs</t>
  </si>
  <si>
    <t>Purchase of capped calls</t>
  </si>
  <si>
    <t>Settlement of convertible senior notes</t>
  </si>
  <si>
    <t>Payments on finance lease obligations</t>
  </si>
  <si>
    <t>Other financing, net</t>
  </si>
  <si>
    <t>Net cash (used in) provided by financing activities</t>
  </si>
  <si>
    <t>Effect of exchange rate changes on cash</t>
  </si>
  <si>
    <t>Net increase (decrease) in cash, cash equivalents, and</t>
  </si>
  <si>
    <t>restricted cash</t>
  </si>
  <si>
    <t>Cash, cash equivalents, and restricted cash at beginning of</t>
  </si>
  <si>
    <t>period</t>
  </si>
  <si>
    <t>Cash, cash equivalents, and restricted cash at end of period</t>
  </si>
  <si>
    <t>Asset impairment charges</t>
  </si>
  <si>
    <t>Income from operations</t>
  </si>
  <si>
    <t>Foreign exchange gain (loss)</t>
  </si>
  <si>
    <t>Income before income taxes</t>
  </si>
  <si>
    <t>Benefit for income taxes</t>
  </si>
  <si>
    <t>Net income per share attributable to common</t>
  </si>
  <si>
    <t>Adjustments to reconcile net income to net cash</t>
  </si>
  <si>
    <t>Bad debt expense</t>
  </si>
  <si>
    <t>Foreign exchange (gain) loss</t>
  </si>
  <si>
    <t>Amortization of debt issuance costs</t>
  </si>
  <si>
    <t>Interest (income) expense on marketable</t>
  </si>
  <si>
    <t>securities</t>
  </si>
  <si>
    <t>Loss on disposal of assets</t>
  </si>
  <si>
    <t>Deferred income taxes</t>
  </si>
  <si>
    <t>Changes in operating assets and liabilities, net</t>
  </si>
  <si>
    <t>of acquisitions:</t>
  </si>
  <si>
    <t>Cash paid for asset acquisition and intangible</t>
  </si>
  <si>
    <t>assets</t>
  </si>
  <si>
    <t>Sales of marketable securities</t>
  </si>
  <si>
    <t>Net cash (used in) provided by investing</t>
  </si>
  <si>
    <t>activities</t>
  </si>
  <si>
    <t>Payment of tax obligations on vested equity</t>
  </si>
  <si>
    <t>awards</t>
  </si>
  <si>
    <t>Proceeds from issuance of convertible senior</t>
  </si>
  <si>
    <t>notes</t>
  </si>
  <si>
    <t>Purchase of capped call</t>
  </si>
  <si>
    <t>Payments on facility financing obligation</t>
  </si>
  <si>
    <t>Net cash provided by financing activities</t>
  </si>
  <si>
    <t>Net increase in cash, cash equivalents, and</t>
  </si>
  <si>
    <t>Cash, cash equivalents, and restricted cash at</t>
  </si>
  <si>
    <t>beginning of period</t>
  </si>
  <si>
    <t>end of period</t>
  </si>
  <si>
    <t>Taxes benefit</t>
  </si>
  <si>
    <t>Etsy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</si>
</sst>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0000%"/>
    <numFmt numFmtId="166" formatCode="_(&quot;$&quot;* #,##0_);_(&quot;$&quot;* \(#,##0\);_(&quot;$&quot;* &quot;-&quot;_);_(@_)"/>
    <numFmt numFmtId="167" formatCode="_(* #,##0.00_);_(* \(#,##0.00\);_(* &quot;-&quot;??_);_(@_)"/>
    <numFmt numFmtId="168" formatCode="_(&quot;$&quot;* #,##0.00_);_(&quot;$&quot;* \(#,##0.00\);_(&quot;$&quot;* &quot;-&quot;??_);_(@_)"/>
    <numFmt numFmtId="172" formatCode="0.0000000%"/>
    <numFmt numFmtId="17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6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37" fontId="3" fillId="2" borderId="0" xfId="1" applyNumberFormat="1" applyFont="1" applyFill="1"/>
    <xf numFmtId="37" fontId="0" fillId="2" borderId="0" xfId="0" applyNumberFormat="1" applyFill="1"/>
    <xf numFmtId="1" fontId="0" fillId="2" borderId="4" xfId="0" applyNumberFormat="1" applyFont="1" applyFill="1" applyBorder="1"/>
    <xf numFmtId="0" fontId="0" fillId="2" borderId="4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3" fontId="0" fillId="2" borderId="4" xfId="0" applyNumberFormat="1" applyFont="1" applyFill="1" applyBorder="1"/>
    <xf numFmtId="1" fontId="11" fillId="2" borderId="4" xfId="1" applyNumberFormat="1" applyFont="1" applyFill="1" applyBorder="1"/>
    <xf numFmtId="1" fontId="11" fillId="2" borderId="0" xfId="1" applyNumberFormat="1" applyFont="1" applyFill="1" applyBorder="1"/>
    <xf numFmtId="1" fontId="0" fillId="2" borderId="4" xfId="1" applyNumberFormat="1" applyFont="1" applyFill="1" applyBorder="1"/>
    <xf numFmtId="0" fontId="2" fillId="3" borderId="4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1" fontId="0" fillId="2" borderId="0" xfId="1" applyNumberFormat="1" applyFont="1" applyFill="1" applyBorder="1"/>
    <xf numFmtId="0" fontId="2" fillId="3" borderId="0" xfId="0" applyFont="1" applyFill="1" applyBorder="1"/>
    <xf numFmtId="0" fontId="7" fillId="8" borderId="0" xfId="0" applyFont="1" applyFill="1"/>
    <xf numFmtId="164" fontId="7" fillId="8" borderId="0" xfId="1" applyNumberFormat="1" applyFont="1" applyFill="1"/>
    <xf numFmtId="164" fontId="11" fillId="8" borderId="4" xfId="1" applyNumberFormat="1" applyFont="1" applyFill="1" applyBorder="1"/>
    <xf numFmtId="164" fontId="11" fillId="8" borderId="0" xfId="1" applyNumberFormat="1" applyFont="1" applyFill="1" applyBorder="1"/>
    <xf numFmtId="164" fontId="11" fillId="8" borderId="4" xfId="0" applyNumberFormat="1" applyFont="1" applyFill="1" applyBorder="1"/>
    <xf numFmtId="164" fontId="11" fillId="8" borderId="0" xfId="0" applyNumberFormat="1" applyFont="1" applyFill="1" applyBorder="1"/>
    <xf numFmtId="172" fontId="3" fillId="2" borderId="0" xfId="1" applyNumberFormat="1" applyFont="1" applyFill="1"/>
    <xf numFmtId="174" fontId="3" fillId="2" borderId="0" xfId="0" applyNumberFormat="1" applyFont="1" applyFill="1"/>
    <xf numFmtId="164" fontId="7" fillId="8" borderId="4" xfId="1" applyNumberFormat="1" applyFont="1" applyFill="1" applyBorder="1"/>
    <xf numFmtId="164" fontId="3" fillId="8" borderId="0" xfId="1" applyNumberFormat="1" applyFont="1" applyFill="1"/>
    <xf numFmtId="10" fontId="11" fillId="8" borderId="4" xfId="0" applyNumberFormat="1" applyFont="1" applyFill="1" applyBorder="1"/>
    <xf numFmtId="10" fontId="11" fillId="8" borderId="0" xfId="0" applyNumberFormat="1" applyFont="1" applyFill="1" applyBorder="1"/>
    <xf numFmtId="164" fontId="0" fillId="8" borderId="4" xfId="0" applyNumberFormat="1" applyFont="1" applyFill="1" applyBorder="1"/>
    <xf numFmtId="164" fontId="0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topLeftCell="B1" workbookViewId="0">
      <selection activeCell="F4" sqref="F4"/>
    </sheetView>
  </sheetViews>
  <sheetFormatPr defaultRowHeight="15" x14ac:dyDescent="0.25"/>
  <cols>
    <col min="1" max="1" width="7.7109375" style="2" customWidth="1"/>
    <col min="2" max="2" width="17.140625" style="2" customWidth="1"/>
    <col min="3" max="6" width="9.140625" style="2"/>
    <col min="7" max="7" width="12.28515625" style="2" customWidth="1"/>
    <col min="8" max="8" width="10" style="2" customWidth="1"/>
    <col min="9" max="18" width="11.140625" style="2" customWidth="1"/>
    <col min="19" max="16384" width="9.140625" style="48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167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0.11953779946344527</v>
      </c>
      <c r="G5" s="1"/>
      <c r="H5" s="1" t="s">
        <v>2</v>
      </c>
      <c r="I5" s="1"/>
      <c r="J5" s="7">
        <v>82.76</v>
      </c>
      <c r="K5" s="1"/>
      <c r="L5" s="1" t="s">
        <v>3</v>
      </c>
      <c r="M5" s="1"/>
      <c r="N5" s="64">
        <f>(J6/J5)-1</f>
        <v>0.29677258318626776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6">
        <f>D71</f>
        <v>107.32089898449553</v>
      </c>
      <c r="K6" s="1"/>
      <c r="L6" s="1" t="s">
        <v>52</v>
      </c>
      <c r="M6" s="1"/>
      <c r="N6" s="63">
        <v>45116</v>
      </c>
      <c r="O6" s="1"/>
      <c r="P6" s="1"/>
      <c r="Q6" s="1"/>
    </row>
    <row r="7" spans="1:86" x14ac:dyDescent="0.25">
      <c r="B7" s="63"/>
      <c r="C7" s="1"/>
      <c r="D7" s="1"/>
      <c r="E7" s="9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61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Sheet1!H7</f>
        <v>441231</v>
      </c>
      <c r="D11" s="12">
        <f>Sheet1!I7</f>
        <v>603693</v>
      </c>
      <c r="E11" s="12">
        <f>Sheet1!J7</f>
        <v>818379</v>
      </c>
      <c r="F11" s="12">
        <f>Sheet1!B8</f>
        <v>1725625</v>
      </c>
      <c r="G11" s="12">
        <f>Sheet1!C8</f>
        <v>2329114</v>
      </c>
      <c r="H11" s="12">
        <f>Sheet1!D8</f>
        <v>2566111</v>
      </c>
      <c r="I11" s="75">
        <f>H11*(1+I12)</f>
        <v>2760000</v>
      </c>
      <c r="J11" s="84">
        <f t="shared" ref="J11:R11" si="1">I11*(1+J12)</f>
        <v>3060000</v>
      </c>
      <c r="K11" s="84">
        <f t="shared" si="1"/>
        <v>3430000</v>
      </c>
      <c r="L11" s="84">
        <f t="shared" si="1"/>
        <v>3820000</v>
      </c>
      <c r="M11" s="84">
        <f t="shared" si="1"/>
        <v>4330000</v>
      </c>
      <c r="N11" s="84">
        <f t="shared" si="1"/>
        <v>5120000</v>
      </c>
      <c r="O11" s="84">
        <f t="shared" si="1"/>
        <v>5740000</v>
      </c>
      <c r="P11" s="84">
        <f t="shared" si="1"/>
        <v>6390000</v>
      </c>
      <c r="Q11" s="84">
        <f t="shared" si="1"/>
        <v>7400000</v>
      </c>
      <c r="R11" s="84">
        <f t="shared" si="1"/>
        <v>8160000</v>
      </c>
    </row>
    <row r="12" spans="1:86" x14ac:dyDescent="0.25">
      <c r="A12" s="1"/>
      <c r="B12" s="89" t="s">
        <v>8</v>
      </c>
      <c r="C12" s="90"/>
      <c r="D12" s="90">
        <f>(D11/C11)-1</f>
        <v>0.36820169027108252</v>
      </c>
      <c r="E12" s="90">
        <f>(E11/D11)-1</f>
        <v>0.35562115181060583</v>
      </c>
      <c r="F12" s="90">
        <f>(F11/E11)-1</f>
        <v>1.1085890522606272</v>
      </c>
      <c r="G12" s="90">
        <f>(G11/F11)-1</f>
        <v>0.34972198478812033</v>
      </c>
      <c r="H12" s="90">
        <f>(H11/G11)-1</f>
        <v>0.10175414342106048</v>
      </c>
      <c r="I12" s="91">
        <v>7.5557526545032561E-2</v>
      </c>
      <c r="J12" s="92">
        <v>0.10869565217391308</v>
      </c>
      <c r="K12" s="92">
        <v>0.12091503267973858</v>
      </c>
      <c r="L12" s="92">
        <v>0.1137026239067056</v>
      </c>
      <c r="M12" s="92">
        <v>0.13350785340314131</v>
      </c>
      <c r="N12" s="92">
        <v>0.18244803695150114</v>
      </c>
      <c r="O12" s="92">
        <v>0.12109375</v>
      </c>
      <c r="P12" s="92">
        <v>0.11324041811846697</v>
      </c>
      <c r="Q12" s="92">
        <v>0.15805946791862291</v>
      </c>
      <c r="R12" s="92">
        <v>0.10270270270270276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6"/>
      <c r="J13" s="85"/>
      <c r="K13" s="85"/>
      <c r="L13" s="85"/>
      <c r="M13" s="85"/>
      <c r="N13" s="85"/>
      <c r="O13" s="85"/>
      <c r="P13" s="85"/>
      <c r="Q13" s="85"/>
      <c r="R13" s="85"/>
    </row>
    <row r="14" spans="1:86" x14ac:dyDescent="0.25">
      <c r="A14" s="1"/>
      <c r="B14" s="1" t="s">
        <v>9</v>
      </c>
      <c r="C14" s="12">
        <f>Sheet1!H8</f>
        <v>150986</v>
      </c>
      <c r="D14" s="12">
        <f>Sheet1!I8</f>
        <v>190762</v>
      </c>
      <c r="E14" s="12">
        <f>Sheet1!J8</f>
        <v>271036</v>
      </c>
      <c r="F14" s="12">
        <f>Sheet1!B9</f>
        <v>464745</v>
      </c>
      <c r="G14" s="12">
        <f>Sheet1!C9</f>
        <v>654512</v>
      </c>
      <c r="H14" s="12">
        <f>Sheet1!D9</f>
        <v>744592</v>
      </c>
      <c r="I14" s="77">
        <f>I11-I16</f>
        <v>805920</v>
      </c>
      <c r="J14" s="78">
        <f t="shared" ref="J14:K14" si="2">J11-J16</f>
        <v>878832</v>
      </c>
      <c r="K14" s="78">
        <f t="shared" si="2"/>
        <v>973434</v>
      </c>
      <c r="L14" s="78">
        <f t="shared" ref="L14:R14" si="3">L11-L16</f>
        <v>1073420</v>
      </c>
      <c r="M14" s="78">
        <f t="shared" si="3"/>
        <v>1190750</v>
      </c>
      <c r="N14" s="78">
        <f t="shared" si="3"/>
        <v>1404416</v>
      </c>
      <c r="O14" s="78">
        <f t="shared" si="3"/>
        <v>1565298.0000000005</v>
      </c>
      <c r="P14" s="78">
        <f t="shared" si="3"/>
        <v>1736163</v>
      </c>
      <c r="Q14" s="78">
        <f t="shared" si="3"/>
        <v>2120100</v>
      </c>
      <c r="R14" s="78">
        <f t="shared" si="3"/>
        <v>2333760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6"/>
      <c r="J15" s="85"/>
      <c r="K15" s="85"/>
      <c r="L15" s="85"/>
      <c r="M15" s="85"/>
      <c r="N15" s="85"/>
      <c r="O15" s="85"/>
      <c r="P15" s="85"/>
      <c r="Q15" s="85"/>
      <c r="R15" s="85"/>
    </row>
    <row r="16" spans="1:86" x14ac:dyDescent="0.25">
      <c r="A16" s="1"/>
      <c r="B16" s="1" t="s">
        <v>10</v>
      </c>
      <c r="C16" s="12">
        <f t="shared" ref="C16:H16" si="4">C11-C14</f>
        <v>290245</v>
      </c>
      <c r="D16" s="12">
        <f t="shared" si="4"/>
        <v>412931</v>
      </c>
      <c r="E16" s="12">
        <f t="shared" si="4"/>
        <v>547343</v>
      </c>
      <c r="F16" s="12">
        <f t="shared" si="4"/>
        <v>1260880</v>
      </c>
      <c r="G16" s="12">
        <f t="shared" si="4"/>
        <v>1674602</v>
      </c>
      <c r="H16" s="12">
        <f t="shared" si="4"/>
        <v>1821519</v>
      </c>
      <c r="I16" s="75">
        <f>I11*I17</f>
        <v>1954080</v>
      </c>
      <c r="J16" s="84">
        <f t="shared" ref="J16:R16" si="5">J11*J17</f>
        <v>2181168</v>
      </c>
      <c r="K16" s="84">
        <f t="shared" si="5"/>
        <v>2456566</v>
      </c>
      <c r="L16" s="84">
        <f t="shared" si="5"/>
        <v>2746580</v>
      </c>
      <c r="M16" s="84">
        <f t="shared" si="5"/>
        <v>3139250</v>
      </c>
      <c r="N16" s="84">
        <f t="shared" si="5"/>
        <v>3715584</v>
      </c>
      <c r="O16" s="84">
        <f t="shared" si="5"/>
        <v>4174701.9999999995</v>
      </c>
      <c r="P16" s="84">
        <f t="shared" si="5"/>
        <v>4653837</v>
      </c>
      <c r="Q16" s="84">
        <f t="shared" si="5"/>
        <v>5279900</v>
      </c>
      <c r="R16" s="84">
        <f t="shared" si="5"/>
        <v>5826240</v>
      </c>
    </row>
    <row r="17" spans="1:18" x14ac:dyDescent="0.25">
      <c r="A17" s="1"/>
      <c r="B17" s="89" t="s">
        <v>11</v>
      </c>
      <c r="C17" s="90">
        <f t="shared" ref="C17:H17" si="6">C16/C11</f>
        <v>0.65780736167676346</v>
      </c>
      <c r="D17" s="90">
        <f t="shared" si="6"/>
        <v>0.68400826247778257</v>
      </c>
      <c r="E17" s="90">
        <f t="shared" si="6"/>
        <v>0.66881359370169569</v>
      </c>
      <c r="F17" s="90">
        <f t="shared" si="6"/>
        <v>0.73068018833755888</v>
      </c>
      <c r="G17" s="90">
        <f t="shared" si="6"/>
        <v>0.71898670481565097</v>
      </c>
      <c r="H17" s="90">
        <f t="shared" si="6"/>
        <v>0.70983640224448596</v>
      </c>
      <c r="I17" s="93">
        <v>0.70799999999999996</v>
      </c>
      <c r="J17" s="94">
        <v>0.71279999999999999</v>
      </c>
      <c r="K17" s="94">
        <v>0.71619999999999995</v>
      </c>
      <c r="L17" s="94">
        <v>0.71899999999999997</v>
      </c>
      <c r="M17" s="94">
        <v>0.72499999999999998</v>
      </c>
      <c r="N17" s="94">
        <v>0.72570000000000001</v>
      </c>
      <c r="O17" s="94">
        <v>0.72729999999999995</v>
      </c>
      <c r="P17" s="94">
        <v>0.72829999999999995</v>
      </c>
      <c r="Q17" s="94">
        <v>0.71350000000000002</v>
      </c>
      <c r="R17" s="94">
        <v>0.71399999999999997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6"/>
      <c r="J18" s="85"/>
      <c r="K18" s="85"/>
      <c r="L18" s="85"/>
      <c r="M18" s="85"/>
      <c r="N18" s="85"/>
      <c r="O18" s="85"/>
      <c r="P18" s="85"/>
      <c r="Q18" s="85"/>
      <c r="R18" s="85"/>
    </row>
    <row r="19" spans="1:18" x14ac:dyDescent="0.25">
      <c r="A19" s="1"/>
      <c r="B19" s="1" t="s">
        <v>12</v>
      </c>
      <c r="C19" s="12">
        <f>Sheet1!H12</f>
        <v>74616</v>
      </c>
      <c r="D19" s="12">
        <f>Sheet1!I12</f>
        <v>97249</v>
      </c>
      <c r="E19" s="12">
        <f>Sheet1!J12</f>
        <v>121878</v>
      </c>
      <c r="F19" s="12">
        <f>Sheet1!B13</f>
        <v>180080</v>
      </c>
      <c r="G19" s="12">
        <f>Sheet1!C13</f>
        <v>271535</v>
      </c>
      <c r="H19" s="12">
        <f>Sheet1!D13</f>
        <v>412398</v>
      </c>
      <c r="I19" s="75">
        <f>I20*I11</f>
        <v>348224.82015682798</v>
      </c>
      <c r="J19" s="84">
        <f t="shared" ref="J19:R19" si="7">J20*J11</f>
        <v>375971.53857138002</v>
      </c>
      <c r="K19" s="84">
        <f t="shared" si="7"/>
        <v>412186.83720794995</v>
      </c>
      <c r="L19" s="84">
        <f t="shared" si="7"/>
        <v>432883.21887620992</v>
      </c>
      <c r="M19" s="84">
        <f t="shared" si="7"/>
        <v>470349.19531969196</v>
      </c>
      <c r="N19" s="84">
        <f t="shared" si="7"/>
        <v>522122.04536831996</v>
      </c>
      <c r="O19" s="84">
        <f t="shared" si="7"/>
        <v>562140.14128775999</v>
      </c>
      <c r="P19" s="84">
        <f t="shared" si="7"/>
        <v>607138.03731122997</v>
      </c>
      <c r="Q19" s="84">
        <f t="shared" si="7"/>
        <v>683155.79776259989</v>
      </c>
      <c r="R19" s="84">
        <f t="shared" si="7"/>
        <v>738654.62544431991</v>
      </c>
    </row>
    <row r="20" spans="1:18" x14ac:dyDescent="0.25">
      <c r="A20" s="1"/>
      <c r="B20" s="89" t="s">
        <v>18</v>
      </c>
      <c r="C20" s="90">
        <f t="shared" ref="C20:H20" si="8">C19/C11</f>
        <v>0.16910869816490681</v>
      </c>
      <c r="D20" s="90">
        <f t="shared" si="8"/>
        <v>0.16109015675185898</v>
      </c>
      <c r="E20" s="90">
        <f t="shared" si="8"/>
        <v>0.14892610880777732</v>
      </c>
      <c r="F20" s="90">
        <f t="shared" si="8"/>
        <v>0.10435639261137269</v>
      </c>
      <c r="G20" s="90">
        <f t="shared" si="8"/>
        <v>0.11658295815490353</v>
      </c>
      <c r="H20" s="90">
        <f t="shared" si="8"/>
        <v>0.16070933798265158</v>
      </c>
      <c r="I20" s="91">
        <v>0.1261684131003</v>
      </c>
      <c r="J20" s="92">
        <v>0.122866515873</v>
      </c>
      <c r="K20" s="92">
        <v>0.12017108956499999</v>
      </c>
      <c r="L20" s="92">
        <v>0.11332021436549998</v>
      </c>
      <c r="M20" s="92">
        <v>0.10862568021239999</v>
      </c>
      <c r="N20" s="92">
        <v>0.10197696198599999</v>
      </c>
      <c r="O20" s="92">
        <v>9.7933822524E-2</v>
      </c>
      <c r="P20" s="92">
        <v>9.5013777356999993E-2</v>
      </c>
      <c r="Q20" s="92">
        <v>9.2318351048999991E-2</v>
      </c>
      <c r="R20" s="92">
        <v>9.0521400176999986E-2</v>
      </c>
    </row>
    <row r="21" spans="1:18" x14ac:dyDescent="0.25">
      <c r="A21" s="1"/>
      <c r="B21" s="14"/>
      <c r="C21" s="12"/>
      <c r="D21" s="12"/>
      <c r="E21" s="12"/>
      <c r="F21" s="12"/>
      <c r="G21" s="95"/>
      <c r="H21" s="12"/>
      <c r="I21" s="75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1"/>
      <c r="B22" s="1" t="s">
        <v>53</v>
      </c>
      <c r="C22" s="12">
        <f>Sheet1!H11</f>
        <v>109085</v>
      </c>
      <c r="D22" s="12">
        <f>Sheet1!I11</f>
        <v>158013</v>
      </c>
      <c r="E22" s="12">
        <f>Sheet1!J11</f>
        <v>215570</v>
      </c>
      <c r="F22" s="12">
        <f>Sheet1!B12</f>
        <v>500756</v>
      </c>
      <c r="G22" s="12">
        <f>Sheet1!C12</f>
        <v>654804</v>
      </c>
      <c r="H22" s="12">
        <f>Sheet1!D12</f>
        <v>710399</v>
      </c>
      <c r="I22" s="75">
        <f>I23*I11</f>
        <v>839740.75172572804</v>
      </c>
      <c r="J22" s="84">
        <f t="shared" ref="J22:R22" si="9">J23*J11</f>
        <v>906651.6921028801</v>
      </c>
      <c r="K22" s="84">
        <f t="shared" si="9"/>
        <v>993984.53094920004</v>
      </c>
      <c r="L22" s="84">
        <f t="shared" si="9"/>
        <v>1043893.6531429598</v>
      </c>
      <c r="M22" s="84">
        <f t="shared" si="9"/>
        <v>1134242.4893017919</v>
      </c>
      <c r="N22" s="84">
        <f t="shared" si="9"/>
        <v>1259092.2113843199</v>
      </c>
      <c r="O22" s="84">
        <f t="shared" si="9"/>
        <v>1355595.45872576</v>
      </c>
      <c r="P22" s="84">
        <f t="shared" si="9"/>
        <v>1464107.4453664799</v>
      </c>
      <c r="Q22" s="84">
        <f t="shared" si="9"/>
        <v>1647423.5320176</v>
      </c>
      <c r="R22" s="84">
        <f t="shared" si="9"/>
        <v>1781258.4127603199</v>
      </c>
    </row>
    <row r="23" spans="1:18" x14ac:dyDescent="0.25">
      <c r="A23" s="1"/>
      <c r="B23" s="89" t="s">
        <v>18</v>
      </c>
      <c r="C23" s="90">
        <f t="shared" ref="C23:H23" si="10">C22/C11</f>
        <v>0.24722877585663744</v>
      </c>
      <c r="D23" s="90">
        <f t="shared" si="10"/>
        <v>0.26174396588994736</v>
      </c>
      <c r="E23" s="90">
        <f t="shared" si="10"/>
        <v>0.26341096240250544</v>
      </c>
      <c r="F23" s="90">
        <f t="shared" si="10"/>
        <v>0.29018819268381019</v>
      </c>
      <c r="G23" s="90">
        <f t="shared" si="10"/>
        <v>0.28113866474547833</v>
      </c>
      <c r="H23" s="90">
        <f t="shared" si="10"/>
        <v>0.27683876496379151</v>
      </c>
      <c r="I23" s="91">
        <v>0.30425389555280002</v>
      </c>
      <c r="J23" s="92">
        <v>0.29629140264800002</v>
      </c>
      <c r="K23" s="92">
        <v>0.28979140844000001</v>
      </c>
      <c r="L23" s="92">
        <v>0.27327058982799995</v>
      </c>
      <c r="M23" s="92">
        <v>0.26194976658239999</v>
      </c>
      <c r="N23" s="92">
        <v>0.24591644753599998</v>
      </c>
      <c r="O23" s="92">
        <v>0.23616645622400001</v>
      </c>
      <c r="P23" s="92">
        <v>0.22912479583199999</v>
      </c>
      <c r="Q23" s="92">
        <v>0.222624801624</v>
      </c>
      <c r="R23" s="92">
        <v>0.21829147215199998</v>
      </c>
    </row>
    <row r="24" spans="1:18" x14ac:dyDescent="0.25">
      <c r="A24" s="1"/>
      <c r="B24" s="14"/>
      <c r="C24" s="12"/>
      <c r="D24" s="12"/>
      <c r="E24" s="12"/>
      <c r="F24" s="96"/>
      <c r="G24" s="95"/>
      <c r="H24" s="12"/>
      <c r="I24" s="75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1"/>
      <c r="B25" s="1" t="s">
        <v>54</v>
      </c>
      <c r="C25" s="12">
        <f>Sheet1!H13</f>
        <v>91486</v>
      </c>
      <c r="D25" s="12">
        <f>Sheet1!I13</f>
        <v>82883</v>
      </c>
      <c r="E25" s="12">
        <f>Sheet1!J13</f>
        <v>121134</v>
      </c>
      <c r="F25" s="12">
        <f>Sheet1!B14</f>
        <v>156035</v>
      </c>
      <c r="G25" s="12">
        <f>Sheet1!C14</f>
        <v>282531</v>
      </c>
      <c r="H25" s="12">
        <f>Sheet1!D14</f>
        <v>312260</v>
      </c>
      <c r="I25" s="79">
        <f>I26*I11</f>
        <v>359566.42811744392</v>
      </c>
      <c r="J25" s="86">
        <f t="shared" ref="J25:R25" si="11">J26*J11</f>
        <v>388136.76932574011</v>
      </c>
      <c r="K25" s="86">
        <f t="shared" si="11"/>
        <v>425448.63184285001</v>
      </c>
      <c r="L25" s="86">
        <f t="shared" si="11"/>
        <v>446593.12798082997</v>
      </c>
      <c r="M25" s="86">
        <f t="shared" si="11"/>
        <v>485066.31537851598</v>
      </c>
      <c r="N25" s="86">
        <f t="shared" si="11"/>
        <v>538145.74324735999</v>
      </c>
      <c r="O25" s="86">
        <f t="shared" si="11"/>
        <v>579164.39998648001</v>
      </c>
      <c r="P25" s="86">
        <f t="shared" si="11"/>
        <v>625334.51732228999</v>
      </c>
      <c r="Q25" s="86">
        <f t="shared" si="11"/>
        <v>703420.67021979997</v>
      </c>
      <c r="R25" s="86">
        <f t="shared" si="11"/>
        <v>760406.96179535997</v>
      </c>
    </row>
    <row r="26" spans="1:18" x14ac:dyDescent="0.25">
      <c r="A26" s="1"/>
      <c r="B26" s="89" t="s">
        <v>18</v>
      </c>
      <c r="C26" s="90">
        <f t="shared" ref="C26:H26" si="12">C25/C11</f>
        <v>0.20734263911647188</v>
      </c>
      <c r="D26" s="90">
        <f t="shared" si="12"/>
        <v>0.13729329311421534</v>
      </c>
      <c r="E26" s="90">
        <f t="shared" si="12"/>
        <v>0.14801699457097506</v>
      </c>
      <c r="F26" s="90">
        <f t="shared" si="12"/>
        <v>9.0422310756972116E-2</v>
      </c>
      <c r="G26" s="90">
        <f t="shared" si="12"/>
        <v>0.12130406669660652</v>
      </c>
      <c r="H26" s="90">
        <f t="shared" si="12"/>
        <v>0.12168608450686662</v>
      </c>
      <c r="I26" s="91">
        <v>0.13027769134689998</v>
      </c>
      <c r="J26" s="92">
        <v>0.12684208147900003</v>
      </c>
      <c r="K26" s="92">
        <v>0.12403750199500001</v>
      </c>
      <c r="L26" s="92">
        <v>0.1169091958065</v>
      </c>
      <c r="M26" s="92">
        <v>0.11202455320519999</v>
      </c>
      <c r="N26" s="92">
        <v>0.105106590478</v>
      </c>
      <c r="O26" s="92">
        <v>0.100899721252</v>
      </c>
      <c r="P26" s="92">
        <v>9.7861426811000005E-2</v>
      </c>
      <c r="Q26" s="92">
        <v>9.5056847326999996E-2</v>
      </c>
      <c r="R26" s="92">
        <v>9.3187127671E-2</v>
      </c>
    </row>
    <row r="27" spans="1:18" x14ac:dyDescent="0.25">
      <c r="A27" s="1"/>
      <c r="B27" s="14"/>
      <c r="C27" s="12"/>
      <c r="D27" s="12"/>
      <c r="E27" s="12"/>
      <c r="F27" s="12"/>
      <c r="G27" s="95"/>
      <c r="H27" s="12"/>
      <c r="I27" s="79"/>
      <c r="J27" s="86"/>
      <c r="K27" s="86"/>
      <c r="L27" s="86"/>
      <c r="M27" s="86"/>
      <c r="N27" s="86"/>
      <c r="O27" s="86"/>
      <c r="P27" s="86"/>
      <c r="Q27" s="86"/>
      <c r="R27" s="86"/>
    </row>
    <row r="28" spans="1:18" x14ac:dyDescent="0.25">
      <c r="A28" s="1"/>
      <c r="B28" s="1" t="s">
        <v>55</v>
      </c>
      <c r="C28" s="12">
        <f>Sheet1!H14</f>
        <v>3162</v>
      </c>
      <c r="D28" s="12">
        <f>Sheet1!I14</f>
        <v>0</v>
      </c>
      <c r="E28" s="12">
        <f>Sheet1!J14</f>
        <v>0</v>
      </c>
      <c r="F28" s="12">
        <f>Sheet1!B15</f>
        <v>0</v>
      </c>
      <c r="G28" s="12">
        <f>Sheet1!C15</f>
        <v>0</v>
      </c>
      <c r="H28" s="12">
        <f>Sheet1!D15</f>
        <v>1045022</v>
      </c>
      <c r="I28" s="79">
        <v>2760</v>
      </c>
      <c r="J28" s="86">
        <v>3060</v>
      </c>
      <c r="K28" s="86">
        <v>3430</v>
      </c>
      <c r="L28" s="86">
        <v>3820</v>
      </c>
      <c r="M28" s="86">
        <v>4330</v>
      </c>
      <c r="N28" s="86">
        <v>5120</v>
      </c>
      <c r="O28" s="86">
        <v>5740</v>
      </c>
      <c r="P28" s="86">
        <v>6390</v>
      </c>
      <c r="Q28" s="86">
        <v>7400</v>
      </c>
      <c r="R28" s="86">
        <v>8160</v>
      </c>
    </row>
    <row r="29" spans="1:18" x14ac:dyDescent="0.25">
      <c r="A29" s="1"/>
      <c r="B29" s="89" t="s">
        <v>18</v>
      </c>
      <c r="C29" s="90">
        <f t="shared" ref="C29:H29" si="13">C28/C11</f>
        <v>7.1663142435594964E-3</v>
      </c>
      <c r="D29" s="90">
        <f t="shared" si="13"/>
        <v>0</v>
      </c>
      <c r="E29" s="90">
        <f t="shared" si="13"/>
        <v>0</v>
      </c>
      <c r="F29" s="90">
        <f t="shared" si="13"/>
        <v>0</v>
      </c>
      <c r="G29" s="90">
        <f t="shared" si="13"/>
        <v>0</v>
      </c>
      <c r="H29" s="90">
        <f t="shared" si="13"/>
        <v>0.40723959329896486</v>
      </c>
      <c r="I29" s="91">
        <v>1E-3</v>
      </c>
      <c r="J29" s="92">
        <v>1E-3</v>
      </c>
      <c r="K29" s="92">
        <v>1E-3</v>
      </c>
      <c r="L29" s="92">
        <v>1E-3</v>
      </c>
      <c r="M29" s="92">
        <v>1E-3</v>
      </c>
      <c r="N29" s="92">
        <v>1E-3</v>
      </c>
      <c r="O29" s="92">
        <v>1E-3</v>
      </c>
      <c r="P29" s="92">
        <v>1E-3</v>
      </c>
      <c r="Q29" s="92">
        <v>1E-3</v>
      </c>
      <c r="R29" s="92">
        <v>1E-3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79"/>
      <c r="J30" s="86"/>
      <c r="K30" s="86"/>
      <c r="L30" s="86"/>
      <c r="M30" s="86"/>
      <c r="N30" s="86"/>
      <c r="O30" s="86"/>
      <c r="P30" s="86"/>
      <c r="Q30" s="86"/>
      <c r="R30" s="86"/>
    </row>
    <row r="31" spans="1:18" x14ac:dyDescent="0.25">
      <c r="A31" s="1"/>
      <c r="B31" s="1" t="s">
        <v>13</v>
      </c>
      <c r="C31" s="12">
        <f t="shared" ref="C31:H31" si="14">C19+C22+C25+C28</f>
        <v>278349</v>
      </c>
      <c r="D31" s="12">
        <f t="shared" si="14"/>
        <v>338145</v>
      </c>
      <c r="E31" s="12">
        <f t="shared" si="14"/>
        <v>458582</v>
      </c>
      <c r="F31" s="12">
        <f t="shared" si="14"/>
        <v>836871</v>
      </c>
      <c r="G31" s="12">
        <f>G19+G22+G25+G28</f>
        <v>1208870</v>
      </c>
      <c r="H31" s="12">
        <f t="shared" si="14"/>
        <v>2480079</v>
      </c>
      <c r="I31" s="79">
        <f>I19+I22+I25+I28</f>
        <v>1550292</v>
      </c>
      <c r="J31" s="86">
        <f t="shared" ref="J31:R31" si="15">J19+J22+J25+J28</f>
        <v>1673820.0000000002</v>
      </c>
      <c r="K31" s="86">
        <f t="shared" si="15"/>
        <v>1835050</v>
      </c>
      <c r="L31" s="86">
        <f t="shared" si="15"/>
        <v>1927189.9999999998</v>
      </c>
      <c r="M31" s="86">
        <f t="shared" si="15"/>
        <v>2093987.9999999998</v>
      </c>
      <c r="N31" s="86">
        <f t="shared" si="15"/>
        <v>2324480</v>
      </c>
      <c r="O31" s="86">
        <f t="shared" si="15"/>
        <v>2502640</v>
      </c>
      <c r="P31" s="86">
        <f t="shared" si="15"/>
        <v>2702970</v>
      </c>
      <c r="Q31" s="86">
        <f t="shared" si="15"/>
        <v>3041400</v>
      </c>
      <c r="R31" s="86">
        <f t="shared" si="15"/>
        <v>3288479.9999999995</v>
      </c>
    </row>
    <row r="32" spans="1:18" x14ac:dyDescent="0.25">
      <c r="A32" s="1"/>
      <c r="B32" s="89" t="s">
        <v>18</v>
      </c>
      <c r="C32" s="90">
        <f t="shared" ref="C32:H32" si="16">C31/C11</f>
        <v>0.63084642738157559</v>
      </c>
      <c r="D32" s="90">
        <f t="shared" si="16"/>
        <v>0.56012741575602165</v>
      </c>
      <c r="E32" s="90">
        <f t="shared" si="16"/>
        <v>0.56035406578125779</v>
      </c>
      <c r="F32" s="90">
        <f t="shared" si="16"/>
        <v>0.48496689605215504</v>
      </c>
      <c r="G32" s="90">
        <f t="shared" si="16"/>
        <v>0.51902568959698836</v>
      </c>
      <c r="H32" s="90">
        <f t="shared" si="16"/>
        <v>0.96647378075227452</v>
      </c>
      <c r="I32" s="97">
        <f t="shared" ref="I32" si="17">I31/I11</f>
        <v>0.56169999999999998</v>
      </c>
      <c r="J32" s="90">
        <f t="shared" ref="J32" si="18">J31/J11</f>
        <v>0.54700000000000004</v>
      </c>
      <c r="K32" s="90">
        <f t="shared" ref="K32" si="19">K31/K11</f>
        <v>0.53500000000000003</v>
      </c>
      <c r="L32" s="90">
        <f t="shared" ref="L32" si="20">L31/L11</f>
        <v>0.50449999999999995</v>
      </c>
      <c r="M32" s="90">
        <f t="shared" ref="M32" si="21">M31/M11</f>
        <v>0.48359999999999992</v>
      </c>
      <c r="N32" s="90">
        <f t="shared" ref="N32" si="22">N31/N11</f>
        <v>0.45400000000000001</v>
      </c>
      <c r="O32" s="90">
        <f t="shared" ref="O32" si="23">O31/O11</f>
        <v>0.436</v>
      </c>
      <c r="P32" s="90">
        <f t="shared" ref="P32" si="24">P31/P11</f>
        <v>0.42299999999999999</v>
      </c>
      <c r="Q32" s="90">
        <f t="shared" ref="Q32" si="25">Q31/Q11</f>
        <v>0.41099999999999998</v>
      </c>
      <c r="R32" s="90">
        <f t="shared" ref="R32" si="26">R31/R11</f>
        <v>0.40299999999999997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80"/>
      <c r="J33" s="81"/>
      <c r="K33" s="81"/>
      <c r="L33" s="81"/>
      <c r="M33" s="81"/>
      <c r="N33" s="81"/>
      <c r="O33" s="81"/>
      <c r="P33" s="81"/>
      <c r="Q33" s="81"/>
      <c r="R33" s="81"/>
    </row>
    <row r="34" spans="1:86" x14ac:dyDescent="0.25">
      <c r="A34" s="1"/>
      <c r="B34" s="1" t="s">
        <v>14</v>
      </c>
      <c r="C34" s="12">
        <f>C16-C31</f>
        <v>11896</v>
      </c>
      <c r="D34" s="12">
        <f t="shared" ref="D34:G34" si="27">D16-D31</f>
        <v>74786</v>
      </c>
      <c r="E34" s="12">
        <f t="shared" si="27"/>
        <v>88761</v>
      </c>
      <c r="F34" s="12">
        <f t="shared" si="27"/>
        <v>424009</v>
      </c>
      <c r="G34" s="12">
        <f t="shared" si="27"/>
        <v>465732</v>
      </c>
      <c r="H34" s="12">
        <f>H16-H31</f>
        <v>-658560</v>
      </c>
      <c r="I34" s="79">
        <f t="shared" ref="I34:R34" si="28">I16-I31</f>
        <v>403788</v>
      </c>
      <c r="J34" s="86">
        <f t="shared" si="28"/>
        <v>507347.99999999977</v>
      </c>
      <c r="K34" s="86">
        <f t="shared" si="28"/>
        <v>621516</v>
      </c>
      <c r="L34" s="86">
        <f t="shared" si="28"/>
        <v>819390.00000000023</v>
      </c>
      <c r="M34" s="86">
        <f t="shared" si="28"/>
        <v>1045262.0000000002</v>
      </c>
      <c r="N34" s="86">
        <f t="shared" si="28"/>
        <v>1391104</v>
      </c>
      <c r="O34" s="86">
        <f t="shared" si="28"/>
        <v>1672061.9999999995</v>
      </c>
      <c r="P34" s="86">
        <f t="shared" si="28"/>
        <v>1950867</v>
      </c>
      <c r="Q34" s="86">
        <f t="shared" si="28"/>
        <v>2238500</v>
      </c>
      <c r="R34" s="86">
        <f t="shared" si="28"/>
        <v>2537760.0000000005</v>
      </c>
    </row>
    <row r="35" spans="1:86" x14ac:dyDescent="0.25">
      <c r="A35" s="1"/>
      <c r="B35" s="1"/>
      <c r="C35" s="12"/>
      <c r="D35" s="12"/>
      <c r="E35" s="12"/>
      <c r="F35" s="12"/>
      <c r="G35" s="12"/>
      <c r="H35" s="12"/>
      <c r="I35" s="79"/>
      <c r="J35" s="86"/>
      <c r="K35" s="86"/>
      <c r="L35" s="86"/>
      <c r="M35" s="86"/>
      <c r="N35" s="86"/>
      <c r="O35" s="86"/>
      <c r="P35" s="86"/>
      <c r="Q35" s="86"/>
      <c r="R35" s="86"/>
    </row>
    <row r="36" spans="1:86" x14ac:dyDescent="0.25">
      <c r="A36" s="1"/>
      <c r="B36" s="1" t="s">
        <v>15</v>
      </c>
      <c r="C36" s="73">
        <f>SUM(Sheet1!H21)</f>
        <v>20369</v>
      </c>
      <c r="D36" s="73">
        <f>SUM(Sheet1!I21)</f>
        <v>-19708</v>
      </c>
      <c r="E36" s="73">
        <f>SUM(Sheet1!J21)</f>
        <v>-8115</v>
      </c>
      <c r="F36" s="73">
        <f>Sheet1!B24</f>
        <v>-58300</v>
      </c>
      <c r="G36" s="73">
        <f>Sheet1!C24</f>
        <v>5922</v>
      </c>
      <c r="H36" s="73">
        <f>Sheet1!D24</f>
        <v>-3418</v>
      </c>
      <c r="I36" s="82">
        <f>I37*I11</f>
        <v>-13800</v>
      </c>
      <c r="J36" s="87">
        <f t="shared" ref="J36:R36" si="29">J37*J11</f>
        <v>-14076</v>
      </c>
      <c r="K36" s="87">
        <f t="shared" si="29"/>
        <v>-15778</v>
      </c>
      <c r="L36" s="87">
        <f t="shared" si="29"/>
        <v>-19100</v>
      </c>
      <c r="M36" s="87">
        <f t="shared" si="29"/>
        <v>-21650</v>
      </c>
      <c r="N36" s="87">
        <f t="shared" si="29"/>
        <v>-25600</v>
      </c>
      <c r="O36" s="87">
        <f t="shared" si="29"/>
        <v>-28700</v>
      </c>
      <c r="P36" s="87">
        <f t="shared" si="29"/>
        <v>-31950</v>
      </c>
      <c r="Q36" s="87">
        <f t="shared" si="29"/>
        <v>-37000</v>
      </c>
      <c r="R36" s="87">
        <f t="shared" si="29"/>
        <v>-40800</v>
      </c>
    </row>
    <row r="37" spans="1:86" x14ac:dyDescent="0.25">
      <c r="A37" s="1"/>
      <c r="B37" s="89" t="s">
        <v>18</v>
      </c>
      <c r="C37" s="90">
        <f>C36/C11</f>
        <v>4.6164027459539334E-2</v>
      </c>
      <c r="D37" s="90">
        <f t="shared" ref="D37:H37" si="30">D36/D11</f>
        <v>-3.2645732185067576E-2</v>
      </c>
      <c r="E37" s="90">
        <f t="shared" si="30"/>
        <v>-9.9159435909279194E-3</v>
      </c>
      <c r="F37" s="90">
        <f t="shared" si="30"/>
        <v>-3.3784860557768921E-2</v>
      </c>
      <c r="G37" s="90">
        <f t="shared" si="30"/>
        <v>2.5425977431761605E-3</v>
      </c>
      <c r="H37" s="90">
        <f t="shared" si="30"/>
        <v>-1.3319766759894642E-3</v>
      </c>
      <c r="I37" s="91">
        <v>-5.0000000000000001E-3</v>
      </c>
      <c r="J37" s="92">
        <v>-4.5999999999999999E-3</v>
      </c>
      <c r="K37" s="92">
        <v>-4.5999999999999999E-3</v>
      </c>
      <c r="L37" s="92">
        <v>-5.0000000000000001E-3</v>
      </c>
      <c r="M37" s="92">
        <v>-5.0000000000000001E-3</v>
      </c>
      <c r="N37" s="92">
        <v>-5.0000000000000001E-3</v>
      </c>
      <c r="O37" s="92">
        <v>-5.0000000000000001E-3</v>
      </c>
      <c r="P37" s="92">
        <v>-5.0000000000000001E-3</v>
      </c>
      <c r="Q37" s="92">
        <v>-5.0000000000000001E-3</v>
      </c>
      <c r="R37" s="92">
        <v>-5.0000000000000001E-3</v>
      </c>
    </row>
    <row r="38" spans="1:86" x14ac:dyDescent="0.25">
      <c r="A38" s="1"/>
      <c r="B38" s="1"/>
      <c r="C38" s="20"/>
      <c r="D38" s="20"/>
      <c r="E38" s="20"/>
      <c r="F38" s="20"/>
      <c r="G38" s="20"/>
      <c r="H38" s="20"/>
      <c r="I38" s="76"/>
      <c r="J38" s="85"/>
      <c r="K38" s="85"/>
      <c r="L38" s="85"/>
      <c r="M38" s="85"/>
      <c r="N38" s="85"/>
      <c r="O38" s="85"/>
      <c r="P38" s="85"/>
      <c r="Q38" s="85"/>
      <c r="R38" s="85"/>
    </row>
    <row r="39" spans="1:86" x14ac:dyDescent="0.25">
      <c r="A39" s="1"/>
      <c r="B39" s="1" t="s">
        <v>16</v>
      </c>
      <c r="C39" s="12">
        <f>C34+C36</f>
        <v>32265</v>
      </c>
      <c r="D39" s="12">
        <f t="shared" ref="D39:R39" si="31">D34+D36</f>
        <v>55078</v>
      </c>
      <c r="E39" s="12">
        <f t="shared" si="31"/>
        <v>80646</v>
      </c>
      <c r="F39" s="12">
        <f t="shared" si="31"/>
        <v>365709</v>
      </c>
      <c r="G39" s="12">
        <f t="shared" si="31"/>
        <v>471654</v>
      </c>
      <c r="H39" s="12">
        <f t="shared" si="31"/>
        <v>-661978</v>
      </c>
      <c r="I39" s="79">
        <f t="shared" si="31"/>
        <v>389988</v>
      </c>
      <c r="J39" s="86">
        <f t="shared" si="31"/>
        <v>493271.99999999977</v>
      </c>
      <c r="K39" s="86">
        <f t="shared" si="31"/>
        <v>605738</v>
      </c>
      <c r="L39" s="86">
        <f t="shared" si="31"/>
        <v>800290.00000000023</v>
      </c>
      <c r="M39" s="86">
        <f t="shared" si="31"/>
        <v>1023612.0000000002</v>
      </c>
      <c r="N39" s="86">
        <f t="shared" si="31"/>
        <v>1365504</v>
      </c>
      <c r="O39" s="86">
        <f t="shared" si="31"/>
        <v>1643361.9999999995</v>
      </c>
      <c r="P39" s="86">
        <f t="shared" si="31"/>
        <v>1918917</v>
      </c>
      <c r="Q39" s="86">
        <f t="shared" si="31"/>
        <v>2201500</v>
      </c>
      <c r="R39" s="86">
        <f t="shared" si="31"/>
        <v>2496960.0000000005</v>
      </c>
    </row>
    <row r="40" spans="1:86" x14ac:dyDescent="0.25">
      <c r="A40" s="1"/>
      <c r="B40" s="1"/>
      <c r="C40" s="20"/>
      <c r="D40" s="20"/>
      <c r="E40" s="20"/>
      <c r="F40" s="20"/>
      <c r="G40" s="20"/>
      <c r="H40" s="20"/>
      <c r="I40" s="76"/>
      <c r="J40" s="85"/>
      <c r="K40" s="85"/>
      <c r="L40" s="85"/>
      <c r="M40" s="85"/>
      <c r="N40" s="85"/>
      <c r="O40" s="85"/>
      <c r="P40" s="85"/>
      <c r="Q40" s="85"/>
      <c r="R40" s="85"/>
    </row>
    <row r="41" spans="1:86" x14ac:dyDescent="0.25">
      <c r="A41" s="1"/>
      <c r="B41" s="1" t="s">
        <v>17</v>
      </c>
      <c r="C41" s="12">
        <f t="shared" ref="C41:R41" si="32">C34</f>
        <v>11896</v>
      </c>
      <c r="D41" s="12">
        <f t="shared" si="32"/>
        <v>74786</v>
      </c>
      <c r="E41" s="12">
        <f t="shared" si="32"/>
        <v>88761</v>
      </c>
      <c r="F41" s="12">
        <f t="shared" si="32"/>
        <v>424009</v>
      </c>
      <c r="G41" s="12">
        <f t="shared" si="32"/>
        <v>465732</v>
      </c>
      <c r="H41" s="12">
        <f t="shared" si="32"/>
        <v>-658560</v>
      </c>
      <c r="I41" s="79">
        <f t="shared" si="32"/>
        <v>403788</v>
      </c>
      <c r="J41" s="86">
        <f t="shared" si="32"/>
        <v>507347.99999999977</v>
      </c>
      <c r="K41" s="86">
        <f t="shared" si="32"/>
        <v>621516</v>
      </c>
      <c r="L41" s="86">
        <f t="shared" si="32"/>
        <v>819390.00000000023</v>
      </c>
      <c r="M41" s="86">
        <f t="shared" si="32"/>
        <v>1045262.0000000002</v>
      </c>
      <c r="N41" s="86">
        <f t="shared" si="32"/>
        <v>1391104</v>
      </c>
      <c r="O41" s="86">
        <f t="shared" si="32"/>
        <v>1672061.9999999995</v>
      </c>
      <c r="P41" s="86">
        <f t="shared" si="32"/>
        <v>1950867</v>
      </c>
      <c r="Q41" s="86">
        <f t="shared" si="32"/>
        <v>2238500</v>
      </c>
      <c r="R41" s="86">
        <f t="shared" si="32"/>
        <v>2537760.0000000005</v>
      </c>
    </row>
    <row r="42" spans="1:86" x14ac:dyDescent="0.25">
      <c r="A42" s="1"/>
      <c r="B42" s="89" t="s">
        <v>18</v>
      </c>
      <c r="C42" s="90">
        <f t="shared" ref="C42:R42" si="33">C41/C11</f>
        <v>2.6960934295187783E-2</v>
      </c>
      <c r="D42" s="90">
        <f t="shared" si="33"/>
        <v>0.12388084672176089</v>
      </c>
      <c r="E42" s="90">
        <f t="shared" si="33"/>
        <v>0.10845952792043784</v>
      </c>
      <c r="F42" s="90">
        <f t="shared" si="33"/>
        <v>0.24571329228540384</v>
      </c>
      <c r="G42" s="90">
        <f t="shared" si="33"/>
        <v>0.19996101521866255</v>
      </c>
      <c r="H42" s="90">
        <f t="shared" si="33"/>
        <v>-0.25663737850778862</v>
      </c>
      <c r="I42" s="91">
        <f t="shared" si="33"/>
        <v>0.14630000000000001</v>
      </c>
      <c r="J42" s="92">
        <f t="shared" si="33"/>
        <v>0.16579999999999992</v>
      </c>
      <c r="K42" s="92">
        <f t="shared" si="33"/>
        <v>0.1812</v>
      </c>
      <c r="L42" s="92">
        <f t="shared" si="33"/>
        <v>0.21450000000000005</v>
      </c>
      <c r="M42" s="92">
        <f t="shared" si="33"/>
        <v>0.24140000000000006</v>
      </c>
      <c r="N42" s="92">
        <f t="shared" si="33"/>
        <v>0.2717</v>
      </c>
      <c r="O42" s="92">
        <f t="shared" si="33"/>
        <v>0.29129999999999989</v>
      </c>
      <c r="P42" s="92">
        <f t="shared" si="33"/>
        <v>0.30530000000000002</v>
      </c>
      <c r="Q42" s="92">
        <f t="shared" si="33"/>
        <v>0.30249999999999999</v>
      </c>
      <c r="R42" s="92">
        <f t="shared" si="33"/>
        <v>0.31100000000000005</v>
      </c>
    </row>
    <row r="43" spans="1:86" x14ac:dyDescent="0.25">
      <c r="A43" s="1"/>
      <c r="B43" s="14"/>
      <c r="C43" s="1"/>
      <c r="D43" s="1"/>
      <c r="E43" s="1"/>
      <c r="G43" s="1"/>
      <c r="H43" s="1"/>
      <c r="I43" s="76"/>
      <c r="J43" s="85"/>
      <c r="K43" s="85"/>
      <c r="L43" s="85"/>
      <c r="M43" s="85"/>
      <c r="N43" s="85"/>
      <c r="O43" s="85"/>
      <c r="P43" s="85"/>
      <c r="Q43" s="85"/>
      <c r="R43" s="85"/>
    </row>
    <row r="44" spans="1:86" x14ac:dyDescent="0.25">
      <c r="A44" s="1"/>
      <c r="B44" s="1" t="s">
        <v>166</v>
      </c>
      <c r="C44" s="19">
        <f>Sheet1!H23</f>
        <v>49535</v>
      </c>
      <c r="D44" s="19">
        <f>Sheet1!I23</f>
        <v>22413</v>
      </c>
      <c r="E44" s="19">
        <f>Sheet1!J23</f>
        <v>15248</v>
      </c>
      <c r="F44" s="21">
        <f>Sheet1!B26</f>
        <v>-16463</v>
      </c>
      <c r="G44" s="21">
        <f>Sheet1!C26</f>
        <v>21853</v>
      </c>
      <c r="H44" s="21">
        <f>Sheet1!D26</f>
        <v>-32310</v>
      </c>
      <c r="I44" s="75">
        <f>I45*I41</f>
        <v>-48171.9084</v>
      </c>
      <c r="J44" s="84">
        <f t="shared" ref="J44:R44" si="34">J45*J41</f>
        <v>-71485.333199999965</v>
      </c>
      <c r="K44" s="84">
        <f t="shared" si="34"/>
        <v>-100312.68239999999</v>
      </c>
      <c r="L44" s="84">
        <f t="shared" si="34"/>
        <v>-150767.76000000004</v>
      </c>
      <c r="M44" s="84">
        <f t="shared" si="34"/>
        <v>-186474.74080000006</v>
      </c>
      <c r="N44" s="84">
        <f t="shared" si="34"/>
        <v>-242469.42720000001</v>
      </c>
      <c r="O44" s="84">
        <f t="shared" si="34"/>
        <v>-294784.53059999994</v>
      </c>
      <c r="P44" s="84">
        <f t="shared" si="34"/>
        <v>-346669.06589999999</v>
      </c>
      <c r="Q44" s="84">
        <f t="shared" si="34"/>
        <v>-317867</v>
      </c>
      <c r="R44" s="84">
        <f t="shared" si="34"/>
        <v>-362899.68000000005</v>
      </c>
    </row>
    <row r="45" spans="1:86" x14ac:dyDescent="0.25">
      <c r="A45" s="1"/>
      <c r="B45" s="89" t="s">
        <v>19</v>
      </c>
      <c r="C45" s="98">
        <f t="shared" ref="C45:H45" si="35">C44/C41</f>
        <v>4.1640047074646942</v>
      </c>
      <c r="D45" s="98">
        <f t="shared" si="35"/>
        <v>0.299695130104565</v>
      </c>
      <c r="E45" s="98">
        <f t="shared" si="35"/>
        <v>0.17178715877468709</v>
      </c>
      <c r="F45" s="98">
        <f t="shared" si="35"/>
        <v>-3.8827006030532372E-2</v>
      </c>
      <c r="G45" s="98">
        <f t="shared" si="35"/>
        <v>4.6921834874992484E-2</v>
      </c>
      <c r="H45" s="98">
        <f t="shared" si="35"/>
        <v>4.9061588921282796E-2</v>
      </c>
      <c r="I45" s="99">
        <v>-0.1193</v>
      </c>
      <c r="J45" s="100">
        <v>-0.1409</v>
      </c>
      <c r="K45" s="100">
        <v>-0.16139999999999999</v>
      </c>
      <c r="L45" s="100">
        <v>-0.184</v>
      </c>
      <c r="M45" s="100">
        <v>-0.1784</v>
      </c>
      <c r="N45" s="100">
        <v>-0.17430000000000001</v>
      </c>
      <c r="O45" s="100">
        <v>-0.17630000000000001</v>
      </c>
      <c r="P45" s="100">
        <v>-0.1777</v>
      </c>
      <c r="Q45" s="100">
        <v>-0.14199999999999999</v>
      </c>
      <c r="R45" s="100">
        <v>-0.14299999999999999</v>
      </c>
    </row>
    <row r="46" spans="1:86" x14ac:dyDescent="0.25">
      <c r="A46" s="1"/>
      <c r="B46" s="1"/>
      <c r="C46" s="1"/>
      <c r="D46" s="1"/>
      <c r="E46" s="1"/>
      <c r="F46" s="1"/>
      <c r="G46" s="1"/>
      <c r="H46" s="1"/>
      <c r="I46" s="76"/>
      <c r="J46" s="85"/>
      <c r="K46" s="85"/>
      <c r="L46" s="85"/>
      <c r="M46" s="85"/>
      <c r="N46" s="85"/>
      <c r="O46" s="85"/>
      <c r="P46" s="85"/>
      <c r="Q46" s="85"/>
      <c r="R46" s="85"/>
    </row>
    <row r="47" spans="1:86" x14ac:dyDescent="0.25">
      <c r="A47" s="1"/>
      <c r="B47" s="10" t="s">
        <v>20</v>
      </c>
      <c r="C47" s="10">
        <v>2017</v>
      </c>
      <c r="D47" s="10">
        <v>2018</v>
      </c>
      <c r="E47" s="10">
        <v>2019</v>
      </c>
      <c r="F47" s="10">
        <v>2020</v>
      </c>
      <c r="G47" s="10">
        <v>2021</v>
      </c>
      <c r="H47" s="10">
        <v>2022</v>
      </c>
      <c r="I47" s="83">
        <v>2023</v>
      </c>
      <c r="J47" s="88">
        <v>2024</v>
      </c>
      <c r="K47" s="88">
        <v>2025</v>
      </c>
      <c r="L47" s="88">
        <v>2026</v>
      </c>
      <c r="M47" s="88">
        <v>2027</v>
      </c>
      <c r="N47" s="88">
        <v>2028</v>
      </c>
      <c r="O47" s="88">
        <v>2029</v>
      </c>
      <c r="P47" s="88">
        <v>2030</v>
      </c>
      <c r="Q47" s="88">
        <v>2031</v>
      </c>
      <c r="R47" s="88">
        <v>2032</v>
      </c>
      <c r="S47" s="10">
        <v>2033</v>
      </c>
      <c r="T47" s="10">
        <v>2034</v>
      </c>
      <c r="U47" s="10">
        <v>2035</v>
      </c>
      <c r="V47" s="10">
        <v>2036</v>
      </c>
      <c r="W47" s="10">
        <v>2037</v>
      </c>
      <c r="X47" s="10">
        <v>2038</v>
      </c>
      <c r="Y47" s="10">
        <v>2039</v>
      </c>
      <c r="Z47" s="10">
        <v>2040</v>
      </c>
      <c r="AA47" s="10">
        <v>2041</v>
      </c>
      <c r="AB47" s="10">
        <v>2042</v>
      </c>
      <c r="AC47" s="10">
        <v>2043</v>
      </c>
      <c r="AD47" s="10">
        <v>2044</v>
      </c>
      <c r="AE47" s="10">
        <v>2045</v>
      </c>
      <c r="AF47" s="10">
        <v>2046</v>
      </c>
      <c r="AG47" s="10">
        <v>2047</v>
      </c>
      <c r="AH47" s="10">
        <v>2048</v>
      </c>
      <c r="AI47" s="10">
        <v>2049</v>
      </c>
      <c r="AJ47" s="10">
        <v>2050</v>
      </c>
      <c r="AK47" s="10">
        <v>2051</v>
      </c>
      <c r="AL47" s="10">
        <v>2052</v>
      </c>
      <c r="AM47" s="10">
        <v>2053</v>
      </c>
      <c r="AN47" s="10">
        <v>2054</v>
      </c>
      <c r="AO47" s="10">
        <v>2055</v>
      </c>
      <c r="AP47" s="10">
        <v>2056</v>
      </c>
      <c r="AQ47" s="10">
        <v>2057</v>
      </c>
      <c r="AR47" s="10">
        <v>2058</v>
      </c>
      <c r="AS47" s="10">
        <v>2059</v>
      </c>
      <c r="AT47" s="10">
        <v>2060</v>
      </c>
      <c r="AU47" s="10">
        <v>2061</v>
      </c>
      <c r="AV47" s="10">
        <v>2062</v>
      </c>
      <c r="AW47" s="10">
        <v>2063</v>
      </c>
      <c r="AX47" s="10">
        <v>2064</v>
      </c>
      <c r="AY47" s="10">
        <v>2065</v>
      </c>
      <c r="AZ47" s="10">
        <v>2066</v>
      </c>
      <c r="BA47" s="10">
        <v>2067</v>
      </c>
      <c r="BB47" s="10">
        <v>2068</v>
      </c>
      <c r="BC47" s="10">
        <v>2069</v>
      </c>
      <c r="BD47" s="10">
        <v>2070</v>
      </c>
      <c r="BE47" s="10">
        <v>2071</v>
      </c>
      <c r="BF47" s="10">
        <v>2072</v>
      </c>
      <c r="BG47" s="10">
        <v>2073</v>
      </c>
      <c r="BH47" s="10">
        <v>2074</v>
      </c>
      <c r="BI47" s="10">
        <v>2075</v>
      </c>
      <c r="BJ47" s="10">
        <v>2076</v>
      </c>
      <c r="BK47" s="10">
        <v>2077</v>
      </c>
      <c r="BL47" s="10">
        <v>2078</v>
      </c>
      <c r="BM47" s="10">
        <v>2079</v>
      </c>
      <c r="BN47" s="10">
        <v>2080</v>
      </c>
      <c r="BO47" s="10">
        <v>2081</v>
      </c>
      <c r="BP47" s="10">
        <v>2082</v>
      </c>
      <c r="BQ47" s="10">
        <v>2083</v>
      </c>
      <c r="BR47" s="10">
        <v>2084</v>
      </c>
      <c r="BS47" s="10">
        <v>2085</v>
      </c>
      <c r="BT47" s="10">
        <v>2086</v>
      </c>
      <c r="BU47" s="10">
        <v>2087</v>
      </c>
      <c r="BV47" s="10">
        <v>2088</v>
      </c>
      <c r="BW47" s="10">
        <v>2089</v>
      </c>
      <c r="BX47" s="10">
        <v>2090</v>
      </c>
      <c r="BY47" s="10">
        <v>2091</v>
      </c>
      <c r="BZ47" s="10">
        <v>2092</v>
      </c>
      <c r="CA47" s="10">
        <v>2093</v>
      </c>
      <c r="CB47" s="10">
        <v>2094</v>
      </c>
      <c r="CC47" s="10">
        <v>2095</v>
      </c>
      <c r="CD47" s="10">
        <v>2096</v>
      </c>
      <c r="CE47" s="10">
        <v>2097</v>
      </c>
      <c r="CF47" s="10">
        <v>2098</v>
      </c>
      <c r="CG47" s="10">
        <v>2099</v>
      </c>
      <c r="CH47" s="10">
        <v>2100</v>
      </c>
    </row>
    <row r="48" spans="1:86" x14ac:dyDescent="0.25">
      <c r="A48" s="1"/>
      <c r="B48" s="1" t="s">
        <v>21</v>
      </c>
      <c r="C48" s="12">
        <f>Sheet2!H11</f>
        <v>27197</v>
      </c>
      <c r="D48" s="12">
        <f>Sheet2!I11</f>
        <v>26742</v>
      </c>
      <c r="E48" s="12">
        <f>Sheet2!J11</f>
        <v>48031</v>
      </c>
      <c r="F48" s="21">
        <f>Sheet2!B13</f>
        <v>58189</v>
      </c>
      <c r="G48" s="21">
        <f>Sheet2!C13</f>
        <v>74267</v>
      </c>
      <c r="H48" s="21">
        <f>Sheet2!D13</f>
        <v>96702</v>
      </c>
      <c r="I48" s="75">
        <v>94620</v>
      </c>
      <c r="J48" s="84">
        <v>95730</v>
      </c>
      <c r="K48" s="84">
        <v>104450</v>
      </c>
      <c r="L48" s="84">
        <v>103150</v>
      </c>
      <c r="M48" s="84">
        <v>94540</v>
      </c>
      <c r="N48" s="84">
        <v>113510</v>
      </c>
      <c r="O48" s="84">
        <v>117860</v>
      </c>
      <c r="P48" s="84">
        <v>123320</v>
      </c>
      <c r="Q48" s="84">
        <v>145850</v>
      </c>
      <c r="R48" s="84">
        <v>153140</v>
      </c>
    </row>
    <row r="49" spans="1:86" x14ac:dyDescent="0.25">
      <c r="A49" s="1"/>
      <c r="B49" s="89" t="s">
        <v>18</v>
      </c>
      <c r="C49" s="90">
        <f t="shared" ref="C49:H49" si="36">C48/C11</f>
        <v>6.1638914763468569E-2</v>
      </c>
      <c r="D49" s="90">
        <f t="shared" si="36"/>
        <v>4.4297349811907707E-2</v>
      </c>
      <c r="E49" s="90">
        <f t="shared" si="36"/>
        <v>5.8690411166464437E-2</v>
      </c>
      <c r="F49" s="90">
        <f t="shared" si="36"/>
        <v>3.372053603766751E-2</v>
      </c>
      <c r="G49" s="90">
        <f t="shared" si="36"/>
        <v>3.1886373960226935E-2</v>
      </c>
      <c r="H49" s="90">
        <f t="shared" si="36"/>
        <v>3.7684262294187587E-2</v>
      </c>
      <c r="I49" s="91">
        <f t="shared" ref="I49:R49" si="37">I48/I11</f>
        <v>3.4282608695652174E-2</v>
      </c>
      <c r="J49" s="92">
        <f t="shared" si="37"/>
        <v>3.1284313725490197E-2</v>
      </c>
      <c r="K49" s="92">
        <f t="shared" si="37"/>
        <v>3.0451895043731778E-2</v>
      </c>
      <c r="L49" s="92">
        <f t="shared" si="37"/>
        <v>2.7002617801047121E-2</v>
      </c>
      <c r="M49" s="92">
        <f t="shared" si="37"/>
        <v>2.1833718244803697E-2</v>
      </c>
      <c r="N49" s="92">
        <f t="shared" si="37"/>
        <v>2.2169921875000002E-2</v>
      </c>
      <c r="O49" s="92">
        <f t="shared" si="37"/>
        <v>2.0533101045296168E-2</v>
      </c>
      <c r="P49" s="92">
        <f t="shared" si="37"/>
        <v>1.9298904538341159E-2</v>
      </c>
      <c r="Q49" s="92">
        <f t="shared" si="37"/>
        <v>1.9709459459459459E-2</v>
      </c>
      <c r="R49" s="92">
        <f t="shared" si="37"/>
        <v>1.8767156862745098E-2</v>
      </c>
    </row>
    <row r="50" spans="1:86" x14ac:dyDescent="0.25">
      <c r="A50" s="1"/>
      <c r="B50" s="1"/>
      <c r="C50" s="1"/>
      <c r="D50" s="1"/>
      <c r="E50" s="1"/>
      <c r="G50" s="1"/>
      <c r="H50" s="1"/>
      <c r="I50" s="76"/>
      <c r="J50" s="85"/>
      <c r="K50" s="85"/>
      <c r="L50" s="85"/>
      <c r="M50" s="85"/>
      <c r="N50" s="85"/>
      <c r="O50" s="85"/>
      <c r="P50" s="85"/>
      <c r="Q50" s="85"/>
      <c r="R50" s="85"/>
    </row>
    <row r="51" spans="1:86" x14ac:dyDescent="0.25">
      <c r="A51" s="1"/>
      <c r="B51" s="1" t="s">
        <v>22</v>
      </c>
      <c r="C51" s="12">
        <f>Sheet2!H37</f>
        <v>-3948</v>
      </c>
      <c r="D51" s="12">
        <f>Sheet2!I37</f>
        <v>-1019</v>
      </c>
      <c r="E51" s="12">
        <f>Sheet2!J37</f>
        <v>-7528</v>
      </c>
      <c r="F51" s="21">
        <f>Sheet2!B41</f>
        <v>-1445</v>
      </c>
      <c r="G51" s="21">
        <f>Sheet2!C41</f>
        <v>-11248</v>
      </c>
      <c r="H51" s="21">
        <f>Sheet2!D41</f>
        <v>-10237</v>
      </c>
      <c r="I51" s="75">
        <v>-34330</v>
      </c>
      <c r="J51" s="84">
        <v>-37070</v>
      </c>
      <c r="K51" s="84">
        <v>-41020</v>
      </c>
      <c r="L51" s="84">
        <v>-55760</v>
      </c>
      <c r="M51" s="84">
        <v>-62150</v>
      </c>
      <c r="N51" s="84">
        <v>-82100</v>
      </c>
      <c r="O51" s="84">
        <v>-91810</v>
      </c>
      <c r="P51" s="84">
        <v>-101070</v>
      </c>
      <c r="Q51" s="84">
        <v>-128450</v>
      </c>
      <c r="R51" s="84">
        <v>-138300</v>
      </c>
    </row>
    <row r="52" spans="1:86" x14ac:dyDescent="0.25">
      <c r="A52" s="1"/>
      <c r="B52" s="89" t="s">
        <v>18</v>
      </c>
      <c r="C52" s="90">
        <f t="shared" ref="C52:H52" si="38">C51/C11</f>
        <v>-8.9476940650135648E-3</v>
      </c>
      <c r="D52" s="90">
        <f t="shared" si="38"/>
        <v>-1.6879440377807926E-3</v>
      </c>
      <c r="E52" s="90">
        <f t="shared" si="38"/>
        <v>-9.1986720089347364E-3</v>
      </c>
      <c r="F52" s="90">
        <f t="shared" si="38"/>
        <v>-8.3737776168055049E-4</v>
      </c>
      <c r="G52" s="90">
        <f t="shared" si="38"/>
        <v>-4.8293041903487762E-3</v>
      </c>
      <c r="H52" s="90">
        <f t="shared" si="38"/>
        <v>-3.9893052171164848E-3</v>
      </c>
      <c r="I52" s="91">
        <f t="shared" ref="I52:R52" si="39">I51/I11</f>
        <v>-1.2438405797101449E-2</v>
      </c>
      <c r="J52" s="92">
        <f t="shared" si="39"/>
        <v>-1.2114379084967319E-2</v>
      </c>
      <c r="K52" s="92">
        <f t="shared" si="39"/>
        <v>-1.1959183673469388E-2</v>
      </c>
      <c r="L52" s="92">
        <f t="shared" si="39"/>
        <v>-1.4596858638743455E-2</v>
      </c>
      <c r="M52" s="92">
        <f t="shared" si="39"/>
        <v>-1.4353348729792147E-2</v>
      </c>
      <c r="N52" s="92">
        <f t="shared" si="39"/>
        <v>-1.6035156250000002E-2</v>
      </c>
      <c r="O52" s="92">
        <f t="shared" si="39"/>
        <v>-1.5994773519163764E-2</v>
      </c>
      <c r="P52" s="92">
        <f t="shared" si="39"/>
        <v>-1.5816901408450705E-2</v>
      </c>
      <c r="Q52" s="92">
        <f t="shared" si="39"/>
        <v>-1.735810810810811E-2</v>
      </c>
      <c r="R52" s="92">
        <f t="shared" si="39"/>
        <v>-1.6948529411764706E-2</v>
      </c>
    </row>
    <row r="53" spans="1:86" x14ac:dyDescent="0.25">
      <c r="A53" s="1"/>
      <c r="B53" s="1"/>
      <c r="C53" s="1"/>
      <c r="D53" s="1"/>
      <c r="E53" s="1"/>
      <c r="G53" s="1"/>
      <c r="H53" s="1"/>
      <c r="I53" s="76"/>
      <c r="J53" s="85"/>
      <c r="K53" s="85"/>
      <c r="L53" s="85"/>
      <c r="M53" s="85"/>
      <c r="N53" s="85"/>
      <c r="O53" s="85"/>
      <c r="P53" s="85"/>
      <c r="Q53" s="85"/>
      <c r="R53" s="85"/>
    </row>
    <row r="54" spans="1:86" x14ac:dyDescent="0.25">
      <c r="A54" s="1"/>
      <c r="B54" s="1" t="s">
        <v>23</v>
      </c>
      <c r="C54" s="21">
        <f>SUM(Sheet2!H23:H31)</f>
        <v>319</v>
      </c>
      <c r="D54" s="21">
        <f>SUM(Sheet2!I23:I31)</f>
        <v>59346</v>
      </c>
      <c r="E54" s="21">
        <f>SUM(Sheet2!J23:J31)</f>
        <v>9994</v>
      </c>
      <c r="F54" s="74">
        <f>SUM(Sheet2!B27:B35)</f>
        <v>124197</v>
      </c>
      <c r="G54" s="74">
        <f>SUM(Sheet2!C27:C35)</f>
        <v>23883</v>
      </c>
      <c r="H54" s="74">
        <f>SUM(Sheet2!D27:D35)</f>
        <v>40466</v>
      </c>
      <c r="I54" s="75">
        <f t="shared" ref="I54:R54" si="40">I55*I11</f>
        <v>35880</v>
      </c>
      <c r="J54" s="84">
        <f t="shared" si="40"/>
        <v>39780</v>
      </c>
      <c r="K54" s="84">
        <f t="shared" si="40"/>
        <v>44590</v>
      </c>
      <c r="L54" s="84">
        <f t="shared" si="40"/>
        <v>49660</v>
      </c>
      <c r="M54" s="84">
        <f t="shared" si="40"/>
        <v>56290</v>
      </c>
      <c r="N54" s="84">
        <f t="shared" si="40"/>
        <v>66560</v>
      </c>
      <c r="O54" s="84">
        <f t="shared" si="40"/>
        <v>74620</v>
      </c>
      <c r="P54" s="84">
        <f t="shared" si="40"/>
        <v>83070</v>
      </c>
      <c r="Q54" s="84">
        <f t="shared" si="40"/>
        <v>96200</v>
      </c>
      <c r="R54" s="84">
        <f t="shared" si="40"/>
        <v>106080</v>
      </c>
    </row>
    <row r="55" spans="1:86" x14ac:dyDescent="0.25">
      <c r="A55" s="1"/>
      <c r="B55" s="89" t="s">
        <v>18</v>
      </c>
      <c r="C55" s="90">
        <f t="shared" ref="C55:H55" si="41">C54/C11</f>
        <v>7.2297730667156203E-4</v>
      </c>
      <c r="D55" s="90">
        <f t="shared" si="41"/>
        <v>9.8304933136544564E-2</v>
      </c>
      <c r="E55" s="90">
        <f t="shared" si="41"/>
        <v>1.2211945809948692E-2</v>
      </c>
      <c r="F55" s="90">
        <f t="shared" si="41"/>
        <v>7.1972183991307503E-2</v>
      </c>
      <c r="G55" s="90">
        <f t="shared" si="41"/>
        <v>1.0254113796061507E-2</v>
      </c>
      <c r="H55" s="90">
        <f t="shared" si="41"/>
        <v>1.5769387996076554E-2</v>
      </c>
      <c r="I55" s="101">
        <v>1.2999999999999999E-2</v>
      </c>
      <c r="J55" s="102">
        <v>1.2999999999999999E-2</v>
      </c>
      <c r="K55" s="102">
        <v>1.2999999999999999E-2</v>
      </c>
      <c r="L55" s="102">
        <v>1.2999999999999999E-2</v>
      </c>
      <c r="M55" s="102">
        <v>1.2999999999999999E-2</v>
      </c>
      <c r="N55" s="102">
        <v>1.2999999999999999E-2</v>
      </c>
      <c r="O55" s="102">
        <v>1.2999999999999999E-2</v>
      </c>
      <c r="P55" s="102">
        <v>1.2999999999999999E-2</v>
      </c>
      <c r="Q55" s="102">
        <v>1.2999999999999999E-2</v>
      </c>
      <c r="R55" s="102">
        <v>1.2999999999999999E-2</v>
      </c>
    </row>
    <row r="56" spans="1:86" x14ac:dyDescent="0.25">
      <c r="A56" s="1"/>
      <c r="B56" s="1"/>
      <c r="C56" s="1"/>
      <c r="D56" s="1"/>
      <c r="E56" s="1"/>
      <c r="F56" s="1"/>
      <c r="G56" s="1"/>
      <c r="H56" s="1"/>
      <c r="I56" s="76"/>
      <c r="J56" s="85"/>
      <c r="K56" s="85"/>
      <c r="L56" s="85"/>
      <c r="M56" s="85"/>
      <c r="N56" s="85"/>
      <c r="O56" s="85"/>
      <c r="P56" s="85"/>
      <c r="Q56" s="85"/>
      <c r="R56" s="85"/>
    </row>
    <row r="57" spans="1:86" x14ac:dyDescent="0.25">
      <c r="A57" s="1"/>
      <c r="B57" s="10" t="s">
        <v>24</v>
      </c>
      <c r="C57" s="12">
        <f>C41+C44</f>
        <v>61431</v>
      </c>
      <c r="D57" s="12">
        <f t="shared" ref="D57:G57" si="42">D41+D44</f>
        <v>97199</v>
      </c>
      <c r="E57" s="12">
        <f t="shared" si="42"/>
        <v>104009</v>
      </c>
      <c r="F57" s="12">
        <f t="shared" si="42"/>
        <v>407546</v>
      </c>
      <c r="G57" s="12">
        <f t="shared" si="42"/>
        <v>487585</v>
      </c>
      <c r="H57" s="12">
        <f>H41+H44</f>
        <v>-690870</v>
      </c>
      <c r="I57" s="79">
        <f t="shared" ref="I57:R57" si="43">I41+I44</f>
        <v>355616.09159999999</v>
      </c>
      <c r="J57" s="86">
        <f t="shared" si="43"/>
        <v>435862.66679999977</v>
      </c>
      <c r="K57" s="86">
        <f t="shared" si="43"/>
        <v>521203.31760000001</v>
      </c>
      <c r="L57" s="86">
        <f t="shared" si="43"/>
        <v>668622.24000000022</v>
      </c>
      <c r="M57" s="86">
        <f t="shared" si="43"/>
        <v>858787.2592000002</v>
      </c>
      <c r="N57" s="86">
        <f t="shared" si="43"/>
        <v>1148634.5728</v>
      </c>
      <c r="O57" s="86">
        <f t="shared" si="43"/>
        <v>1377277.4693999996</v>
      </c>
      <c r="P57" s="86">
        <f t="shared" si="43"/>
        <v>1604197.9341</v>
      </c>
      <c r="Q57" s="86">
        <f t="shared" si="43"/>
        <v>1920633</v>
      </c>
      <c r="R57" s="86">
        <f t="shared" si="43"/>
        <v>2174860.3200000003</v>
      </c>
    </row>
    <row r="58" spans="1:86" x14ac:dyDescent="0.25">
      <c r="A58" s="1"/>
      <c r="B58" s="10" t="s">
        <v>25</v>
      </c>
      <c r="C58" s="12">
        <f>C39+C44</f>
        <v>81800</v>
      </c>
      <c r="D58" s="12">
        <f t="shared" ref="D58:R58" si="44">D39+D44</f>
        <v>77491</v>
      </c>
      <c r="E58" s="12">
        <f t="shared" si="44"/>
        <v>95894</v>
      </c>
      <c r="F58" s="12">
        <f t="shared" si="44"/>
        <v>349246</v>
      </c>
      <c r="G58" s="12">
        <f t="shared" si="44"/>
        <v>493507</v>
      </c>
      <c r="H58" s="12">
        <f>H39+H44</f>
        <v>-694288</v>
      </c>
      <c r="I58" s="79">
        <f t="shared" si="44"/>
        <v>341816.09159999999</v>
      </c>
      <c r="J58" s="86">
        <f t="shared" si="44"/>
        <v>421786.66679999977</v>
      </c>
      <c r="K58" s="86">
        <f t="shared" si="44"/>
        <v>505425.31760000001</v>
      </c>
      <c r="L58" s="86">
        <f t="shared" si="44"/>
        <v>649522.24000000022</v>
      </c>
      <c r="M58" s="86">
        <f t="shared" si="44"/>
        <v>837137.2592000002</v>
      </c>
      <c r="N58" s="86">
        <f t="shared" si="44"/>
        <v>1123034.5728</v>
      </c>
      <c r="O58" s="86">
        <f t="shared" si="44"/>
        <v>1348577.4693999996</v>
      </c>
      <c r="P58" s="86">
        <f t="shared" si="44"/>
        <v>1572247.9341</v>
      </c>
      <c r="Q58" s="86">
        <f t="shared" si="44"/>
        <v>1883633</v>
      </c>
      <c r="R58" s="86">
        <f t="shared" si="44"/>
        <v>2134060.3200000003</v>
      </c>
      <c r="S58" s="59">
        <f>R58*(1+$E$6)</f>
        <v>2198082.1296000006</v>
      </c>
      <c r="T58" s="59">
        <f t="shared" ref="T58:CE58" si="45">S58*(1+$E$6)</f>
        <v>2264024.5934880008</v>
      </c>
      <c r="U58" s="59">
        <f t="shared" si="45"/>
        <v>2331945.3312926409</v>
      </c>
      <c r="V58" s="59">
        <f t="shared" si="45"/>
        <v>2401903.6912314203</v>
      </c>
      <c r="W58" s="59">
        <f t="shared" si="45"/>
        <v>2473960.8019683631</v>
      </c>
      <c r="X58" s="59">
        <f t="shared" si="45"/>
        <v>2548179.6260274141</v>
      </c>
      <c r="Y58" s="59">
        <f t="shared" si="45"/>
        <v>2624625.0148082366</v>
      </c>
      <c r="Z58" s="59">
        <f t="shared" si="45"/>
        <v>2703363.765252484</v>
      </c>
      <c r="AA58" s="59">
        <f t="shared" si="45"/>
        <v>2784464.6782100587</v>
      </c>
      <c r="AB58" s="59">
        <f t="shared" si="45"/>
        <v>2867998.6185563607</v>
      </c>
      <c r="AC58" s="59">
        <f t="shared" si="45"/>
        <v>2954038.5771130514</v>
      </c>
      <c r="AD58" s="59">
        <f t="shared" si="45"/>
        <v>3042659.734426443</v>
      </c>
      <c r="AE58" s="59">
        <f t="shared" si="45"/>
        <v>3133939.5264592362</v>
      </c>
      <c r="AF58" s="59">
        <f t="shared" si="45"/>
        <v>3227957.7122530132</v>
      </c>
      <c r="AG58" s="59">
        <f t="shared" si="45"/>
        <v>3324796.4436206035</v>
      </c>
      <c r="AH58" s="59">
        <f t="shared" si="45"/>
        <v>3424540.3369292216</v>
      </c>
      <c r="AI58" s="59">
        <f t="shared" si="45"/>
        <v>3527276.5470370986</v>
      </c>
      <c r="AJ58" s="59">
        <f t="shared" si="45"/>
        <v>3633094.8434482114</v>
      </c>
      <c r="AK58" s="59">
        <f t="shared" si="45"/>
        <v>3742087.688751658</v>
      </c>
      <c r="AL58" s="59">
        <f t="shared" si="45"/>
        <v>3854350.3194142077</v>
      </c>
      <c r="AM58" s="59">
        <f t="shared" si="45"/>
        <v>3969980.8289966341</v>
      </c>
      <c r="AN58" s="59">
        <f t="shared" si="45"/>
        <v>4089080.2538665333</v>
      </c>
      <c r="AO58" s="59">
        <f t="shared" si="45"/>
        <v>4211752.6614825297</v>
      </c>
      <c r="AP58" s="59">
        <f t="shared" si="45"/>
        <v>4338105.2413270054</v>
      </c>
      <c r="AQ58" s="59">
        <f t="shared" si="45"/>
        <v>4468248.398566816</v>
      </c>
      <c r="AR58" s="59">
        <f t="shared" si="45"/>
        <v>4602295.8505238201</v>
      </c>
      <c r="AS58" s="59">
        <f t="shared" si="45"/>
        <v>4740364.7260395344</v>
      </c>
      <c r="AT58" s="59">
        <f t="shared" si="45"/>
        <v>4882575.6678207209</v>
      </c>
      <c r="AU58" s="59">
        <f t="shared" si="45"/>
        <v>5029052.9378553424</v>
      </c>
      <c r="AV58" s="59">
        <f t="shared" si="45"/>
        <v>5179924.525991003</v>
      </c>
      <c r="AW58" s="59">
        <f t="shared" si="45"/>
        <v>5335322.2617707336</v>
      </c>
      <c r="AX58" s="59">
        <f t="shared" si="45"/>
        <v>5495381.9296238562</v>
      </c>
      <c r="AY58" s="59">
        <f t="shared" si="45"/>
        <v>5660243.3875125721</v>
      </c>
      <c r="AZ58" s="59">
        <f t="shared" si="45"/>
        <v>5830050.6891379496</v>
      </c>
      <c r="BA58" s="59">
        <f t="shared" si="45"/>
        <v>6004952.2098120879</v>
      </c>
      <c r="BB58" s="59">
        <f t="shared" si="45"/>
        <v>6185100.7761064507</v>
      </c>
      <c r="BC58" s="59">
        <f t="shared" si="45"/>
        <v>6370653.7993896445</v>
      </c>
      <c r="BD58" s="59">
        <f t="shared" si="45"/>
        <v>6561773.4133713339</v>
      </c>
      <c r="BE58" s="59">
        <f t="shared" si="45"/>
        <v>6758626.6157724736</v>
      </c>
      <c r="BF58" s="59">
        <f t="shared" si="45"/>
        <v>6961385.4142456483</v>
      </c>
      <c r="BG58" s="59">
        <f t="shared" si="45"/>
        <v>7170226.9766730182</v>
      </c>
      <c r="BH58" s="59">
        <f t="shared" si="45"/>
        <v>7385333.785973209</v>
      </c>
      <c r="BI58" s="59">
        <f t="shared" si="45"/>
        <v>7606893.7995524053</v>
      </c>
      <c r="BJ58" s="59">
        <f t="shared" si="45"/>
        <v>7835100.6135389777</v>
      </c>
      <c r="BK58" s="59">
        <f t="shared" si="45"/>
        <v>8070153.6319451472</v>
      </c>
      <c r="BL58" s="59">
        <f t="shared" si="45"/>
        <v>8312258.2409035014</v>
      </c>
      <c r="BM58" s="59">
        <f t="shared" si="45"/>
        <v>8561625.9881306067</v>
      </c>
      <c r="BN58" s="59">
        <f t="shared" si="45"/>
        <v>8818474.767774526</v>
      </c>
      <c r="BO58" s="59">
        <f t="shared" si="45"/>
        <v>9083029.0108077619</v>
      </c>
      <c r="BP58" s="59">
        <f t="shared" si="45"/>
        <v>9355519.8811319955</v>
      </c>
      <c r="BQ58" s="59">
        <f t="shared" si="45"/>
        <v>9636185.4775659554</v>
      </c>
      <c r="BR58" s="59">
        <f t="shared" si="45"/>
        <v>9925271.0418929346</v>
      </c>
      <c r="BS58" s="59">
        <f t="shared" si="45"/>
        <v>10223029.173149724</v>
      </c>
      <c r="BT58" s="59">
        <f t="shared" si="45"/>
        <v>10529720.048344215</v>
      </c>
      <c r="BU58" s="59">
        <f t="shared" si="45"/>
        <v>10845611.649794541</v>
      </c>
      <c r="BV58" s="59">
        <f t="shared" si="45"/>
        <v>11170979.999288378</v>
      </c>
      <c r="BW58" s="59">
        <f t="shared" si="45"/>
        <v>11506109.399267029</v>
      </c>
      <c r="BX58" s="59">
        <f t="shared" si="45"/>
        <v>11851292.68124504</v>
      </c>
      <c r="BY58" s="59">
        <f t="shared" si="45"/>
        <v>12206831.461682392</v>
      </c>
      <c r="BZ58" s="59">
        <f t="shared" si="45"/>
        <v>12573036.405532865</v>
      </c>
      <c r="CA58" s="59">
        <f t="shared" si="45"/>
        <v>12950227.497698851</v>
      </c>
      <c r="CB58" s="59">
        <f t="shared" si="45"/>
        <v>13338734.322629817</v>
      </c>
      <c r="CC58" s="59">
        <f t="shared" si="45"/>
        <v>13738896.352308711</v>
      </c>
      <c r="CD58" s="59">
        <f t="shared" si="45"/>
        <v>14151063.242877973</v>
      </c>
      <c r="CE58" s="59">
        <f t="shared" si="45"/>
        <v>14575595.140164312</v>
      </c>
      <c r="CF58" s="59">
        <f t="shared" ref="CF58:CH58" si="46">CE58*(1+$E$6)</f>
        <v>15012862.994369242</v>
      </c>
      <c r="CG58" s="59">
        <f t="shared" si="46"/>
        <v>15463248.88420032</v>
      </c>
      <c r="CH58" s="59">
        <f t="shared" si="46"/>
        <v>15927146.350726329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76"/>
      <c r="J59" s="85"/>
      <c r="K59" s="85"/>
      <c r="L59" s="85"/>
      <c r="M59" s="85"/>
      <c r="N59" s="85"/>
      <c r="O59" s="85"/>
      <c r="P59" s="85"/>
      <c r="Q59" s="85"/>
      <c r="R59" s="85"/>
    </row>
    <row r="60" spans="1:86" x14ac:dyDescent="0.25">
      <c r="A60" s="1"/>
      <c r="B60" s="10" t="s">
        <v>26</v>
      </c>
      <c r="C60" s="12">
        <f>C57+C48+C51-C54</f>
        <v>84361</v>
      </c>
      <c r="D60" s="12">
        <f t="shared" ref="D60:R60" si="47">D57+D48+D51-D54</f>
        <v>63576</v>
      </c>
      <c r="E60" s="12">
        <f t="shared" si="47"/>
        <v>134518</v>
      </c>
      <c r="F60" s="12">
        <f t="shared" si="47"/>
        <v>340093</v>
      </c>
      <c r="G60" s="12">
        <f t="shared" si="47"/>
        <v>526721</v>
      </c>
      <c r="H60" s="12">
        <f t="shared" si="47"/>
        <v>-644871</v>
      </c>
      <c r="I60" s="79">
        <f t="shared" si="47"/>
        <v>380026.09159999999</v>
      </c>
      <c r="J60" s="86">
        <f t="shared" si="47"/>
        <v>454742.66679999977</v>
      </c>
      <c r="K60" s="86">
        <f t="shared" si="47"/>
        <v>540043.31759999995</v>
      </c>
      <c r="L60" s="86">
        <f t="shared" si="47"/>
        <v>666352.24000000022</v>
      </c>
      <c r="M60" s="86">
        <f t="shared" si="47"/>
        <v>834887.2592000002</v>
      </c>
      <c r="N60" s="86">
        <f t="shared" si="47"/>
        <v>1113484.5728</v>
      </c>
      <c r="O60" s="86">
        <f t="shared" si="47"/>
        <v>1328707.4693999996</v>
      </c>
      <c r="P60" s="86">
        <f t="shared" si="47"/>
        <v>1543377.9341</v>
      </c>
      <c r="Q60" s="86">
        <f t="shared" si="47"/>
        <v>1841833</v>
      </c>
      <c r="R60" s="86">
        <f t="shared" si="47"/>
        <v>2083620.3200000003</v>
      </c>
    </row>
    <row r="61" spans="1:86" x14ac:dyDescent="0.25">
      <c r="A61" s="1"/>
      <c r="B61" s="22" t="s">
        <v>27</v>
      </c>
      <c r="C61" s="1"/>
      <c r="D61" s="1"/>
      <c r="E61" s="1"/>
      <c r="F61" s="1"/>
      <c r="G61" s="1"/>
      <c r="H61" s="1"/>
      <c r="I61" s="62">
        <f t="shared" ref="I61:R61" si="48">I60/((1+$E$5)^I9)</f>
        <v>339449.09388689959</v>
      </c>
      <c r="J61" s="60">
        <f t="shared" si="48"/>
        <v>362817.46237667237</v>
      </c>
      <c r="K61" s="60">
        <f t="shared" si="48"/>
        <v>384868.45126554649</v>
      </c>
      <c r="L61" s="60">
        <f t="shared" si="48"/>
        <v>424178.66037607484</v>
      </c>
      <c r="M61" s="60">
        <f t="shared" si="48"/>
        <v>474716.17133452458</v>
      </c>
      <c r="N61" s="60">
        <f t="shared" si="48"/>
        <v>565524.77502214804</v>
      </c>
      <c r="O61" s="60">
        <f t="shared" si="48"/>
        <v>602778.90649620199</v>
      </c>
      <c r="P61" s="60">
        <f t="shared" si="48"/>
        <v>625406.2185752074</v>
      </c>
      <c r="Q61" s="60">
        <f t="shared" si="48"/>
        <v>666655.39328063349</v>
      </c>
      <c r="R61" s="60">
        <f t="shared" si="48"/>
        <v>673644.81235084846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28</v>
      </c>
      <c r="C63" s="24">
        <f>(R60*(1+$E$6))/($E$5-$E$6)</f>
        <v>23968971.121254545</v>
      </c>
      <c r="D63" s="1"/>
      <c r="E63" s="1" t="s">
        <v>29</v>
      </c>
      <c r="F63" s="19">
        <f>NPV($E$5,I58:CH58)</f>
        <v>12991980.012417462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30</v>
      </c>
      <c r="C64" s="25">
        <f>C63/((1+$E$5)^$R$9)</f>
        <v>7749287.5732851475</v>
      </c>
      <c r="D64" s="17"/>
      <c r="E64" s="3"/>
      <c r="F64" s="3"/>
      <c r="G64" s="3"/>
      <c r="H64" s="17"/>
      <c r="I64" s="13"/>
      <c r="J64" s="1"/>
      <c r="L64" s="49" t="s">
        <v>51</v>
      </c>
      <c r="M64" s="50"/>
      <c r="N64" s="50"/>
      <c r="O64" s="50"/>
      <c r="P64" s="50"/>
      <c r="Q64" s="49"/>
    </row>
    <row r="65" spans="1:17" x14ac:dyDescent="0.25">
      <c r="A65" s="1"/>
      <c r="B65" s="6" t="s">
        <v>31</v>
      </c>
      <c r="C65" s="6"/>
      <c r="D65" s="1"/>
      <c r="E65" s="6"/>
      <c r="F65" s="6"/>
      <c r="G65" s="26" t="s">
        <v>32</v>
      </c>
      <c r="H65" s="26" t="s">
        <v>29</v>
      </c>
      <c r="I65" s="16"/>
      <c r="J65" s="1"/>
      <c r="K65" s="49"/>
      <c r="L65" s="51">
        <f>D71</f>
        <v>107.32089898449553</v>
      </c>
      <c r="M65" s="52">
        <v>-0.01</v>
      </c>
      <c r="N65" s="52">
        <v>0.01</v>
      </c>
      <c r="O65" s="52">
        <v>0.03</v>
      </c>
      <c r="P65" s="52">
        <v>0.04</v>
      </c>
      <c r="Q65" s="52">
        <v>0.05</v>
      </c>
    </row>
    <row r="66" spans="1:17" x14ac:dyDescent="0.25">
      <c r="A66" s="1"/>
      <c r="B66" s="27" t="s">
        <v>33</v>
      </c>
      <c r="C66" s="1"/>
      <c r="D66" s="34">
        <v>786796</v>
      </c>
      <c r="E66" s="1"/>
      <c r="F66" s="1"/>
      <c r="G66" s="24">
        <f>C64+SUM(I61:R61)</f>
        <v>12869327.518249907</v>
      </c>
      <c r="H66" s="19">
        <f>F63</f>
        <v>12991980.012417462</v>
      </c>
      <c r="I66" s="16"/>
      <c r="J66" s="1"/>
      <c r="K66" s="49"/>
      <c r="L66" s="53">
        <f>L67-1%</f>
        <v>9.9537799463445278E-2</v>
      </c>
      <c r="M66" s="54">
        <f t="dataTable" ref="M66:Q70" dt2D="1" dtr="1" r1="E6" r2="E5"/>
        <v>108.62094675897396</v>
      </c>
      <c r="N66" s="54">
        <v>123.36896700352446</v>
      </c>
      <c r="O66" s="54">
        <v>146.2805274085074</v>
      </c>
      <c r="P66" s="54">
        <v>163.11531971775969</v>
      </c>
      <c r="Q66" s="54">
        <v>186.03066930701337</v>
      </c>
    </row>
    <row r="67" spans="1:17" x14ac:dyDescent="0.25">
      <c r="A67" s="1"/>
      <c r="B67" s="28" t="s">
        <v>34</v>
      </c>
      <c r="C67" s="3"/>
      <c r="D67" s="29">
        <f>499113-19901</f>
        <v>479212</v>
      </c>
      <c r="E67" s="3"/>
      <c r="F67" s="3"/>
      <c r="G67" s="3"/>
      <c r="H67" s="3"/>
      <c r="I67" s="16"/>
      <c r="J67" s="1"/>
      <c r="K67" s="50"/>
      <c r="L67" s="53">
        <f>L68-1%</f>
        <v>0.10953779946344527</v>
      </c>
      <c r="M67" s="54">
        <v>96.302811824358315</v>
      </c>
      <c r="N67" s="55">
        <v>107.53770625452451</v>
      </c>
      <c r="O67" s="55">
        <v>124.28465580034904</v>
      </c>
      <c r="P67" s="55">
        <v>136.10440670473298</v>
      </c>
      <c r="Q67" s="54">
        <v>151.60057069834664</v>
      </c>
    </row>
    <row r="68" spans="1:17" x14ac:dyDescent="0.25">
      <c r="A68" s="1"/>
      <c r="B68" s="6" t="s">
        <v>35</v>
      </c>
      <c r="C68" s="6"/>
      <c r="D68" s="6"/>
      <c r="E68" s="6"/>
      <c r="F68" s="6"/>
      <c r="G68" s="30">
        <f>(G66+D66-D67)</f>
        <v>13176911.518249907</v>
      </c>
      <c r="H68" s="31">
        <f>(H66+D66-D67)</f>
        <v>13299564.012417462</v>
      </c>
      <c r="I68" s="16"/>
      <c r="J68"/>
      <c r="K68" s="49" t="s">
        <v>1</v>
      </c>
      <c r="L68" s="56">
        <v>0.11953779946344527</v>
      </c>
      <c r="M68" s="54">
        <v>86.086448647973825</v>
      </c>
      <c r="N68" s="55">
        <v>94.790014148865453</v>
      </c>
      <c r="O68" s="57">
        <v>107.32089898449553</v>
      </c>
      <c r="P68" s="55">
        <v>115.87736486459409</v>
      </c>
      <c r="Q68" s="54">
        <v>126.76972627283538</v>
      </c>
    </row>
    <row r="69" spans="1:17" x14ac:dyDescent="0.25">
      <c r="A69" s="1"/>
      <c r="B69" s="3" t="s">
        <v>36</v>
      </c>
      <c r="C69" s="3"/>
      <c r="D69" s="34">
        <f>123351909/1000</f>
        <v>123351.909</v>
      </c>
      <c r="E69" s="3"/>
      <c r="F69" s="3"/>
      <c r="G69" s="3"/>
      <c r="H69" s="3"/>
      <c r="I69" s="16"/>
      <c r="J69" s="1"/>
      <c r="K69" s="49"/>
      <c r="L69" s="58">
        <f>L68+1%</f>
        <v>0.12953779946344526</v>
      </c>
      <c r="M69" s="54">
        <v>77.507815152117104</v>
      </c>
      <c r="N69" s="55">
        <v>84.348327701314872</v>
      </c>
      <c r="O69" s="55">
        <v>93.91037282995849</v>
      </c>
      <c r="P69" s="55">
        <v>100.26125626697615</v>
      </c>
      <c r="Q69" s="54">
        <v>108.15444532544636</v>
      </c>
    </row>
    <row r="70" spans="1:17" x14ac:dyDescent="0.25">
      <c r="A70" s="1"/>
      <c r="B70" s="18" t="s">
        <v>37</v>
      </c>
      <c r="C70" s="18"/>
      <c r="D70" s="18">
        <f>D69*$J$5</f>
        <v>10208603.988840001</v>
      </c>
      <c r="E70" s="18"/>
      <c r="F70" s="18"/>
      <c r="G70" s="18"/>
      <c r="H70" s="32"/>
      <c r="I70" s="1"/>
      <c r="J70" s="1"/>
      <c r="K70" s="49"/>
      <c r="L70" s="58">
        <f>L69+1%</f>
        <v>0.13953779946344527</v>
      </c>
      <c r="M70" s="54">
        <v>70.226995075094422</v>
      </c>
      <c r="N70" s="54">
        <v>75.670900468423937</v>
      </c>
      <c r="O70" s="54">
        <v>83.090251268613173</v>
      </c>
      <c r="P70" s="54">
        <v>87.903504988152804</v>
      </c>
      <c r="Q70" s="54">
        <v>93.767485348484186</v>
      </c>
    </row>
    <row r="71" spans="1:17" x14ac:dyDescent="0.25">
      <c r="A71" s="1"/>
      <c r="B71" s="6" t="s">
        <v>38</v>
      </c>
      <c r="C71" s="6" t="s">
        <v>39</v>
      </c>
      <c r="D71" s="33">
        <f>(G71+H71)/2</f>
        <v>107.32089898449553</v>
      </c>
      <c r="F71" s="6"/>
      <c r="G71" s="33">
        <f>G68/D69</f>
        <v>106.82373402303735</v>
      </c>
      <c r="H71" s="33">
        <f>H68/D69</f>
        <v>107.8180639459537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B28B-6B14-42B1-B328-8DBA6B705DAE}">
  <dimension ref="A1:J34"/>
  <sheetViews>
    <sheetView topLeftCell="A16" workbookViewId="0">
      <selection activeCell="G25" sqref="G25"/>
    </sheetView>
  </sheetViews>
  <sheetFormatPr defaultRowHeight="15" x14ac:dyDescent="0.25"/>
  <cols>
    <col min="1" max="1" width="49" customWidth="1"/>
    <col min="2" max="4" width="14.7109375" customWidth="1"/>
    <col min="7" max="7" width="36.140625" customWidth="1"/>
    <col min="8" max="10" width="15.5703125" customWidth="1"/>
  </cols>
  <sheetData>
    <row r="1" spans="1:10" x14ac:dyDescent="0.25">
      <c r="A1" s="67" t="s">
        <v>56</v>
      </c>
      <c r="B1" s="68"/>
      <c r="C1" s="68"/>
      <c r="D1" s="68"/>
      <c r="G1" s="67" t="s">
        <v>56</v>
      </c>
      <c r="H1" s="68"/>
      <c r="I1" s="68"/>
      <c r="J1" s="68"/>
    </row>
    <row r="2" spans="1:10" x14ac:dyDescent="0.25">
      <c r="A2" s="67" t="s">
        <v>57</v>
      </c>
      <c r="B2" s="68"/>
      <c r="C2" s="68"/>
      <c r="D2" s="68"/>
      <c r="G2" s="67" t="s">
        <v>57</v>
      </c>
      <c r="H2" s="68"/>
      <c r="I2" s="68"/>
      <c r="J2" s="68"/>
    </row>
    <row r="3" spans="1:10" x14ac:dyDescent="0.25">
      <c r="A3" s="68"/>
      <c r="B3" s="68"/>
      <c r="C3" s="68"/>
      <c r="D3" s="68"/>
      <c r="G3" s="68"/>
      <c r="H3" s="68"/>
      <c r="I3" s="68"/>
      <c r="J3" s="68"/>
    </row>
    <row r="4" spans="1:10" x14ac:dyDescent="0.25">
      <c r="A4" s="68"/>
      <c r="B4" s="68"/>
      <c r="C4" s="68"/>
      <c r="D4" s="68"/>
      <c r="G4" s="67" t="s">
        <v>58</v>
      </c>
      <c r="H4" s="67" t="s">
        <v>58</v>
      </c>
      <c r="I4" s="67" t="s">
        <v>59</v>
      </c>
      <c r="J4" s="68"/>
    </row>
    <row r="5" spans="1:10" x14ac:dyDescent="0.25">
      <c r="A5" s="67" t="s">
        <v>58</v>
      </c>
      <c r="B5" s="67" t="s">
        <v>58</v>
      </c>
      <c r="C5" s="67" t="s">
        <v>59</v>
      </c>
      <c r="D5" s="68"/>
      <c r="G5" s="67" t="s">
        <v>58</v>
      </c>
      <c r="H5" s="67" t="s">
        <v>58</v>
      </c>
      <c r="I5" s="67" t="s">
        <v>60</v>
      </c>
      <c r="J5" s="68"/>
    </row>
    <row r="6" spans="1:10" x14ac:dyDescent="0.25">
      <c r="A6" s="67" t="s">
        <v>58</v>
      </c>
      <c r="B6" s="67" t="s">
        <v>58</v>
      </c>
      <c r="C6" s="67" t="s">
        <v>60</v>
      </c>
      <c r="D6" s="68"/>
      <c r="G6" s="67" t="s">
        <v>58</v>
      </c>
      <c r="H6" s="67">
        <v>2017</v>
      </c>
      <c r="I6" s="67">
        <v>2018</v>
      </c>
      <c r="J6" s="67">
        <v>2019</v>
      </c>
    </row>
    <row r="7" spans="1:10" x14ac:dyDescent="0.25">
      <c r="A7" s="67" t="s">
        <v>58</v>
      </c>
      <c r="B7" s="67">
        <v>2020</v>
      </c>
      <c r="C7" s="67">
        <v>2021</v>
      </c>
      <c r="D7" s="67">
        <v>2022</v>
      </c>
      <c r="G7" s="67" t="s">
        <v>7</v>
      </c>
      <c r="H7" s="69">
        <v>441231</v>
      </c>
      <c r="I7" s="69">
        <v>603693</v>
      </c>
      <c r="J7" s="69">
        <v>818379</v>
      </c>
    </row>
    <row r="8" spans="1:10" x14ac:dyDescent="0.25">
      <c r="A8" s="67" t="s">
        <v>7</v>
      </c>
      <c r="B8" s="69">
        <v>1725625</v>
      </c>
      <c r="C8" s="69">
        <v>2329114</v>
      </c>
      <c r="D8" s="69">
        <v>2566111</v>
      </c>
      <c r="G8" s="67" t="s">
        <v>61</v>
      </c>
      <c r="H8" s="70">
        <v>150986</v>
      </c>
      <c r="I8" s="70">
        <v>190762</v>
      </c>
      <c r="J8" s="70">
        <v>271036</v>
      </c>
    </row>
    <row r="9" spans="1:10" x14ac:dyDescent="0.25">
      <c r="A9" s="67" t="s">
        <v>61</v>
      </c>
      <c r="B9" s="70">
        <v>464745</v>
      </c>
      <c r="C9" s="70">
        <v>654512</v>
      </c>
      <c r="D9" s="70">
        <v>744592</v>
      </c>
      <c r="G9" s="67" t="s">
        <v>62</v>
      </c>
      <c r="H9" s="70">
        <v>290245</v>
      </c>
      <c r="I9" s="70">
        <v>412931</v>
      </c>
      <c r="J9" s="70">
        <v>547343</v>
      </c>
    </row>
    <row r="10" spans="1:10" x14ac:dyDescent="0.25">
      <c r="A10" s="67" t="s">
        <v>62</v>
      </c>
      <c r="B10" s="70">
        <v>1260880</v>
      </c>
      <c r="C10" s="70">
        <v>1674602</v>
      </c>
      <c r="D10" s="70">
        <v>1821519</v>
      </c>
      <c r="G10" s="67" t="s">
        <v>63</v>
      </c>
      <c r="H10" s="68"/>
      <c r="I10" s="68"/>
      <c r="J10" s="68"/>
    </row>
    <row r="11" spans="1:10" x14ac:dyDescent="0.25">
      <c r="A11" s="67" t="s">
        <v>63</v>
      </c>
      <c r="B11" s="68"/>
      <c r="C11" s="68"/>
      <c r="D11" s="68"/>
      <c r="G11" s="67" t="s">
        <v>64</v>
      </c>
      <c r="H11" s="70">
        <v>109085</v>
      </c>
      <c r="I11" s="70">
        <v>158013</v>
      </c>
      <c r="J11" s="70">
        <v>215570</v>
      </c>
    </row>
    <row r="12" spans="1:10" x14ac:dyDescent="0.25">
      <c r="A12" s="67" t="s">
        <v>64</v>
      </c>
      <c r="B12" s="70">
        <v>500756</v>
      </c>
      <c r="C12" s="70">
        <v>654804</v>
      </c>
      <c r="D12" s="70">
        <v>710399</v>
      </c>
      <c r="G12" s="67" t="s">
        <v>65</v>
      </c>
      <c r="H12" s="70">
        <v>74616</v>
      </c>
      <c r="I12" s="70">
        <v>97249</v>
      </c>
      <c r="J12" s="70">
        <v>121878</v>
      </c>
    </row>
    <row r="13" spans="1:10" x14ac:dyDescent="0.25">
      <c r="A13" s="67" t="s">
        <v>65</v>
      </c>
      <c r="B13" s="70">
        <v>180080</v>
      </c>
      <c r="C13" s="70">
        <v>271535</v>
      </c>
      <c r="D13" s="70">
        <v>412398</v>
      </c>
      <c r="G13" s="67" t="s">
        <v>66</v>
      </c>
      <c r="H13" s="70">
        <v>91486</v>
      </c>
      <c r="I13" s="70">
        <v>82883</v>
      </c>
      <c r="J13" s="70">
        <v>121134</v>
      </c>
    </row>
    <row r="14" spans="1:10" x14ac:dyDescent="0.25">
      <c r="A14" s="67" t="s">
        <v>66</v>
      </c>
      <c r="B14" s="70">
        <v>156035</v>
      </c>
      <c r="C14" s="70">
        <v>282531</v>
      </c>
      <c r="D14" s="70">
        <v>312260</v>
      </c>
      <c r="G14" s="67" t="s">
        <v>134</v>
      </c>
      <c r="H14" s="70">
        <v>3162</v>
      </c>
      <c r="I14" s="71">
        <v>0</v>
      </c>
      <c r="J14" s="71">
        <v>0</v>
      </c>
    </row>
    <row r="15" spans="1:10" x14ac:dyDescent="0.25">
      <c r="A15" s="67" t="s">
        <v>67</v>
      </c>
      <c r="B15" s="71">
        <v>0</v>
      </c>
      <c r="C15" s="71">
        <v>0</v>
      </c>
      <c r="D15" s="70">
        <v>1045022</v>
      </c>
      <c r="G15" s="67" t="s">
        <v>68</v>
      </c>
      <c r="H15" s="70">
        <v>278349</v>
      </c>
      <c r="I15" s="70">
        <v>338145</v>
      </c>
      <c r="J15" s="70">
        <v>458582</v>
      </c>
    </row>
    <row r="16" spans="1:10" x14ac:dyDescent="0.25">
      <c r="A16" s="67" t="s">
        <v>68</v>
      </c>
      <c r="B16" s="70">
        <v>836871</v>
      </c>
      <c r="C16" s="70">
        <v>1208870</v>
      </c>
      <c r="D16" s="70">
        <v>2480079</v>
      </c>
      <c r="G16" s="67" t="s">
        <v>135</v>
      </c>
      <c r="H16" s="70">
        <v>11896</v>
      </c>
      <c r="I16" s="70">
        <v>74786</v>
      </c>
      <c r="J16" s="70">
        <v>88761</v>
      </c>
    </row>
    <row r="17" spans="1:10" x14ac:dyDescent="0.25">
      <c r="A17" s="67" t="s">
        <v>69</v>
      </c>
      <c r="B17" s="70">
        <v>424009</v>
      </c>
      <c r="C17" s="70">
        <v>465732</v>
      </c>
      <c r="D17" s="70">
        <v>-658560</v>
      </c>
      <c r="G17" s="67" t="s">
        <v>70</v>
      </c>
      <c r="H17" s="68"/>
      <c r="I17" s="68"/>
      <c r="J17" s="68"/>
    </row>
    <row r="18" spans="1:10" x14ac:dyDescent="0.25">
      <c r="A18" s="67" t="s">
        <v>70</v>
      </c>
      <c r="B18" s="68"/>
      <c r="C18" s="68"/>
      <c r="D18" s="68"/>
      <c r="G18" s="67" t="s">
        <v>72</v>
      </c>
      <c r="H18" s="70">
        <v>-11130</v>
      </c>
      <c r="I18" s="70">
        <v>-22178</v>
      </c>
      <c r="J18" s="70">
        <v>-24320</v>
      </c>
    </row>
    <row r="19" spans="1:10" x14ac:dyDescent="0.25">
      <c r="A19" s="67" t="s">
        <v>71</v>
      </c>
      <c r="B19" s="70">
        <v>-16855</v>
      </c>
      <c r="C19" s="71">
        <v>0</v>
      </c>
      <c r="D19" s="71">
        <v>0</v>
      </c>
      <c r="G19" s="67" t="s">
        <v>73</v>
      </c>
      <c r="H19" s="70">
        <v>2394</v>
      </c>
      <c r="I19" s="70">
        <v>8957</v>
      </c>
      <c r="J19" s="70">
        <v>13199</v>
      </c>
    </row>
    <row r="20" spans="1:10" x14ac:dyDescent="0.25">
      <c r="A20" s="67" t="s">
        <v>72</v>
      </c>
      <c r="B20" s="70">
        <v>-42025</v>
      </c>
      <c r="C20" s="70">
        <v>-9885</v>
      </c>
      <c r="D20" s="70">
        <v>-14168</v>
      </c>
      <c r="G20" s="67" t="s">
        <v>136</v>
      </c>
      <c r="H20" s="70">
        <v>29105</v>
      </c>
      <c r="I20" s="70">
        <v>-6487</v>
      </c>
      <c r="J20" s="70">
        <v>3006</v>
      </c>
    </row>
    <row r="21" spans="1:10" x14ac:dyDescent="0.25">
      <c r="A21" s="67" t="s">
        <v>73</v>
      </c>
      <c r="B21" s="70">
        <v>7102</v>
      </c>
      <c r="C21" s="70">
        <v>2137</v>
      </c>
      <c r="D21" s="70">
        <v>10956</v>
      </c>
      <c r="G21" s="67" t="s">
        <v>75</v>
      </c>
      <c r="H21" s="70">
        <v>20369</v>
      </c>
      <c r="I21" s="70">
        <v>-19708</v>
      </c>
      <c r="J21" s="70">
        <v>-8115</v>
      </c>
    </row>
    <row r="22" spans="1:10" x14ac:dyDescent="0.25">
      <c r="A22" s="68"/>
      <c r="B22" s="68"/>
      <c r="C22" s="68"/>
      <c r="D22" s="68"/>
      <c r="G22" s="67" t="s">
        <v>137</v>
      </c>
      <c r="H22" s="70">
        <v>32265</v>
      </c>
      <c r="I22" s="70">
        <v>55078</v>
      </c>
      <c r="J22" s="70">
        <v>80646</v>
      </c>
    </row>
    <row r="23" spans="1:10" x14ac:dyDescent="0.25">
      <c r="A23" s="67" t="s">
        <v>74</v>
      </c>
      <c r="B23" s="70">
        <v>-6522</v>
      </c>
      <c r="C23" s="70">
        <v>13670</v>
      </c>
      <c r="D23" s="70">
        <v>-206</v>
      </c>
      <c r="G23" s="67" t="s">
        <v>138</v>
      </c>
      <c r="H23" s="70">
        <v>49535</v>
      </c>
      <c r="I23" s="70">
        <v>22413</v>
      </c>
      <c r="J23" s="70">
        <v>15248</v>
      </c>
    </row>
    <row r="24" spans="1:10" x14ac:dyDescent="0.25">
      <c r="A24" s="67" t="s">
        <v>75</v>
      </c>
      <c r="B24" s="70">
        <v>-58300</v>
      </c>
      <c r="C24" s="70">
        <v>5922</v>
      </c>
      <c r="D24" s="70">
        <v>-3418</v>
      </c>
      <c r="G24" s="67" t="s">
        <v>25</v>
      </c>
      <c r="H24" s="69">
        <v>81800</v>
      </c>
      <c r="I24" s="69">
        <v>77491</v>
      </c>
      <c r="J24" s="69">
        <v>95894</v>
      </c>
    </row>
    <row r="25" spans="1:10" x14ac:dyDescent="0.25">
      <c r="A25" s="67" t="s">
        <v>76</v>
      </c>
      <c r="B25" s="70">
        <v>365709</v>
      </c>
      <c r="C25" s="70">
        <v>471654</v>
      </c>
      <c r="D25" s="70">
        <v>-661978</v>
      </c>
      <c r="G25" s="67" t="s">
        <v>139</v>
      </c>
      <c r="H25" s="68"/>
      <c r="I25" s="68"/>
      <c r="J25" s="68"/>
    </row>
    <row r="26" spans="1:10" x14ac:dyDescent="0.25">
      <c r="A26" s="67" t="s">
        <v>77</v>
      </c>
      <c r="B26" s="70">
        <v>-16463</v>
      </c>
      <c r="C26" s="70">
        <v>21853</v>
      </c>
      <c r="D26" s="70">
        <v>-32310</v>
      </c>
      <c r="G26" s="67" t="s">
        <v>80</v>
      </c>
      <c r="H26" s="68"/>
      <c r="I26" s="68"/>
      <c r="J26" s="68"/>
    </row>
    <row r="27" spans="1:10" x14ac:dyDescent="0.25">
      <c r="A27" s="67" t="s">
        <v>78</v>
      </c>
      <c r="B27" s="69">
        <v>349246</v>
      </c>
      <c r="C27" s="69">
        <v>493507</v>
      </c>
      <c r="D27" s="69">
        <v>-694288</v>
      </c>
      <c r="G27" s="67" t="s">
        <v>81</v>
      </c>
      <c r="H27" s="72">
        <v>0.69</v>
      </c>
      <c r="I27" s="72">
        <v>0.64</v>
      </c>
      <c r="J27" s="72">
        <v>0.8</v>
      </c>
    </row>
    <row r="28" spans="1:10" x14ac:dyDescent="0.25">
      <c r="A28" s="67" t="s">
        <v>79</v>
      </c>
      <c r="B28" s="68"/>
      <c r="C28" s="68"/>
      <c r="D28" s="68"/>
      <c r="G28" s="67" t="s">
        <v>82</v>
      </c>
      <c r="H28" s="72">
        <v>0.68</v>
      </c>
      <c r="I28" s="72">
        <v>0.61</v>
      </c>
      <c r="J28" s="72">
        <v>0.76</v>
      </c>
    </row>
    <row r="29" spans="1:10" x14ac:dyDescent="0.25">
      <c r="A29" s="67" t="s">
        <v>80</v>
      </c>
      <c r="B29" s="68"/>
      <c r="C29" s="68"/>
      <c r="D29" s="68"/>
      <c r="G29" s="67" t="s">
        <v>83</v>
      </c>
      <c r="H29" s="68"/>
      <c r="I29" s="68"/>
      <c r="J29" s="68"/>
    </row>
    <row r="30" spans="1:10" x14ac:dyDescent="0.25">
      <c r="A30" s="67" t="s">
        <v>81</v>
      </c>
      <c r="B30" s="72">
        <v>2.88</v>
      </c>
      <c r="C30" s="72">
        <v>3.88</v>
      </c>
      <c r="D30" s="72">
        <v>-5.48</v>
      </c>
      <c r="G30" s="67" t="s">
        <v>81</v>
      </c>
      <c r="H30" s="70">
        <v>118538687</v>
      </c>
      <c r="I30" s="70">
        <v>120146076</v>
      </c>
      <c r="J30" s="70">
        <v>119665248</v>
      </c>
    </row>
    <row r="31" spans="1:10" x14ac:dyDescent="0.25">
      <c r="A31" s="67" t="s">
        <v>82</v>
      </c>
      <c r="B31" s="72">
        <v>2.69</v>
      </c>
      <c r="C31" s="72">
        <v>3.4</v>
      </c>
      <c r="D31" s="72">
        <v>-5.48</v>
      </c>
      <c r="G31" s="67" t="s">
        <v>82</v>
      </c>
      <c r="H31" s="70">
        <v>122267673</v>
      </c>
      <c r="I31" s="70">
        <v>127084785</v>
      </c>
      <c r="J31" s="70">
        <v>125720073</v>
      </c>
    </row>
    <row r="32" spans="1:10" x14ac:dyDescent="0.25">
      <c r="A32" s="67" t="s">
        <v>83</v>
      </c>
      <c r="B32" s="68"/>
      <c r="C32" s="68"/>
      <c r="D32" s="68"/>
    </row>
    <row r="33" spans="1:4" x14ac:dyDescent="0.25">
      <c r="A33" s="67" t="s">
        <v>81</v>
      </c>
      <c r="B33" s="70">
        <v>121251588</v>
      </c>
      <c r="C33" s="70">
        <v>127224974</v>
      </c>
      <c r="D33" s="70">
        <v>126778626</v>
      </c>
    </row>
    <row r="34" spans="1:4" x14ac:dyDescent="0.25">
      <c r="A34" s="67" t="s">
        <v>82</v>
      </c>
      <c r="B34" s="70">
        <v>136414592</v>
      </c>
      <c r="C34" s="70">
        <v>146683324</v>
      </c>
      <c r="D34" s="70">
        <v>126778626</v>
      </c>
    </row>
  </sheetData>
  <sortState xmlns:xlrd2="http://schemas.microsoft.com/office/spreadsheetml/2017/richdata2" columnSort="1" ref="H6:J31">
    <sortCondition ref="H6:J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E69E-36DA-42C9-B261-63B7AE23398A}">
  <dimension ref="A1:J66"/>
  <sheetViews>
    <sheetView topLeftCell="A19" workbookViewId="0">
      <selection activeCell="G11" sqref="G11"/>
    </sheetView>
  </sheetViews>
  <sheetFormatPr defaultRowHeight="15" x14ac:dyDescent="0.25"/>
  <cols>
    <col min="1" max="1" width="53.85546875" customWidth="1"/>
    <col min="7" max="7" width="48.140625" customWidth="1"/>
  </cols>
  <sheetData>
    <row r="1" spans="1:10" x14ac:dyDescent="0.25">
      <c r="A1" s="67" t="s">
        <v>84</v>
      </c>
      <c r="B1" s="68"/>
      <c r="C1" s="68"/>
      <c r="D1" s="68"/>
      <c r="G1" s="67" t="s">
        <v>84</v>
      </c>
      <c r="H1" s="68"/>
      <c r="I1" s="68"/>
      <c r="J1" s="68"/>
    </row>
    <row r="2" spans="1:10" x14ac:dyDescent="0.25">
      <c r="A2" s="67" t="s">
        <v>85</v>
      </c>
      <c r="B2" s="68"/>
      <c r="C2" s="68"/>
      <c r="D2" s="68"/>
      <c r="G2" s="67" t="s">
        <v>85</v>
      </c>
      <c r="H2" s="68"/>
      <c r="I2" s="68"/>
      <c r="J2" s="68"/>
    </row>
    <row r="3" spans="1:10" x14ac:dyDescent="0.25">
      <c r="A3" s="68"/>
      <c r="B3" s="68"/>
      <c r="C3" s="68"/>
      <c r="D3" s="68"/>
      <c r="G3" s="67" t="s">
        <v>58</v>
      </c>
      <c r="H3" s="67" t="s">
        <v>58</v>
      </c>
      <c r="I3" s="67" t="s">
        <v>59</v>
      </c>
      <c r="J3" s="68"/>
    </row>
    <row r="4" spans="1:10" x14ac:dyDescent="0.25">
      <c r="A4" s="67" t="s">
        <v>58</v>
      </c>
      <c r="B4" s="67" t="s">
        <v>58</v>
      </c>
      <c r="C4" s="67" t="s">
        <v>59</v>
      </c>
      <c r="D4" s="68"/>
      <c r="G4" s="67" t="s">
        <v>58</v>
      </c>
      <c r="H4" s="67" t="s">
        <v>58</v>
      </c>
      <c r="I4" s="67" t="s">
        <v>60</v>
      </c>
      <c r="J4" s="68"/>
    </row>
    <row r="5" spans="1:10" x14ac:dyDescent="0.25">
      <c r="A5" s="67" t="s">
        <v>58</v>
      </c>
      <c r="B5" s="68"/>
      <c r="C5" s="67" t="s">
        <v>60</v>
      </c>
      <c r="D5" s="67" t="s">
        <v>58</v>
      </c>
      <c r="G5" s="67" t="s">
        <v>58</v>
      </c>
      <c r="H5" s="67">
        <v>2017</v>
      </c>
      <c r="I5" s="67">
        <v>2018</v>
      </c>
      <c r="J5" s="67">
        <v>2019</v>
      </c>
    </row>
    <row r="6" spans="1:10" x14ac:dyDescent="0.25">
      <c r="A6" s="67" t="s">
        <v>58</v>
      </c>
      <c r="B6" s="67">
        <v>2020</v>
      </c>
      <c r="C6" s="67">
        <v>2021</v>
      </c>
      <c r="D6" s="67">
        <v>2022</v>
      </c>
      <c r="G6" s="67" t="s">
        <v>86</v>
      </c>
      <c r="H6" s="68"/>
      <c r="I6" s="68"/>
      <c r="J6" s="68"/>
    </row>
    <row r="7" spans="1:10" x14ac:dyDescent="0.25">
      <c r="A7" s="67" t="s">
        <v>86</v>
      </c>
      <c r="B7" s="68"/>
      <c r="C7" s="68"/>
      <c r="D7" s="68"/>
      <c r="G7" s="67" t="s">
        <v>25</v>
      </c>
      <c r="H7" s="69">
        <v>81800</v>
      </c>
      <c r="I7" s="69">
        <v>77491</v>
      </c>
      <c r="J7" s="69">
        <v>95894</v>
      </c>
    </row>
    <row r="8" spans="1:10" x14ac:dyDescent="0.25">
      <c r="A8" s="67" t="s">
        <v>78</v>
      </c>
      <c r="B8" s="69">
        <v>349246</v>
      </c>
      <c r="C8" s="69">
        <v>493507</v>
      </c>
      <c r="D8" s="69">
        <v>-694288</v>
      </c>
      <c r="G8" s="67" t="s">
        <v>140</v>
      </c>
      <c r="H8" s="68"/>
      <c r="I8" s="68"/>
      <c r="J8" s="68"/>
    </row>
    <row r="9" spans="1:10" x14ac:dyDescent="0.25">
      <c r="A9" s="67" t="s">
        <v>87</v>
      </c>
      <c r="B9" s="68"/>
      <c r="C9" s="68"/>
      <c r="D9" s="68"/>
      <c r="G9" s="67" t="s">
        <v>88</v>
      </c>
      <c r="H9" s="68"/>
      <c r="I9" s="68"/>
      <c r="J9" s="68"/>
    </row>
    <row r="10" spans="1:10" x14ac:dyDescent="0.25">
      <c r="A10" s="67" t="s">
        <v>88</v>
      </c>
      <c r="B10" s="68"/>
      <c r="C10" s="68"/>
      <c r="D10" s="68"/>
      <c r="G10" s="67" t="s">
        <v>89</v>
      </c>
      <c r="H10" s="70">
        <v>26559</v>
      </c>
      <c r="I10" s="70">
        <v>38231</v>
      </c>
      <c r="J10" s="70">
        <v>44395</v>
      </c>
    </row>
    <row r="11" spans="1:10" x14ac:dyDescent="0.25">
      <c r="A11" s="67" t="s">
        <v>89</v>
      </c>
      <c r="B11" s="70">
        <v>65114</v>
      </c>
      <c r="C11" s="70">
        <v>139910</v>
      </c>
      <c r="D11" s="70">
        <v>230888</v>
      </c>
      <c r="G11" s="67" t="s">
        <v>90</v>
      </c>
      <c r="H11" s="70">
        <v>27197</v>
      </c>
      <c r="I11" s="70">
        <v>26742</v>
      </c>
      <c r="J11" s="70">
        <v>48031</v>
      </c>
    </row>
    <row r="12" spans="1:10" x14ac:dyDescent="0.25">
      <c r="A12" s="68"/>
      <c r="B12" s="68"/>
      <c r="C12" s="68"/>
      <c r="D12" s="68"/>
      <c r="G12" s="67" t="s">
        <v>141</v>
      </c>
      <c r="H12" s="70">
        <v>2497</v>
      </c>
      <c r="I12" s="70">
        <v>4124</v>
      </c>
      <c r="J12" s="70">
        <v>10963</v>
      </c>
    </row>
    <row r="13" spans="1:10" x14ac:dyDescent="0.25">
      <c r="A13" s="67" t="s">
        <v>90</v>
      </c>
      <c r="B13" s="70">
        <v>58189</v>
      </c>
      <c r="C13" s="70">
        <v>74267</v>
      </c>
      <c r="D13" s="70">
        <v>96702</v>
      </c>
      <c r="G13" s="67" t="s">
        <v>142</v>
      </c>
      <c r="H13" s="70">
        <v>-27424</v>
      </c>
      <c r="I13" s="70">
        <v>5997</v>
      </c>
      <c r="J13" s="70">
        <v>-5708</v>
      </c>
    </row>
    <row r="14" spans="1:10" x14ac:dyDescent="0.25">
      <c r="A14" s="67" t="s">
        <v>91</v>
      </c>
      <c r="B14" s="70">
        <v>15033</v>
      </c>
      <c r="C14" s="70">
        <v>16031</v>
      </c>
      <c r="D14" s="70">
        <v>12464</v>
      </c>
      <c r="G14" s="67" t="s">
        <v>143</v>
      </c>
      <c r="H14" s="70">
        <v>463</v>
      </c>
      <c r="I14" s="70">
        <v>1191</v>
      </c>
      <c r="J14" s="70">
        <v>2006</v>
      </c>
    </row>
    <row r="15" spans="1:10" x14ac:dyDescent="0.25">
      <c r="A15" s="67" t="s">
        <v>92</v>
      </c>
      <c r="B15" s="70">
        <v>7349</v>
      </c>
      <c r="C15" s="70">
        <v>-14071</v>
      </c>
      <c r="D15" s="70">
        <v>1238</v>
      </c>
      <c r="G15" s="67" t="s">
        <v>93</v>
      </c>
      <c r="H15" s="70">
        <v>3117</v>
      </c>
      <c r="I15" s="70">
        <v>10968</v>
      </c>
      <c r="J15" s="70">
        <v>19108</v>
      </c>
    </row>
    <row r="16" spans="1:10" x14ac:dyDescent="0.25">
      <c r="A16" s="68"/>
      <c r="B16" s="68"/>
      <c r="C16" s="68"/>
      <c r="D16" s="68"/>
      <c r="G16" s="67" t="s">
        <v>144</v>
      </c>
      <c r="H16" s="68"/>
      <c r="I16" s="68"/>
      <c r="J16" s="68"/>
    </row>
    <row r="17" spans="1:10" x14ac:dyDescent="0.25">
      <c r="A17" s="67" t="s">
        <v>93</v>
      </c>
      <c r="B17" s="70">
        <v>36086</v>
      </c>
      <c r="C17" s="70">
        <v>578</v>
      </c>
      <c r="D17" s="70">
        <v>578</v>
      </c>
      <c r="G17" s="67" t="s">
        <v>145</v>
      </c>
      <c r="H17" s="70">
        <v>426</v>
      </c>
      <c r="I17" s="70">
        <v>-2887</v>
      </c>
      <c r="J17" s="70">
        <v>-4182</v>
      </c>
    </row>
    <row r="18" spans="1:10" x14ac:dyDescent="0.25">
      <c r="A18" s="67" t="s">
        <v>94</v>
      </c>
      <c r="B18" s="70">
        <v>2729</v>
      </c>
      <c r="C18" s="70">
        <v>3154</v>
      </c>
      <c r="D18" s="70">
        <v>652</v>
      </c>
      <c r="G18" s="67" t="s">
        <v>146</v>
      </c>
      <c r="H18" s="70">
        <v>520</v>
      </c>
      <c r="I18" s="70">
        <v>136</v>
      </c>
      <c r="J18" s="70">
        <v>1667</v>
      </c>
    </row>
    <row r="19" spans="1:10" x14ac:dyDescent="0.25">
      <c r="A19" s="68"/>
      <c r="B19" s="68"/>
      <c r="C19" s="68"/>
      <c r="D19" s="68"/>
      <c r="G19" s="67" t="s">
        <v>134</v>
      </c>
      <c r="H19" s="70">
        <v>3162</v>
      </c>
      <c r="I19" s="71">
        <v>0</v>
      </c>
      <c r="J19" s="71">
        <v>0</v>
      </c>
    </row>
    <row r="20" spans="1:10" x14ac:dyDescent="0.25">
      <c r="A20" s="67" t="s">
        <v>67</v>
      </c>
      <c r="B20" s="71">
        <v>0</v>
      </c>
      <c r="C20" s="71">
        <v>0</v>
      </c>
      <c r="D20" s="70">
        <v>1045022</v>
      </c>
      <c r="G20" s="67" t="s">
        <v>147</v>
      </c>
      <c r="H20" s="70">
        <v>-49535</v>
      </c>
      <c r="I20" s="70">
        <v>-22414</v>
      </c>
      <c r="J20" s="70">
        <v>-15248</v>
      </c>
    </row>
    <row r="21" spans="1:10" x14ac:dyDescent="0.25">
      <c r="A21" s="67" t="s">
        <v>95</v>
      </c>
      <c r="B21" s="70">
        <v>2202</v>
      </c>
      <c r="C21" s="70">
        <v>-88952</v>
      </c>
      <c r="D21" s="70">
        <v>-55303</v>
      </c>
      <c r="G21" s="67" t="s">
        <v>148</v>
      </c>
      <c r="H21" s="68"/>
      <c r="I21" s="68"/>
      <c r="J21" s="68"/>
    </row>
    <row r="22" spans="1:10" x14ac:dyDescent="0.25">
      <c r="A22" s="67" t="s">
        <v>71</v>
      </c>
      <c r="B22" s="70">
        <v>16855</v>
      </c>
      <c r="C22" s="71">
        <v>0</v>
      </c>
      <c r="D22" s="71">
        <v>0</v>
      </c>
      <c r="G22" s="67" t="s">
        <v>149</v>
      </c>
      <c r="H22" s="68"/>
      <c r="I22" s="68"/>
      <c r="J22" s="68"/>
    </row>
    <row r="23" spans="1:10" x14ac:dyDescent="0.25">
      <c r="A23" s="67" t="s">
        <v>96</v>
      </c>
      <c r="B23" s="70">
        <v>1956</v>
      </c>
      <c r="C23" s="70">
        <v>3244</v>
      </c>
      <c r="D23" s="70">
        <v>5193</v>
      </c>
      <c r="G23" s="67" t="s">
        <v>99</v>
      </c>
      <c r="H23" s="70">
        <v>-8826</v>
      </c>
      <c r="I23" s="70">
        <v>17215</v>
      </c>
      <c r="J23" s="70">
        <v>-12656</v>
      </c>
    </row>
    <row r="24" spans="1:10" x14ac:dyDescent="0.25">
      <c r="A24" s="68"/>
      <c r="B24" s="68"/>
      <c r="C24" s="68"/>
      <c r="D24" s="68"/>
      <c r="G24" s="67" t="s">
        <v>100</v>
      </c>
      <c r="H24" s="70">
        <v>-13477</v>
      </c>
      <c r="I24" s="70">
        <v>23436</v>
      </c>
      <c r="J24" s="70">
        <v>-23177</v>
      </c>
    </row>
    <row r="25" spans="1:10" x14ac:dyDescent="0.25">
      <c r="A25" s="67" t="s">
        <v>97</v>
      </c>
      <c r="B25" s="68"/>
      <c r="C25" s="68"/>
      <c r="D25" s="68"/>
      <c r="G25" s="67" t="s">
        <v>101</v>
      </c>
      <c r="H25" s="70">
        <v>3024</v>
      </c>
      <c r="I25" s="70">
        <v>-4785</v>
      </c>
      <c r="J25" s="70">
        <v>-14156</v>
      </c>
    </row>
    <row r="26" spans="1:10" x14ac:dyDescent="0.25">
      <c r="A26" s="67" t="s">
        <v>98</v>
      </c>
      <c r="B26" s="68"/>
      <c r="C26" s="68"/>
      <c r="D26" s="68"/>
      <c r="G26" s="67" t="s">
        <v>102</v>
      </c>
      <c r="H26" s="70">
        <v>-28</v>
      </c>
      <c r="I26" s="70">
        <v>43</v>
      </c>
      <c r="J26" s="70">
        <v>4045</v>
      </c>
    </row>
    <row r="27" spans="1:10" x14ac:dyDescent="0.25">
      <c r="A27" s="67" t="s">
        <v>99</v>
      </c>
      <c r="B27" s="70">
        <v>-22540</v>
      </c>
      <c r="C27" s="70">
        <v>-19256</v>
      </c>
      <c r="D27" s="70">
        <v>-14056</v>
      </c>
      <c r="G27" s="67" t="s">
        <v>103</v>
      </c>
      <c r="H27" s="70">
        <v>2837</v>
      </c>
      <c r="I27" s="70">
        <v>13364</v>
      </c>
      <c r="J27" s="70">
        <v>-953</v>
      </c>
    </row>
    <row r="28" spans="1:10" x14ac:dyDescent="0.25">
      <c r="A28" s="67" t="s">
        <v>100</v>
      </c>
      <c r="B28" s="70">
        <v>-90141</v>
      </c>
      <c r="C28" s="70">
        <v>-83941</v>
      </c>
      <c r="D28" s="70">
        <v>-20570</v>
      </c>
      <c r="G28" s="67" t="s">
        <v>104</v>
      </c>
      <c r="H28" s="70">
        <v>-2659</v>
      </c>
      <c r="I28" s="70">
        <v>23079</v>
      </c>
      <c r="J28" s="70">
        <v>37410</v>
      </c>
    </row>
    <row r="29" spans="1:10" x14ac:dyDescent="0.25">
      <c r="A29" s="67" t="s">
        <v>101</v>
      </c>
      <c r="B29" s="70">
        <v>-16963</v>
      </c>
      <c r="C29" s="70">
        <v>-44186</v>
      </c>
      <c r="D29" s="70">
        <v>23840</v>
      </c>
      <c r="G29" s="67" t="s">
        <v>105</v>
      </c>
      <c r="H29" s="70">
        <v>13477</v>
      </c>
      <c r="I29" s="70">
        <v>-23436</v>
      </c>
      <c r="J29" s="70">
        <v>23177</v>
      </c>
    </row>
    <row r="30" spans="1:10" x14ac:dyDescent="0.25">
      <c r="A30" s="67" t="s">
        <v>102</v>
      </c>
      <c r="B30" s="70">
        <v>4816</v>
      </c>
      <c r="C30" s="70">
        <v>-25159</v>
      </c>
      <c r="D30" s="70">
        <v>7390</v>
      </c>
      <c r="G30" s="67" t="s">
        <v>106</v>
      </c>
      <c r="H30" s="70">
        <v>434</v>
      </c>
      <c r="I30" s="70">
        <v>1331</v>
      </c>
      <c r="J30" s="70">
        <v>191</v>
      </c>
    </row>
    <row r="31" spans="1:10" x14ac:dyDescent="0.25">
      <c r="A31" s="67" t="s">
        <v>103</v>
      </c>
      <c r="B31" s="70">
        <v>14550</v>
      </c>
      <c r="C31" s="70">
        <v>-14169</v>
      </c>
      <c r="D31" s="70">
        <v>532</v>
      </c>
      <c r="G31" s="67" t="s">
        <v>107</v>
      </c>
      <c r="H31" s="70">
        <v>5537</v>
      </c>
      <c r="I31" s="70">
        <v>9099</v>
      </c>
      <c r="J31" s="70">
        <v>-3887</v>
      </c>
    </row>
    <row r="32" spans="1:10" x14ac:dyDescent="0.25">
      <c r="A32" s="67" t="s">
        <v>104</v>
      </c>
      <c r="B32" s="70">
        <v>146634</v>
      </c>
      <c r="C32" s="70">
        <v>84789</v>
      </c>
      <c r="D32" s="70">
        <v>6439</v>
      </c>
      <c r="G32" s="67" t="s">
        <v>108</v>
      </c>
      <c r="H32" s="70">
        <v>69101</v>
      </c>
      <c r="I32" s="70">
        <v>198925</v>
      </c>
      <c r="J32" s="70">
        <v>206920</v>
      </c>
    </row>
    <row r="33" spans="1:10" x14ac:dyDescent="0.25">
      <c r="A33" s="67" t="s">
        <v>105</v>
      </c>
      <c r="B33" s="70">
        <v>90141</v>
      </c>
      <c r="C33" s="70">
        <v>83941</v>
      </c>
      <c r="D33" s="70">
        <v>20570</v>
      </c>
      <c r="G33" s="67" t="s">
        <v>109</v>
      </c>
      <c r="H33" s="68"/>
      <c r="I33" s="68"/>
      <c r="J33" s="68"/>
    </row>
    <row r="34" spans="1:10" x14ac:dyDescent="0.25">
      <c r="A34" s="67" t="s">
        <v>106</v>
      </c>
      <c r="B34" s="70">
        <v>3312</v>
      </c>
      <c r="C34" s="70">
        <v>1441</v>
      </c>
      <c r="D34" s="70">
        <v>1905</v>
      </c>
      <c r="G34" s="67" t="s">
        <v>150</v>
      </c>
      <c r="H34" s="68"/>
      <c r="I34" s="68"/>
      <c r="J34" s="68"/>
    </row>
    <row r="35" spans="1:10" x14ac:dyDescent="0.25">
      <c r="A35" s="67" t="s">
        <v>107</v>
      </c>
      <c r="B35" s="70">
        <v>-5612</v>
      </c>
      <c r="C35" s="70">
        <v>40423</v>
      </c>
      <c r="D35" s="70">
        <v>14416</v>
      </c>
      <c r="G35" s="67" t="s">
        <v>151</v>
      </c>
      <c r="H35" s="71">
        <v>0</v>
      </c>
      <c r="I35" s="70">
        <v>-35494</v>
      </c>
      <c r="J35" s="70">
        <v>-1963</v>
      </c>
    </row>
    <row r="36" spans="1:10" x14ac:dyDescent="0.25">
      <c r="A36" s="67" t="s">
        <v>108</v>
      </c>
      <c r="B36" s="70">
        <v>678956</v>
      </c>
      <c r="C36" s="70">
        <v>651551</v>
      </c>
      <c r="D36" s="70">
        <v>683612</v>
      </c>
      <c r="G36" s="67" t="s">
        <v>110</v>
      </c>
      <c r="H36" s="71">
        <v>0</v>
      </c>
      <c r="I36" s="71">
        <v>0</v>
      </c>
      <c r="J36" s="70">
        <v>-270409</v>
      </c>
    </row>
    <row r="37" spans="1:10" x14ac:dyDescent="0.25">
      <c r="A37" s="67" t="s">
        <v>109</v>
      </c>
      <c r="B37" s="68"/>
      <c r="C37" s="68"/>
      <c r="D37" s="68"/>
      <c r="G37" s="67" t="s">
        <v>112</v>
      </c>
      <c r="H37" s="70">
        <v>-3948</v>
      </c>
      <c r="I37" s="70">
        <v>-1019</v>
      </c>
      <c r="J37" s="70">
        <v>-7528</v>
      </c>
    </row>
    <row r="38" spans="1:10" x14ac:dyDescent="0.25">
      <c r="A38" s="67" t="s">
        <v>110</v>
      </c>
      <c r="B38" s="71">
        <v>0</v>
      </c>
      <c r="C38" s="70">
        <v>-1699974</v>
      </c>
      <c r="D38" s="71">
        <v>0</v>
      </c>
      <c r="G38" s="67" t="s">
        <v>113</v>
      </c>
      <c r="H38" s="70">
        <v>-9208</v>
      </c>
      <c r="I38" s="70">
        <v>-19537</v>
      </c>
      <c r="J38" s="70">
        <v>-7750</v>
      </c>
    </row>
    <row r="39" spans="1:10" x14ac:dyDescent="0.25">
      <c r="A39" s="67" t="s">
        <v>111</v>
      </c>
      <c r="B39" s="70">
        <v>-880</v>
      </c>
      <c r="C39" s="70">
        <v>-1937</v>
      </c>
      <c r="D39" s="70">
        <v>-6456</v>
      </c>
      <c r="G39" s="67" t="s">
        <v>114</v>
      </c>
      <c r="H39" s="70">
        <v>-62348</v>
      </c>
      <c r="I39" s="70">
        <v>-514286</v>
      </c>
      <c r="J39" s="70">
        <v>-661821</v>
      </c>
    </row>
    <row r="40" spans="1:10" x14ac:dyDescent="0.25">
      <c r="A40" s="68"/>
      <c r="B40" s="68"/>
      <c r="C40" s="68"/>
      <c r="D40" s="68"/>
      <c r="G40" s="67" t="s">
        <v>152</v>
      </c>
      <c r="H40" s="70">
        <v>137340</v>
      </c>
      <c r="I40" s="70">
        <v>284943</v>
      </c>
      <c r="J40" s="70">
        <v>461098</v>
      </c>
    </row>
    <row r="41" spans="1:10" x14ac:dyDescent="0.25">
      <c r="A41" s="67" t="s">
        <v>112</v>
      </c>
      <c r="B41" s="70">
        <v>-1445</v>
      </c>
      <c r="C41" s="70">
        <v>-11248</v>
      </c>
      <c r="D41" s="70">
        <v>-10237</v>
      </c>
      <c r="G41" s="67" t="s">
        <v>153</v>
      </c>
      <c r="H41" s="68"/>
      <c r="I41" s="68"/>
      <c r="J41" s="68"/>
    </row>
    <row r="42" spans="1:10" x14ac:dyDescent="0.25">
      <c r="A42" s="67" t="s">
        <v>113</v>
      </c>
      <c r="B42" s="70">
        <v>-5665</v>
      </c>
      <c r="C42" s="70">
        <v>-16922</v>
      </c>
      <c r="D42" s="70">
        <v>-20506</v>
      </c>
      <c r="G42" s="67" t="s">
        <v>154</v>
      </c>
      <c r="H42" s="70">
        <v>61836</v>
      </c>
      <c r="I42" s="70">
        <v>-285393</v>
      </c>
      <c r="J42" s="70">
        <v>-488373</v>
      </c>
    </row>
    <row r="43" spans="1:10" x14ac:dyDescent="0.25">
      <c r="A43" s="67" t="s">
        <v>114</v>
      </c>
      <c r="B43" s="70">
        <v>-499237</v>
      </c>
      <c r="C43" s="70">
        <v>-418518</v>
      </c>
      <c r="D43" s="70">
        <v>-270345</v>
      </c>
      <c r="G43" s="67" t="s">
        <v>117</v>
      </c>
      <c r="H43" s="68"/>
      <c r="I43" s="68"/>
      <c r="J43" s="68"/>
    </row>
    <row r="44" spans="1:10" x14ac:dyDescent="0.25">
      <c r="A44" s="67" t="s">
        <v>115</v>
      </c>
      <c r="B44" s="70">
        <v>495848</v>
      </c>
      <c r="C44" s="70">
        <v>590630</v>
      </c>
      <c r="D44" s="70">
        <v>277520</v>
      </c>
      <c r="G44" s="67" t="s">
        <v>155</v>
      </c>
      <c r="H44" s="68"/>
      <c r="I44" s="68"/>
      <c r="J44" s="68"/>
    </row>
    <row r="45" spans="1:10" x14ac:dyDescent="0.25">
      <c r="A45" s="68"/>
      <c r="B45" s="68"/>
      <c r="C45" s="68"/>
      <c r="D45" s="68"/>
      <c r="G45" s="67" t="s">
        <v>156</v>
      </c>
      <c r="H45" s="70">
        <v>-6417</v>
      </c>
      <c r="I45" s="70">
        <v>-24065</v>
      </c>
      <c r="J45" s="70">
        <v>-32547</v>
      </c>
    </row>
    <row r="46" spans="1:10" x14ac:dyDescent="0.25">
      <c r="A46" s="67" t="s">
        <v>116</v>
      </c>
      <c r="B46" s="70">
        <v>-11379</v>
      </c>
      <c r="C46" s="70">
        <v>-1557969</v>
      </c>
      <c r="D46" s="70">
        <v>-30024</v>
      </c>
      <c r="G46" s="67" t="s">
        <v>119</v>
      </c>
      <c r="H46" s="70">
        <v>-10301</v>
      </c>
      <c r="I46" s="70">
        <v>-134647</v>
      </c>
      <c r="J46" s="70">
        <v>-176985</v>
      </c>
    </row>
    <row r="47" spans="1:10" x14ac:dyDescent="0.25">
      <c r="A47" s="67" t="s">
        <v>117</v>
      </c>
      <c r="B47" s="68"/>
      <c r="C47" s="68"/>
      <c r="D47" s="68"/>
      <c r="G47" s="67" t="s">
        <v>120</v>
      </c>
      <c r="H47" s="70">
        <v>33838</v>
      </c>
      <c r="I47" s="70">
        <v>18253</v>
      </c>
      <c r="J47" s="70">
        <v>9791</v>
      </c>
    </row>
    <row r="48" spans="1:10" x14ac:dyDescent="0.25">
      <c r="A48" s="68"/>
      <c r="B48" s="68"/>
      <c r="C48" s="68"/>
      <c r="D48" s="68"/>
      <c r="G48" s="67" t="s">
        <v>157</v>
      </c>
      <c r="H48" s="68"/>
      <c r="I48" s="68"/>
      <c r="J48" s="68"/>
    </row>
    <row r="49" spans="1:10" x14ac:dyDescent="0.25">
      <c r="A49" s="67" t="s">
        <v>118</v>
      </c>
      <c r="B49" s="70">
        <v>-47716</v>
      </c>
      <c r="C49" s="70">
        <v>-118167</v>
      </c>
      <c r="D49" s="70">
        <v>-79163</v>
      </c>
      <c r="G49" s="67" t="s">
        <v>158</v>
      </c>
      <c r="H49" s="71">
        <v>0</v>
      </c>
      <c r="I49" s="70">
        <v>345000</v>
      </c>
      <c r="J49" s="70">
        <v>650000</v>
      </c>
    </row>
    <row r="50" spans="1:10" x14ac:dyDescent="0.25">
      <c r="A50" s="67" t="s">
        <v>119</v>
      </c>
      <c r="B50" s="70">
        <v>-268653</v>
      </c>
      <c r="C50" s="70">
        <v>-302774</v>
      </c>
      <c r="D50" s="70">
        <v>-425727</v>
      </c>
      <c r="G50" s="67" t="s">
        <v>122</v>
      </c>
      <c r="H50" s="71">
        <v>0</v>
      </c>
      <c r="I50" s="70">
        <v>-9962</v>
      </c>
      <c r="J50" s="70">
        <v>-11904</v>
      </c>
    </row>
    <row r="51" spans="1:10" x14ac:dyDescent="0.25">
      <c r="A51" s="67" t="s">
        <v>120</v>
      </c>
      <c r="B51" s="70">
        <v>25319</v>
      </c>
      <c r="C51" s="70">
        <v>22706</v>
      </c>
      <c r="D51" s="70">
        <v>15024</v>
      </c>
      <c r="G51" s="67" t="s">
        <v>159</v>
      </c>
      <c r="H51" s="71">
        <v>0</v>
      </c>
      <c r="I51" s="70">
        <v>-34224</v>
      </c>
      <c r="J51" s="70">
        <v>-76180</v>
      </c>
    </row>
    <row r="52" spans="1:10" x14ac:dyDescent="0.25">
      <c r="A52" s="68"/>
      <c r="B52" s="68"/>
      <c r="C52" s="68"/>
      <c r="D52" s="68"/>
      <c r="G52" s="67" t="s">
        <v>125</v>
      </c>
      <c r="H52" s="70">
        <v>-7798</v>
      </c>
      <c r="I52" s="70">
        <v>-6057</v>
      </c>
      <c r="J52" s="70">
        <v>-10833</v>
      </c>
    </row>
    <row r="53" spans="1:10" x14ac:dyDescent="0.25">
      <c r="A53" s="67" t="s">
        <v>121</v>
      </c>
      <c r="B53" s="70">
        <v>650000</v>
      </c>
      <c r="C53" s="70">
        <v>1000000</v>
      </c>
      <c r="D53" s="71">
        <v>0</v>
      </c>
      <c r="G53" s="67" t="s">
        <v>160</v>
      </c>
      <c r="H53" s="70">
        <v>-5883</v>
      </c>
      <c r="I53" s="70">
        <v>-10164</v>
      </c>
      <c r="J53" s="71">
        <v>0</v>
      </c>
    </row>
    <row r="54" spans="1:10" x14ac:dyDescent="0.25">
      <c r="A54" s="67" t="s">
        <v>122</v>
      </c>
      <c r="B54" s="70">
        <v>-10531</v>
      </c>
      <c r="C54" s="70">
        <v>-13300</v>
      </c>
      <c r="D54" s="70">
        <v>-25</v>
      </c>
      <c r="G54" s="67" t="s">
        <v>126</v>
      </c>
      <c r="H54" s="70">
        <v>3116</v>
      </c>
      <c r="I54" s="70">
        <v>-128</v>
      </c>
      <c r="J54" s="70">
        <v>8265</v>
      </c>
    </row>
    <row r="55" spans="1:10" x14ac:dyDescent="0.25">
      <c r="A55" s="67" t="s">
        <v>123</v>
      </c>
      <c r="B55" s="70">
        <v>-74685</v>
      </c>
      <c r="C55" s="70">
        <v>-85000</v>
      </c>
      <c r="D55" s="71">
        <v>0</v>
      </c>
      <c r="G55" s="67" t="s">
        <v>161</v>
      </c>
      <c r="H55" s="70">
        <v>6555</v>
      </c>
      <c r="I55" s="70">
        <v>144006</v>
      </c>
      <c r="J55" s="70">
        <v>359607</v>
      </c>
    </row>
    <row r="56" spans="1:10" x14ac:dyDescent="0.25">
      <c r="A56" s="67" t="s">
        <v>124</v>
      </c>
      <c r="B56" s="70">
        <v>-137168</v>
      </c>
      <c r="C56" s="70">
        <v>-43900</v>
      </c>
      <c r="D56" s="70">
        <v>-44</v>
      </c>
      <c r="G56" s="67" t="s">
        <v>128</v>
      </c>
      <c r="H56" s="70">
        <v>-3642</v>
      </c>
      <c r="I56" s="70">
        <v>-5995</v>
      </c>
      <c r="J56" s="70">
        <v>-1846</v>
      </c>
    </row>
    <row r="57" spans="1:10" x14ac:dyDescent="0.25">
      <c r="A57" s="67" t="s">
        <v>125</v>
      </c>
      <c r="B57" s="70">
        <v>-9211</v>
      </c>
      <c r="C57" s="70">
        <v>-8864</v>
      </c>
      <c r="D57" s="70">
        <v>-6307</v>
      </c>
      <c r="G57" s="67" t="s">
        <v>162</v>
      </c>
      <c r="H57" s="68"/>
      <c r="I57" s="68"/>
      <c r="J57" s="68"/>
    </row>
    <row r="58" spans="1:10" x14ac:dyDescent="0.25">
      <c r="A58" s="68"/>
      <c r="B58" s="68"/>
      <c r="C58" s="68"/>
      <c r="D58" s="68"/>
      <c r="G58" s="67" t="s">
        <v>130</v>
      </c>
      <c r="H58" s="70">
        <v>133850</v>
      </c>
      <c r="I58" s="70">
        <v>51543</v>
      </c>
      <c r="J58" s="70">
        <v>76308</v>
      </c>
    </row>
    <row r="59" spans="1:10" x14ac:dyDescent="0.25">
      <c r="A59" s="67" t="s">
        <v>126</v>
      </c>
      <c r="B59" s="70">
        <v>-8073</v>
      </c>
      <c r="C59" s="70">
        <v>2048</v>
      </c>
      <c r="D59" s="70">
        <v>-10242</v>
      </c>
      <c r="G59" s="67" t="s">
        <v>163</v>
      </c>
      <c r="H59" s="68"/>
      <c r="I59" s="68"/>
      <c r="J59" s="68"/>
    </row>
    <row r="60" spans="1:10" x14ac:dyDescent="0.25">
      <c r="A60" s="67" t="s">
        <v>127</v>
      </c>
      <c r="B60" s="70">
        <v>119282</v>
      </c>
      <c r="C60" s="70">
        <v>452749</v>
      </c>
      <c r="D60" s="70">
        <v>-506484</v>
      </c>
      <c r="G60" s="67" t="s">
        <v>164</v>
      </c>
      <c r="H60" s="70">
        <v>186933</v>
      </c>
      <c r="I60" s="70">
        <v>320783</v>
      </c>
      <c r="J60" s="70">
        <v>372326</v>
      </c>
    </row>
    <row r="61" spans="1:10" x14ac:dyDescent="0.25">
      <c r="A61" s="67" t="s">
        <v>128</v>
      </c>
      <c r="B61" s="70">
        <v>13947</v>
      </c>
      <c r="C61" s="70">
        <v>-10234</v>
      </c>
      <c r="D61" s="70">
        <v>-6022</v>
      </c>
      <c r="G61" s="67" t="s">
        <v>163</v>
      </c>
      <c r="H61" s="68"/>
      <c r="I61" s="68"/>
      <c r="J61" s="68"/>
    </row>
    <row r="62" spans="1:10" x14ac:dyDescent="0.25">
      <c r="A62" s="67" t="s">
        <v>129</v>
      </c>
      <c r="B62" s="68"/>
      <c r="C62" s="68"/>
      <c r="D62" s="68"/>
      <c r="G62" s="67" t="s">
        <v>165</v>
      </c>
      <c r="H62" s="69">
        <v>320783</v>
      </c>
      <c r="I62" s="69">
        <v>372326</v>
      </c>
      <c r="J62" s="69">
        <v>448634</v>
      </c>
    </row>
    <row r="63" spans="1:10" x14ac:dyDescent="0.25">
      <c r="A63" s="67" t="s">
        <v>130</v>
      </c>
      <c r="B63" s="70">
        <v>800806</v>
      </c>
      <c r="C63" s="70">
        <v>-463903</v>
      </c>
      <c r="D63" s="70">
        <v>141082</v>
      </c>
    </row>
    <row r="64" spans="1:10" x14ac:dyDescent="0.25">
      <c r="A64" s="67" t="s">
        <v>131</v>
      </c>
      <c r="B64" s="68"/>
      <c r="C64" s="68"/>
      <c r="D64" s="68"/>
    </row>
    <row r="65" spans="1:4" x14ac:dyDescent="0.25">
      <c r="A65" s="67" t="s">
        <v>132</v>
      </c>
      <c r="B65" s="70">
        <v>448634</v>
      </c>
      <c r="C65" s="70">
        <v>1249440</v>
      </c>
      <c r="D65" s="70">
        <v>785537</v>
      </c>
    </row>
    <row r="66" spans="1:4" x14ac:dyDescent="0.25">
      <c r="A66" s="67" t="s">
        <v>133</v>
      </c>
      <c r="B66" s="69">
        <v>1249440</v>
      </c>
      <c r="C66" s="69">
        <v>785537</v>
      </c>
      <c r="D66" s="69">
        <v>926619</v>
      </c>
    </row>
  </sheetData>
  <sortState xmlns:xlrd2="http://schemas.microsoft.com/office/spreadsheetml/2017/richdata2" columnSort="1" ref="H5:J62">
    <sortCondition ref="H5:J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8" sqref="E8"/>
    </sheetView>
  </sheetViews>
  <sheetFormatPr defaultRowHeight="15" x14ac:dyDescent="0.25"/>
  <cols>
    <col min="3" max="3" width="10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42</v>
      </c>
      <c r="C6" s="2"/>
      <c r="D6" s="40">
        <v>0.184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43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44</v>
      </c>
      <c r="C8" s="2"/>
      <c r="D8" s="41">
        <v>1.45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45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35</v>
      </c>
      <c r="B12" s="2"/>
      <c r="C12" s="21">
        <f>'ETSY DCF'!D70</f>
        <v>10208603.988840001</v>
      </c>
      <c r="D12" s="2"/>
      <c r="E12" s="2" t="s">
        <v>34</v>
      </c>
      <c r="F12" s="2"/>
      <c r="G12" s="21">
        <f>'ETSY DCF'!D67</f>
        <v>479212</v>
      </c>
      <c r="H12" s="2"/>
      <c r="I12" s="2" t="s">
        <v>46</v>
      </c>
      <c r="J12" s="2"/>
      <c r="K12" s="21">
        <f>G12+C12</f>
        <v>10687815.988840001</v>
      </c>
      <c r="L12" s="2"/>
    </row>
    <row r="13" spans="1:14" x14ac:dyDescent="0.25">
      <c r="A13" s="2" t="s">
        <v>47</v>
      </c>
      <c r="B13" s="2"/>
      <c r="C13" s="42">
        <f>C12/K12</f>
        <v>0.95516277595905619</v>
      </c>
      <c r="D13" s="2"/>
      <c r="E13" s="2" t="s">
        <v>48</v>
      </c>
      <c r="F13" s="2"/>
      <c r="G13" s="43">
        <f>G12/K12</f>
        <v>4.4837224040943764E-2</v>
      </c>
      <c r="H13" s="2"/>
      <c r="I13" s="2"/>
      <c r="J13" s="2"/>
      <c r="K13" s="2"/>
      <c r="L13" s="2"/>
      <c r="M13" s="34"/>
    </row>
    <row r="14" spans="1:14" x14ac:dyDescent="0.25">
      <c r="A14" s="2" t="s">
        <v>49</v>
      </c>
      <c r="B14" s="2"/>
      <c r="C14" s="44">
        <f>D7+D8*(D9)</f>
        <v>0.124</v>
      </c>
      <c r="D14" s="2"/>
      <c r="E14" s="2" t="s">
        <v>50</v>
      </c>
      <c r="F14" s="2"/>
      <c r="G14" s="45">
        <v>0.03</v>
      </c>
      <c r="H14" s="2"/>
      <c r="I14" s="46" t="s">
        <v>1</v>
      </c>
      <c r="J14" s="47"/>
      <c r="K14" s="65">
        <f>C13*C14+G14*G13*(1-D6)</f>
        <v>0.11953779946344527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ETSY DCF</vt:lpstr>
      <vt:lpstr>Sheet1</vt:lpstr>
      <vt:lpstr>Sheet2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2023-07-09T12:42:35Z</dcterms:modified>
</cp:coreProperties>
</file>