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C92D6F9F-FE26-4301-8EE3-0A1548E694A4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RNG DCF" sheetId="1" r:id="rId1"/>
    <sheet name="Sheet1" sheetId="3" r:id="rId2"/>
    <sheet name="Sheet2" sheetId="4" r:id="rId3"/>
    <sheet name="WAC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7" i="1" l="1"/>
  <c r="D69" i="1"/>
  <c r="I51" i="1"/>
  <c r="J51" i="1"/>
  <c r="K51" i="1"/>
  <c r="L51" i="1"/>
  <c r="M51" i="1"/>
  <c r="N51" i="1"/>
  <c r="O51" i="1"/>
  <c r="P51" i="1"/>
  <c r="Q51" i="1"/>
  <c r="R51" i="1"/>
  <c r="I40" i="1"/>
  <c r="J40" i="1"/>
  <c r="K40" i="1"/>
  <c r="L40" i="1"/>
  <c r="M40" i="1"/>
  <c r="N40" i="1"/>
  <c r="O40" i="1"/>
  <c r="P40" i="1"/>
  <c r="Q40" i="1"/>
  <c r="R40" i="1"/>
  <c r="I34" i="1"/>
  <c r="J34" i="1"/>
  <c r="K34" i="1"/>
  <c r="L34" i="1"/>
  <c r="M34" i="1"/>
  <c r="N34" i="1"/>
  <c r="O34" i="1"/>
  <c r="P34" i="1"/>
  <c r="Q34" i="1"/>
  <c r="R34" i="1"/>
  <c r="I31" i="1"/>
  <c r="J31" i="1"/>
  <c r="K31" i="1"/>
  <c r="L31" i="1"/>
  <c r="M31" i="1"/>
  <c r="N31" i="1"/>
  <c r="O31" i="1"/>
  <c r="P31" i="1"/>
  <c r="Q31" i="1"/>
  <c r="R31" i="1"/>
  <c r="J25" i="1"/>
  <c r="K25" i="1"/>
  <c r="L25" i="1"/>
  <c r="M25" i="1"/>
  <c r="N25" i="1"/>
  <c r="O25" i="1"/>
  <c r="P25" i="1"/>
  <c r="Q25" i="1"/>
  <c r="R25" i="1"/>
  <c r="I25" i="1"/>
  <c r="J22" i="1"/>
  <c r="K22" i="1"/>
  <c r="L22" i="1"/>
  <c r="M22" i="1"/>
  <c r="N22" i="1"/>
  <c r="O22" i="1"/>
  <c r="P22" i="1"/>
  <c r="Q22" i="1"/>
  <c r="R22" i="1"/>
  <c r="I22" i="1"/>
  <c r="J19" i="1"/>
  <c r="K19" i="1"/>
  <c r="L19" i="1"/>
  <c r="M19" i="1"/>
  <c r="N19" i="1"/>
  <c r="O19" i="1"/>
  <c r="P19" i="1"/>
  <c r="Q19" i="1"/>
  <c r="R19" i="1"/>
  <c r="I19" i="1"/>
  <c r="I43" i="1"/>
  <c r="J11" i="1"/>
  <c r="K11" i="1"/>
  <c r="L11" i="1" s="1"/>
  <c r="M11" i="1" s="1"/>
  <c r="N11" i="1" s="1"/>
  <c r="O11" i="1" s="1"/>
  <c r="P11" i="1" s="1"/>
  <c r="Q11" i="1" s="1"/>
  <c r="R11" i="1" s="1"/>
  <c r="I11" i="1"/>
  <c r="G53" i="1"/>
  <c r="H53" i="1"/>
  <c r="F53" i="1"/>
  <c r="D53" i="1"/>
  <c r="E53" i="1"/>
  <c r="C53" i="1"/>
  <c r="G50" i="1"/>
  <c r="H50" i="1"/>
  <c r="F50" i="1"/>
  <c r="D50" i="1"/>
  <c r="E50" i="1"/>
  <c r="C50" i="1"/>
  <c r="G47" i="1"/>
  <c r="H47" i="1"/>
  <c r="F47" i="1"/>
  <c r="D47" i="1"/>
  <c r="E47" i="1"/>
  <c r="C47" i="1"/>
  <c r="C56" i="1"/>
  <c r="G43" i="1"/>
  <c r="H43" i="1"/>
  <c r="F43" i="1"/>
  <c r="D43" i="1"/>
  <c r="E43" i="1"/>
  <c r="C43" i="1"/>
  <c r="G35" i="1"/>
  <c r="H35" i="1"/>
  <c r="F35" i="1"/>
  <c r="D35" i="1"/>
  <c r="E35" i="1"/>
  <c r="C35" i="1"/>
  <c r="C31" i="1"/>
  <c r="D28" i="1"/>
  <c r="C28" i="1"/>
  <c r="G25" i="1"/>
  <c r="H25" i="1"/>
  <c r="F25" i="1"/>
  <c r="D25" i="1"/>
  <c r="E25" i="1"/>
  <c r="C25" i="1"/>
  <c r="G22" i="1"/>
  <c r="H22" i="1"/>
  <c r="F22" i="1"/>
  <c r="D22" i="1"/>
  <c r="E22" i="1"/>
  <c r="E31" i="1" s="1"/>
  <c r="C22" i="1"/>
  <c r="G19" i="1"/>
  <c r="H19" i="1"/>
  <c r="F19" i="1"/>
  <c r="D19" i="1"/>
  <c r="E19" i="1"/>
  <c r="C19" i="1"/>
  <c r="G14" i="1"/>
  <c r="H14" i="1"/>
  <c r="F14" i="1"/>
  <c r="D14" i="1"/>
  <c r="E14" i="1"/>
  <c r="C14" i="1"/>
  <c r="G11" i="1"/>
  <c r="H11" i="1"/>
  <c r="F11" i="1"/>
  <c r="D11" i="1"/>
  <c r="E11" i="1"/>
  <c r="C11" i="1"/>
  <c r="D6" i="2"/>
  <c r="F36" i="1"/>
  <c r="G31" i="1"/>
  <c r="H31" i="1"/>
  <c r="F31" i="1"/>
  <c r="D31" i="1"/>
  <c r="G36" i="1"/>
  <c r="C36" i="1"/>
  <c r="D36" i="1" l="1"/>
  <c r="I35" i="1"/>
  <c r="E36" i="1"/>
  <c r="H36" i="1"/>
  <c r="L67" i="1"/>
  <c r="L66" i="1" s="1"/>
  <c r="L69" i="1"/>
  <c r="L70" i="1" s="1"/>
  <c r="H20" i="1"/>
  <c r="H12" i="1"/>
  <c r="C32" i="1"/>
  <c r="G12" i="2"/>
  <c r="D70" i="1"/>
  <c r="C12" i="2" s="1"/>
  <c r="G29" i="1" l="1"/>
  <c r="F29" i="1"/>
  <c r="E29" i="1"/>
  <c r="D29" i="1"/>
  <c r="C29" i="1"/>
  <c r="H29" i="1"/>
  <c r="F26" i="1"/>
  <c r="D26" i="1"/>
  <c r="H26" i="1"/>
  <c r="G23" i="1"/>
  <c r="F23" i="1"/>
  <c r="E23" i="1"/>
  <c r="D23" i="1"/>
  <c r="C23" i="1"/>
  <c r="H23" i="1"/>
  <c r="G20" i="1"/>
  <c r="F20" i="1"/>
  <c r="E20" i="1"/>
  <c r="D20" i="1"/>
  <c r="C20" i="1"/>
  <c r="C14" i="2"/>
  <c r="E51" i="1"/>
  <c r="D51" i="1"/>
  <c r="C51" i="1"/>
  <c r="F51" i="1"/>
  <c r="G51" i="1"/>
  <c r="H51" i="1"/>
  <c r="G48" i="1"/>
  <c r="H48" i="1"/>
  <c r="E48" i="1"/>
  <c r="C48" i="1"/>
  <c r="E32" i="1"/>
  <c r="G32" i="1"/>
  <c r="G26" i="1"/>
  <c r="D54" i="1"/>
  <c r="C54" i="1"/>
  <c r="D48" i="1"/>
  <c r="E26" i="1"/>
  <c r="C26" i="1"/>
  <c r="D16" i="1"/>
  <c r="D34" i="1" s="1"/>
  <c r="D38" i="1" s="1"/>
  <c r="D58" i="1" s="1"/>
  <c r="E16" i="1"/>
  <c r="E34" i="1" s="1"/>
  <c r="E38" i="1" s="1"/>
  <c r="E58" i="1" s="1"/>
  <c r="C16" i="1"/>
  <c r="C34" i="1" s="1"/>
  <c r="F54" i="1"/>
  <c r="G54" i="1"/>
  <c r="H54" i="1"/>
  <c r="F48" i="1"/>
  <c r="F16" i="1"/>
  <c r="F34" i="1" s="1"/>
  <c r="F38" i="1" s="1"/>
  <c r="F58" i="1" s="1"/>
  <c r="G16" i="1"/>
  <c r="G34" i="1" s="1"/>
  <c r="G38" i="1" s="1"/>
  <c r="G58" i="1" s="1"/>
  <c r="H16" i="1"/>
  <c r="H34" i="1" s="1"/>
  <c r="H38" i="1" s="1"/>
  <c r="H58" i="1" s="1"/>
  <c r="D12" i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C40" i="1" l="1"/>
  <c r="C60" i="1" s="1"/>
  <c r="C38" i="1"/>
  <c r="C58" i="1" s="1"/>
  <c r="E40" i="1"/>
  <c r="E56" i="1" s="1"/>
  <c r="F17" i="1"/>
  <c r="D17" i="1"/>
  <c r="I28" i="1"/>
  <c r="I32" i="1" s="1"/>
  <c r="H17" i="1"/>
  <c r="I53" i="1"/>
  <c r="E54" i="1"/>
  <c r="K12" i="2"/>
  <c r="I16" i="1"/>
  <c r="G17" i="1"/>
  <c r="C17" i="1"/>
  <c r="E17" i="1"/>
  <c r="H32" i="1"/>
  <c r="F32" i="1"/>
  <c r="D32" i="1"/>
  <c r="E44" i="1" l="1"/>
  <c r="G40" i="1"/>
  <c r="G56" i="1" s="1"/>
  <c r="I14" i="1"/>
  <c r="C13" i="2"/>
  <c r="G13" i="2"/>
  <c r="D40" i="1"/>
  <c r="D56" i="1" s="1"/>
  <c r="F40" i="1"/>
  <c r="F56" i="1" s="1"/>
  <c r="H40" i="1"/>
  <c r="H56" i="1" l="1"/>
  <c r="H60" i="1" s="1"/>
  <c r="F44" i="1"/>
  <c r="H44" i="1"/>
  <c r="C44" i="1"/>
  <c r="G60" i="1"/>
  <c r="G44" i="1"/>
  <c r="D60" i="1"/>
  <c r="D44" i="1"/>
  <c r="G41" i="1"/>
  <c r="F60" i="1"/>
  <c r="E60" i="1"/>
  <c r="E41" i="1"/>
  <c r="C41" i="1"/>
  <c r="K14" i="2"/>
  <c r="E5" i="1" s="1"/>
  <c r="D41" i="1"/>
  <c r="H41" i="1"/>
  <c r="F41" i="1"/>
  <c r="I38" i="1" l="1"/>
  <c r="I41" i="1" l="1"/>
  <c r="I56" i="1"/>
  <c r="I58" i="1" l="1"/>
  <c r="I60" i="1"/>
  <c r="I61" i="1" s="1"/>
  <c r="J35" i="1" l="1"/>
  <c r="J28" i="1"/>
  <c r="J53" i="1"/>
  <c r="J16" i="1"/>
  <c r="J32" i="1" l="1"/>
  <c r="J38" i="1"/>
  <c r="J14" i="1"/>
  <c r="J41" i="1" l="1"/>
  <c r="J43" i="1"/>
  <c r="J56" i="1" s="1"/>
  <c r="J60" i="1" s="1"/>
  <c r="J61" i="1" s="1"/>
  <c r="J58" i="1" l="1"/>
  <c r="K53" i="1"/>
  <c r="K35" i="1"/>
  <c r="K28" i="1"/>
  <c r="K16" i="1"/>
  <c r="K32" i="1" l="1"/>
  <c r="K14" i="1"/>
  <c r="K38" i="1"/>
  <c r="K43" i="1" l="1"/>
  <c r="K58" i="1" s="1"/>
  <c r="K41" i="1"/>
  <c r="L28" i="1"/>
  <c r="L35" i="1"/>
  <c r="L53" i="1"/>
  <c r="L32" i="1"/>
  <c r="L16" i="1"/>
  <c r="L43" i="1" l="1"/>
  <c r="L38" i="1"/>
  <c r="K56" i="1"/>
  <c r="K60" i="1" s="1"/>
  <c r="K61" i="1" s="1"/>
  <c r="L41" i="1"/>
  <c r="L56" i="1"/>
  <c r="L60" i="1" s="1"/>
  <c r="L61" i="1" s="1"/>
  <c r="L58" i="1"/>
  <c r="L14" i="1"/>
  <c r="M53" i="1"/>
  <c r="M35" i="1"/>
  <c r="M28" i="1"/>
  <c r="M16" i="1"/>
  <c r="M38" i="1" s="1"/>
  <c r="M41" i="1" l="1"/>
  <c r="M43" i="1"/>
  <c r="M56" i="1" s="1"/>
  <c r="M60" i="1" s="1"/>
  <c r="M61" i="1" s="1"/>
  <c r="M14" i="1"/>
  <c r="M32" i="1"/>
  <c r="M58" i="1" l="1"/>
  <c r="N35" i="1"/>
  <c r="N28" i="1"/>
  <c r="N53" i="1"/>
  <c r="N16" i="1"/>
  <c r="N14" i="1" l="1"/>
  <c r="N38" i="1"/>
  <c r="N32" i="1"/>
  <c r="N43" i="1" l="1"/>
  <c r="N56" i="1" s="1"/>
  <c r="N60" i="1" s="1"/>
  <c r="N61" i="1" s="1"/>
  <c r="N41" i="1"/>
  <c r="N58" i="1" l="1"/>
  <c r="O28" i="1"/>
  <c r="O35" i="1"/>
  <c r="O53" i="1"/>
  <c r="O16" i="1"/>
  <c r="O14" i="1" s="1"/>
  <c r="O41" i="1" l="1"/>
  <c r="O43" i="1" l="1"/>
  <c r="O56" i="1" s="1"/>
  <c r="O60" i="1" s="1"/>
  <c r="O61" i="1" s="1"/>
  <c r="O38" i="1"/>
  <c r="O32" i="1"/>
  <c r="P16" i="1"/>
  <c r="P35" i="1"/>
  <c r="P14" i="1"/>
  <c r="P28" i="1"/>
  <c r="P53" i="1"/>
  <c r="O58" i="1" l="1"/>
  <c r="P32" i="1"/>
  <c r="P38" i="1"/>
  <c r="P43" i="1" l="1"/>
  <c r="P56" i="1" s="1"/>
  <c r="P60" i="1" s="1"/>
  <c r="P61" i="1" s="1"/>
  <c r="P41" i="1"/>
  <c r="P58" i="1" l="1"/>
  <c r="Q14" i="1"/>
  <c r="Q35" i="1"/>
  <c r="Q28" i="1"/>
  <c r="Q53" i="1"/>
  <c r="Q16" i="1"/>
  <c r="Q38" i="1" l="1"/>
  <c r="Q32" i="1"/>
  <c r="Q43" i="1" l="1"/>
  <c r="Q41" i="1"/>
  <c r="Q56" i="1"/>
  <c r="Q60" i="1" s="1"/>
  <c r="Q61" i="1" s="1"/>
  <c r="Q58" i="1" l="1"/>
  <c r="R53" i="1"/>
  <c r="R32" i="1"/>
  <c r="R28" i="1"/>
  <c r="R35" i="1"/>
  <c r="R16" i="1"/>
  <c r="R38" i="1" l="1"/>
  <c r="R14" i="1"/>
  <c r="R41" i="1" l="1"/>
  <c r="R43" i="1"/>
  <c r="R56" i="1" s="1"/>
  <c r="R60" i="1" s="1"/>
  <c r="R58" i="1" l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BJ58" i="1" s="1"/>
  <c r="BK58" i="1" s="1"/>
  <c r="BL58" i="1" s="1"/>
  <c r="BM58" i="1" s="1"/>
  <c r="BN58" i="1" s="1"/>
  <c r="BO58" i="1" s="1"/>
  <c r="BP58" i="1" s="1"/>
  <c r="BQ58" i="1" s="1"/>
  <c r="BR58" i="1" s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R61" i="1"/>
  <c r="C63" i="1"/>
  <c r="C64" i="1" s="1"/>
  <c r="F63" i="1" l="1"/>
  <c r="H66" i="1" s="1"/>
  <c r="H68" i="1" s="1"/>
  <c r="H71" i="1" s="1"/>
  <c r="G66" i="1"/>
  <c r="G68" i="1" s="1"/>
  <c r="G71" i="1" s="1"/>
  <c r="D71" i="1" l="1"/>
  <c r="J6" i="1" s="1"/>
  <c r="N5" i="1" s="1"/>
  <c r="L65" i="1" l="1"/>
</calcChain>
</file>

<file path=xl/sharedStrings.xml><?xml version="1.0" encoding="utf-8"?>
<sst xmlns="http://schemas.openxmlformats.org/spreadsheetml/2006/main" count="313" uniqueCount="193">
  <si>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</si>
  <si>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</si>
  <si>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</si>
  <si>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</si>
  <si>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</si>
  <si>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</si>
  <si>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</si>
  <si>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</si>
  <si>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</si>
  <si>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</si>
  <si>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</si>
  <si>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</si>
  <si>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</si>
  <si>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</si>
  <si>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</si>
  <si>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</si>
  <si>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</si>
  <si>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</si>
  <si>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</si>
  <si>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</si>
  <si>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</si>
  <si>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</si>
  <si>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</si>
  <si>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</si>
  <si>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</si>
  <si>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</si>
  <si>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</si>
  <si>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</si>
  <si>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</si>
  <si>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</si>
  <si>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</si>
  <si>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</si>
  <si>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</si>
  <si>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</si>
  <si>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</si>
  <si>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</si>
  <si>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</si>
  <si>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</si>
  <si>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</si>
  <si>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</si>
  <si>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</si>
  <si>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</si>
  <si>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</si>
  <si>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</si>
  <si>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</si>
  <si>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</si>
  <si>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</si>
  <si>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</si>
  <si>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</si>
  <si>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</si>
  <si>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</si>
  <si>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</si>
  <si>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</si>
  <si>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</si>
  <si>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</si>
  <si>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</si>
  <si>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NCI</t>
  </si>
  <si>
    <t>Depreciation and amortization</t>
  </si>
  <si>
    <t>Other</t>
  </si>
  <si>
    <t>Accounts receivable</t>
  </si>
  <si>
    <t>Prepaid expenses and other assets</t>
  </si>
  <si>
    <t>Accounts payable</t>
  </si>
  <si>
    <t>Deferred revenue</t>
  </si>
  <si>
    <t>Net cash provided by operating activities</t>
  </si>
  <si>
    <t>Purchases of property and equipment</t>
  </si>
  <si>
    <t>Net cash used in investing activities</t>
  </si>
  <si>
    <t>Net cash provided by (used in) financing activities</t>
  </si>
  <si>
    <t>CONSOLIDATED STATEMENTS OF OPERATIONS</t>
  </si>
  <si>
    <t>Gross profit</t>
  </si>
  <si>
    <t>Research and development</t>
  </si>
  <si>
    <t>Sales and marketing</t>
  </si>
  <si>
    <t>General and administrative</t>
  </si>
  <si>
    <t>Total operating expenses</t>
  </si>
  <si>
    <t>Provision for income taxes</t>
  </si>
  <si>
    <t>Other income (expense), net</t>
  </si>
  <si>
    <t>Provision for (benefit from) income taxes</t>
  </si>
  <si>
    <t>CONSOLIDATED STATEMENTS OF CASH FLOWS</t>
  </si>
  <si>
    <t>Deferred income taxes</t>
  </si>
  <si>
    <t>RINGCENTRAL, INC.</t>
  </si>
  <si>
    <t>(in thousands, except per share data)</t>
  </si>
  <si>
    <t/>
  </si>
  <si>
    <t>Year ended December 31,</t>
  </si>
  <si>
    <t>Revenues</t>
  </si>
  <si>
    <t>Subscriptions</t>
  </si>
  <si>
    <t>Total revenues</t>
  </si>
  <si>
    <t>Cost of revenues</t>
  </si>
  <si>
    <t>Total cost of revenues</t>
  </si>
  <si>
    <t>Operating expenses</t>
  </si>
  <si>
    <t>Asset write-down charges</t>
  </si>
  <si>
    <t>Loss from operations</t>
  </si>
  <si>
    <t>Interest expense</t>
  </si>
  <si>
    <t>Other income (expense)</t>
  </si>
  <si>
    <t>Loss before income taxes</t>
  </si>
  <si>
    <t>Net loss</t>
  </si>
  <si>
    <t>Net loss per common share</t>
  </si>
  <si>
    <t>Basic and diluted</t>
  </si>
  <si>
    <t>Weighted-average number of shares used in computing net loss</t>
  </si>
  <si>
    <t>per share</t>
  </si>
  <si>
    <t>(in thousands)</t>
  </si>
  <si>
    <t>Cash flows from operating activities</t>
  </si>
  <si>
    <t>Adjustments to reconcile net loss to net cash (used in)</t>
  </si>
  <si>
    <t>provided by operating activities:</t>
  </si>
  <si>
    <t>Share-based compensation</t>
  </si>
  <si>
    <t>Unrealized loss (gain) on investments</t>
  </si>
  <si>
    <t>Asset write-down and other charges</t>
  </si>
  <si>
    <t>Amortization of deferred and prepaid sales commission</t>
  </si>
  <si>
    <t>costs</t>
  </si>
  <si>
    <t>Amortization of debt discount and issuance costs</t>
  </si>
  <si>
    <t>Loss on early extinguishment of debt</t>
  </si>
  <si>
    <t>Repayment of convertible senior notes attributable to</t>
  </si>
  <si>
    <t>debt discount</t>
  </si>
  <si>
    <t>Reduction of operating lease right-of-use assets</t>
  </si>
  <si>
    <t>Provision for bad debt</t>
  </si>
  <si>
    <t>Changes in assets and liabilities:</t>
  </si>
  <si>
    <t>Deferred and prepaid sales commission costs</t>
  </si>
  <si>
    <t>Accrued and other liabilities</t>
  </si>
  <si>
    <t>Operating lease liabilities</t>
  </si>
  <si>
    <t>Net cash provided by (used in) operating activities</t>
  </si>
  <si>
    <t>Cash flows from investing activities</t>
  </si>
  <si>
    <t>Capitalized internal-use software</t>
  </si>
  <si>
    <t>Purchases of intangible assets and long-term investments</t>
  </si>
  <si>
    <t>Proceeds from sale of marketable equity investments</t>
  </si>
  <si>
    <t>Cash flows from financing activities</t>
  </si>
  <si>
    <t>Proceeds from issuance of convertible senior notes, net</t>
  </si>
  <si>
    <t>of issuance costs</t>
  </si>
  <si>
    <t>Payments for repurchase or redemption of convertible</t>
  </si>
  <si>
    <t>senior notes</t>
  </si>
  <si>
    <t>Payments for capped calls and transaction costs</t>
  </si>
  <si>
    <t>Proceeds from series A convertible preferred stock, net</t>
  </si>
  <si>
    <t>Payments for repurchase of common stock</t>
  </si>
  <si>
    <t>Proceeds from issuance of stock in connection with stock</t>
  </si>
  <si>
    <t>plans</t>
  </si>
  <si>
    <t>Payments for taxes related to net share settlement of</t>
  </si>
  <si>
    <t>equity awards</t>
  </si>
  <si>
    <t>Repayment of financing obligations</t>
  </si>
  <si>
    <t>Payment for contingent consideration</t>
  </si>
  <si>
    <t>Effect of exchange rate changes</t>
  </si>
  <si>
    <t>Net increase (decrease) in cash, cash equivalents, and</t>
  </si>
  <si>
    <t>restricted cash</t>
  </si>
  <si>
    <t>Cash, cash equivalents, and restricted cash</t>
  </si>
  <si>
    <t>Beginning of year</t>
  </si>
  <si>
    <t>End of year</t>
  </si>
  <si>
    <t>Supplemental disclosure of cash flow data:</t>
  </si>
  <si>
    <t>Cash paid for interest</t>
  </si>
  <si>
    <t>Cash paid for income taxes, net of refunds</t>
  </si>
  <si>
    <t>Non-cash investing and financing activities</t>
  </si>
  <si>
    <t>Common stock issued for acquisition of intangible assets $</t>
  </si>
  <si>
    <t>Contingent consideration not paid</t>
  </si>
  <si>
    <t>Equipment and capitalized internal-use software</t>
  </si>
  <si>
    <t>purchased and unpaid at period end</t>
  </si>
  <si>
    <t>Cash held for future indemnity claims and other</t>
  </si>
  <si>
    <t>potential future payments</t>
  </si>
  <si>
    <t>Equipment acquired under financing obligations</t>
  </si>
  <si>
    <t>Other income, net</t>
  </si>
  <si>
    <t>Weighted-average number of shares used in</t>
  </si>
  <si>
    <t>computing net loss per share</t>
  </si>
  <si>
    <t>Adjustments to reconcile net loss to net cash</t>
  </si>
  <si>
    <t>Amortization of deferred sales commission cost</t>
  </si>
  <si>
    <t>Amortization of debt discount and issuance cost</t>
  </si>
  <si>
    <t>Loss (gain) and other related costs on</t>
  </si>
  <si>
    <t>investments</t>
  </si>
  <si>
    <t>Foreign currency remeasurement (gain) loss</t>
  </si>
  <si>
    <t>Tax benefit from release of valuation allowance</t>
  </si>
  <si>
    <t>Prepaid expenses and other current assets</t>
  </si>
  <si>
    <t>Other assets</t>
  </si>
  <si>
    <t>Accrued liabilities</t>
  </si>
  <si>
    <t>Other liabilities</t>
  </si>
  <si>
    <t>Cash paid for business combination, net of cash</t>
  </si>
  <si>
    <t>acquired</t>
  </si>
  <si>
    <t>Purchases of long-term investments</t>
  </si>
  <si>
    <t>Cash paid for acquisition of intangible assets</t>
  </si>
  <si>
    <t>Restricted investments</t>
  </si>
  <si>
    <t>Proceeds from issuance of convertible senior</t>
  </si>
  <si>
    <t>notes, net of issuance costs</t>
  </si>
  <si>
    <t>Payments for capped call transactions and costs</t>
  </si>
  <si>
    <t>Repurchase of common stock</t>
  </si>
  <si>
    <t>Proceeds from issuance of stock in connection</t>
  </si>
  <si>
    <t>with stock plans</t>
  </si>
  <si>
    <t>Taxes paid related to net share settlement of</t>
  </si>
  <si>
    <t>Payment of contingent consideration for business</t>
  </si>
  <si>
    <t>combination</t>
  </si>
  <si>
    <t>Repayment of debt</t>
  </si>
  <si>
    <t>Net cash provided by financing activities</t>
  </si>
  <si>
    <t>Net (decrease) increase in cash, cash</t>
  </si>
  <si>
    <t>equivalents, and restricted cash</t>
  </si>
  <si>
    <t>Common stock issued for acquisition of</t>
  </si>
  <si>
    <t>intangible assets</t>
  </si>
  <si>
    <t>Common stock issued for prepaid and deferred</t>
  </si>
  <si>
    <t>sales commission cost</t>
  </si>
  <si>
    <t>Reclassification from intangible assets to</t>
  </si>
  <si>
    <t>prepaid services</t>
  </si>
  <si>
    <t>Earnout related matters, including issuance of</t>
  </si>
  <si>
    <t>RingCentral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</si>
</sst>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%"/>
    <numFmt numFmtId="165" formatCode="0.00000%"/>
    <numFmt numFmtId="167" formatCode="_(\$* #,##0_);_(\$* \(#,##0\);_(\$* \-_);_(@_)"/>
    <numFmt numFmtId="168" formatCode="\(#,##0_);[Red]\(#,##0\)"/>
    <numFmt numFmtId="170" formatCode="_(\$* #,##0.00_);_(\$* \(#,##0.00\);_(\$* \-??_);_(@_)"/>
    <numFmt numFmtId="171" formatCode="_(&quot;$&quot;* #,##0_);_(&quot;$&quot;* \(#,##0\);_(&quot;$&quot;* &quot;-&quot;_);_(@_)"/>
    <numFmt numFmtId="172" formatCode="_(* #,##0.00_);_(* \(#,##0.00\);_(* &quot;-&quot;??_);_(@_)"/>
    <numFmt numFmtId="173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1" fontId="3" fillId="2" borderId="12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2" fontId="3" fillId="2" borderId="0" xfId="0" applyNumberFormat="1" applyFont="1" applyFill="1" applyAlignment="1">
      <alignment horizontal="left"/>
    </xf>
    <xf numFmtId="0" fontId="10" fillId="0" borderId="0" xfId="0" applyFont="1"/>
    <xf numFmtId="167" fontId="0" fillId="0" borderId="0" xfId="0" applyNumberFormat="1"/>
    <xf numFmtId="168" fontId="0" fillId="0" borderId="0" xfId="0" applyNumberFormat="1"/>
    <xf numFmtId="167" fontId="10" fillId="0" borderId="0" xfId="0" applyNumberFormat="1" applyFont="1"/>
    <xf numFmtId="3" fontId="10" fillId="0" borderId="0" xfId="0" applyNumberFormat="1" applyFont="1"/>
    <xf numFmtId="168" fontId="10" fillId="0" borderId="0" xfId="0" applyNumberFormat="1" applyFont="1"/>
    <xf numFmtId="170" fontId="10" fillId="0" borderId="0" xfId="0" applyNumberFormat="1" applyFont="1"/>
    <xf numFmtId="3" fontId="3" fillId="2" borderId="0" xfId="1" applyNumberFormat="1" applyFont="1" applyFill="1"/>
    <xf numFmtId="0" fontId="0" fillId="7" borderId="0" xfId="0" applyFill="1" applyAlignment="1">
      <alignment horizontal="right"/>
    </xf>
    <xf numFmtId="0" fontId="7" fillId="5" borderId="0" xfId="0" applyFont="1" applyFill="1"/>
    <xf numFmtId="164" fontId="7" fillId="5" borderId="0" xfId="1" applyNumberFormat="1" applyFont="1" applyFill="1"/>
    <xf numFmtId="0" fontId="11" fillId="5" borderId="0" xfId="0" applyFont="1" applyFill="1"/>
    <xf numFmtId="164" fontId="11" fillId="5" borderId="0" xfId="1" applyNumberFormat="1" applyFont="1" applyFill="1"/>
    <xf numFmtId="164" fontId="11" fillId="5" borderId="4" xfId="0" applyNumberFormat="1" applyFont="1" applyFill="1" applyBorder="1"/>
    <xf numFmtId="164" fontId="3" fillId="5" borderId="0" xfId="1" applyNumberFormat="1" applyFont="1" applyFill="1"/>
    <xf numFmtId="0" fontId="2" fillId="4" borderId="4" xfId="0" applyFont="1" applyFill="1" applyBorder="1"/>
    <xf numFmtId="0" fontId="2" fillId="4" borderId="0" xfId="0" applyFont="1" applyFill="1"/>
    <xf numFmtId="1" fontId="0" fillId="2" borderId="4" xfId="0" applyNumberFormat="1" applyFill="1" applyBorder="1"/>
    <xf numFmtId="164" fontId="11" fillId="5" borderId="4" xfId="1" applyNumberFormat="1" applyFont="1" applyFill="1" applyBorder="1"/>
    <xf numFmtId="164" fontId="11" fillId="5" borderId="0" xfId="1" applyNumberFormat="1" applyFont="1" applyFill="1" applyBorder="1"/>
    <xf numFmtId="0" fontId="0" fillId="2" borderId="4" xfId="0" applyFill="1" applyBorder="1"/>
    <xf numFmtId="1" fontId="0" fillId="2" borderId="12" xfId="0" applyNumberFormat="1" applyFill="1" applyBorder="1"/>
    <xf numFmtId="1" fontId="0" fillId="2" borderId="1" xfId="0" applyNumberFormat="1" applyFill="1" applyBorder="1"/>
    <xf numFmtId="3" fontId="0" fillId="2" borderId="4" xfId="0" applyNumberFormat="1" applyFill="1" applyBorder="1"/>
    <xf numFmtId="164" fontId="11" fillId="2" borderId="4" xfId="1" applyNumberFormat="1" applyFont="1" applyFill="1" applyBorder="1"/>
    <xf numFmtId="164" fontId="11" fillId="2" borderId="0" xfId="1" applyNumberFormat="1" applyFont="1" applyFill="1" applyBorder="1"/>
    <xf numFmtId="1" fontId="0" fillId="2" borderId="4" xfId="1" applyNumberFormat="1" applyFont="1" applyFill="1" applyBorder="1"/>
    <xf numFmtId="1" fontId="0" fillId="2" borderId="0" xfId="1" applyNumberFormat="1" applyFont="1" applyFill="1" applyBorder="1"/>
    <xf numFmtId="10" fontId="11" fillId="5" borderId="4" xfId="0" applyNumberFormat="1" applyFont="1" applyFill="1" applyBorder="1"/>
    <xf numFmtId="0" fontId="2" fillId="3" borderId="4" xfId="0" applyFont="1" applyFill="1" applyBorder="1"/>
    <xf numFmtId="164" fontId="0" fillId="5" borderId="4" xfId="0" applyNumberFormat="1" applyFill="1" applyBorder="1"/>
    <xf numFmtId="0" fontId="12" fillId="0" borderId="0" xfId="0" applyFont="1" applyAlignment="1">
      <alignment vertical="top"/>
    </xf>
    <xf numFmtId="0" fontId="0" fillId="0" borderId="0" xfId="0" applyAlignment="1">
      <alignment vertical="top"/>
    </xf>
    <xf numFmtId="171" fontId="12" fillId="0" borderId="0" xfId="0" applyNumberFormat="1" applyFont="1" applyAlignment="1">
      <alignment vertical="top"/>
    </xf>
    <xf numFmtId="37" fontId="12" fillId="0" borderId="0" xfId="0" applyNumberFormat="1" applyFont="1" applyAlignment="1">
      <alignment vertical="top"/>
    </xf>
    <xf numFmtId="172" fontId="12" fillId="0" borderId="0" xfId="0" applyNumberFormat="1" applyFont="1" applyAlignment="1">
      <alignment vertical="top"/>
    </xf>
    <xf numFmtId="173" fontId="12" fillId="0" borderId="0" xfId="0" applyNumberFormat="1" applyFont="1" applyAlignment="1">
      <alignment vertical="top"/>
    </xf>
    <xf numFmtId="0" fontId="12" fillId="0" borderId="0" xfId="0" applyFont="1" applyAlignment="1">
      <alignment horizontal="center" vertical="top" shrinkToFit="1"/>
    </xf>
    <xf numFmtId="0" fontId="12" fillId="0" borderId="0" xfId="0" applyFont="1" applyAlignment="1">
      <alignment vertical="top"/>
    </xf>
    <xf numFmtId="37" fontId="0" fillId="2" borderId="0" xfId="0" applyNumberFormat="1" applyFill="1"/>
    <xf numFmtId="1" fontId="0" fillId="2" borderId="0" xfId="0" applyNumberFormat="1" applyFill="1" applyBorder="1"/>
    <xf numFmtId="164" fontId="7" fillId="5" borderId="0" xfId="1" applyNumberFormat="1" applyFont="1" applyFill="1" applyBorder="1"/>
    <xf numFmtId="0" fontId="0" fillId="2" borderId="0" xfId="0" applyFill="1" applyBorder="1"/>
    <xf numFmtId="164" fontId="11" fillId="5" borderId="0" xfId="0" applyNumberFormat="1" applyFont="1" applyFill="1" applyBorder="1"/>
    <xf numFmtId="3" fontId="0" fillId="2" borderId="0" xfId="0" applyNumberFormat="1" applyFill="1" applyBorder="1"/>
    <xf numFmtId="3" fontId="3" fillId="2" borderId="0" xfId="0" applyNumberFormat="1" applyFont="1" applyFill="1" applyBorder="1"/>
    <xf numFmtId="10" fontId="11" fillId="5" borderId="0" xfId="0" applyNumberFormat="1" applyFont="1" applyFill="1" applyBorder="1"/>
    <xf numFmtId="0" fontId="2" fillId="3" borderId="0" xfId="0" applyFont="1" applyFill="1" applyBorder="1"/>
    <xf numFmtId="164" fontId="0" fillId="5" borderId="0" xfId="0" applyNumberFormat="1" applyFill="1" applyBorder="1"/>
    <xf numFmtId="164" fontId="7" fillId="5" borderId="4" xfId="1" applyNumberFormat="1" applyFont="1" applyFill="1" applyBorder="1"/>
    <xf numFmtId="3" fontId="3" fillId="2" borderId="4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2"/>
  <sheetViews>
    <sheetView tabSelected="1" topLeftCell="A62" workbookViewId="0">
      <selection activeCell="E72" sqref="E72"/>
    </sheetView>
  </sheetViews>
  <sheetFormatPr defaultRowHeight="15" x14ac:dyDescent="0.25"/>
  <cols>
    <col min="1" max="1" width="7.7109375" style="2" customWidth="1"/>
    <col min="2" max="2" width="17.140625" style="2" customWidth="1"/>
    <col min="3" max="6" width="9.140625" style="2"/>
    <col min="7" max="8" width="10.28515625" style="2" customWidth="1"/>
    <col min="9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47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192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7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0.11061837470643329</v>
      </c>
      <c r="G5" s="1"/>
      <c r="H5" s="1" t="s">
        <v>2</v>
      </c>
      <c r="I5" s="1"/>
      <c r="J5" s="7">
        <v>28.52</v>
      </c>
      <c r="K5" s="1"/>
      <c r="L5" s="1" t="s">
        <v>3</v>
      </c>
      <c r="M5" s="1"/>
      <c r="N5" s="62">
        <f>(J6/J5)-1</f>
        <v>0.35051754966513071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64">
        <f>D71</f>
        <v>38.51676051644953</v>
      </c>
      <c r="K6" s="1"/>
      <c r="L6" s="1" t="s">
        <v>53</v>
      </c>
      <c r="M6" s="1"/>
      <c r="N6" s="61">
        <v>45062</v>
      </c>
      <c r="O6" s="1"/>
      <c r="P6" s="1"/>
      <c r="Q6" s="1"/>
    </row>
    <row r="7" spans="1:86" x14ac:dyDescent="0.25">
      <c r="B7" s="61"/>
      <c r="C7" s="1"/>
      <c r="D7" s="1"/>
      <c r="E7" s="9"/>
      <c r="F7" s="1"/>
      <c r="G7" s="1"/>
      <c r="H7" s="1"/>
      <c r="I7" s="1"/>
      <c r="J7" s="1"/>
      <c r="K7" s="1"/>
      <c r="L7" s="53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5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0">
        <v>2019</v>
      </c>
      <c r="F10" s="11">
        <v>2020</v>
      </c>
      <c r="G10" s="10">
        <v>2021</v>
      </c>
      <c r="H10" s="10">
        <v>2022</v>
      </c>
      <c r="I10" s="80">
        <v>2023</v>
      </c>
      <c r="J10" s="81">
        <v>2024</v>
      </c>
      <c r="K10" s="81">
        <v>2025</v>
      </c>
      <c r="L10" s="81">
        <v>2026</v>
      </c>
      <c r="M10" s="81">
        <v>2027</v>
      </c>
      <c r="N10" s="81">
        <v>2028</v>
      </c>
      <c r="O10" s="81">
        <v>2029</v>
      </c>
      <c r="P10" s="81">
        <v>2030</v>
      </c>
      <c r="Q10" s="81">
        <v>2031</v>
      </c>
      <c r="R10" s="8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f>Sheet1!G9</f>
        <v>503617</v>
      </c>
      <c r="D11" s="12">
        <f>Sheet1!H9</f>
        <v>673624</v>
      </c>
      <c r="E11" s="12">
        <f>Sheet1!I9</f>
        <v>902858</v>
      </c>
      <c r="F11" s="12">
        <f>Sheet1!B10</f>
        <v>1183657</v>
      </c>
      <c r="G11" s="12">
        <f>Sheet1!C10</f>
        <v>1594754</v>
      </c>
      <c r="H11" s="12">
        <f>Sheet1!D10</f>
        <v>1988330</v>
      </c>
      <c r="I11" s="82">
        <f>H11*(1+I12)</f>
        <v>2200000</v>
      </c>
      <c r="J11" s="105">
        <f t="shared" ref="J11:R11" si="1">I11*(1+J12)</f>
        <v>2420000</v>
      </c>
      <c r="K11" s="105">
        <f t="shared" si="1"/>
        <v>2670000</v>
      </c>
      <c r="L11" s="105">
        <f t="shared" si="1"/>
        <v>3059999.9999999995</v>
      </c>
      <c r="M11" s="105">
        <f t="shared" si="1"/>
        <v>3389999.9999999995</v>
      </c>
      <c r="N11" s="105">
        <f t="shared" si="1"/>
        <v>3739999.9999999995</v>
      </c>
      <c r="O11" s="105">
        <f t="shared" si="1"/>
        <v>4079999.9999999991</v>
      </c>
      <c r="P11" s="105">
        <f t="shared" si="1"/>
        <v>4429999.9999999991</v>
      </c>
      <c r="Q11" s="105">
        <f t="shared" si="1"/>
        <v>4779999.9999999991</v>
      </c>
      <c r="R11" s="105">
        <f t="shared" si="1"/>
        <v>5109999.9999999991</v>
      </c>
    </row>
    <row r="12" spans="1:86" x14ac:dyDescent="0.25">
      <c r="A12" s="1"/>
      <c r="B12" s="74" t="s">
        <v>8</v>
      </c>
      <c r="C12" s="75"/>
      <c r="D12" s="75">
        <f>(D11/C11)-1</f>
        <v>0.33757200412218014</v>
      </c>
      <c r="E12" s="75">
        <f>(E11/D11)-1</f>
        <v>0.34029963302970212</v>
      </c>
      <c r="F12" s="75">
        <f>(F11/E11)-1</f>
        <v>0.31101125536906138</v>
      </c>
      <c r="G12" s="75">
        <f>(G11/F11)-1</f>
        <v>0.34731091861916075</v>
      </c>
      <c r="H12" s="75">
        <f>(H11/G11)-1</f>
        <v>0.24679417640589074</v>
      </c>
      <c r="I12" s="114">
        <v>0.10645617176223254</v>
      </c>
      <c r="J12" s="106">
        <v>0.10000000000000009</v>
      </c>
      <c r="K12" s="106">
        <v>0.10330578512396693</v>
      </c>
      <c r="L12" s="106">
        <v>0.14606741573033699</v>
      </c>
      <c r="M12" s="106">
        <v>0.10784313725490202</v>
      </c>
      <c r="N12" s="106">
        <v>0.10324483775811211</v>
      </c>
      <c r="O12" s="106">
        <v>9.0909090909090828E-2</v>
      </c>
      <c r="P12" s="106">
        <v>8.5784313725490113E-2</v>
      </c>
      <c r="Q12" s="106">
        <v>7.900677200902928E-2</v>
      </c>
      <c r="R12" s="106">
        <v>6.9037656903765621E-2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85"/>
      <c r="J13" s="107"/>
      <c r="K13" s="107"/>
      <c r="L13" s="107"/>
      <c r="M13" s="107"/>
      <c r="N13" s="107"/>
      <c r="O13" s="107"/>
      <c r="P13" s="107"/>
      <c r="Q13" s="107"/>
      <c r="R13" s="107"/>
    </row>
    <row r="14" spans="1:86" x14ac:dyDescent="0.25">
      <c r="A14" s="1"/>
      <c r="B14" s="1" t="s">
        <v>9</v>
      </c>
      <c r="C14" s="12">
        <f>Sheet1!G13</f>
        <v>121271</v>
      </c>
      <c r="D14" s="12">
        <f>Sheet1!H13</f>
        <v>157129</v>
      </c>
      <c r="E14" s="12">
        <f>Sheet1!I13</f>
        <v>231043</v>
      </c>
      <c r="F14" s="12">
        <f>Sheet1!B14</f>
        <v>323607</v>
      </c>
      <c r="G14" s="12">
        <f>Sheet1!C14</f>
        <v>448369</v>
      </c>
      <c r="H14" s="12">
        <f>Sheet1!D14</f>
        <v>641731</v>
      </c>
      <c r="I14" s="86">
        <f>I11-I16</f>
        <v>483560</v>
      </c>
      <c r="J14" s="87">
        <f t="shared" ref="J14:K14" si="2">J11-J16</f>
        <v>523930</v>
      </c>
      <c r="K14" s="87">
        <f t="shared" si="2"/>
        <v>579390</v>
      </c>
      <c r="L14" s="87">
        <f t="shared" ref="L14:R14" si="3">L11-L16</f>
        <v>844560</v>
      </c>
      <c r="M14" s="87">
        <f t="shared" si="3"/>
        <v>918690</v>
      </c>
      <c r="N14" s="87">
        <f t="shared" si="3"/>
        <v>994840</v>
      </c>
      <c r="O14" s="87">
        <f t="shared" si="3"/>
        <v>1060800</v>
      </c>
      <c r="P14" s="87">
        <f t="shared" si="3"/>
        <v>1129650</v>
      </c>
      <c r="Q14" s="87">
        <f t="shared" si="3"/>
        <v>1195000</v>
      </c>
      <c r="R14" s="87">
        <f t="shared" si="3"/>
        <v>1272389.9999999995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85"/>
      <c r="J15" s="107"/>
      <c r="K15" s="107"/>
      <c r="L15" s="107"/>
      <c r="M15" s="107"/>
      <c r="N15" s="107"/>
      <c r="O15" s="107"/>
      <c r="P15" s="107"/>
      <c r="Q15" s="107"/>
      <c r="R15" s="107"/>
    </row>
    <row r="16" spans="1:86" x14ac:dyDescent="0.25">
      <c r="A16" s="1"/>
      <c r="B16" s="1" t="s">
        <v>10</v>
      </c>
      <c r="C16" s="12">
        <f t="shared" ref="C16:H16" si="4">C11-C14</f>
        <v>382346</v>
      </c>
      <c r="D16" s="12">
        <f t="shared" si="4"/>
        <v>516495</v>
      </c>
      <c r="E16" s="12">
        <f t="shared" si="4"/>
        <v>671815</v>
      </c>
      <c r="F16" s="12">
        <f t="shared" si="4"/>
        <v>860050</v>
      </c>
      <c r="G16" s="12">
        <f t="shared" si="4"/>
        <v>1146385</v>
      </c>
      <c r="H16" s="12">
        <f t="shared" si="4"/>
        <v>1346599</v>
      </c>
      <c r="I16" s="82">
        <f>I11*I17</f>
        <v>1716440</v>
      </c>
      <c r="J16" s="105">
        <f t="shared" ref="J16:R16" si="5">J11*J17</f>
        <v>1896070</v>
      </c>
      <c r="K16" s="105">
        <f t="shared" si="5"/>
        <v>2090610</v>
      </c>
      <c r="L16" s="105">
        <f t="shared" si="5"/>
        <v>2215439.9999999995</v>
      </c>
      <c r="M16" s="105">
        <f t="shared" si="5"/>
        <v>2471309.9999999995</v>
      </c>
      <c r="N16" s="105">
        <f t="shared" si="5"/>
        <v>2745159.9999999995</v>
      </c>
      <c r="O16" s="105">
        <f t="shared" si="5"/>
        <v>3019199.9999999991</v>
      </c>
      <c r="P16" s="105">
        <f t="shared" si="5"/>
        <v>3300349.9999999991</v>
      </c>
      <c r="Q16" s="105">
        <f t="shared" si="5"/>
        <v>3584999.9999999991</v>
      </c>
      <c r="R16" s="105">
        <f t="shared" si="5"/>
        <v>3837609.9999999995</v>
      </c>
    </row>
    <row r="17" spans="1:18" x14ac:dyDescent="0.25">
      <c r="A17" s="1"/>
      <c r="B17" s="76" t="s">
        <v>11</v>
      </c>
      <c r="C17" s="77">
        <f t="shared" ref="C17:H17" si="6">C16/C11</f>
        <v>0.75919994757921194</v>
      </c>
      <c r="D17" s="77">
        <f t="shared" si="6"/>
        <v>0.76674079308338183</v>
      </c>
      <c r="E17" s="77">
        <f t="shared" si="6"/>
        <v>0.74409818598273481</v>
      </c>
      <c r="F17" s="77">
        <f t="shared" si="6"/>
        <v>0.72660407533601368</v>
      </c>
      <c r="G17" s="77">
        <f t="shared" si="6"/>
        <v>0.71884754639273518</v>
      </c>
      <c r="H17" s="77">
        <f t="shared" si="6"/>
        <v>0.67725126110856848</v>
      </c>
      <c r="I17" s="78">
        <v>0.7802</v>
      </c>
      <c r="J17" s="108">
        <v>0.78349999999999997</v>
      </c>
      <c r="K17" s="108">
        <v>0.78300000000000003</v>
      </c>
      <c r="L17" s="108">
        <v>0.72399999999999998</v>
      </c>
      <c r="M17" s="108">
        <v>0.72899999999999998</v>
      </c>
      <c r="N17" s="108">
        <v>0.73399999999999999</v>
      </c>
      <c r="O17" s="108">
        <v>0.74</v>
      </c>
      <c r="P17" s="108">
        <v>0.745</v>
      </c>
      <c r="Q17" s="108">
        <v>0.75</v>
      </c>
      <c r="R17" s="108">
        <v>0.751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85"/>
      <c r="J18" s="107"/>
      <c r="K18" s="107"/>
      <c r="L18" s="107"/>
      <c r="M18" s="107"/>
      <c r="N18" s="107"/>
      <c r="O18" s="107"/>
      <c r="P18" s="107"/>
      <c r="Q18" s="107"/>
      <c r="R18" s="107"/>
    </row>
    <row r="19" spans="1:18" x14ac:dyDescent="0.25">
      <c r="A19" s="1"/>
      <c r="B19" s="1" t="s">
        <v>12</v>
      </c>
      <c r="C19" s="12">
        <f>Sheet1!G16</f>
        <v>75148</v>
      </c>
      <c r="D19" s="12">
        <f>Sheet1!H16</f>
        <v>101042</v>
      </c>
      <c r="E19" s="12">
        <f>Sheet1!I16</f>
        <v>136363</v>
      </c>
      <c r="F19" s="12">
        <f>Sheet1!B17</f>
        <v>189484</v>
      </c>
      <c r="G19" s="12">
        <f>Sheet1!C17</f>
        <v>309739</v>
      </c>
      <c r="H19" s="12">
        <f>Sheet1!D17</f>
        <v>362256</v>
      </c>
      <c r="I19" s="82">
        <f>I20*I11</f>
        <v>385036.30960491183</v>
      </c>
      <c r="J19" s="105">
        <f t="shared" ref="J19:R19" si="7">J20*J11</f>
        <v>415040.922700917</v>
      </c>
      <c r="K19" s="105">
        <f t="shared" si="7"/>
        <v>441470.91449100611</v>
      </c>
      <c r="L19" s="105">
        <f t="shared" si="7"/>
        <v>436366.90977480123</v>
      </c>
      <c r="M19" s="105">
        <f t="shared" si="7"/>
        <v>464350.86425901268</v>
      </c>
      <c r="N19" s="105">
        <f t="shared" si="7"/>
        <v>492151.1554349722</v>
      </c>
      <c r="O19" s="105">
        <f t="shared" si="7"/>
        <v>515107.27510993206</v>
      </c>
      <c r="P19" s="105">
        <f t="shared" si="7"/>
        <v>534809.68405842979</v>
      </c>
      <c r="Q19" s="105">
        <f t="shared" si="7"/>
        <v>560504.26367622172</v>
      </c>
      <c r="R19" s="105">
        <f t="shared" si="7"/>
        <v>580891.51184249052</v>
      </c>
    </row>
    <row r="20" spans="1:18" x14ac:dyDescent="0.25">
      <c r="A20" s="1"/>
      <c r="B20" s="74" t="s">
        <v>18</v>
      </c>
      <c r="C20" s="75">
        <f t="shared" ref="C20:R20" si="8">C19/C11</f>
        <v>0.14921656735177724</v>
      </c>
      <c r="D20" s="75">
        <f t="shared" si="8"/>
        <v>0.14999762478771539</v>
      </c>
      <c r="E20" s="75">
        <f t="shared" si="8"/>
        <v>0.15103482496693832</v>
      </c>
      <c r="F20" s="75">
        <f t="shared" si="8"/>
        <v>0.16008353771405059</v>
      </c>
      <c r="G20" s="75">
        <f t="shared" si="8"/>
        <v>0.194223685910178</v>
      </c>
      <c r="H20" s="75">
        <f t="shared" si="8"/>
        <v>0.18219108498086334</v>
      </c>
      <c r="I20" s="114">
        <v>0.17501650436586902</v>
      </c>
      <c r="J20" s="106">
        <v>0.17150451351277562</v>
      </c>
      <c r="K20" s="106">
        <v>0.16534491179438432</v>
      </c>
      <c r="L20" s="106">
        <v>0.14260356528588278</v>
      </c>
      <c r="M20" s="106">
        <v>0.13697665612360257</v>
      </c>
      <c r="N20" s="106">
        <v>0.13159121803074125</v>
      </c>
      <c r="O20" s="106">
        <v>0.12625178311517946</v>
      </c>
      <c r="P20" s="106">
        <v>0.1207245336475011</v>
      </c>
      <c r="Q20" s="106">
        <v>0.11726030620841461</v>
      </c>
      <c r="R20" s="106">
        <v>0.11367739957778682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82"/>
      <c r="J21" s="105"/>
      <c r="K21" s="105"/>
      <c r="L21" s="105"/>
      <c r="M21" s="105"/>
      <c r="N21" s="105"/>
      <c r="O21" s="105"/>
      <c r="P21" s="105"/>
      <c r="Q21" s="105"/>
      <c r="R21" s="105"/>
    </row>
    <row r="22" spans="1:18" x14ac:dyDescent="0.25">
      <c r="A22" s="1"/>
      <c r="B22" s="1" t="s">
        <v>54</v>
      </c>
      <c r="C22" s="12">
        <f>Sheet1!G17</f>
        <v>240223</v>
      </c>
      <c r="D22" s="12">
        <f>Sheet1!H17</f>
        <v>329116</v>
      </c>
      <c r="E22" s="12">
        <f>Sheet1!I17</f>
        <v>439100</v>
      </c>
      <c r="F22" s="12">
        <f>Sheet1!B18</f>
        <v>583773</v>
      </c>
      <c r="G22" s="12">
        <f>Sheet1!C18</f>
        <v>854156</v>
      </c>
      <c r="H22" s="12">
        <f>Sheet1!D18</f>
        <v>1057231</v>
      </c>
      <c r="I22" s="82">
        <f>I23*I11</f>
        <v>1061800.6581892918</v>
      </c>
      <c r="J22" s="105">
        <f t="shared" ref="J22:R22" si="9">J23*J11</f>
        <v>1144543.2908691654</v>
      </c>
      <c r="K22" s="105">
        <f t="shared" si="9"/>
        <v>1217428.3200952408</v>
      </c>
      <c r="L22" s="105">
        <f t="shared" si="9"/>
        <v>1203353.1915115796</v>
      </c>
      <c r="M22" s="105">
        <f t="shared" si="9"/>
        <v>1280523.5272665734</v>
      </c>
      <c r="N22" s="105">
        <f t="shared" si="9"/>
        <v>1357187.3813814668</v>
      </c>
      <c r="O22" s="105">
        <f t="shared" si="9"/>
        <v>1420492.6395410299</v>
      </c>
      <c r="P22" s="105">
        <f t="shared" si="9"/>
        <v>1474825.2577060433</v>
      </c>
      <c r="Q22" s="105">
        <f t="shared" si="9"/>
        <v>1545682.267472378</v>
      </c>
      <c r="R22" s="105">
        <f t="shared" si="9"/>
        <v>1601903.4418957068</v>
      </c>
    </row>
    <row r="23" spans="1:18" x14ac:dyDescent="0.25">
      <c r="A23" s="1"/>
      <c r="B23" s="74" t="s">
        <v>18</v>
      </c>
      <c r="C23" s="75">
        <f t="shared" ref="C23:R23" si="10">C22/C11</f>
        <v>0.4769954151666842</v>
      </c>
      <c r="D23" s="75">
        <f t="shared" si="10"/>
        <v>0.4885752289110839</v>
      </c>
      <c r="E23" s="75">
        <f t="shared" si="10"/>
        <v>0.48634447498942246</v>
      </c>
      <c r="F23" s="75">
        <f t="shared" si="10"/>
        <v>0.49319439668755394</v>
      </c>
      <c r="G23" s="75">
        <f t="shared" si="10"/>
        <v>0.53560361033739368</v>
      </c>
      <c r="H23" s="75">
        <f t="shared" si="10"/>
        <v>0.53171807496743495</v>
      </c>
      <c r="I23" s="114">
        <v>0.48263666281331447</v>
      </c>
      <c r="J23" s="106">
        <v>0.47295177308643199</v>
      </c>
      <c r="K23" s="106">
        <v>0.45596566295701901</v>
      </c>
      <c r="L23" s="106">
        <v>0.39325267696456856</v>
      </c>
      <c r="M23" s="106">
        <v>0.37773555376595092</v>
      </c>
      <c r="N23" s="106">
        <v>0.36288432657258474</v>
      </c>
      <c r="O23" s="106">
        <v>0.34815996067182114</v>
      </c>
      <c r="P23" s="106">
        <v>0.33291766539639811</v>
      </c>
      <c r="Q23" s="106">
        <v>0.32336449110300802</v>
      </c>
      <c r="R23" s="106">
        <v>0.3134840395099231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82"/>
      <c r="J24" s="105"/>
      <c r="K24" s="105"/>
      <c r="L24" s="105"/>
      <c r="M24" s="105"/>
      <c r="N24" s="105"/>
      <c r="O24" s="105"/>
      <c r="P24" s="105"/>
      <c r="Q24" s="105"/>
      <c r="R24" s="105"/>
    </row>
    <row r="25" spans="1:18" x14ac:dyDescent="0.25">
      <c r="A25" s="1"/>
      <c r="B25" s="1" t="s">
        <v>55</v>
      </c>
      <c r="C25" s="12">
        <f>Sheet1!G18</f>
        <v>72313</v>
      </c>
      <c r="D25" s="12">
        <f>Sheet1!H18</f>
        <v>102773</v>
      </c>
      <c r="E25" s="12">
        <f>Sheet1!I18</f>
        <v>142027</v>
      </c>
      <c r="F25" s="12">
        <f>Sheet1!B19</f>
        <v>200032</v>
      </c>
      <c r="G25" s="12">
        <f>Sheet1!C19</f>
        <v>284276</v>
      </c>
      <c r="H25" s="12">
        <f>Sheet1!D19</f>
        <v>292898</v>
      </c>
      <c r="I25" s="88">
        <f>I26*I11</f>
        <v>353383.27414128004</v>
      </c>
      <c r="J25" s="109">
        <f t="shared" ref="J25:R25" si="11">J26*J11</f>
        <v>380921.2703008852</v>
      </c>
      <c r="K25" s="109">
        <f t="shared" si="11"/>
        <v>405178.50734923681</v>
      </c>
      <c r="L25" s="109">
        <f t="shared" si="11"/>
        <v>400494.09226200578</v>
      </c>
      <c r="M25" s="109">
        <f t="shared" si="11"/>
        <v>426177.54395828443</v>
      </c>
      <c r="N25" s="109">
        <f t="shared" si="11"/>
        <v>451692.43092549592</v>
      </c>
      <c r="O25" s="109">
        <f t="shared" si="11"/>
        <v>472761.37567161722</v>
      </c>
      <c r="P25" s="109">
        <f t="shared" si="11"/>
        <v>490844.0904935904</v>
      </c>
      <c r="Q25" s="109">
        <f t="shared" si="11"/>
        <v>514426.37207720574</v>
      </c>
      <c r="R25" s="109">
        <f t="shared" si="11"/>
        <v>533137.62690696318</v>
      </c>
    </row>
    <row r="26" spans="1:18" x14ac:dyDescent="0.25">
      <c r="A26" s="1"/>
      <c r="B26" s="74" t="s">
        <v>18</v>
      </c>
      <c r="C26" s="75">
        <f t="shared" ref="C26:R26" si="12">C25/C11</f>
        <v>0.14358728954741401</v>
      </c>
      <c r="D26" s="75">
        <f t="shared" si="12"/>
        <v>0.15256730757811479</v>
      </c>
      <c r="E26" s="75">
        <f t="shared" si="12"/>
        <v>0.15730823673268665</v>
      </c>
      <c r="F26" s="75">
        <f t="shared" si="12"/>
        <v>0.16899490308425499</v>
      </c>
      <c r="G26" s="75">
        <f t="shared" si="12"/>
        <v>0.178256960007625</v>
      </c>
      <c r="H26" s="75">
        <f t="shared" si="12"/>
        <v>0.14730854536218838</v>
      </c>
      <c r="I26" s="114">
        <v>0.16062876097330911</v>
      </c>
      <c r="J26" s="106">
        <v>0.1574054835954071</v>
      </c>
      <c r="K26" s="106">
        <v>0.1517522499435344</v>
      </c>
      <c r="L26" s="106">
        <v>0.13088042230784505</v>
      </c>
      <c r="M26" s="106">
        <v>0.12571608966321077</v>
      </c>
      <c r="N26" s="106">
        <v>0.12077337725280642</v>
      </c>
      <c r="O26" s="106">
        <v>0.11587288619402386</v>
      </c>
      <c r="P26" s="106">
        <v>0.11080002042744706</v>
      </c>
      <c r="Q26" s="106">
        <v>0.10762057993246985</v>
      </c>
      <c r="R26" s="106">
        <v>0.10433221661584409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88"/>
      <c r="J27" s="109"/>
      <c r="K27" s="109"/>
      <c r="L27" s="109"/>
      <c r="M27" s="109"/>
      <c r="N27" s="109"/>
      <c r="O27" s="109"/>
      <c r="P27" s="109"/>
      <c r="Q27" s="109"/>
      <c r="R27" s="109"/>
    </row>
    <row r="28" spans="1:18" x14ac:dyDescent="0.25">
      <c r="A28" s="1"/>
      <c r="B28" s="1" t="s">
        <v>58</v>
      </c>
      <c r="C28" s="12">
        <f>SUM(Sheet1!B20)</f>
        <v>0</v>
      </c>
      <c r="D28" s="12">
        <f>SUM(Sheet1!C20)</f>
        <v>0</v>
      </c>
      <c r="E28" s="12">
        <v>0</v>
      </c>
      <c r="F28" s="12">
        <v>0</v>
      </c>
      <c r="G28" s="12">
        <v>0</v>
      </c>
      <c r="H28" s="12">
        <v>283689</v>
      </c>
      <c r="I28" s="88">
        <f t="shared" ref="I28:R28" si="13">I29*I11</f>
        <v>0</v>
      </c>
      <c r="J28" s="109">
        <f t="shared" si="13"/>
        <v>0</v>
      </c>
      <c r="K28" s="109">
        <f t="shared" si="13"/>
        <v>0</v>
      </c>
      <c r="L28" s="109">
        <f t="shared" si="13"/>
        <v>0</v>
      </c>
      <c r="M28" s="109">
        <f t="shared" si="13"/>
        <v>0</v>
      </c>
      <c r="N28" s="109">
        <f t="shared" si="13"/>
        <v>0</v>
      </c>
      <c r="O28" s="109">
        <f t="shared" si="13"/>
        <v>0</v>
      </c>
      <c r="P28" s="109">
        <f t="shared" si="13"/>
        <v>0</v>
      </c>
      <c r="Q28" s="109">
        <f t="shared" si="13"/>
        <v>0</v>
      </c>
      <c r="R28" s="109">
        <f t="shared" si="13"/>
        <v>0</v>
      </c>
    </row>
    <row r="29" spans="1:18" x14ac:dyDescent="0.25">
      <c r="A29" s="1"/>
      <c r="B29" s="74" t="s">
        <v>18</v>
      </c>
      <c r="C29" s="75">
        <f t="shared" ref="C29:H29" si="14">C28/C11</f>
        <v>0</v>
      </c>
      <c r="D29" s="75">
        <f t="shared" si="14"/>
        <v>0</v>
      </c>
      <c r="E29" s="75">
        <f t="shared" si="14"/>
        <v>0</v>
      </c>
      <c r="F29" s="75">
        <f t="shared" si="14"/>
        <v>0</v>
      </c>
      <c r="G29" s="75">
        <f t="shared" si="14"/>
        <v>0</v>
      </c>
      <c r="H29" s="75">
        <f t="shared" si="14"/>
        <v>0.14267702041411637</v>
      </c>
      <c r="I29" s="83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</row>
    <row r="30" spans="1:18" x14ac:dyDescent="0.25">
      <c r="A30" s="1"/>
      <c r="B30" s="1"/>
      <c r="C30" s="12"/>
      <c r="D30" s="12"/>
      <c r="E30" s="12"/>
      <c r="F30" s="1"/>
      <c r="G30" s="1"/>
      <c r="H30" s="1"/>
      <c r="I30" s="88"/>
      <c r="J30" s="109"/>
      <c r="K30" s="109"/>
      <c r="L30" s="109"/>
      <c r="M30" s="109"/>
      <c r="N30" s="109"/>
      <c r="O30" s="109"/>
      <c r="P30" s="109"/>
      <c r="Q30" s="109"/>
      <c r="R30" s="109"/>
    </row>
    <row r="31" spans="1:18" x14ac:dyDescent="0.25">
      <c r="A31" s="1"/>
      <c r="B31" s="1" t="s">
        <v>13</v>
      </c>
      <c r="C31" s="12">
        <f>C19+C22+C25+C28</f>
        <v>387684</v>
      </c>
      <c r="D31" s="12">
        <f t="shared" ref="D31:R31" si="15">D19+D22+D25+D28</f>
        <v>532931</v>
      </c>
      <c r="E31" s="12">
        <f t="shared" si="15"/>
        <v>717490</v>
      </c>
      <c r="F31" s="12">
        <f t="shared" si="15"/>
        <v>973289</v>
      </c>
      <c r="G31" s="12">
        <f t="shared" si="15"/>
        <v>1448171</v>
      </c>
      <c r="H31" s="12">
        <f t="shared" si="15"/>
        <v>1996074</v>
      </c>
      <c r="I31" s="115">
        <f t="shared" si="15"/>
        <v>1800220.2419354836</v>
      </c>
      <c r="J31" s="110">
        <f t="shared" si="15"/>
        <v>1940505.4838709678</v>
      </c>
      <c r="K31" s="110">
        <f t="shared" si="15"/>
        <v>2064077.7419354839</v>
      </c>
      <c r="L31" s="110">
        <f t="shared" si="15"/>
        <v>2040214.1935483865</v>
      </c>
      <c r="M31" s="110">
        <f t="shared" si="15"/>
        <v>2171051.9354838706</v>
      </c>
      <c r="N31" s="110">
        <f t="shared" si="15"/>
        <v>2301030.9677419346</v>
      </c>
      <c r="O31" s="110">
        <f t="shared" si="15"/>
        <v>2408361.2903225794</v>
      </c>
      <c r="P31" s="110">
        <f t="shared" si="15"/>
        <v>2500479.0322580636</v>
      </c>
      <c r="Q31" s="110">
        <f t="shared" si="15"/>
        <v>2620612.9032258051</v>
      </c>
      <c r="R31" s="110">
        <f t="shared" si="15"/>
        <v>2715932.5806451603</v>
      </c>
    </row>
    <row r="32" spans="1:18" x14ac:dyDescent="0.25">
      <c r="A32" s="1"/>
      <c r="B32" s="74" t="s">
        <v>18</v>
      </c>
      <c r="C32" s="75">
        <f t="shared" ref="C32:R32" si="16">C31/C11</f>
        <v>0.76979927206587551</v>
      </c>
      <c r="D32" s="75">
        <f t="shared" si="16"/>
        <v>0.79114016127691411</v>
      </c>
      <c r="E32" s="75">
        <f t="shared" si="16"/>
        <v>0.79468753668904746</v>
      </c>
      <c r="F32" s="75">
        <f t="shared" si="16"/>
        <v>0.82227283748585955</v>
      </c>
      <c r="G32" s="75">
        <f t="shared" si="16"/>
        <v>0.90808425625519673</v>
      </c>
      <c r="H32" s="75">
        <f t="shared" si="16"/>
        <v>1.0038947257246031</v>
      </c>
      <c r="I32" s="83">
        <f t="shared" si="16"/>
        <v>0.81828192815249257</v>
      </c>
      <c r="J32" s="84">
        <f t="shared" si="16"/>
        <v>0.8018617701946148</v>
      </c>
      <c r="K32" s="84">
        <f t="shared" si="16"/>
        <v>0.77306282469493781</v>
      </c>
      <c r="L32" s="84">
        <f t="shared" si="16"/>
        <v>0.66673666455829628</v>
      </c>
      <c r="M32" s="84">
        <f t="shared" si="16"/>
        <v>0.64042829955276426</v>
      </c>
      <c r="N32" s="84">
        <f t="shared" si="16"/>
        <v>0.61524892185613234</v>
      </c>
      <c r="O32" s="84">
        <f t="shared" si="16"/>
        <v>0.59028462998102449</v>
      </c>
      <c r="P32" s="84">
        <f t="shared" si="16"/>
        <v>0.56444221947134632</v>
      </c>
      <c r="Q32" s="84">
        <f t="shared" si="16"/>
        <v>0.54824537724389244</v>
      </c>
      <c r="R32" s="84">
        <f t="shared" si="16"/>
        <v>0.531493655703554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89"/>
      <c r="J33" s="90"/>
      <c r="K33" s="90"/>
      <c r="L33" s="90"/>
      <c r="M33" s="90"/>
      <c r="N33" s="90"/>
      <c r="O33" s="90"/>
      <c r="P33" s="90"/>
      <c r="Q33" s="90"/>
      <c r="R33" s="90"/>
    </row>
    <row r="34" spans="1:86" x14ac:dyDescent="0.25">
      <c r="A34" s="1"/>
      <c r="B34" s="1" t="s">
        <v>14</v>
      </c>
      <c r="C34" s="12">
        <f>C16-C31</f>
        <v>-5338</v>
      </c>
      <c r="D34" s="12">
        <f t="shared" ref="D34:R34" si="17">D16-D31</f>
        <v>-16436</v>
      </c>
      <c r="E34" s="12">
        <f t="shared" si="17"/>
        <v>-45675</v>
      </c>
      <c r="F34" s="12">
        <f t="shared" si="17"/>
        <v>-113239</v>
      </c>
      <c r="G34" s="12">
        <f t="shared" si="17"/>
        <v>-301786</v>
      </c>
      <c r="H34" s="12">
        <f t="shared" si="17"/>
        <v>-649475</v>
      </c>
      <c r="I34" s="115">
        <f t="shared" si="17"/>
        <v>-83780.241935483646</v>
      </c>
      <c r="J34" s="110">
        <f t="shared" si="17"/>
        <v>-44435.483870967757</v>
      </c>
      <c r="K34" s="110">
        <f t="shared" si="17"/>
        <v>26532.258064516122</v>
      </c>
      <c r="L34" s="110">
        <f t="shared" si="17"/>
        <v>175225.80645161308</v>
      </c>
      <c r="M34" s="110">
        <f t="shared" si="17"/>
        <v>300258.06451612897</v>
      </c>
      <c r="N34" s="110">
        <f t="shared" si="17"/>
        <v>444129.03225806495</v>
      </c>
      <c r="O34" s="110">
        <f t="shared" si="17"/>
        <v>610838.70967741963</v>
      </c>
      <c r="P34" s="110">
        <f t="shared" si="17"/>
        <v>799870.96774193551</v>
      </c>
      <c r="Q34" s="110">
        <f t="shared" si="17"/>
        <v>964387.09677419392</v>
      </c>
      <c r="R34" s="110">
        <f t="shared" si="17"/>
        <v>1121677.4193548393</v>
      </c>
    </row>
    <row r="35" spans="1:86" x14ac:dyDescent="0.25">
      <c r="A35" s="1"/>
      <c r="B35" s="1" t="s">
        <v>15</v>
      </c>
      <c r="C35" s="72">
        <f>SUM(Sheet1!G24)</f>
        <v>1392</v>
      </c>
      <c r="D35" s="72">
        <f>SUM(Sheet1!H24)</f>
        <v>-9627</v>
      </c>
      <c r="E35" s="72">
        <f>SUM(Sheet1!I24)</f>
        <v>-11265</v>
      </c>
      <c r="F35" s="72">
        <f>Sheet1!B26</f>
        <v>31177</v>
      </c>
      <c r="G35" s="72">
        <f>Sheet1!C26</f>
        <v>-71936</v>
      </c>
      <c r="H35" s="72">
        <f>Sheet1!D26</f>
        <v>-224578</v>
      </c>
      <c r="I35" s="91">
        <f>I36*I11</f>
        <v>-88000</v>
      </c>
      <c r="J35" s="92">
        <f t="shared" ref="J35:R35" si="18">J36*J11</f>
        <v>-84700.000000000015</v>
      </c>
      <c r="K35" s="92">
        <f t="shared" si="18"/>
        <v>-80100</v>
      </c>
      <c r="L35" s="92">
        <f t="shared" si="18"/>
        <v>-91799.999999999985</v>
      </c>
      <c r="M35" s="92">
        <f t="shared" si="18"/>
        <v>-101699.99999999999</v>
      </c>
      <c r="N35" s="92">
        <f t="shared" si="18"/>
        <v>-112199.99999999999</v>
      </c>
      <c r="O35" s="92">
        <f t="shared" si="18"/>
        <v>-122399.99999999997</v>
      </c>
      <c r="P35" s="92">
        <f t="shared" si="18"/>
        <v>-132899.99999999997</v>
      </c>
      <c r="Q35" s="92">
        <f t="shared" si="18"/>
        <v>-143399.99999999997</v>
      </c>
      <c r="R35" s="92">
        <f t="shared" si="18"/>
        <v>-153299.99999999997</v>
      </c>
    </row>
    <row r="36" spans="1:86" x14ac:dyDescent="0.25">
      <c r="A36" s="1"/>
      <c r="B36" s="74" t="s">
        <v>18</v>
      </c>
      <c r="C36" s="75">
        <f>C35/C11</f>
        <v>2.7640051864809964E-3</v>
      </c>
      <c r="D36" s="75">
        <f t="shared" ref="D36:H36" si="19">D35/D11</f>
        <v>-1.4291355414890206E-2</v>
      </c>
      <c r="E36" s="75">
        <f t="shared" si="19"/>
        <v>-1.247704511672932E-2</v>
      </c>
      <c r="F36" s="75">
        <f t="shared" si="19"/>
        <v>2.633955613830696E-2</v>
      </c>
      <c r="G36" s="75">
        <f t="shared" si="19"/>
        <v>-4.5107897518990386E-2</v>
      </c>
      <c r="H36" s="75">
        <f t="shared" si="19"/>
        <v>-0.11294805188273577</v>
      </c>
      <c r="I36" s="83">
        <v>-0.04</v>
      </c>
      <c r="J36" s="84">
        <v>-3.5000000000000003E-2</v>
      </c>
      <c r="K36" s="84">
        <v>-0.03</v>
      </c>
      <c r="L36" s="84">
        <v>-0.03</v>
      </c>
      <c r="M36" s="84">
        <v>-0.03</v>
      </c>
      <c r="N36" s="84">
        <v>-0.03</v>
      </c>
      <c r="O36" s="84">
        <v>-0.03</v>
      </c>
      <c r="P36" s="84">
        <v>-0.03</v>
      </c>
      <c r="Q36" s="84">
        <v>-0.03</v>
      </c>
      <c r="R36" s="84">
        <v>-0.03</v>
      </c>
    </row>
    <row r="37" spans="1:86" x14ac:dyDescent="0.25">
      <c r="A37" s="1"/>
      <c r="B37" s="1"/>
      <c r="C37" s="20"/>
      <c r="D37" s="20"/>
      <c r="E37" s="20"/>
      <c r="F37" s="20"/>
      <c r="G37" s="20"/>
      <c r="H37" s="20"/>
      <c r="I37" s="85"/>
      <c r="J37" s="107"/>
      <c r="K37" s="107"/>
      <c r="L37" s="107"/>
      <c r="M37" s="107"/>
      <c r="N37" s="107"/>
      <c r="O37" s="107"/>
      <c r="P37" s="107"/>
      <c r="Q37" s="107"/>
      <c r="R37" s="107"/>
    </row>
    <row r="38" spans="1:86" x14ac:dyDescent="0.25">
      <c r="A38" s="1"/>
      <c r="B38" s="1" t="s">
        <v>16</v>
      </c>
      <c r="C38" s="12">
        <f>C34+C35</f>
        <v>-3946</v>
      </c>
      <c r="D38" s="12">
        <f t="shared" ref="D38:R38" si="20">D34+D35</f>
        <v>-26063</v>
      </c>
      <c r="E38" s="12">
        <f t="shared" si="20"/>
        <v>-56940</v>
      </c>
      <c r="F38" s="12">
        <f t="shared" si="20"/>
        <v>-82062</v>
      </c>
      <c r="G38" s="12">
        <f t="shared" si="20"/>
        <v>-373722</v>
      </c>
      <c r="H38" s="12">
        <f t="shared" si="20"/>
        <v>-874053</v>
      </c>
      <c r="I38" s="115">
        <f t="shared" si="20"/>
        <v>-171780.24193548365</v>
      </c>
      <c r="J38" s="110">
        <f t="shared" si="20"/>
        <v>-129135.48387096777</v>
      </c>
      <c r="K38" s="110">
        <f t="shared" si="20"/>
        <v>-53567.741935483878</v>
      </c>
      <c r="L38" s="110">
        <f t="shared" si="20"/>
        <v>83425.806451613098</v>
      </c>
      <c r="M38" s="110">
        <f t="shared" si="20"/>
        <v>198558.06451612897</v>
      </c>
      <c r="N38" s="110">
        <f t="shared" si="20"/>
        <v>331929.03225806495</v>
      </c>
      <c r="O38" s="110">
        <f t="shared" si="20"/>
        <v>488438.70967741963</v>
      </c>
      <c r="P38" s="110">
        <f t="shared" si="20"/>
        <v>666970.96774193551</v>
      </c>
      <c r="Q38" s="110">
        <f t="shared" si="20"/>
        <v>820987.09677419392</v>
      </c>
      <c r="R38" s="110">
        <f t="shared" si="20"/>
        <v>968377.41935483925</v>
      </c>
    </row>
    <row r="39" spans="1:86" x14ac:dyDescent="0.25">
      <c r="A39" s="1"/>
      <c r="B39" s="1"/>
      <c r="C39" s="20"/>
      <c r="D39" s="20"/>
      <c r="E39" s="20"/>
      <c r="F39" s="20"/>
      <c r="G39" s="20"/>
      <c r="H39" s="20"/>
      <c r="I39" s="85"/>
      <c r="J39" s="107"/>
      <c r="K39" s="107"/>
      <c r="L39" s="107"/>
      <c r="M39" s="107"/>
      <c r="N39" s="107"/>
      <c r="O39" s="107"/>
      <c r="P39" s="107"/>
      <c r="Q39" s="107"/>
      <c r="R39" s="107"/>
    </row>
    <row r="40" spans="1:86" x14ac:dyDescent="0.25">
      <c r="A40" s="1"/>
      <c r="B40" s="1" t="s">
        <v>17</v>
      </c>
      <c r="C40" s="12">
        <f t="shared" ref="C40:R40" si="21">C34</f>
        <v>-5338</v>
      </c>
      <c r="D40" s="12">
        <f t="shared" si="21"/>
        <v>-16436</v>
      </c>
      <c r="E40" s="12">
        <f t="shared" si="21"/>
        <v>-45675</v>
      </c>
      <c r="F40" s="12">
        <f t="shared" si="21"/>
        <v>-113239</v>
      </c>
      <c r="G40" s="12">
        <f t="shared" si="21"/>
        <v>-301786</v>
      </c>
      <c r="H40" s="12">
        <f t="shared" si="21"/>
        <v>-649475</v>
      </c>
      <c r="I40" s="115">
        <f t="shared" si="21"/>
        <v>-83780.241935483646</v>
      </c>
      <c r="J40" s="110">
        <f t="shared" si="21"/>
        <v>-44435.483870967757</v>
      </c>
      <c r="K40" s="110">
        <f t="shared" si="21"/>
        <v>26532.258064516122</v>
      </c>
      <c r="L40" s="110">
        <f t="shared" si="21"/>
        <v>175225.80645161308</v>
      </c>
      <c r="M40" s="110">
        <f t="shared" si="21"/>
        <v>300258.06451612897</v>
      </c>
      <c r="N40" s="110">
        <f t="shared" si="21"/>
        <v>444129.03225806495</v>
      </c>
      <c r="O40" s="110">
        <f t="shared" si="21"/>
        <v>610838.70967741963</v>
      </c>
      <c r="P40" s="110">
        <f t="shared" si="21"/>
        <v>799870.96774193551</v>
      </c>
      <c r="Q40" s="110">
        <f t="shared" si="21"/>
        <v>964387.09677419392</v>
      </c>
      <c r="R40" s="110">
        <f t="shared" si="21"/>
        <v>1121677.4193548393</v>
      </c>
    </row>
    <row r="41" spans="1:86" x14ac:dyDescent="0.25">
      <c r="A41" s="1"/>
      <c r="B41" s="74" t="s">
        <v>18</v>
      </c>
      <c r="C41" s="75">
        <f t="shared" ref="C41:H41" si="22">C40/C11</f>
        <v>-1.0599324486663477E-2</v>
      </c>
      <c r="D41" s="75">
        <f t="shared" si="22"/>
        <v>-2.4399368193532295E-2</v>
      </c>
      <c r="E41" s="75">
        <f t="shared" si="22"/>
        <v>-5.0589350706312618E-2</v>
      </c>
      <c r="F41" s="75">
        <f t="shared" si="22"/>
        <v>-9.5668762149845779E-2</v>
      </c>
      <c r="G41" s="75">
        <f t="shared" si="22"/>
        <v>-0.18923670986246155</v>
      </c>
      <c r="H41" s="75">
        <f t="shared" si="22"/>
        <v>-0.32664346461603455</v>
      </c>
      <c r="I41" s="83">
        <f t="shared" ref="I41:R41" si="23">I40/I11</f>
        <v>-3.8081928152492568E-2</v>
      </c>
      <c r="J41" s="84">
        <f t="shared" si="23"/>
        <v>-1.8361770194614775E-2</v>
      </c>
      <c r="K41" s="84">
        <f t="shared" si="23"/>
        <v>9.937175305062218E-3</v>
      </c>
      <c r="L41" s="84">
        <f t="shared" si="23"/>
        <v>5.7263335441703631E-2</v>
      </c>
      <c r="M41" s="84">
        <f t="shared" si="23"/>
        <v>8.8571700447235696E-2</v>
      </c>
      <c r="N41" s="84">
        <f t="shared" si="23"/>
        <v>0.11875107814386765</v>
      </c>
      <c r="O41" s="84">
        <f t="shared" si="23"/>
        <v>0.14971537001897542</v>
      </c>
      <c r="P41" s="84">
        <f t="shared" si="23"/>
        <v>0.18055778052865365</v>
      </c>
      <c r="Q41" s="84">
        <f t="shared" si="23"/>
        <v>0.20175462275610756</v>
      </c>
      <c r="R41" s="84">
        <f t="shared" si="23"/>
        <v>0.21950634429644608</v>
      </c>
    </row>
    <row r="42" spans="1:86" x14ac:dyDescent="0.25">
      <c r="A42" s="1"/>
      <c r="B42" s="14"/>
      <c r="C42" s="1"/>
      <c r="D42" s="1"/>
      <c r="E42" s="1"/>
      <c r="G42" s="1"/>
      <c r="H42" s="1"/>
      <c r="I42" s="85"/>
      <c r="J42" s="107"/>
      <c r="K42" s="107"/>
      <c r="L42" s="107"/>
      <c r="M42" s="107"/>
      <c r="N42" s="107"/>
      <c r="O42" s="107"/>
      <c r="P42" s="107"/>
      <c r="Q42" s="107"/>
      <c r="R42" s="107"/>
    </row>
    <row r="43" spans="1:86" x14ac:dyDescent="0.25">
      <c r="A43" s="1"/>
      <c r="B43" s="1" t="s">
        <v>19</v>
      </c>
      <c r="C43" s="19">
        <f>Sheet1!G26</f>
        <v>258</v>
      </c>
      <c r="D43" s="19">
        <f>Sheet1!H26</f>
        <v>140</v>
      </c>
      <c r="E43" s="19">
        <f>Sheet1!I26</f>
        <v>-3333</v>
      </c>
      <c r="F43" s="21">
        <f>Sheet1!B28</f>
        <v>934</v>
      </c>
      <c r="G43" s="21">
        <f>Sheet1!C28</f>
        <v>2528</v>
      </c>
      <c r="H43" s="21">
        <f>Sheet1!D28</f>
        <v>5113</v>
      </c>
      <c r="I43" s="82">
        <f>I44*I40</f>
        <v>670.24193548386916</v>
      </c>
      <c r="J43" s="105">
        <f t="shared" ref="J43:R43" si="24">J44*J40</f>
        <v>355.48387096774206</v>
      </c>
      <c r="K43" s="105">
        <f t="shared" si="24"/>
        <v>-212.25806451612897</v>
      </c>
      <c r="L43" s="105">
        <f t="shared" si="24"/>
        <v>39425.806451612945</v>
      </c>
      <c r="M43" s="105">
        <f t="shared" si="24"/>
        <v>67558.064516129016</v>
      </c>
      <c r="N43" s="105">
        <f t="shared" si="24"/>
        <v>99929.032258064617</v>
      </c>
      <c r="O43" s="105">
        <f t="shared" si="24"/>
        <v>137438.70967741942</v>
      </c>
      <c r="P43" s="105">
        <f t="shared" si="24"/>
        <v>179970.96774193548</v>
      </c>
      <c r="Q43" s="105">
        <f t="shared" si="24"/>
        <v>216987.09677419363</v>
      </c>
      <c r="R43" s="105">
        <f t="shared" si="24"/>
        <v>252377.41935483884</v>
      </c>
    </row>
    <row r="44" spans="1:86" x14ac:dyDescent="0.25">
      <c r="A44" s="1"/>
      <c r="B44" s="74" t="s">
        <v>20</v>
      </c>
      <c r="C44" s="79">
        <f t="shared" ref="C44:H44" si="25">C43/C40</f>
        <v>-4.8332708879730235E-2</v>
      </c>
      <c r="D44" s="79">
        <f t="shared" si="25"/>
        <v>-8.5178875638841564E-3</v>
      </c>
      <c r="E44" s="79">
        <f t="shared" si="25"/>
        <v>7.2972085385878488E-2</v>
      </c>
      <c r="F44" s="79">
        <f t="shared" si="25"/>
        <v>-8.2480417523997911E-3</v>
      </c>
      <c r="G44" s="79">
        <f t="shared" si="25"/>
        <v>-8.3767968030326132E-3</v>
      </c>
      <c r="H44" s="79">
        <f t="shared" si="25"/>
        <v>-7.8725124138727433E-3</v>
      </c>
      <c r="I44" s="93">
        <v>-8.0000000000000002E-3</v>
      </c>
      <c r="J44" s="111">
        <v>-8.0000000000000002E-3</v>
      </c>
      <c r="K44" s="111">
        <v>-8.0000000000000002E-3</v>
      </c>
      <c r="L44" s="111">
        <v>0.22500000000000001</v>
      </c>
      <c r="M44" s="111">
        <v>0.22500000000000001</v>
      </c>
      <c r="N44" s="111">
        <v>0.22500000000000001</v>
      </c>
      <c r="O44" s="111">
        <v>0.22500000000000001</v>
      </c>
      <c r="P44" s="111">
        <v>0.22500000000000001</v>
      </c>
      <c r="Q44" s="111">
        <v>0.22500000000000001</v>
      </c>
      <c r="R44" s="111">
        <v>0.22500000000000001</v>
      </c>
    </row>
    <row r="45" spans="1:86" x14ac:dyDescent="0.25">
      <c r="A45" s="1"/>
      <c r="B45" s="1"/>
      <c r="C45" s="1"/>
      <c r="D45" s="1"/>
      <c r="E45" s="1"/>
      <c r="F45" s="1"/>
      <c r="G45" s="1"/>
      <c r="H45" s="1"/>
      <c r="I45" s="85"/>
      <c r="J45" s="107"/>
      <c r="K45" s="107"/>
      <c r="L45" s="107"/>
      <c r="M45" s="107"/>
      <c r="N45" s="107"/>
      <c r="O45" s="107"/>
      <c r="P45" s="107"/>
      <c r="Q45" s="107"/>
      <c r="R45" s="107"/>
    </row>
    <row r="46" spans="1:86" x14ac:dyDescent="0.25">
      <c r="A46" s="1"/>
      <c r="B46" s="10" t="s">
        <v>21</v>
      </c>
      <c r="C46" s="10">
        <v>2017</v>
      </c>
      <c r="D46" s="10">
        <v>2018</v>
      </c>
      <c r="E46" s="10">
        <v>2019</v>
      </c>
      <c r="F46" s="10">
        <v>2020</v>
      </c>
      <c r="G46" s="10">
        <v>2021</v>
      </c>
      <c r="H46" s="10">
        <v>2022</v>
      </c>
      <c r="I46" s="94">
        <v>2023</v>
      </c>
      <c r="J46" s="112">
        <v>2024</v>
      </c>
      <c r="K46" s="112">
        <v>2025</v>
      </c>
      <c r="L46" s="112">
        <v>2026</v>
      </c>
      <c r="M46" s="112">
        <v>2027</v>
      </c>
      <c r="N46" s="112">
        <v>2028</v>
      </c>
      <c r="O46" s="112">
        <v>2029</v>
      </c>
      <c r="P46" s="112">
        <v>2030</v>
      </c>
      <c r="Q46" s="112">
        <v>2031</v>
      </c>
      <c r="R46" s="112">
        <v>2032</v>
      </c>
      <c r="S46" s="10">
        <v>2033</v>
      </c>
      <c r="T46" s="10">
        <v>2034</v>
      </c>
      <c r="U46" s="10">
        <v>2035</v>
      </c>
      <c r="V46" s="10">
        <v>2036</v>
      </c>
      <c r="W46" s="10">
        <v>2037</v>
      </c>
      <c r="X46" s="10">
        <v>2038</v>
      </c>
      <c r="Y46" s="10">
        <v>2039</v>
      </c>
      <c r="Z46" s="10">
        <v>2040</v>
      </c>
      <c r="AA46" s="10">
        <v>2041</v>
      </c>
      <c r="AB46" s="10">
        <v>2042</v>
      </c>
      <c r="AC46" s="10">
        <v>2043</v>
      </c>
      <c r="AD46" s="10">
        <v>2044</v>
      </c>
      <c r="AE46" s="10">
        <v>2045</v>
      </c>
      <c r="AF46" s="10">
        <v>2046</v>
      </c>
      <c r="AG46" s="10">
        <v>2047</v>
      </c>
      <c r="AH46" s="10">
        <v>2048</v>
      </c>
      <c r="AI46" s="10">
        <v>2049</v>
      </c>
      <c r="AJ46" s="10">
        <v>2050</v>
      </c>
      <c r="AK46" s="10">
        <v>2051</v>
      </c>
      <c r="AL46" s="10">
        <v>2052</v>
      </c>
      <c r="AM46" s="10">
        <v>2053</v>
      </c>
      <c r="AN46" s="10">
        <v>2054</v>
      </c>
      <c r="AO46" s="10">
        <v>2055</v>
      </c>
      <c r="AP46" s="10">
        <v>2056</v>
      </c>
      <c r="AQ46" s="10">
        <v>2057</v>
      </c>
      <c r="AR46" s="10">
        <v>2058</v>
      </c>
      <c r="AS46" s="10">
        <v>2059</v>
      </c>
      <c r="AT46" s="10">
        <v>2060</v>
      </c>
      <c r="AU46" s="10">
        <v>2061</v>
      </c>
      <c r="AV46" s="10">
        <v>2062</v>
      </c>
      <c r="AW46" s="10">
        <v>2063</v>
      </c>
      <c r="AX46" s="10">
        <v>2064</v>
      </c>
      <c r="AY46" s="10">
        <v>2065</v>
      </c>
      <c r="AZ46" s="10">
        <v>2066</v>
      </c>
      <c r="BA46" s="10">
        <v>2067</v>
      </c>
      <c r="BB46" s="10">
        <v>2068</v>
      </c>
      <c r="BC46" s="10">
        <v>2069</v>
      </c>
      <c r="BD46" s="10">
        <v>2070</v>
      </c>
      <c r="BE46" s="10">
        <v>2071</v>
      </c>
      <c r="BF46" s="10">
        <v>2072</v>
      </c>
      <c r="BG46" s="10">
        <v>2073</v>
      </c>
      <c r="BH46" s="10">
        <v>2074</v>
      </c>
      <c r="BI46" s="10">
        <v>2075</v>
      </c>
      <c r="BJ46" s="10">
        <v>2076</v>
      </c>
      <c r="BK46" s="10">
        <v>2077</v>
      </c>
      <c r="BL46" s="10">
        <v>2078</v>
      </c>
      <c r="BM46" s="10">
        <v>2079</v>
      </c>
      <c r="BN46" s="10">
        <v>2080</v>
      </c>
      <c r="BO46" s="10">
        <v>2081</v>
      </c>
      <c r="BP46" s="10">
        <v>2082</v>
      </c>
      <c r="BQ46" s="10">
        <v>2083</v>
      </c>
      <c r="BR46" s="10">
        <v>2084</v>
      </c>
      <c r="BS46" s="10">
        <v>2085</v>
      </c>
      <c r="BT46" s="10">
        <v>2086</v>
      </c>
      <c r="BU46" s="10">
        <v>2087</v>
      </c>
      <c r="BV46" s="10">
        <v>2088</v>
      </c>
      <c r="BW46" s="10">
        <v>2089</v>
      </c>
      <c r="BX46" s="10">
        <v>2090</v>
      </c>
      <c r="BY46" s="10">
        <v>2091</v>
      </c>
      <c r="BZ46" s="10">
        <v>2092</v>
      </c>
      <c r="CA46" s="10">
        <v>2093</v>
      </c>
      <c r="CB46" s="10">
        <v>2094</v>
      </c>
      <c r="CC46" s="10">
        <v>2095</v>
      </c>
      <c r="CD46" s="10">
        <v>2096</v>
      </c>
      <c r="CE46" s="10">
        <v>2097</v>
      </c>
      <c r="CF46" s="10">
        <v>2098</v>
      </c>
      <c r="CG46" s="10">
        <v>2099</v>
      </c>
      <c r="CH46" s="10">
        <v>2100</v>
      </c>
    </row>
    <row r="47" spans="1:86" x14ac:dyDescent="0.25">
      <c r="A47" s="1"/>
      <c r="B47" s="1" t="s">
        <v>22</v>
      </c>
      <c r="C47" s="12">
        <f>Sheet2!H10</f>
        <v>16214</v>
      </c>
      <c r="D47" s="12">
        <f>Sheet2!I10</f>
        <v>23273</v>
      </c>
      <c r="E47" s="12">
        <f>Sheet2!J10</f>
        <v>37870</v>
      </c>
      <c r="F47" s="21">
        <f>Sheet2!B11</f>
        <v>75612</v>
      </c>
      <c r="G47" s="21">
        <f>Sheet2!C11</f>
        <v>125292</v>
      </c>
      <c r="H47" s="21">
        <f>Sheet2!D11</f>
        <v>246561</v>
      </c>
      <c r="I47" s="82">
        <v>224580</v>
      </c>
      <c r="J47" s="105">
        <v>240820</v>
      </c>
      <c r="K47" s="105">
        <v>227660</v>
      </c>
      <c r="L47" s="105">
        <v>94000</v>
      </c>
      <c r="M47" s="105">
        <v>98000</v>
      </c>
      <c r="N47" s="105">
        <v>103000</v>
      </c>
      <c r="O47" s="105">
        <v>107000</v>
      </c>
      <c r="P47" s="105">
        <v>111000</v>
      </c>
      <c r="Q47" s="105">
        <v>114000</v>
      </c>
      <c r="R47" s="105">
        <v>117000</v>
      </c>
    </row>
    <row r="48" spans="1:86" x14ac:dyDescent="0.25">
      <c r="A48" s="1"/>
      <c r="B48" s="74" t="s">
        <v>18</v>
      </c>
      <c r="C48" s="75">
        <f t="shared" ref="C48:R48" si="26">C47/C11</f>
        <v>3.219510064195609E-2</v>
      </c>
      <c r="D48" s="75">
        <f t="shared" si="26"/>
        <v>3.4548947187154851E-2</v>
      </c>
      <c r="E48" s="75">
        <f t="shared" si="26"/>
        <v>4.1944580432360351E-2</v>
      </c>
      <c r="F48" s="75">
        <f t="shared" si="26"/>
        <v>6.387999226127164E-2</v>
      </c>
      <c r="G48" s="75">
        <f t="shared" si="26"/>
        <v>7.8565095306235316E-2</v>
      </c>
      <c r="H48" s="75">
        <f t="shared" si="26"/>
        <v>0.12400406371175811</v>
      </c>
      <c r="I48" s="114">
        <v>0.10208181818181818</v>
      </c>
      <c r="J48" s="106">
        <v>9.9512396694214869E-2</v>
      </c>
      <c r="K48" s="106">
        <v>8.5265917602996261E-2</v>
      </c>
      <c r="L48" s="106">
        <v>3.0718954248366018E-2</v>
      </c>
      <c r="M48" s="106">
        <v>2.8908554572271389E-2</v>
      </c>
      <c r="N48" s="106">
        <v>2.754010695187166E-2</v>
      </c>
      <c r="O48" s="106">
        <v>2.6225490196078439E-2</v>
      </c>
      <c r="P48" s="106">
        <v>2.5056433408577883E-2</v>
      </c>
      <c r="Q48" s="106">
        <v>2.3849372384937242E-2</v>
      </c>
      <c r="R48" s="106">
        <v>2.2896281800391393E-2</v>
      </c>
    </row>
    <row r="49" spans="1:86" x14ac:dyDescent="0.25">
      <c r="A49" s="1"/>
      <c r="B49" s="1"/>
      <c r="C49" s="1"/>
      <c r="D49" s="1"/>
      <c r="E49" s="1"/>
      <c r="G49" s="1"/>
      <c r="H49" s="1"/>
      <c r="I49" s="85"/>
      <c r="J49" s="107"/>
      <c r="K49" s="107"/>
      <c r="L49" s="107"/>
      <c r="M49" s="107"/>
      <c r="N49" s="107"/>
      <c r="O49" s="107"/>
      <c r="P49" s="107"/>
      <c r="Q49" s="107"/>
      <c r="R49" s="107"/>
    </row>
    <row r="50" spans="1:86" x14ac:dyDescent="0.25">
      <c r="A50" s="1"/>
      <c r="B50" s="1" t="s">
        <v>23</v>
      </c>
      <c r="C50" s="12">
        <f>Sheet2!H34</f>
        <v>-19497</v>
      </c>
      <c r="D50" s="12">
        <f>Sheet2!I34</f>
        <v>-27123</v>
      </c>
      <c r="E50" s="12">
        <f>Sheet2!J34</f>
        <v>-27767</v>
      </c>
      <c r="F50" s="21">
        <f>Sheet2!B35</f>
        <v>-43618</v>
      </c>
      <c r="G50" s="21">
        <f>Sheet2!C35</f>
        <v>-28959</v>
      </c>
      <c r="H50" s="21">
        <f>Sheet2!D35</f>
        <v>-32713</v>
      </c>
      <c r="I50" s="82">
        <v>-30780</v>
      </c>
      <c r="J50" s="105">
        <v>-37860</v>
      </c>
      <c r="K50" s="105">
        <v>-44560</v>
      </c>
      <c r="L50" s="105">
        <v>-54000</v>
      </c>
      <c r="M50" s="105">
        <v>-58000</v>
      </c>
      <c r="N50" s="105">
        <v>-62000</v>
      </c>
      <c r="O50" s="105">
        <v>-66000</v>
      </c>
      <c r="P50" s="105">
        <v>-69000</v>
      </c>
      <c r="Q50" s="105">
        <v>-73000</v>
      </c>
      <c r="R50" s="105">
        <v>-77000</v>
      </c>
    </row>
    <row r="51" spans="1:86" x14ac:dyDescent="0.25">
      <c r="A51" s="1"/>
      <c r="B51" s="74" t="s">
        <v>18</v>
      </c>
      <c r="C51" s="75">
        <f t="shared" ref="C51:R51" si="27">C50/C11</f>
        <v>-3.8713943333922404E-2</v>
      </c>
      <c r="D51" s="75">
        <f t="shared" si="27"/>
        <v>-4.0264301746968635E-2</v>
      </c>
      <c r="E51" s="75">
        <f t="shared" si="27"/>
        <v>-3.0754559410228408E-2</v>
      </c>
      <c r="F51" s="75">
        <f t="shared" si="27"/>
        <v>-3.6850202381264165E-2</v>
      </c>
      <c r="G51" s="75">
        <f t="shared" si="27"/>
        <v>-1.8158913537761938E-2</v>
      </c>
      <c r="H51" s="75">
        <f t="shared" si="27"/>
        <v>-1.6452500339480872E-2</v>
      </c>
      <c r="I51" s="114">
        <f t="shared" si="27"/>
        <v>-1.399090909090909E-2</v>
      </c>
      <c r="J51" s="106">
        <f t="shared" si="27"/>
        <v>-1.5644628099173552E-2</v>
      </c>
      <c r="K51" s="106">
        <f t="shared" si="27"/>
        <v>-1.6689138576779027E-2</v>
      </c>
      <c r="L51" s="106">
        <f t="shared" si="27"/>
        <v>-1.7647058823529415E-2</v>
      </c>
      <c r="M51" s="106">
        <f t="shared" si="27"/>
        <v>-1.7109144542772865E-2</v>
      </c>
      <c r="N51" s="106">
        <f t="shared" si="27"/>
        <v>-1.6577540106951873E-2</v>
      </c>
      <c r="O51" s="106">
        <f t="shared" si="27"/>
        <v>-1.6176470588235299E-2</v>
      </c>
      <c r="P51" s="106">
        <f t="shared" si="27"/>
        <v>-1.557562076749436E-2</v>
      </c>
      <c r="Q51" s="106">
        <f t="shared" si="27"/>
        <v>-1.5271966527196656E-2</v>
      </c>
      <c r="R51" s="106">
        <f t="shared" si="27"/>
        <v>-1.5068493150684934E-2</v>
      </c>
    </row>
    <row r="52" spans="1:86" x14ac:dyDescent="0.25">
      <c r="A52" s="1"/>
      <c r="B52" s="1"/>
      <c r="C52" s="1"/>
      <c r="D52" s="1"/>
      <c r="E52" s="1"/>
      <c r="G52" s="1"/>
      <c r="H52" s="1"/>
      <c r="I52" s="85"/>
      <c r="J52" s="107"/>
      <c r="K52" s="107"/>
      <c r="L52" s="107"/>
      <c r="M52" s="107"/>
      <c r="N52" s="107"/>
      <c r="O52" s="107"/>
      <c r="P52" s="107"/>
      <c r="Q52" s="107"/>
      <c r="R52" s="107"/>
    </row>
    <row r="53" spans="1:86" x14ac:dyDescent="0.25">
      <c r="A53" s="1"/>
      <c r="B53" s="1" t="s">
        <v>24</v>
      </c>
      <c r="C53" s="21">
        <f>SUM(Sheet2!H23:H31)</f>
        <v>-26670</v>
      </c>
      <c r="D53" s="21">
        <f>SUM(Sheet2!I23:I31)</f>
        <v>-33053</v>
      </c>
      <c r="E53" s="21">
        <f>SUM(Sheet2!J23:J31)</f>
        <v>-87004</v>
      </c>
      <c r="F53" s="104">
        <f>SUM(Sheet2!B26:B32)</f>
        <v>-229628</v>
      </c>
      <c r="G53" s="104">
        <f>SUM(Sheet2!C26:C32)</f>
        <v>-126266</v>
      </c>
      <c r="H53" s="104">
        <f>SUM(Sheet2!D26:D32)</f>
        <v>-224186</v>
      </c>
      <c r="I53" s="82">
        <f t="shared" ref="I53:R53" si="28">I54*I11</f>
        <v>110000</v>
      </c>
      <c r="J53" s="105">
        <f t="shared" si="28"/>
        <v>121000</v>
      </c>
      <c r="K53" s="105">
        <f t="shared" si="28"/>
        <v>133500</v>
      </c>
      <c r="L53" s="105">
        <f t="shared" si="28"/>
        <v>152999.99999999997</v>
      </c>
      <c r="M53" s="105">
        <f t="shared" si="28"/>
        <v>169500</v>
      </c>
      <c r="N53" s="105">
        <f t="shared" si="28"/>
        <v>187000</v>
      </c>
      <c r="O53" s="105">
        <f t="shared" si="28"/>
        <v>203999.99999999997</v>
      </c>
      <c r="P53" s="105">
        <f t="shared" si="28"/>
        <v>221499.99999999997</v>
      </c>
      <c r="Q53" s="105">
        <f t="shared" si="28"/>
        <v>238999.99999999997</v>
      </c>
      <c r="R53" s="105">
        <f t="shared" si="28"/>
        <v>255499.99999999997</v>
      </c>
    </row>
    <row r="54" spans="1:86" x14ac:dyDescent="0.25">
      <c r="A54" s="1"/>
      <c r="B54" s="74" t="s">
        <v>18</v>
      </c>
      <c r="C54" s="75">
        <f t="shared" ref="C54:H54" si="29">C53/C11</f>
        <v>-5.2956909715120813E-2</v>
      </c>
      <c r="D54" s="75">
        <f t="shared" si="29"/>
        <v>-4.9067432276759734E-2</v>
      </c>
      <c r="E54" s="75">
        <f t="shared" si="29"/>
        <v>-9.6365098387564824E-2</v>
      </c>
      <c r="F54" s="75">
        <f t="shared" si="29"/>
        <v>-0.19399876822424064</v>
      </c>
      <c r="G54" s="75">
        <f t="shared" si="29"/>
        <v>-7.917584781101035E-2</v>
      </c>
      <c r="H54" s="75">
        <f t="shared" si="29"/>
        <v>-0.11275090151031267</v>
      </c>
      <c r="I54" s="95">
        <v>0.05</v>
      </c>
      <c r="J54" s="113">
        <v>0.05</v>
      </c>
      <c r="K54" s="113">
        <v>0.05</v>
      </c>
      <c r="L54" s="113">
        <v>0.05</v>
      </c>
      <c r="M54" s="113">
        <v>0.05</v>
      </c>
      <c r="N54" s="113">
        <v>0.05</v>
      </c>
      <c r="O54" s="113">
        <v>0.05</v>
      </c>
      <c r="P54" s="113">
        <v>0.05</v>
      </c>
      <c r="Q54" s="113">
        <v>0.05</v>
      </c>
      <c r="R54" s="113">
        <v>0.05</v>
      </c>
    </row>
    <row r="55" spans="1:86" x14ac:dyDescent="0.25">
      <c r="A55" s="1"/>
      <c r="B55" s="1"/>
      <c r="C55" s="1"/>
      <c r="D55" s="1"/>
      <c r="E55" s="1"/>
      <c r="F55" s="1"/>
      <c r="G55" s="1"/>
      <c r="H55" s="1"/>
      <c r="I55" s="85"/>
      <c r="J55" s="107"/>
      <c r="K55" s="107"/>
      <c r="L55" s="107"/>
      <c r="M55" s="107"/>
      <c r="N55" s="107"/>
      <c r="O55" s="107"/>
      <c r="P55" s="107"/>
      <c r="Q55" s="107"/>
      <c r="R55" s="107"/>
    </row>
    <row r="56" spans="1:86" x14ac:dyDescent="0.25">
      <c r="A56" s="1"/>
      <c r="B56" s="10" t="s">
        <v>25</v>
      </c>
      <c r="C56" s="12">
        <f>C40-C43</f>
        <v>-5596</v>
      </c>
      <c r="D56" s="12">
        <f t="shared" ref="D56:G56" si="30">D40-D43</f>
        <v>-16576</v>
      </c>
      <c r="E56" s="12">
        <f t="shared" si="30"/>
        <v>-42342</v>
      </c>
      <c r="F56" s="12">
        <f t="shared" si="30"/>
        <v>-114173</v>
      </c>
      <c r="G56" s="12">
        <f t="shared" si="30"/>
        <v>-304314</v>
      </c>
      <c r="H56" s="12">
        <f>H40-H43</f>
        <v>-654588</v>
      </c>
      <c r="I56" s="88">
        <f t="shared" ref="I56:R56" si="31">I40-I43</f>
        <v>-84450.48387096751</v>
      </c>
      <c r="J56" s="109">
        <f t="shared" si="31"/>
        <v>-44790.967741935499</v>
      </c>
      <c r="K56" s="109">
        <f t="shared" si="31"/>
        <v>26744.51612903225</v>
      </c>
      <c r="L56" s="109">
        <f t="shared" si="31"/>
        <v>135800.00000000015</v>
      </c>
      <c r="M56" s="109">
        <f t="shared" si="31"/>
        <v>232699.99999999994</v>
      </c>
      <c r="N56" s="109">
        <f t="shared" si="31"/>
        <v>344200.00000000035</v>
      </c>
      <c r="O56" s="109">
        <f t="shared" si="31"/>
        <v>473400.00000000023</v>
      </c>
      <c r="P56" s="109">
        <f t="shared" si="31"/>
        <v>619900</v>
      </c>
      <c r="Q56" s="109">
        <f t="shared" si="31"/>
        <v>747400.00000000023</v>
      </c>
      <c r="R56" s="109">
        <f t="shared" si="31"/>
        <v>869300.00000000047</v>
      </c>
    </row>
    <row r="57" spans="1:86" x14ac:dyDescent="0.25">
      <c r="A57" s="1"/>
      <c r="B57" s="10" t="s">
        <v>56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88">
        <v>0</v>
      </c>
      <c r="J57" s="109">
        <v>0</v>
      </c>
      <c r="K57" s="109">
        <v>0</v>
      </c>
      <c r="L57" s="109">
        <v>0</v>
      </c>
      <c r="M57" s="109">
        <v>0</v>
      </c>
      <c r="N57" s="109">
        <v>0</v>
      </c>
      <c r="O57" s="109">
        <v>0</v>
      </c>
      <c r="P57" s="109">
        <v>0</v>
      </c>
      <c r="Q57" s="109">
        <v>0</v>
      </c>
      <c r="R57" s="109">
        <v>0</v>
      </c>
    </row>
    <row r="58" spans="1:86" x14ac:dyDescent="0.25">
      <c r="A58" s="1"/>
      <c r="B58" s="10" t="s">
        <v>26</v>
      </c>
      <c r="C58" s="12">
        <f>C38-C43+C57</f>
        <v>-4204</v>
      </c>
      <c r="D58" s="12">
        <f t="shared" ref="D58:H58" si="32">D38-D43+D57</f>
        <v>-26203</v>
      </c>
      <c r="E58" s="12">
        <f t="shared" si="32"/>
        <v>-53607</v>
      </c>
      <c r="F58" s="12">
        <f t="shared" si="32"/>
        <v>-82996</v>
      </c>
      <c r="G58" s="12">
        <f t="shared" si="32"/>
        <v>-376250</v>
      </c>
      <c r="H58" s="12">
        <f t="shared" si="32"/>
        <v>-879166</v>
      </c>
      <c r="I58" s="88">
        <f>I38-I43+I57</f>
        <v>-172450.48387096752</v>
      </c>
      <c r="J58" s="109">
        <f t="shared" ref="J58:R58" si="33">J38-J43+J57</f>
        <v>-129490.96774193551</v>
      </c>
      <c r="K58" s="109">
        <f t="shared" si="33"/>
        <v>-53355.48387096775</v>
      </c>
      <c r="L58" s="109">
        <f t="shared" si="33"/>
        <v>44000.000000000153</v>
      </c>
      <c r="M58" s="109">
        <f t="shared" si="33"/>
        <v>130999.99999999996</v>
      </c>
      <c r="N58" s="109">
        <f t="shared" si="33"/>
        <v>232000.00000000035</v>
      </c>
      <c r="O58" s="109">
        <f t="shared" si="33"/>
        <v>351000.00000000023</v>
      </c>
      <c r="P58" s="109">
        <f t="shared" si="33"/>
        <v>487000</v>
      </c>
      <c r="Q58" s="109">
        <f t="shared" si="33"/>
        <v>604000.00000000023</v>
      </c>
      <c r="R58" s="109">
        <f t="shared" si="33"/>
        <v>716000.00000000047</v>
      </c>
      <c r="S58" s="58">
        <f>R58*(1+$E$6)</f>
        <v>737480.00000000047</v>
      </c>
      <c r="T58" s="58">
        <f t="shared" ref="T58:CE58" si="34">S58*(1+$E$6)</f>
        <v>759604.40000000049</v>
      </c>
      <c r="U58" s="58">
        <f t="shared" si="34"/>
        <v>782392.53200000047</v>
      </c>
      <c r="V58" s="58">
        <f t="shared" si="34"/>
        <v>805864.30796000047</v>
      </c>
      <c r="W58" s="58">
        <f t="shared" si="34"/>
        <v>830040.23719880055</v>
      </c>
      <c r="X58" s="58">
        <f t="shared" si="34"/>
        <v>854941.44431476458</v>
      </c>
      <c r="Y58" s="58">
        <f t="shared" si="34"/>
        <v>880589.6876442075</v>
      </c>
      <c r="Z58" s="58">
        <f t="shared" si="34"/>
        <v>907007.37827353377</v>
      </c>
      <c r="AA58" s="58">
        <f t="shared" si="34"/>
        <v>934217.59962173982</v>
      </c>
      <c r="AB58" s="58">
        <f t="shared" si="34"/>
        <v>962244.12761039205</v>
      </c>
      <c r="AC58" s="58">
        <f t="shared" si="34"/>
        <v>991111.45143870381</v>
      </c>
      <c r="AD58" s="58">
        <f t="shared" si="34"/>
        <v>1020844.794981865</v>
      </c>
      <c r="AE58" s="58">
        <f t="shared" si="34"/>
        <v>1051470.1388313209</v>
      </c>
      <c r="AF58" s="58">
        <f t="shared" si="34"/>
        <v>1083014.2429962605</v>
      </c>
      <c r="AG58" s="58">
        <f t="shared" si="34"/>
        <v>1115504.6702861483</v>
      </c>
      <c r="AH58" s="58">
        <f t="shared" si="34"/>
        <v>1148969.8103947327</v>
      </c>
      <c r="AI58" s="58">
        <f t="shared" si="34"/>
        <v>1183438.9047065747</v>
      </c>
      <c r="AJ58" s="58">
        <f t="shared" si="34"/>
        <v>1218942.071847772</v>
      </c>
      <c r="AK58" s="58">
        <f t="shared" si="34"/>
        <v>1255510.3340032052</v>
      </c>
      <c r="AL58" s="58">
        <f t="shared" si="34"/>
        <v>1293175.6440233013</v>
      </c>
      <c r="AM58" s="58">
        <f t="shared" si="34"/>
        <v>1331970.9133440005</v>
      </c>
      <c r="AN58" s="58">
        <f t="shared" si="34"/>
        <v>1371930.0407443205</v>
      </c>
      <c r="AO58" s="58">
        <f t="shared" si="34"/>
        <v>1413087.9419666501</v>
      </c>
      <c r="AP58" s="58">
        <f t="shared" si="34"/>
        <v>1455480.5802256495</v>
      </c>
      <c r="AQ58" s="58">
        <f t="shared" si="34"/>
        <v>1499144.997632419</v>
      </c>
      <c r="AR58" s="58">
        <f t="shared" si="34"/>
        <v>1544119.3475613915</v>
      </c>
      <c r="AS58" s="58">
        <f t="shared" si="34"/>
        <v>1590442.9279882333</v>
      </c>
      <c r="AT58" s="58">
        <f t="shared" si="34"/>
        <v>1638156.2158278804</v>
      </c>
      <c r="AU58" s="58">
        <f t="shared" si="34"/>
        <v>1687300.9023027169</v>
      </c>
      <c r="AV58" s="58">
        <f t="shared" si="34"/>
        <v>1737919.9293717984</v>
      </c>
      <c r="AW58" s="58">
        <f t="shared" si="34"/>
        <v>1790057.5272529523</v>
      </c>
      <c r="AX58" s="58">
        <f t="shared" si="34"/>
        <v>1843759.253070541</v>
      </c>
      <c r="AY58" s="58">
        <f t="shared" si="34"/>
        <v>1899072.0306626572</v>
      </c>
      <c r="AZ58" s="58">
        <f t="shared" si="34"/>
        <v>1956044.191582537</v>
      </c>
      <c r="BA58" s="58">
        <f t="shared" si="34"/>
        <v>2014725.5173300132</v>
      </c>
      <c r="BB58" s="58">
        <f t="shared" si="34"/>
        <v>2075167.2828499137</v>
      </c>
      <c r="BC58" s="58">
        <f t="shared" si="34"/>
        <v>2137422.3013354111</v>
      </c>
      <c r="BD58" s="58">
        <f t="shared" si="34"/>
        <v>2201544.9703754736</v>
      </c>
      <c r="BE58" s="58">
        <f t="shared" si="34"/>
        <v>2267591.3194867377</v>
      </c>
      <c r="BF58" s="58">
        <f t="shared" si="34"/>
        <v>2335619.0590713401</v>
      </c>
      <c r="BG58" s="58">
        <f t="shared" si="34"/>
        <v>2405687.6308434806</v>
      </c>
      <c r="BH58" s="58">
        <f t="shared" si="34"/>
        <v>2477858.259768785</v>
      </c>
      <c r="BI58" s="58">
        <f t="shared" si="34"/>
        <v>2552194.0075618485</v>
      </c>
      <c r="BJ58" s="58">
        <f t="shared" si="34"/>
        <v>2628759.8277887041</v>
      </c>
      <c r="BK58" s="58">
        <f t="shared" si="34"/>
        <v>2707622.6226223651</v>
      </c>
      <c r="BL58" s="58">
        <f t="shared" si="34"/>
        <v>2788851.301301036</v>
      </c>
      <c r="BM58" s="58">
        <f t="shared" si="34"/>
        <v>2872516.8403400672</v>
      </c>
      <c r="BN58" s="58">
        <f t="shared" si="34"/>
        <v>2958692.3455502694</v>
      </c>
      <c r="BO58" s="58">
        <f t="shared" si="34"/>
        <v>3047453.1159167774</v>
      </c>
      <c r="BP58" s="58">
        <f t="shared" si="34"/>
        <v>3138876.7093942808</v>
      </c>
      <c r="BQ58" s="58">
        <f t="shared" si="34"/>
        <v>3233043.0106761092</v>
      </c>
      <c r="BR58" s="58">
        <f t="shared" si="34"/>
        <v>3330034.3009963925</v>
      </c>
      <c r="BS58" s="58">
        <f t="shared" si="34"/>
        <v>3429935.3300262843</v>
      </c>
      <c r="BT58" s="58">
        <f t="shared" si="34"/>
        <v>3532833.3899270729</v>
      </c>
      <c r="BU58" s="58">
        <f t="shared" si="34"/>
        <v>3638818.3916248851</v>
      </c>
      <c r="BV58" s="58">
        <f t="shared" si="34"/>
        <v>3747982.9433736317</v>
      </c>
      <c r="BW58" s="58">
        <f t="shared" si="34"/>
        <v>3860422.4316748409</v>
      </c>
      <c r="BX58" s="58">
        <f t="shared" si="34"/>
        <v>3976235.1046250863</v>
      </c>
      <c r="BY58" s="58">
        <f t="shared" si="34"/>
        <v>4095522.1577638388</v>
      </c>
      <c r="BZ58" s="58">
        <f t="shared" si="34"/>
        <v>4218387.8224967541</v>
      </c>
      <c r="CA58" s="58">
        <f t="shared" si="34"/>
        <v>4344939.4571716571</v>
      </c>
      <c r="CB58" s="58">
        <f t="shared" si="34"/>
        <v>4475287.6408868069</v>
      </c>
      <c r="CC58" s="58">
        <f t="shared" si="34"/>
        <v>4609546.2701134114</v>
      </c>
      <c r="CD58" s="58">
        <f t="shared" si="34"/>
        <v>4747832.6582168136</v>
      </c>
      <c r="CE58" s="58">
        <f t="shared" si="34"/>
        <v>4890267.6379633183</v>
      </c>
      <c r="CF58" s="58">
        <f t="shared" ref="CF58:CH58" si="35">CE58*(1+$E$6)</f>
        <v>5036975.6671022177</v>
      </c>
      <c r="CG58" s="58">
        <f t="shared" si="35"/>
        <v>5188084.9371152846</v>
      </c>
      <c r="CH58" s="58">
        <f t="shared" si="35"/>
        <v>5343727.4852287434</v>
      </c>
    </row>
    <row r="59" spans="1:86" x14ac:dyDescent="0.25">
      <c r="A59" s="1"/>
      <c r="B59" s="6"/>
      <c r="C59" s="20"/>
      <c r="D59" s="20"/>
      <c r="E59" s="20"/>
      <c r="F59" s="20"/>
      <c r="G59" s="20"/>
      <c r="H59" s="20"/>
      <c r="I59" s="85"/>
      <c r="J59" s="107"/>
      <c r="K59" s="107"/>
      <c r="L59" s="107"/>
      <c r="M59" s="107"/>
      <c r="N59" s="107"/>
      <c r="O59" s="107"/>
      <c r="P59" s="107"/>
      <c r="Q59" s="107"/>
      <c r="R59" s="107"/>
    </row>
    <row r="60" spans="1:86" x14ac:dyDescent="0.25">
      <c r="A60" s="1"/>
      <c r="B60" s="10" t="s">
        <v>27</v>
      </c>
      <c r="C60" s="12">
        <f>C56+C47+C50-C53</f>
        <v>17791</v>
      </c>
      <c r="D60" s="12">
        <f t="shared" ref="D60:R60" si="36">D56+D47+D50-D53</f>
        <v>12627</v>
      </c>
      <c r="E60" s="12">
        <f t="shared" si="36"/>
        <v>54765</v>
      </c>
      <c r="F60" s="12">
        <f t="shared" si="36"/>
        <v>147449</v>
      </c>
      <c r="G60" s="12">
        <f t="shared" si="36"/>
        <v>-81715</v>
      </c>
      <c r="H60" s="12">
        <f t="shared" si="36"/>
        <v>-216554</v>
      </c>
      <c r="I60" s="88">
        <f t="shared" si="36"/>
        <v>-650.48387096752413</v>
      </c>
      <c r="J60" s="109">
        <f t="shared" si="36"/>
        <v>37169.032258064486</v>
      </c>
      <c r="K60" s="109">
        <f t="shared" si="36"/>
        <v>76344.516129032243</v>
      </c>
      <c r="L60" s="109">
        <f t="shared" si="36"/>
        <v>22800.000000000175</v>
      </c>
      <c r="M60" s="109">
        <f t="shared" si="36"/>
        <v>103199.99999999994</v>
      </c>
      <c r="N60" s="109">
        <f t="shared" si="36"/>
        <v>198200.00000000035</v>
      </c>
      <c r="O60" s="109">
        <f t="shared" si="36"/>
        <v>310400.00000000023</v>
      </c>
      <c r="P60" s="109">
        <f t="shared" si="36"/>
        <v>440400</v>
      </c>
      <c r="Q60" s="109">
        <f t="shared" si="36"/>
        <v>549400.00000000023</v>
      </c>
      <c r="R60" s="109">
        <f t="shared" si="36"/>
        <v>653800.00000000047</v>
      </c>
    </row>
    <row r="61" spans="1:86" x14ac:dyDescent="0.25">
      <c r="A61" s="1"/>
      <c r="B61" s="22" t="s">
        <v>28</v>
      </c>
      <c r="C61" s="1"/>
      <c r="D61" s="1"/>
      <c r="E61" s="1"/>
      <c r="F61" s="1"/>
      <c r="G61" s="1"/>
      <c r="H61" s="1"/>
      <c r="I61" s="60">
        <f t="shared" ref="I61:R61" si="37">I60/((1+$E$5)^I9)</f>
        <v>-585.69521789108228</v>
      </c>
      <c r="J61" s="59">
        <f t="shared" si="37"/>
        <v>30133.636494445738</v>
      </c>
      <c r="K61" s="59">
        <f t="shared" si="37"/>
        <v>55729.260940216991</v>
      </c>
      <c r="L61" s="59">
        <f t="shared" si="37"/>
        <v>14985.644624390203</v>
      </c>
      <c r="M61" s="59">
        <f t="shared" si="37"/>
        <v>61073.867877206256</v>
      </c>
      <c r="N61" s="59">
        <f t="shared" si="37"/>
        <v>105612.30558946816</v>
      </c>
      <c r="O61" s="59">
        <f t="shared" si="37"/>
        <v>148925.04215320348</v>
      </c>
      <c r="P61" s="59">
        <f t="shared" si="37"/>
        <v>190251.66884746941</v>
      </c>
      <c r="Q61" s="59">
        <f t="shared" si="37"/>
        <v>213700.21808560926</v>
      </c>
      <c r="R61" s="59">
        <f t="shared" si="37"/>
        <v>228979.37842208514</v>
      </c>
    </row>
    <row r="62" spans="1:86" x14ac:dyDescent="0.25">
      <c r="A62" s="1"/>
      <c r="B62" s="23"/>
      <c r="C62" s="23"/>
      <c r="D62" s="23"/>
      <c r="E62" s="23"/>
      <c r="F62" s="23"/>
      <c r="G62" s="23"/>
      <c r="H62" s="23"/>
      <c r="I62" s="16"/>
      <c r="J62" s="1"/>
      <c r="K62" s="1"/>
      <c r="L62" s="1"/>
      <c r="M62" s="1"/>
      <c r="N62" s="1"/>
      <c r="O62" s="1"/>
      <c r="P62" s="1"/>
      <c r="Q62" s="1"/>
      <c r="R62" s="1"/>
    </row>
    <row r="63" spans="1:86" x14ac:dyDescent="0.25">
      <c r="A63" s="1"/>
      <c r="B63" s="1" t="s">
        <v>29</v>
      </c>
      <c r="C63" s="24">
        <f>(R60*(1+$E$6))/($E$5-$E$6)</f>
        <v>8353108.1152677033</v>
      </c>
      <c r="D63" s="1"/>
      <c r="E63" s="1" t="s">
        <v>30</v>
      </c>
      <c r="F63" s="19">
        <f>NPV($E$5,I58:CH58)</f>
        <v>3980107.9202050688</v>
      </c>
      <c r="G63" s="1"/>
      <c r="H63" s="1"/>
      <c r="I63" s="16"/>
      <c r="J63" s="1"/>
      <c r="K63" s="1"/>
      <c r="L63" s="1"/>
      <c r="M63" s="1"/>
      <c r="N63" s="1"/>
      <c r="O63" s="1"/>
      <c r="P63" s="1"/>
      <c r="Q63" s="1"/>
    </row>
    <row r="64" spans="1:86" x14ac:dyDescent="0.25">
      <c r="A64" s="1"/>
      <c r="B64" s="3" t="s">
        <v>31</v>
      </c>
      <c r="C64" s="25">
        <f>C63/((1+$E$5)^$R$9)</f>
        <v>2925496.3354641669</v>
      </c>
      <c r="D64" s="17"/>
      <c r="E64" s="3"/>
      <c r="F64" s="3"/>
      <c r="G64" s="3"/>
      <c r="H64" s="17"/>
      <c r="I64" s="13"/>
      <c r="J64" s="1"/>
      <c r="L64" s="48" t="s">
        <v>52</v>
      </c>
      <c r="M64" s="49"/>
      <c r="N64" s="49"/>
      <c r="O64" s="49"/>
      <c r="P64" s="49"/>
      <c r="Q64" s="48"/>
    </row>
    <row r="65" spans="1:17" x14ac:dyDescent="0.25">
      <c r="A65" s="1"/>
      <c r="B65" s="6" t="s">
        <v>32</v>
      </c>
      <c r="C65" s="6"/>
      <c r="D65" s="1"/>
      <c r="E65" s="6"/>
      <c r="F65" s="6"/>
      <c r="G65" s="26" t="s">
        <v>33</v>
      </c>
      <c r="H65" s="26" t="s">
        <v>30</v>
      </c>
      <c r="I65" s="16"/>
      <c r="J65" s="1"/>
      <c r="K65" s="48"/>
      <c r="L65" s="50">
        <f>D71</f>
        <v>38.51676051644953</v>
      </c>
      <c r="M65" s="51">
        <v>-0.01</v>
      </c>
      <c r="N65" s="51">
        <v>0.01</v>
      </c>
      <c r="O65" s="51">
        <v>0.03</v>
      </c>
      <c r="P65" s="51">
        <v>0.04</v>
      </c>
      <c r="Q65" s="51">
        <v>0.05</v>
      </c>
    </row>
    <row r="66" spans="1:17" x14ac:dyDescent="0.25">
      <c r="A66" s="1"/>
      <c r="B66" s="27" t="s">
        <v>34</v>
      </c>
      <c r="C66" s="1"/>
      <c r="D66" s="34">
        <v>225351</v>
      </c>
      <c r="E66" s="1"/>
      <c r="F66" s="1"/>
      <c r="G66" s="24">
        <f>C64+SUM(I61:R61)</f>
        <v>3974301.6632803706</v>
      </c>
      <c r="H66" s="19">
        <f>F63</f>
        <v>3980107.9202050688</v>
      </c>
      <c r="I66" s="16"/>
      <c r="J66" s="1"/>
      <c r="K66" s="48"/>
      <c r="L66" s="52">
        <f>L67-1%</f>
        <v>9.0618374706433302E-2</v>
      </c>
      <c r="M66" s="53">
        <f t="dataTable" ref="M66:Q70" dt2D="1" dtr="1" r1="E6" r2="E5"/>
        <v>37.808286521649073</v>
      </c>
      <c r="N66" s="53">
        <v>45.892360090607625</v>
      </c>
      <c r="O66" s="53">
        <v>59.008050841161477</v>
      </c>
      <c r="P66" s="53">
        <v>69.070816102520482</v>
      </c>
      <c r="Q66" s="53">
        <v>83.36770966195499</v>
      </c>
    </row>
    <row r="67" spans="1:17" x14ac:dyDescent="0.25">
      <c r="A67" s="1"/>
      <c r="B67" s="28" t="s">
        <v>35</v>
      </c>
      <c r="C67" s="3"/>
      <c r="D67" s="29">
        <f>592352-36739</f>
        <v>555613</v>
      </c>
      <c r="E67" s="3"/>
      <c r="F67" s="3"/>
      <c r="G67" s="3"/>
      <c r="H67" s="3"/>
      <c r="I67" s="16"/>
      <c r="J67" s="1"/>
      <c r="K67" s="49"/>
      <c r="L67" s="52">
        <f>L68-1%</f>
        <v>0.1006183747064333</v>
      </c>
      <c r="M67" s="53">
        <v>31.866662241023004</v>
      </c>
      <c r="N67" s="54">
        <v>37.919259218231581</v>
      </c>
      <c r="O67" s="54">
        <v>47.272660232463309</v>
      </c>
      <c r="P67" s="54">
        <v>54.107448818617698</v>
      </c>
      <c r="Q67" s="53">
        <v>63.358991940003207</v>
      </c>
    </row>
    <row r="68" spans="1:17" x14ac:dyDescent="0.25">
      <c r="A68" s="1"/>
      <c r="B68" s="6" t="s">
        <v>36</v>
      </c>
      <c r="C68" s="6"/>
      <c r="D68" s="6"/>
      <c r="E68" s="6"/>
      <c r="F68" s="6"/>
      <c r="G68" s="30">
        <f>(G66+D66-D67)</f>
        <v>3644039.6632803706</v>
      </c>
      <c r="H68" s="31">
        <f>(H66+D66-D67)</f>
        <v>3649845.9202050688</v>
      </c>
      <c r="I68" s="16"/>
      <c r="J68"/>
      <c r="K68" s="48" t="s">
        <v>1</v>
      </c>
      <c r="L68" s="55">
        <v>0.11061837470643329</v>
      </c>
      <c r="M68" s="53">
        <v>27.039230004645564</v>
      </c>
      <c r="N68" s="54">
        <v>31.659399223960015</v>
      </c>
      <c r="O68" s="56">
        <v>38.51676051644953</v>
      </c>
      <c r="P68" s="54">
        <v>43.335702154211091</v>
      </c>
      <c r="Q68" s="53">
        <v>49.627549592394267</v>
      </c>
    </row>
    <row r="69" spans="1:17" x14ac:dyDescent="0.25">
      <c r="A69" s="1"/>
      <c r="B69" s="3" t="s">
        <v>37</v>
      </c>
      <c r="C69" s="3"/>
      <c r="D69" s="34">
        <f>(9924538+84760029)/1000</f>
        <v>94684.566999999995</v>
      </c>
      <c r="E69" s="3"/>
      <c r="F69" s="3"/>
      <c r="G69" s="3"/>
      <c r="H69" s="3"/>
      <c r="I69" s="16"/>
      <c r="J69" s="1"/>
      <c r="K69" s="48"/>
      <c r="L69" s="57">
        <f>L68+1%</f>
        <v>0.12061837470643329</v>
      </c>
      <c r="M69" s="53">
        <v>23.062684480095832</v>
      </c>
      <c r="N69" s="54">
        <v>26.648016077199593</v>
      </c>
      <c r="O69" s="54">
        <v>31.791559521404665</v>
      </c>
      <c r="P69" s="54">
        <v>35.291481717326342</v>
      </c>
      <c r="Q69" s="53">
        <v>39.732701389227074</v>
      </c>
    </row>
    <row r="70" spans="1:17" x14ac:dyDescent="0.25">
      <c r="A70" s="1"/>
      <c r="B70" s="18" t="s">
        <v>38</v>
      </c>
      <c r="C70" s="18"/>
      <c r="D70" s="18">
        <f>D69*$J$5</f>
        <v>2700403.85084</v>
      </c>
      <c r="E70" s="18"/>
      <c r="F70" s="18"/>
      <c r="G70" s="18"/>
      <c r="H70" s="32"/>
      <c r="I70" s="1"/>
      <c r="J70" s="1"/>
      <c r="K70" s="48"/>
      <c r="L70" s="57">
        <f>L69+1%</f>
        <v>0.13061837470643328</v>
      </c>
      <c r="M70" s="53">
        <v>19.748334357879827</v>
      </c>
      <c r="N70" s="53">
        <v>22.570332553711602</v>
      </c>
      <c r="O70" s="53">
        <v>26.503205363663728</v>
      </c>
      <c r="P70" s="53">
        <v>29.107804685731644</v>
      </c>
      <c r="Q70" s="53">
        <v>32.336689455377865</v>
      </c>
    </row>
    <row r="71" spans="1:17" x14ac:dyDescent="0.25">
      <c r="A71" s="1"/>
      <c r="B71" s="6" t="s">
        <v>39</v>
      </c>
      <c r="C71" s="6" t="s">
        <v>40</v>
      </c>
      <c r="D71" s="33">
        <f>(G71+H71)/2</f>
        <v>38.51676051644953</v>
      </c>
      <c r="F71" s="6"/>
      <c r="G71" s="33">
        <f>G68/D69</f>
        <v>38.486099464133062</v>
      </c>
      <c r="H71" s="33">
        <f>H68/D69</f>
        <v>38.547421568765998</v>
      </c>
      <c r="I71" s="16"/>
      <c r="J71" s="1"/>
    </row>
    <row r="72" spans="1:17" x14ac:dyDescent="0.25">
      <c r="A72"/>
      <c r="C72" s="1"/>
      <c r="D72" s="1"/>
    </row>
  </sheetData>
  <sortState xmlns:xlrd2="http://schemas.microsoft.com/office/spreadsheetml/2017/richdata2" columnSort="1" ref="C10:H61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D251-847D-49EB-A1B7-0EBCA935B3CF}">
  <dimension ref="A1:AC34"/>
  <sheetViews>
    <sheetView topLeftCell="A19" workbookViewId="0">
      <selection activeCell="B27" sqref="B27"/>
    </sheetView>
  </sheetViews>
  <sheetFormatPr defaultRowHeight="15" x14ac:dyDescent="0.25"/>
  <cols>
    <col min="1" max="1" width="32.5703125" customWidth="1"/>
    <col min="2" max="4" width="22.140625" customWidth="1"/>
    <col min="6" max="6" width="35.42578125" customWidth="1"/>
    <col min="7" max="9" width="12.85546875" customWidth="1"/>
    <col min="15" max="17" width="11.85546875" customWidth="1"/>
  </cols>
  <sheetData>
    <row r="1" spans="1:29" x14ac:dyDescent="0.25">
      <c r="A1" s="96" t="s">
        <v>78</v>
      </c>
      <c r="B1" s="97"/>
      <c r="C1" s="97"/>
      <c r="D1" s="97"/>
      <c r="E1" s="65"/>
      <c r="F1" s="102" t="s">
        <v>78</v>
      </c>
      <c r="G1" s="103" t="s">
        <v>80</v>
      </c>
      <c r="H1" s="97"/>
      <c r="I1" s="97"/>
      <c r="L1" s="65"/>
      <c r="M1" s="65"/>
      <c r="N1" s="65"/>
    </row>
    <row r="2" spans="1:29" x14ac:dyDescent="0.25">
      <c r="A2" s="96" t="s">
        <v>67</v>
      </c>
      <c r="B2" s="97"/>
      <c r="C2" s="97"/>
      <c r="D2" s="97"/>
      <c r="F2" s="102" t="s">
        <v>67</v>
      </c>
      <c r="G2" s="103" t="s">
        <v>80</v>
      </c>
      <c r="H2" s="97"/>
      <c r="I2" s="97"/>
    </row>
    <row r="3" spans="1:29" x14ac:dyDescent="0.25">
      <c r="A3" s="96" t="s">
        <v>79</v>
      </c>
      <c r="B3" s="97"/>
      <c r="C3" s="97"/>
      <c r="D3" s="97"/>
      <c r="F3" s="102" t="s">
        <v>79</v>
      </c>
      <c r="G3" s="103" t="s">
        <v>80</v>
      </c>
      <c r="H3" s="97"/>
      <c r="I3" s="97"/>
    </row>
    <row r="4" spans="1:29" x14ac:dyDescent="0.25">
      <c r="A4" s="97"/>
      <c r="B4" s="97"/>
      <c r="C4" s="97"/>
      <c r="D4" s="97"/>
      <c r="F4" s="96" t="s">
        <v>80</v>
      </c>
      <c r="G4" s="96" t="s">
        <v>80</v>
      </c>
      <c r="H4" s="96" t="s">
        <v>81</v>
      </c>
      <c r="I4" s="97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</row>
    <row r="5" spans="1:29" x14ac:dyDescent="0.25">
      <c r="A5" s="96" t="s">
        <v>80</v>
      </c>
      <c r="B5" s="97"/>
      <c r="C5" s="96" t="s">
        <v>81</v>
      </c>
      <c r="D5" s="96" t="s">
        <v>80</v>
      </c>
      <c r="F5" s="96" t="s">
        <v>80</v>
      </c>
      <c r="G5" s="96">
        <v>2017</v>
      </c>
      <c r="H5" s="96">
        <v>2018</v>
      </c>
      <c r="I5" s="96">
        <v>2019</v>
      </c>
      <c r="O5" s="65"/>
      <c r="P5" s="65"/>
      <c r="Q5" s="65"/>
      <c r="R5" s="65"/>
      <c r="S5" s="65"/>
      <c r="W5" s="65"/>
      <c r="X5" s="65"/>
      <c r="AB5" s="65"/>
      <c r="AC5" s="65"/>
    </row>
    <row r="6" spans="1:29" x14ac:dyDescent="0.25">
      <c r="A6" s="96" t="s">
        <v>80</v>
      </c>
      <c r="B6" s="96">
        <v>2020</v>
      </c>
      <c r="C6" s="96">
        <v>2021</v>
      </c>
      <c r="D6" s="96">
        <v>2022</v>
      </c>
      <c r="F6" s="96" t="s">
        <v>82</v>
      </c>
      <c r="G6" s="97"/>
      <c r="H6" s="97"/>
      <c r="I6" s="97"/>
      <c r="L6" s="65"/>
      <c r="M6" s="65"/>
      <c r="N6" s="65"/>
      <c r="O6" s="68"/>
      <c r="P6" s="68"/>
      <c r="Q6" s="68"/>
      <c r="R6" s="68"/>
      <c r="W6" s="68"/>
      <c r="AB6" s="68"/>
    </row>
    <row r="7" spans="1:29" x14ac:dyDescent="0.25">
      <c r="A7" s="96" t="s">
        <v>82</v>
      </c>
      <c r="B7" s="97"/>
      <c r="C7" s="97"/>
      <c r="D7" s="97"/>
      <c r="F7" s="96" t="s">
        <v>83</v>
      </c>
      <c r="G7" s="98">
        <v>465254</v>
      </c>
      <c r="H7" s="98">
        <v>612888</v>
      </c>
      <c r="I7" s="98">
        <v>817811</v>
      </c>
      <c r="L7" s="65"/>
      <c r="M7" s="65"/>
      <c r="N7" s="65"/>
      <c r="O7" s="69"/>
      <c r="P7" s="69"/>
      <c r="Q7" s="69"/>
      <c r="R7" s="69"/>
      <c r="W7" s="69"/>
      <c r="AB7" s="69"/>
    </row>
    <row r="8" spans="1:29" x14ac:dyDescent="0.25">
      <c r="A8" s="96" t="s">
        <v>83</v>
      </c>
      <c r="B8" s="98">
        <v>1086276</v>
      </c>
      <c r="C8" s="98">
        <v>1482080</v>
      </c>
      <c r="D8" s="98">
        <v>1887756</v>
      </c>
      <c r="F8" s="96" t="s">
        <v>58</v>
      </c>
      <c r="G8" s="99">
        <v>38363</v>
      </c>
      <c r="H8" s="99">
        <v>60736</v>
      </c>
      <c r="I8" s="99">
        <v>85047</v>
      </c>
      <c r="L8" s="65"/>
      <c r="M8" s="65"/>
      <c r="N8" s="65"/>
      <c r="O8" s="69"/>
      <c r="P8" s="69"/>
      <c r="Q8" s="69"/>
      <c r="R8" s="69"/>
      <c r="W8" s="69"/>
      <c r="AB8" s="69"/>
    </row>
    <row r="9" spans="1:29" x14ac:dyDescent="0.25">
      <c r="A9" s="96" t="s">
        <v>58</v>
      </c>
      <c r="B9" s="99">
        <v>97381</v>
      </c>
      <c r="C9" s="99">
        <v>112674</v>
      </c>
      <c r="D9" s="99">
        <v>100574</v>
      </c>
      <c r="F9" s="96" t="s">
        <v>84</v>
      </c>
      <c r="G9" s="99">
        <v>503617</v>
      </c>
      <c r="H9" s="99">
        <v>673624</v>
      </c>
      <c r="I9" s="99">
        <v>902858</v>
      </c>
      <c r="L9" s="65"/>
      <c r="M9" s="65"/>
      <c r="N9" s="65"/>
    </row>
    <row r="10" spans="1:29" x14ac:dyDescent="0.25">
      <c r="A10" s="96" t="s">
        <v>84</v>
      </c>
      <c r="B10" s="99">
        <v>1183657</v>
      </c>
      <c r="C10" s="99">
        <v>1594754</v>
      </c>
      <c r="D10" s="99">
        <v>1988330</v>
      </c>
      <c r="F10" s="96" t="s">
        <v>85</v>
      </c>
      <c r="G10" s="97"/>
      <c r="H10" s="97"/>
      <c r="I10" s="97"/>
      <c r="L10" s="65"/>
      <c r="M10" s="65"/>
      <c r="N10" s="65"/>
      <c r="O10" s="69"/>
      <c r="P10" s="69"/>
      <c r="Q10" s="69"/>
      <c r="R10" s="69"/>
      <c r="W10" s="69"/>
      <c r="AB10" s="69"/>
    </row>
    <row r="11" spans="1:29" x14ac:dyDescent="0.25">
      <c r="A11" s="96" t="s">
        <v>85</v>
      </c>
      <c r="B11" s="97"/>
      <c r="C11" s="97"/>
      <c r="D11" s="97"/>
      <c r="F11" s="96" t="s">
        <v>83</v>
      </c>
      <c r="G11" s="99">
        <v>89193</v>
      </c>
      <c r="H11" s="99">
        <v>109454</v>
      </c>
      <c r="I11" s="99">
        <v>160320</v>
      </c>
      <c r="L11" s="65"/>
      <c r="M11" s="65"/>
      <c r="N11" s="65"/>
      <c r="O11" s="69"/>
      <c r="P11" s="69"/>
      <c r="Q11" s="69"/>
      <c r="R11" s="69"/>
      <c r="W11" s="69"/>
      <c r="AB11" s="69"/>
    </row>
    <row r="12" spans="1:29" x14ac:dyDescent="0.25">
      <c r="A12" s="96" t="s">
        <v>83</v>
      </c>
      <c r="B12" s="99">
        <v>236990</v>
      </c>
      <c r="C12" s="99">
        <v>345948</v>
      </c>
      <c r="D12" s="99">
        <v>531098</v>
      </c>
      <c r="F12" s="96" t="s">
        <v>58</v>
      </c>
      <c r="G12" s="99">
        <v>32078</v>
      </c>
      <c r="H12" s="99">
        <v>47675</v>
      </c>
      <c r="I12" s="99">
        <v>70723</v>
      </c>
      <c r="L12" s="65"/>
      <c r="M12" s="65"/>
      <c r="N12" s="65"/>
      <c r="O12" s="69"/>
      <c r="P12" s="69"/>
      <c r="Q12" s="69"/>
      <c r="R12" s="69"/>
      <c r="W12" s="69"/>
      <c r="AB12" s="69"/>
    </row>
    <row r="13" spans="1:29" x14ac:dyDescent="0.25">
      <c r="A13" s="96" t="s">
        <v>58</v>
      </c>
      <c r="B13" s="99">
        <v>86617</v>
      </c>
      <c r="C13" s="99">
        <v>102421</v>
      </c>
      <c r="D13" s="99">
        <v>110633</v>
      </c>
      <c r="F13" s="96" t="s">
        <v>86</v>
      </c>
      <c r="G13" s="99">
        <v>121271</v>
      </c>
      <c r="H13" s="99">
        <v>157129</v>
      </c>
      <c r="I13" s="99">
        <v>231043</v>
      </c>
      <c r="L13" s="65"/>
      <c r="M13" s="65"/>
      <c r="N13" s="65"/>
      <c r="O13" s="69"/>
      <c r="P13" s="69"/>
      <c r="Q13" s="69"/>
      <c r="R13" s="69"/>
      <c r="W13" s="69"/>
      <c r="AB13" s="69"/>
    </row>
    <row r="14" spans="1:29" x14ac:dyDescent="0.25">
      <c r="A14" s="96" t="s">
        <v>86</v>
      </c>
      <c r="B14" s="99">
        <v>323607</v>
      </c>
      <c r="C14" s="99">
        <v>448369</v>
      </c>
      <c r="D14" s="99">
        <v>641731</v>
      </c>
      <c r="F14" s="96" t="s">
        <v>68</v>
      </c>
      <c r="G14" s="99">
        <v>382346</v>
      </c>
      <c r="H14" s="99">
        <v>516495</v>
      </c>
      <c r="I14" s="99">
        <v>671815</v>
      </c>
      <c r="L14" s="65"/>
      <c r="M14" s="65"/>
      <c r="N14" s="65"/>
      <c r="O14" s="69"/>
      <c r="P14" s="69"/>
      <c r="Q14" s="69"/>
      <c r="R14" s="69"/>
      <c r="W14" s="69"/>
      <c r="AB14" s="69"/>
    </row>
    <row r="15" spans="1:29" x14ac:dyDescent="0.25">
      <c r="A15" s="96" t="s">
        <v>68</v>
      </c>
      <c r="B15" s="99">
        <v>860050</v>
      </c>
      <c r="C15" s="99">
        <v>1146385</v>
      </c>
      <c r="D15" s="99">
        <v>1346599</v>
      </c>
      <c r="F15" s="96" t="s">
        <v>87</v>
      </c>
      <c r="G15" s="97"/>
      <c r="H15" s="97"/>
      <c r="I15" s="97"/>
      <c r="L15" s="65"/>
      <c r="M15" s="65"/>
      <c r="N15" s="65"/>
      <c r="O15" s="69"/>
      <c r="P15" s="69"/>
      <c r="Q15" s="70"/>
      <c r="R15" s="70"/>
      <c r="W15" s="69"/>
      <c r="AB15" s="69"/>
    </row>
    <row r="16" spans="1:29" x14ac:dyDescent="0.25">
      <c r="A16" s="96" t="s">
        <v>87</v>
      </c>
      <c r="B16" s="97"/>
      <c r="C16" s="97"/>
      <c r="D16" s="97"/>
      <c r="F16" s="96" t="s">
        <v>69</v>
      </c>
      <c r="G16" s="99">
        <v>75148</v>
      </c>
      <c r="H16" s="99">
        <v>101042</v>
      </c>
      <c r="I16" s="99">
        <v>136363</v>
      </c>
      <c r="L16" s="65"/>
      <c r="M16" s="65"/>
      <c r="N16" s="65"/>
      <c r="O16" s="69"/>
      <c r="P16" s="70"/>
      <c r="Q16" s="69"/>
      <c r="R16" s="69"/>
      <c r="W16" s="70"/>
      <c r="AB16" s="69"/>
    </row>
    <row r="17" spans="1:28" x14ac:dyDescent="0.25">
      <c r="A17" s="96" t="s">
        <v>69</v>
      </c>
      <c r="B17" s="99">
        <v>189484</v>
      </c>
      <c r="C17" s="99">
        <v>309739</v>
      </c>
      <c r="D17" s="99">
        <v>362256</v>
      </c>
      <c r="F17" s="96" t="s">
        <v>70</v>
      </c>
      <c r="G17" s="99">
        <v>240223</v>
      </c>
      <c r="H17" s="99">
        <v>329116</v>
      </c>
      <c r="I17" s="99">
        <v>439100</v>
      </c>
      <c r="L17" s="65"/>
      <c r="M17" s="65"/>
      <c r="N17" s="65"/>
      <c r="O17" s="69"/>
      <c r="P17" s="69"/>
      <c r="Q17" s="69"/>
      <c r="R17" s="69"/>
      <c r="W17" s="69"/>
      <c r="AB17" s="69"/>
    </row>
    <row r="18" spans="1:28" x14ac:dyDescent="0.25">
      <c r="A18" s="96" t="s">
        <v>70</v>
      </c>
      <c r="B18" s="99">
        <v>583773</v>
      </c>
      <c r="C18" s="99">
        <v>854156</v>
      </c>
      <c r="D18" s="99">
        <v>1057231</v>
      </c>
      <c r="F18" s="96" t="s">
        <v>71</v>
      </c>
      <c r="G18" s="99">
        <v>72313</v>
      </c>
      <c r="H18" s="99">
        <v>102773</v>
      </c>
      <c r="I18" s="99">
        <v>142027</v>
      </c>
      <c r="L18" s="65"/>
      <c r="M18" s="65"/>
      <c r="N18" s="65"/>
      <c r="O18" s="69"/>
      <c r="P18" s="70"/>
      <c r="Q18" s="69"/>
      <c r="R18" s="69"/>
      <c r="W18" s="70"/>
      <c r="AB18" s="69"/>
    </row>
    <row r="19" spans="1:28" x14ac:dyDescent="0.25">
      <c r="A19" s="96" t="s">
        <v>71</v>
      </c>
      <c r="B19" s="99">
        <v>200032</v>
      </c>
      <c r="C19" s="99">
        <v>284276</v>
      </c>
      <c r="D19" s="99">
        <v>292898</v>
      </c>
      <c r="F19" s="96" t="s">
        <v>72</v>
      </c>
      <c r="G19" s="99">
        <v>387684</v>
      </c>
      <c r="H19" s="99">
        <v>532931</v>
      </c>
      <c r="I19" s="99">
        <v>717490</v>
      </c>
      <c r="L19" s="65"/>
      <c r="M19" s="65"/>
      <c r="N19" s="65"/>
      <c r="O19" s="69"/>
      <c r="P19" s="69"/>
      <c r="Q19" s="69"/>
      <c r="R19" s="69"/>
      <c r="W19" s="69"/>
      <c r="AB19" s="69"/>
    </row>
    <row r="20" spans="1:28" x14ac:dyDescent="0.25">
      <c r="A20" s="96" t="s">
        <v>88</v>
      </c>
      <c r="B20" s="100">
        <v>0</v>
      </c>
      <c r="C20" s="100">
        <v>0</v>
      </c>
      <c r="D20" s="99">
        <v>283689</v>
      </c>
      <c r="F20" s="96" t="s">
        <v>89</v>
      </c>
      <c r="G20" s="99">
        <v>-5338</v>
      </c>
      <c r="H20" s="99">
        <v>-16436</v>
      </c>
      <c r="I20" s="99">
        <v>-45675</v>
      </c>
    </row>
    <row r="21" spans="1:28" x14ac:dyDescent="0.25">
      <c r="A21" s="96" t="s">
        <v>72</v>
      </c>
      <c r="B21" s="99">
        <v>973289</v>
      </c>
      <c r="C21" s="99">
        <v>1448171</v>
      </c>
      <c r="D21" s="99">
        <v>1996074</v>
      </c>
      <c r="F21" s="96" t="s">
        <v>74</v>
      </c>
      <c r="G21" s="97"/>
      <c r="H21" s="97"/>
      <c r="I21" s="97"/>
      <c r="L21" s="65"/>
      <c r="M21" s="65"/>
      <c r="N21" s="65"/>
      <c r="O21" s="70"/>
      <c r="P21" s="70"/>
      <c r="Q21" s="70"/>
      <c r="R21" s="70"/>
      <c r="W21" s="70"/>
      <c r="AB21" s="70"/>
    </row>
    <row r="22" spans="1:28" x14ac:dyDescent="0.25">
      <c r="A22" s="96" t="s">
        <v>89</v>
      </c>
      <c r="B22" s="99">
        <v>-113239</v>
      </c>
      <c r="C22" s="99">
        <v>-301786</v>
      </c>
      <c r="D22" s="99">
        <v>-649475</v>
      </c>
      <c r="F22" s="96" t="s">
        <v>90</v>
      </c>
      <c r="G22" s="99">
        <v>-99</v>
      </c>
      <c r="H22" s="99">
        <v>-16102</v>
      </c>
      <c r="I22" s="99">
        <v>-20512</v>
      </c>
      <c r="L22" s="65"/>
      <c r="M22" s="65"/>
      <c r="N22" s="65"/>
      <c r="O22" s="68"/>
      <c r="P22" s="68"/>
      <c r="Q22" s="68"/>
      <c r="R22" s="68"/>
      <c r="W22" s="68"/>
      <c r="AB22" s="68"/>
    </row>
    <row r="23" spans="1:28" x14ac:dyDescent="0.25">
      <c r="A23" s="96" t="s">
        <v>74</v>
      </c>
      <c r="B23" s="97"/>
      <c r="C23" s="97"/>
      <c r="D23" s="97"/>
      <c r="F23" s="96" t="s">
        <v>153</v>
      </c>
      <c r="G23" s="99">
        <v>1491</v>
      </c>
      <c r="H23" s="99">
        <v>6475</v>
      </c>
      <c r="I23" s="99">
        <v>9247</v>
      </c>
      <c r="L23" s="65"/>
      <c r="M23" s="65"/>
      <c r="N23" s="65"/>
    </row>
    <row r="24" spans="1:28" x14ac:dyDescent="0.25">
      <c r="A24" s="96" t="s">
        <v>90</v>
      </c>
      <c r="B24" s="99">
        <v>-49281</v>
      </c>
      <c r="C24" s="99">
        <v>-64382</v>
      </c>
      <c r="D24" s="99">
        <v>-4807</v>
      </c>
      <c r="F24" s="96" t="s">
        <v>74</v>
      </c>
      <c r="G24" s="99">
        <v>1392</v>
      </c>
      <c r="H24" s="99">
        <v>-9627</v>
      </c>
      <c r="I24" s="99">
        <v>-11265</v>
      </c>
      <c r="L24" s="65"/>
      <c r="M24" s="65"/>
      <c r="N24" s="65"/>
      <c r="O24" s="71"/>
      <c r="P24" s="71"/>
      <c r="Q24" s="71"/>
      <c r="R24" s="71"/>
      <c r="W24" s="71"/>
      <c r="AB24" s="71"/>
    </row>
    <row r="25" spans="1:28" x14ac:dyDescent="0.25">
      <c r="A25" s="96" t="s">
        <v>91</v>
      </c>
      <c r="B25" s="99">
        <v>80458</v>
      </c>
      <c r="C25" s="99">
        <v>-7554</v>
      </c>
      <c r="D25" s="99">
        <v>-219771</v>
      </c>
      <c r="F25" s="96" t="s">
        <v>92</v>
      </c>
      <c r="G25" s="99">
        <v>-3946</v>
      </c>
      <c r="H25" s="99">
        <v>-26063</v>
      </c>
      <c r="I25" s="99">
        <v>-56940</v>
      </c>
      <c r="L25" s="65"/>
      <c r="M25" s="65"/>
      <c r="N25" s="65"/>
      <c r="O25" s="71"/>
      <c r="P25" s="71"/>
      <c r="Q25" s="71"/>
      <c r="R25" s="71"/>
      <c r="W25" s="71"/>
      <c r="AB25" s="71"/>
    </row>
    <row r="26" spans="1:28" x14ac:dyDescent="0.25">
      <c r="A26" s="96" t="s">
        <v>74</v>
      </c>
      <c r="B26" s="99">
        <v>31177</v>
      </c>
      <c r="C26" s="99">
        <v>-71936</v>
      </c>
      <c r="D26" s="99">
        <v>-224578</v>
      </c>
      <c r="F26" s="96" t="s">
        <v>75</v>
      </c>
      <c r="G26" s="99">
        <v>258</v>
      </c>
      <c r="H26" s="99">
        <v>140</v>
      </c>
      <c r="I26" s="99">
        <v>-3333</v>
      </c>
      <c r="L26" s="65"/>
      <c r="M26" s="65"/>
      <c r="N26" s="65"/>
    </row>
    <row r="27" spans="1:28" x14ac:dyDescent="0.25">
      <c r="A27" s="96" t="s">
        <v>92</v>
      </c>
      <c r="B27" s="99">
        <v>-82062</v>
      </c>
      <c r="C27" s="99">
        <v>-373722</v>
      </c>
      <c r="D27" s="99">
        <v>-874053</v>
      </c>
      <c r="F27" s="96" t="s">
        <v>93</v>
      </c>
      <c r="G27" s="98">
        <v>-4204</v>
      </c>
      <c r="H27" s="98">
        <v>-26203</v>
      </c>
      <c r="I27" s="98">
        <v>-53607</v>
      </c>
      <c r="L27" s="65"/>
      <c r="M27" s="65"/>
      <c r="N27" s="65"/>
      <c r="O27" s="69"/>
      <c r="P27" s="69"/>
      <c r="Q27" s="69"/>
      <c r="R27" s="69"/>
      <c r="W27" s="69"/>
      <c r="AB27" s="69"/>
    </row>
    <row r="28" spans="1:28" x14ac:dyDescent="0.25">
      <c r="A28" s="96" t="s">
        <v>73</v>
      </c>
      <c r="B28" s="99">
        <v>934</v>
      </c>
      <c r="C28" s="99">
        <v>2528</v>
      </c>
      <c r="D28" s="99">
        <v>5113</v>
      </c>
      <c r="F28" s="96" t="s">
        <v>94</v>
      </c>
      <c r="G28" s="97"/>
      <c r="H28" s="97"/>
      <c r="I28" s="97"/>
      <c r="L28" s="65"/>
      <c r="M28" s="65"/>
      <c r="N28" s="65"/>
      <c r="O28" s="69"/>
      <c r="P28" s="69"/>
      <c r="Q28" s="69"/>
      <c r="R28" s="69"/>
      <c r="W28" s="69"/>
      <c r="AB28" s="69"/>
    </row>
    <row r="29" spans="1:28" x14ac:dyDescent="0.25">
      <c r="A29" s="96" t="s">
        <v>93</v>
      </c>
      <c r="B29" s="98">
        <v>-82996</v>
      </c>
      <c r="C29" s="98">
        <v>-376250</v>
      </c>
      <c r="D29" s="98">
        <v>-879166</v>
      </c>
      <c r="F29" s="96" t="s">
        <v>95</v>
      </c>
      <c r="G29" s="101">
        <v>-0.06</v>
      </c>
      <c r="H29" s="101">
        <v>-0.33</v>
      </c>
      <c r="I29" s="101">
        <v>-0.64</v>
      </c>
    </row>
    <row r="30" spans="1:28" x14ac:dyDescent="0.25">
      <c r="A30" s="96" t="s">
        <v>94</v>
      </c>
      <c r="B30" s="97"/>
      <c r="C30" s="97"/>
      <c r="D30" s="97"/>
      <c r="F30" s="96" t="s">
        <v>154</v>
      </c>
      <c r="G30" s="97"/>
      <c r="H30" s="97"/>
      <c r="I30" s="97"/>
    </row>
    <row r="31" spans="1:28" x14ac:dyDescent="0.25">
      <c r="A31" s="96" t="s">
        <v>95</v>
      </c>
      <c r="B31" s="101">
        <v>-0.94</v>
      </c>
      <c r="C31" s="101">
        <v>-4.0999999999999996</v>
      </c>
      <c r="D31" s="101">
        <v>-9.23</v>
      </c>
      <c r="F31" s="96" t="s">
        <v>155</v>
      </c>
      <c r="G31" s="97"/>
      <c r="H31" s="97"/>
      <c r="I31" s="97"/>
    </row>
    <row r="32" spans="1:28" x14ac:dyDescent="0.25">
      <c r="A32" s="96" t="s">
        <v>96</v>
      </c>
      <c r="B32" s="97"/>
      <c r="C32" s="97"/>
      <c r="D32" s="97"/>
      <c r="F32" s="96" t="s">
        <v>95</v>
      </c>
      <c r="G32" s="99">
        <v>76281</v>
      </c>
      <c r="H32" s="99">
        <v>79500</v>
      </c>
      <c r="I32" s="99">
        <v>83130</v>
      </c>
    </row>
    <row r="33" spans="1:4" x14ac:dyDescent="0.25">
      <c r="A33" s="96" t="s">
        <v>97</v>
      </c>
      <c r="B33" s="97"/>
      <c r="C33" s="97"/>
      <c r="D33" s="97"/>
    </row>
    <row r="34" spans="1:4" x14ac:dyDescent="0.25">
      <c r="A34" s="96" t="s">
        <v>95</v>
      </c>
      <c r="B34" s="99">
        <v>88684</v>
      </c>
      <c r="C34" s="99">
        <v>91738</v>
      </c>
      <c r="D34" s="99">
        <v>95239</v>
      </c>
    </row>
  </sheetData>
  <sortState xmlns:xlrd2="http://schemas.microsoft.com/office/spreadsheetml/2017/richdata2" columnSort="1" ref="G5:I32">
    <sortCondition ref="G5:I5"/>
  </sortState>
  <mergeCells count="3">
    <mergeCell ref="F1:G1"/>
    <mergeCell ref="F2:G2"/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558C-AFF4-464E-87EC-D45A817926A9}">
  <dimension ref="A1:Z77"/>
  <sheetViews>
    <sheetView topLeftCell="A21" workbookViewId="0">
      <selection activeCell="C30" sqref="C30"/>
    </sheetView>
  </sheetViews>
  <sheetFormatPr defaultRowHeight="15" x14ac:dyDescent="0.25"/>
  <cols>
    <col min="1" max="1" width="52.42578125" customWidth="1"/>
    <col min="2" max="4" width="21.42578125" customWidth="1"/>
    <col min="7" max="7" width="31.5703125" customWidth="1"/>
    <col min="8" max="11" width="13.5703125" customWidth="1"/>
  </cols>
  <sheetData>
    <row r="1" spans="1:26" x14ac:dyDescent="0.25">
      <c r="A1" s="96" t="s">
        <v>78</v>
      </c>
      <c r="B1" s="97"/>
      <c r="C1" s="97"/>
      <c r="D1" s="97"/>
      <c r="E1" s="65"/>
      <c r="F1" s="65"/>
      <c r="G1" s="102" t="s">
        <v>78</v>
      </c>
      <c r="H1" s="103" t="s">
        <v>80</v>
      </c>
      <c r="I1" s="97"/>
      <c r="J1" s="97"/>
      <c r="K1" s="65"/>
      <c r="L1" s="65"/>
      <c r="M1" s="65"/>
      <c r="N1" s="65"/>
    </row>
    <row r="2" spans="1:26" x14ac:dyDescent="0.25">
      <c r="A2" s="96" t="s">
        <v>76</v>
      </c>
      <c r="B2" s="97"/>
      <c r="C2" s="97"/>
      <c r="D2" s="97"/>
      <c r="G2" s="102" t="s">
        <v>76</v>
      </c>
      <c r="H2" s="103" t="s">
        <v>80</v>
      </c>
      <c r="I2" s="97"/>
      <c r="J2" s="97"/>
    </row>
    <row r="3" spans="1:26" x14ac:dyDescent="0.25">
      <c r="A3" s="96" t="s">
        <v>98</v>
      </c>
      <c r="B3" s="97"/>
      <c r="C3" s="97"/>
      <c r="D3" s="97"/>
      <c r="E3" s="66"/>
      <c r="F3" s="66"/>
      <c r="G3" s="102" t="s">
        <v>98</v>
      </c>
      <c r="H3" s="103" t="s">
        <v>80</v>
      </c>
      <c r="I3" s="97"/>
      <c r="J3" s="97"/>
    </row>
    <row r="4" spans="1:26" x14ac:dyDescent="0.25">
      <c r="A4" s="97"/>
      <c r="B4" s="97"/>
      <c r="C4" s="97"/>
      <c r="D4" s="97"/>
      <c r="G4" s="96" t="s">
        <v>80</v>
      </c>
      <c r="H4" s="96" t="s">
        <v>80</v>
      </c>
      <c r="I4" s="96" t="s">
        <v>81</v>
      </c>
      <c r="J4" s="97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x14ac:dyDescent="0.25">
      <c r="A5" s="96" t="s">
        <v>80</v>
      </c>
      <c r="B5" s="97"/>
      <c r="C5" s="96" t="s">
        <v>81</v>
      </c>
      <c r="D5" s="96" t="s">
        <v>80</v>
      </c>
      <c r="E5" s="34"/>
      <c r="F5" s="34"/>
      <c r="G5" s="96" t="s">
        <v>80</v>
      </c>
      <c r="H5" s="96">
        <v>2017</v>
      </c>
      <c r="I5" s="96">
        <v>2018</v>
      </c>
      <c r="J5" s="96">
        <v>2019</v>
      </c>
      <c r="L5" s="65"/>
      <c r="M5" s="65"/>
      <c r="N5" s="65"/>
      <c r="O5" s="65"/>
      <c r="P5" s="65"/>
      <c r="T5" s="65"/>
      <c r="U5" s="65"/>
      <c r="Y5" s="65"/>
      <c r="Z5" s="65"/>
    </row>
    <row r="6" spans="1:26" x14ac:dyDescent="0.25">
      <c r="A6" s="96" t="s">
        <v>80</v>
      </c>
      <c r="B6" s="96">
        <v>2020</v>
      </c>
      <c r="C6" s="96">
        <v>2021</v>
      </c>
      <c r="D6" s="96">
        <v>2022</v>
      </c>
      <c r="E6" s="34"/>
      <c r="F6" s="34"/>
      <c r="G6" s="96" t="s">
        <v>99</v>
      </c>
      <c r="H6" s="97"/>
      <c r="I6" s="97"/>
      <c r="J6" s="97"/>
      <c r="K6" s="65"/>
    </row>
    <row r="7" spans="1:26" x14ac:dyDescent="0.25">
      <c r="A7" s="96" t="s">
        <v>99</v>
      </c>
      <c r="B7" s="97"/>
      <c r="C7" s="97"/>
      <c r="D7" s="97"/>
      <c r="E7" s="34"/>
      <c r="F7" s="34"/>
      <c r="G7" s="96" t="s">
        <v>93</v>
      </c>
      <c r="H7" s="98">
        <v>-4204</v>
      </c>
      <c r="I7" s="98">
        <v>-26203</v>
      </c>
      <c r="J7" s="98">
        <v>-53607</v>
      </c>
      <c r="K7" s="65"/>
      <c r="L7" s="68"/>
      <c r="M7" s="68"/>
      <c r="N7" s="68"/>
      <c r="O7" s="68"/>
      <c r="T7" s="68"/>
      <c r="Y7" s="68"/>
    </row>
    <row r="8" spans="1:26" x14ac:dyDescent="0.25">
      <c r="A8" s="96" t="s">
        <v>93</v>
      </c>
      <c r="B8" s="98">
        <v>-82996</v>
      </c>
      <c r="C8" s="98">
        <v>-376250</v>
      </c>
      <c r="D8" s="98">
        <v>-879166</v>
      </c>
      <c r="F8" s="34"/>
      <c r="G8" s="96" t="s">
        <v>156</v>
      </c>
      <c r="H8" s="97"/>
      <c r="I8" s="97"/>
      <c r="J8" s="97"/>
      <c r="K8" s="65"/>
    </row>
    <row r="9" spans="1:26" x14ac:dyDescent="0.25">
      <c r="A9" s="96" t="s">
        <v>100</v>
      </c>
      <c r="B9" s="97"/>
      <c r="C9" s="97"/>
      <c r="D9" s="97"/>
      <c r="E9" s="34"/>
      <c r="F9" s="34"/>
      <c r="G9" s="96" t="s">
        <v>101</v>
      </c>
      <c r="H9" s="97"/>
      <c r="I9" s="97"/>
      <c r="J9" s="97"/>
      <c r="K9" s="65"/>
      <c r="L9" s="69"/>
      <c r="M9" s="69"/>
      <c r="N9" s="69"/>
      <c r="O9" s="69"/>
      <c r="T9" s="69"/>
      <c r="Y9" s="69"/>
    </row>
    <row r="10" spans="1:26" x14ac:dyDescent="0.25">
      <c r="A10" s="96" t="s">
        <v>101</v>
      </c>
      <c r="B10" s="97"/>
      <c r="C10" s="97"/>
      <c r="D10" s="97"/>
      <c r="E10" s="34"/>
      <c r="F10" s="67"/>
      <c r="G10" s="96" t="s">
        <v>57</v>
      </c>
      <c r="H10" s="99">
        <v>16214</v>
      </c>
      <c r="I10" s="99">
        <v>23273</v>
      </c>
      <c r="J10" s="99">
        <v>37870</v>
      </c>
      <c r="K10" s="65"/>
      <c r="L10" s="65"/>
      <c r="M10" s="70"/>
      <c r="N10" s="70"/>
      <c r="O10" s="70"/>
      <c r="T10" s="70"/>
      <c r="Y10" s="65"/>
    </row>
    <row r="11" spans="1:26" x14ac:dyDescent="0.25">
      <c r="A11" s="96" t="s">
        <v>57</v>
      </c>
      <c r="B11" s="99">
        <v>75612</v>
      </c>
      <c r="C11" s="99">
        <v>125292</v>
      </c>
      <c r="D11" s="99">
        <v>246561</v>
      </c>
      <c r="G11" s="96" t="s">
        <v>102</v>
      </c>
      <c r="H11" s="99">
        <v>42060</v>
      </c>
      <c r="I11" s="99">
        <v>68088</v>
      </c>
      <c r="J11" s="99">
        <v>101354</v>
      </c>
      <c r="K11" s="65"/>
      <c r="L11" s="69"/>
      <c r="M11" s="69"/>
      <c r="N11" s="69"/>
      <c r="O11" s="69"/>
      <c r="T11" s="69"/>
      <c r="Y11" s="69"/>
    </row>
    <row r="12" spans="1:26" x14ac:dyDescent="0.25">
      <c r="A12" s="96" t="s">
        <v>102</v>
      </c>
      <c r="B12" s="99">
        <v>189600</v>
      </c>
      <c r="C12" s="99">
        <v>357965</v>
      </c>
      <c r="D12" s="99">
        <v>386009</v>
      </c>
      <c r="E12" s="67"/>
      <c r="F12" s="67"/>
      <c r="G12" s="96" t="s">
        <v>157</v>
      </c>
      <c r="H12" s="99">
        <v>12623</v>
      </c>
      <c r="I12" s="99">
        <v>19754</v>
      </c>
      <c r="J12" s="99">
        <v>30134</v>
      </c>
      <c r="K12" s="65"/>
      <c r="L12" s="70"/>
      <c r="M12" s="70"/>
      <c r="N12" s="69"/>
      <c r="O12" s="69"/>
      <c r="T12" s="70"/>
      <c r="Y12" s="70"/>
    </row>
    <row r="13" spans="1:26" x14ac:dyDescent="0.25">
      <c r="A13" s="96" t="s">
        <v>103</v>
      </c>
      <c r="B13" s="99">
        <v>-80988</v>
      </c>
      <c r="C13" s="99">
        <v>14611</v>
      </c>
      <c r="D13" s="99">
        <v>203483</v>
      </c>
      <c r="E13" s="67"/>
      <c r="F13" s="67"/>
      <c r="G13" s="96" t="s">
        <v>158</v>
      </c>
      <c r="H13" s="100">
        <v>0</v>
      </c>
      <c r="I13" s="99">
        <v>15918</v>
      </c>
      <c r="J13" s="99">
        <v>20337</v>
      </c>
      <c r="K13" s="65"/>
      <c r="L13" s="69"/>
      <c r="M13" s="69"/>
      <c r="N13" s="69"/>
      <c r="O13" s="69"/>
      <c r="T13" s="69"/>
      <c r="Y13" s="69"/>
    </row>
    <row r="14" spans="1:26" x14ac:dyDescent="0.25">
      <c r="A14" s="96" t="s">
        <v>104</v>
      </c>
      <c r="B14" s="100">
        <v>0</v>
      </c>
      <c r="C14" s="100">
        <v>0</v>
      </c>
      <c r="D14" s="99">
        <v>305351</v>
      </c>
      <c r="E14" s="67"/>
      <c r="F14" s="67"/>
      <c r="G14" s="96" t="s">
        <v>111</v>
      </c>
      <c r="H14" s="100">
        <v>0</v>
      </c>
      <c r="I14" s="100">
        <v>0</v>
      </c>
      <c r="J14" s="99">
        <v>13256</v>
      </c>
      <c r="K14" s="65"/>
      <c r="L14" s="69"/>
      <c r="M14" s="69"/>
      <c r="N14" s="69"/>
      <c r="O14" s="69"/>
      <c r="T14" s="69"/>
      <c r="Y14" s="69"/>
    </row>
    <row r="15" spans="1:26" x14ac:dyDescent="0.25">
      <c r="A15" s="96" t="s">
        <v>105</v>
      </c>
      <c r="B15" s="97"/>
      <c r="C15" s="97"/>
      <c r="D15" s="97"/>
      <c r="E15" s="34"/>
      <c r="F15" s="67"/>
      <c r="G15" s="96" t="s">
        <v>159</v>
      </c>
      <c r="H15" s="97"/>
      <c r="I15" s="97"/>
      <c r="J15" s="97"/>
      <c r="K15" s="65"/>
      <c r="L15" s="69"/>
      <c r="M15" s="69"/>
      <c r="N15" s="69"/>
      <c r="O15" s="69"/>
      <c r="T15" s="69"/>
      <c r="Y15" s="69"/>
    </row>
    <row r="16" spans="1:26" x14ac:dyDescent="0.25">
      <c r="A16" s="96" t="s">
        <v>106</v>
      </c>
      <c r="B16" s="99">
        <v>47207</v>
      </c>
      <c r="C16" s="99">
        <v>74165</v>
      </c>
      <c r="D16" s="99">
        <v>115184</v>
      </c>
      <c r="E16" s="34"/>
      <c r="F16" s="34"/>
      <c r="G16" s="96" t="s">
        <v>160</v>
      </c>
      <c r="H16" s="100">
        <v>0</v>
      </c>
      <c r="I16" s="100">
        <v>0</v>
      </c>
      <c r="J16" s="99">
        <v>3369</v>
      </c>
      <c r="K16" s="65"/>
      <c r="L16" s="69"/>
      <c r="M16" s="65"/>
      <c r="N16" s="65"/>
      <c r="O16" s="65"/>
      <c r="T16" s="65"/>
      <c r="Y16" s="69"/>
    </row>
    <row r="17" spans="1:25" x14ac:dyDescent="0.25">
      <c r="A17" s="96" t="s">
        <v>107</v>
      </c>
      <c r="B17" s="99">
        <v>49031</v>
      </c>
      <c r="C17" s="99">
        <v>64063</v>
      </c>
      <c r="D17" s="99">
        <v>4468</v>
      </c>
      <c r="E17" s="34"/>
      <c r="F17" s="34"/>
      <c r="G17" s="96" t="s">
        <v>161</v>
      </c>
      <c r="H17" s="99">
        <v>-666</v>
      </c>
      <c r="I17" s="99">
        <v>951</v>
      </c>
      <c r="J17" s="99">
        <v>-105</v>
      </c>
      <c r="K17" s="65"/>
      <c r="L17" s="69"/>
      <c r="M17" s="69"/>
      <c r="N17" s="69"/>
      <c r="O17" s="69"/>
      <c r="T17" s="69"/>
      <c r="Y17" s="69"/>
    </row>
    <row r="18" spans="1:25" x14ac:dyDescent="0.25">
      <c r="A18" s="96" t="s">
        <v>108</v>
      </c>
      <c r="B18" s="99">
        <v>13284</v>
      </c>
      <c r="C18" s="99">
        <v>1736</v>
      </c>
      <c r="D18" s="100">
        <v>0</v>
      </c>
      <c r="F18" s="67"/>
      <c r="G18" s="96" t="s">
        <v>112</v>
      </c>
      <c r="H18" s="99">
        <v>1674</v>
      </c>
      <c r="I18" s="99">
        <v>3091</v>
      </c>
      <c r="J18" s="99">
        <v>2949</v>
      </c>
      <c r="K18" s="65"/>
      <c r="L18" s="69"/>
      <c r="M18" s="69"/>
      <c r="N18" s="69"/>
      <c r="O18" s="69"/>
      <c r="T18" s="69"/>
      <c r="Y18" s="69"/>
    </row>
    <row r="19" spans="1:25" x14ac:dyDescent="0.25">
      <c r="A19" s="96" t="s">
        <v>109</v>
      </c>
      <c r="B19" s="97"/>
      <c r="C19" s="97"/>
      <c r="D19" s="97"/>
      <c r="G19" s="96" t="s">
        <v>77</v>
      </c>
      <c r="H19" s="99">
        <v>-47</v>
      </c>
      <c r="I19" s="99">
        <v>-303</v>
      </c>
      <c r="J19" s="99">
        <v>-737</v>
      </c>
      <c r="K19" s="65"/>
    </row>
    <row r="20" spans="1:25" x14ac:dyDescent="0.25">
      <c r="A20" s="96" t="s">
        <v>110</v>
      </c>
      <c r="B20" s="99">
        <v>-35020</v>
      </c>
      <c r="C20" s="99">
        <v>-10131</v>
      </c>
      <c r="D20" s="100">
        <v>0</v>
      </c>
      <c r="E20" s="34"/>
      <c r="F20" s="34"/>
      <c r="G20" s="96" t="s">
        <v>162</v>
      </c>
      <c r="H20" s="100">
        <v>0</v>
      </c>
      <c r="I20" s="100">
        <v>0</v>
      </c>
      <c r="J20" s="99">
        <v>-3210</v>
      </c>
      <c r="K20" s="65"/>
      <c r="L20" s="70"/>
      <c r="M20" s="70"/>
      <c r="N20" s="70"/>
      <c r="O20" s="70"/>
      <c r="T20" s="70"/>
      <c r="Y20" s="70"/>
    </row>
    <row r="21" spans="1:25" x14ac:dyDescent="0.25">
      <c r="A21" s="96" t="s">
        <v>111</v>
      </c>
      <c r="B21" s="99">
        <v>15712</v>
      </c>
      <c r="C21" s="99">
        <v>18025</v>
      </c>
      <c r="D21" s="99">
        <v>19907</v>
      </c>
      <c r="G21" s="96" t="s">
        <v>58</v>
      </c>
      <c r="H21" s="99">
        <v>181</v>
      </c>
      <c r="I21" s="99">
        <v>614</v>
      </c>
      <c r="J21" s="99">
        <v>240</v>
      </c>
      <c r="K21" s="65"/>
      <c r="L21" s="70"/>
      <c r="M21" s="70"/>
      <c r="N21" s="70"/>
      <c r="O21" s="70"/>
      <c r="T21" s="70"/>
      <c r="Y21" s="70"/>
    </row>
    <row r="22" spans="1:25" x14ac:dyDescent="0.25">
      <c r="A22" s="97"/>
      <c r="B22" s="97"/>
      <c r="C22" s="97"/>
      <c r="D22" s="97"/>
      <c r="E22" s="67"/>
      <c r="F22" s="67"/>
      <c r="G22" s="96" t="s">
        <v>113</v>
      </c>
      <c r="H22" s="97"/>
      <c r="I22" s="97"/>
      <c r="J22" s="97"/>
      <c r="K22" s="65"/>
      <c r="L22" s="70"/>
      <c r="M22" s="70"/>
      <c r="N22" s="70"/>
      <c r="O22" s="70"/>
      <c r="T22" s="70"/>
      <c r="Y22" s="70"/>
    </row>
    <row r="23" spans="1:25" x14ac:dyDescent="0.25">
      <c r="A23" s="96" t="s">
        <v>112</v>
      </c>
      <c r="B23" s="99">
        <v>5936</v>
      </c>
      <c r="C23" s="99">
        <v>8132</v>
      </c>
      <c r="D23" s="99">
        <v>9367</v>
      </c>
      <c r="E23" s="34"/>
      <c r="F23" s="34"/>
      <c r="G23" s="96" t="s">
        <v>59</v>
      </c>
      <c r="H23" s="99">
        <v>-17903</v>
      </c>
      <c r="I23" s="99">
        <v>-47877</v>
      </c>
      <c r="J23" s="99">
        <v>-37163</v>
      </c>
      <c r="K23" s="65"/>
      <c r="L23" s="69"/>
      <c r="M23" s="70"/>
      <c r="N23" s="69"/>
      <c r="O23" s="69"/>
      <c r="T23" s="70"/>
      <c r="Y23" s="69"/>
    </row>
    <row r="24" spans="1:25" x14ac:dyDescent="0.25">
      <c r="A24" s="96" t="s">
        <v>58</v>
      </c>
      <c r="B24" s="99">
        <v>-2941</v>
      </c>
      <c r="C24" s="99">
        <v>809</v>
      </c>
      <c r="D24" s="99">
        <v>4327</v>
      </c>
      <c r="E24" s="67"/>
      <c r="F24" s="67"/>
      <c r="G24" s="96" t="s">
        <v>114</v>
      </c>
      <c r="H24" s="99">
        <v>-32469</v>
      </c>
      <c r="I24" s="99">
        <v>-45232</v>
      </c>
      <c r="J24" s="99">
        <v>-102303</v>
      </c>
      <c r="K24" s="65"/>
      <c r="L24" s="69"/>
      <c r="M24" s="69"/>
      <c r="N24" s="69"/>
      <c r="O24" s="69"/>
      <c r="T24" s="69"/>
      <c r="Y24" s="69"/>
    </row>
    <row r="25" spans="1:25" x14ac:dyDescent="0.25">
      <c r="A25" s="96" t="s">
        <v>113</v>
      </c>
      <c r="B25" s="97"/>
      <c r="C25" s="97"/>
      <c r="D25" s="97"/>
      <c r="F25" s="67"/>
      <c r="G25" s="96" t="s">
        <v>163</v>
      </c>
      <c r="H25" s="99">
        <v>-6199</v>
      </c>
      <c r="I25" s="99">
        <v>-342</v>
      </c>
      <c r="J25" s="99">
        <v>-1575</v>
      </c>
      <c r="K25" s="65"/>
      <c r="L25" s="69"/>
      <c r="M25" s="69"/>
      <c r="N25" s="69"/>
      <c r="O25" s="69"/>
      <c r="T25" s="69"/>
      <c r="Y25" s="69"/>
    </row>
    <row r="26" spans="1:25" x14ac:dyDescent="0.25">
      <c r="A26" s="96" t="s">
        <v>59</v>
      </c>
      <c r="B26" s="99">
        <v>-51980</v>
      </c>
      <c r="C26" s="99">
        <v>-64940</v>
      </c>
      <c r="D26" s="99">
        <v>-87843</v>
      </c>
      <c r="F26" s="67"/>
      <c r="G26" s="96" t="s">
        <v>164</v>
      </c>
      <c r="H26" s="99">
        <v>1533</v>
      </c>
      <c r="I26" s="99">
        <v>279</v>
      </c>
      <c r="J26" s="99">
        <v>764</v>
      </c>
      <c r="K26" s="65"/>
      <c r="L26" s="70"/>
      <c r="M26" s="70"/>
      <c r="N26" s="70"/>
      <c r="O26" s="70"/>
      <c r="T26" s="70"/>
      <c r="Y26" s="70"/>
    </row>
    <row r="27" spans="1:25" x14ac:dyDescent="0.25">
      <c r="A27" s="96" t="s">
        <v>114</v>
      </c>
      <c r="B27" s="99">
        <v>-274908</v>
      </c>
      <c r="C27" s="99">
        <v>-178358</v>
      </c>
      <c r="D27" s="99">
        <v>-235869</v>
      </c>
      <c r="E27" s="67"/>
      <c r="F27" s="67"/>
      <c r="G27" s="96" t="s">
        <v>61</v>
      </c>
      <c r="H27" s="99">
        <v>176</v>
      </c>
      <c r="I27" s="99">
        <v>2783</v>
      </c>
      <c r="J27" s="99">
        <v>21753</v>
      </c>
    </row>
    <row r="28" spans="1:25" x14ac:dyDescent="0.25">
      <c r="A28" s="96" t="s">
        <v>60</v>
      </c>
      <c r="B28" s="99">
        <v>-20612</v>
      </c>
      <c r="C28" s="99">
        <v>9111</v>
      </c>
      <c r="D28" s="99">
        <v>3812</v>
      </c>
      <c r="E28" s="67"/>
      <c r="F28" s="67"/>
      <c r="G28" s="96" t="s">
        <v>165</v>
      </c>
      <c r="H28" s="99">
        <v>9918</v>
      </c>
      <c r="I28" s="99">
        <v>33695</v>
      </c>
      <c r="J28" s="99">
        <v>27095</v>
      </c>
      <c r="K28" s="65"/>
      <c r="L28" s="69"/>
      <c r="M28" s="69"/>
      <c r="N28" s="69"/>
      <c r="O28" s="69"/>
      <c r="T28" s="69"/>
      <c r="Y28" s="69"/>
    </row>
    <row r="29" spans="1:25" x14ac:dyDescent="0.25">
      <c r="A29" s="96" t="s">
        <v>61</v>
      </c>
      <c r="B29" s="99">
        <v>21916</v>
      </c>
      <c r="C29" s="99">
        <v>17852</v>
      </c>
      <c r="D29" s="99">
        <v>-6166</v>
      </c>
      <c r="G29" s="96" t="s">
        <v>62</v>
      </c>
      <c r="H29" s="99">
        <v>18298</v>
      </c>
      <c r="I29" s="99">
        <v>24780</v>
      </c>
      <c r="J29" s="99">
        <v>18845</v>
      </c>
      <c r="K29" s="65"/>
    </row>
    <row r="30" spans="1:25" x14ac:dyDescent="0.25">
      <c r="A30" s="96" t="s">
        <v>115</v>
      </c>
      <c r="B30" s="99">
        <v>76467</v>
      </c>
      <c r="C30" s="99">
        <v>74517</v>
      </c>
      <c r="D30" s="99">
        <v>89473</v>
      </c>
      <c r="E30" s="67"/>
      <c r="F30" s="34"/>
      <c r="G30" s="96" t="s">
        <v>116</v>
      </c>
      <c r="H30" s="100">
        <v>0</v>
      </c>
      <c r="I30" s="100">
        <v>0</v>
      </c>
      <c r="J30" s="99">
        <v>-13830</v>
      </c>
      <c r="K30" s="65"/>
      <c r="L30" s="70"/>
      <c r="M30" s="70"/>
      <c r="N30" s="70"/>
      <c r="O30" s="70"/>
      <c r="T30" s="70"/>
      <c r="Y30" s="70"/>
    </row>
    <row r="31" spans="1:25" x14ac:dyDescent="0.25">
      <c r="A31" s="96" t="s">
        <v>62</v>
      </c>
      <c r="B31" s="99">
        <v>34851</v>
      </c>
      <c r="C31" s="99">
        <v>34227</v>
      </c>
      <c r="D31" s="99">
        <v>33275</v>
      </c>
      <c r="F31" s="34"/>
      <c r="G31" s="96" t="s">
        <v>166</v>
      </c>
      <c r="H31" s="99">
        <v>-24</v>
      </c>
      <c r="I31" s="99">
        <v>-1139</v>
      </c>
      <c r="J31" s="99">
        <v>-590</v>
      </c>
      <c r="K31" s="65"/>
      <c r="L31" s="69"/>
      <c r="M31" s="69"/>
      <c r="N31" s="69"/>
      <c r="O31" s="69"/>
      <c r="T31" s="69"/>
      <c r="Y31" s="69"/>
    </row>
    <row r="32" spans="1:25" x14ac:dyDescent="0.25">
      <c r="A32" s="96" t="s">
        <v>116</v>
      </c>
      <c r="B32" s="99">
        <v>-15362</v>
      </c>
      <c r="C32" s="99">
        <v>-18675</v>
      </c>
      <c r="D32" s="99">
        <v>-20868</v>
      </c>
      <c r="F32" s="34"/>
      <c r="G32" s="96" t="s">
        <v>63</v>
      </c>
      <c r="H32" s="99">
        <v>41165</v>
      </c>
      <c r="I32" s="99">
        <v>72130</v>
      </c>
      <c r="J32" s="99">
        <v>64846</v>
      </c>
      <c r="K32" s="65"/>
      <c r="L32" s="69"/>
      <c r="M32" s="69"/>
      <c r="N32" s="65"/>
      <c r="O32" s="65"/>
      <c r="T32" s="69"/>
      <c r="Y32" s="69"/>
    </row>
    <row r="33" spans="1:25" x14ac:dyDescent="0.25">
      <c r="A33" s="96" t="s">
        <v>117</v>
      </c>
      <c r="B33" s="99">
        <v>-35191</v>
      </c>
      <c r="C33" s="99">
        <v>152151</v>
      </c>
      <c r="D33" s="99">
        <v>191305</v>
      </c>
      <c r="E33" s="34"/>
      <c r="F33" s="34"/>
      <c r="G33" s="96" t="s">
        <v>118</v>
      </c>
      <c r="H33" s="97"/>
      <c r="I33" s="97"/>
      <c r="J33" s="97"/>
      <c r="K33" s="65"/>
      <c r="L33" s="70"/>
      <c r="M33" s="70"/>
      <c r="N33" s="70"/>
      <c r="O33" s="70"/>
      <c r="T33" s="70"/>
      <c r="Y33" s="70"/>
    </row>
    <row r="34" spans="1:25" x14ac:dyDescent="0.25">
      <c r="A34" s="96" t="s">
        <v>118</v>
      </c>
      <c r="B34" s="97"/>
      <c r="C34" s="97"/>
      <c r="D34" s="97"/>
      <c r="E34" s="34"/>
      <c r="G34" s="96" t="s">
        <v>64</v>
      </c>
      <c r="H34" s="99">
        <v>-19497</v>
      </c>
      <c r="I34" s="99">
        <v>-27123</v>
      </c>
      <c r="J34" s="99">
        <v>-27767</v>
      </c>
      <c r="K34" s="65"/>
      <c r="L34" s="70"/>
      <c r="M34" s="70"/>
      <c r="N34" s="70"/>
      <c r="O34" s="70"/>
      <c r="T34" s="70"/>
      <c r="Y34" s="70"/>
    </row>
    <row r="35" spans="1:25" x14ac:dyDescent="0.25">
      <c r="A35" s="96" t="s">
        <v>64</v>
      </c>
      <c r="B35" s="99">
        <v>-43618</v>
      </c>
      <c r="C35" s="99">
        <v>-28959</v>
      </c>
      <c r="D35" s="99">
        <v>-32713</v>
      </c>
      <c r="E35" s="67"/>
      <c r="G35" s="96" t="s">
        <v>119</v>
      </c>
      <c r="H35" s="99">
        <v>-7420</v>
      </c>
      <c r="I35" s="99">
        <v>-11421</v>
      </c>
      <c r="J35" s="99">
        <v>-16526</v>
      </c>
    </row>
    <row r="36" spans="1:25" x14ac:dyDescent="0.25">
      <c r="A36" s="96" t="s">
        <v>119</v>
      </c>
      <c r="B36" s="99">
        <v>-38113</v>
      </c>
      <c r="C36" s="99">
        <v>-43692</v>
      </c>
      <c r="D36" s="99">
        <v>-53730</v>
      </c>
      <c r="G36" s="96" t="s">
        <v>167</v>
      </c>
      <c r="H36" s="97"/>
      <c r="I36" s="97"/>
      <c r="J36" s="97"/>
      <c r="K36" s="65"/>
      <c r="L36" s="70"/>
      <c r="M36" s="70"/>
      <c r="N36" s="70"/>
      <c r="O36" s="70"/>
      <c r="T36" s="70"/>
      <c r="Y36" s="70"/>
    </row>
    <row r="37" spans="1:25" x14ac:dyDescent="0.25">
      <c r="A37" s="96" t="s">
        <v>120</v>
      </c>
      <c r="B37" s="99">
        <v>-25955</v>
      </c>
      <c r="C37" s="99">
        <v>-324178</v>
      </c>
      <c r="D37" s="99">
        <v>-3990</v>
      </c>
      <c r="E37" s="34"/>
      <c r="F37" s="34"/>
      <c r="G37" s="96" t="s">
        <v>168</v>
      </c>
      <c r="H37" s="100">
        <v>0</v>
      </c>
      <c r="I37" s="99">
        <v>-26434</v>
      </c>
      <c r="J37" s="99">
        <v>-27870</v>
      </c>
      <c r="K37" s="65"/>
      <c r="L37" s="70"/>
      <c r="M37" s="70"/>
      <c r="N37" s="70"/>
      <c r="O37" s="70"/>
      <c r="T37" s="70"/>
      <c r="Y37" s="70"/>
    </row>
    <row r="38" spans="1:25" x14ac:dyDescent="0.25">
      <c r="A38" s="96" t="s">
        <v>121</v>
      </c>
      <c r="B38" s="100">
        <v>0</v>
      </c>
      <c r="C38" s="100">
        <v>0</v>
      </c>
      <c r="D38" s="99">
        <v>3223</v>
      </c>
      <c r="E38" s="34"/>
      <c r="F38" s="34"/>
      <c r="G38" s="96" t="s">
        <v>169</v>
      </c>
      <c r="H38" s="100">
        <v>0</v>
      </c>
      <c r="I38" s="100">
        <v>0</v>
      </c>
      <c r="J38" s="99">
        <v>-135557</v>
      </c>
    </row>
    <row r="39" spans="1:25" x14ac:dyDescent="0.25">
      <c r="A39" s="97"/>
      <c r="B39" s="97"/>
      <c r="C39" s="97"/>
      <c r="D39" s="97"/>
      <c r="E39" s="34"/>
      <c r="F39" s="34"/>
      <c r="G39" s="96" t="s">
        <v>170</v>
      </c>
      <c r="H39" s="100">
        <v>0</v>
      </c>
      <c r="I39" s="99">
        <v>-18470</v>
      </c>
      <c r="J39" s="99">
        <v>-89060</v>
      </c>
      <c r="K39" s="65"/>
      <c r="L39" s="69"/>
      <c r="M39" s="65"/>
      <c r="N39" s="69"/>
      <c r="O39" s="69"/>
      <c r="T39" s="65"/>
      <c r="Y39" s="69"/>
    </row>
    <row r="40" spans="1:25" x14ac:dyDescent="0.25">
      <c r="A40" s="96" t="s">
        <v>65</v>
      </c>
      <c r="B40" s="99">
        <v>-107686</v>
      </c>
      <c r="C40" s="99">
        <v>-396829</v>
      </c>
      <c r="D40" s="99">
        <v>-87210</v>
      </c>
      <c r="E40" s="66"/>
      <c r="F40" s="66"/>
      <c r="G40" s="96" t="s">
        <v>171</v>
      </c>
      <c r="H40" s="99">
        <v>530</v>
      </c>
      <c r="I40" s="100">
        <v>0</v>
      </c>
      <c r="J40" s="100">
        <v>0</v>
      </c>
      <c r="K40" s="65"/>
      <c r="L40" s="70"/>
      <c r="M40" s="70"/>
      <c r="N40" s="70"/>
      <c r="O40" s="70"/>
      <c r="T40" s="70"/>
      <c r="Y40" s="70"/>
    </row>
    <row r="41" spans="1:25" x14ac:dyDescent="0.25">
      <c r="A41" s="96" t="s">
        <v>122</v>
      </c>
      <c r="B41" s="97"/>
      <c r="C41" s="97"/>
      <c r="D41" s="97"/>
      <c r="G41" s="96" t="s">
        <v>65</v>
      </c>
      <c r="H41" s="99">
        <v>-26387</v>
      </c>
      <c r="I41" s="99">
        <v>-83448</v>
      </c>
      <c r="J41" s="99">
        <v>-296780</v>
      </c>
      <c r="K41" s="65"/>
    </row>
    <row r="42" spans="1:25" x14ac:dyDescent="0.25">
      <c r="A42" s="96" t="s">
        <v>123</v>
      </c>
      <c r="B42" s="97"/>
      <c r="C42" s="97"/>
      <c r="D42" s="97"/>
      <c r="G42" s="96" t="s">
        <v>122</v>
      </c>
      <c r="H42" s="97"/>
      <c r="I42" s="97"/>
      <c r="J42" s="97"/>
      <c r="K42" s="65"/>
      <c r="L42" s="65"/>
      <c r="M42" s="65"/>
      <c r="N42" s="70"/>
      <c r="O42" s="70"/>
      <c r="T42" s="65"/>
      <c r="Y42" s="65"/>
    </row>
    <row r="43" spans="1:25" x14ac:dyDescent="0.25">
      <c r="A43" s="96" t="s">
        <v>124</v>
      </c>
      <c r="B43" s="99">
        <v>1627177</v>
      </c>
      <c r="C43" s="100">
        <v>0</v>
      </c>
      <c r="D43" s="100">
        <v>0</v>
      </c>
      <c r="G43" s="96" t="s">
        <v>172</v>
      </c>
      <c r="H43" s="97"/>
      <c r="I43" s="97"/>
      <c r="J43" s="97"/>
      <c r="K43" s="65"/>
      <c r="L43" s="69"/>
      <c r="M43" s="69"/>
      <c r="N43" s="69"/>
      <c r="O43" s="69"/>
      <c r="T43" s="69"/>
      <c r="Y43" s="69"/>
    </row>
    <row r="44" spans="1:25" x14ac:dyDescent="0.25">
      <c r="A44" s="96" t="s">
        <v>125</v>
      </c>
      <c r="B44" s="97"/>
      <c r="C44" s="97"/>
      <c r="D44" s="97"/>
      <c r="G44" s="96" t="s">
        <v>173</v>
      </c>
      <c r="H44" s="100">
        <v>0</v>
      </c>
      <c r="I44" s="99">
        <v>449457</v>
      </c>
      <c r="J44" s="100">
        <v>0</v>
      </c>
      <c r="K44" s="65"/>
      <c r="L44" s="69"/>
      <c r="M44" s="69"/>
      <c r="N44" s="69"/>
      <c r="O44" s="69"/>
      <c r="T44" s="69"/>
      <c r="Y44" s="69"/>
    </row>
    <row r="45" spans="1:25" x14ac:dyDescent="0.25">
      <c r="A45" s="96" t="s">
        <v>126</v>
      </c>
      <c r="B45" s="99">
        <v>-1086268</v>
      </c>
      <c r="C45" s="99">
        <v>-333632</v>
      </c>
      <c r="D45" s="100">
        <v>0</v>
      </c>
      <c r="G45" s="96" t="s">
        <v>174</v>
      </c>
      <c r="H45" s="100">
        <v>0</v>
      </c>
      <c r="I45" s="99">
        <v>-49910</v>
      </c>
      <c r="J45" s="100">
        <v>0</v>
      </c>
      <c r="K45" s="65"/>
      <c r="L45" s="69"/>
      <c r="M45" s="70"/>
      <c r="N45" s="69"/>
      <c r="O45" s="69"/>
      <c r="T45" s="70"/>
      <c r="Y45" s="69"/>
    </row>
    <row r="46" spans="1:25" x14ac:dyDescent="0.25">
      <c r="A46" s="96" t="s">
        <v>127</v>
      </c>
      <c r="B46" s="99">
        <v>-102695</v>
      </c>
      <c r="C46" s="100">
        <v>0</v>
      </c>
      <c r="D46" s="100">
        <v>0</v>
      </c>
      <c r="G46" s="96" t="s">
        <v>175</v>
      </c>
      <c r="H46" s="100">
        <v>0</v>
      </c>
      <c r="I46" s="99">
        <v>-15000</v>
      </c>
      <c r="J46" s="100">
        <v>0</v>
      </c>
      <c r="K46" s="65"/>
      <c r="L46" s="69"/>
      <c r="M46" s="65"/>
      <c r="N46" s="65"/>
      <c r="O46" s="65"/>
      <c r="T46" s="65"/>
      <c r="Y46" s="69"/>
    </row>
    <row r="47" spans="1:25" x14ac:dyDescent="0.25">
      <c r="A47" s="96" t="s">
        <v>128</v>
      </c>
      <c r="B47" s="97"/>
      <c r="C47" s="97"/>
      <c r="D47" s="97"/>
      <c r="G47" s="96" t="s">
        <v>176</v>
      </c>
      <c r="H47" s="97"/>
      <c r="I47" s="97"/>
      <c r="J47" s="97"/>
    </row>
    <row r="48" spans="1:25" x14ac:dyDescent="0.25">
      <c r="A48" s="96" t="s">
        <v>124</v>
      </c>
      <c r="B48" s="100">
        <v>0</v>
      </c>
      <c r="C48" s="99">
        <v>199449</v>
      </c>
      <c r="D48" s="100">
        <v>0</v>
      </c>
      <c r="G48" s="96" t="s">
        <v>177</v>
      </c>
      <c r="H48" s="99">
        <v>25495</v>
      </c>
      <c r="I48" s="99">
        <v>20621</v>
      </c>
      <c r="J48" s="99">
        <v>29827</v>
      </c>
      <c r="K48" s="65"/>
      <c r="L48" s="65"/>
      <c r="M48" s="69"/>
      <c r="N48" s="65"/>
      <c r="O48" s="65"/>
      <c r="T48" s="69"/>
      <c r="Y48" s="65"/>
    </row>
    <row r="49" spans="1:25" x14ac:dyDescent="0.25">
      <c r="A49" s="96" t="s">
        <v>129</v>
      </c>
      <c r="B49" s="100">
        <v>0</v>
      </c>
      <c r="C49" s="100">
        <v>0</v>
      </c>
      <c r="D49" s="99">
        <v>-99793</v>
      </c>
      <c r="G49" s="96" t="s">
        <v>178</v>
      </c>
      <c r="H49" s="97"/>
      <c r="I49" s="97"/>
      <c r="J49" s="97"/>
    </row>
    <row r="50" spans="1:25" x14ac:dyDescent="0.25">
      <c r="A50" s="96" t="s">
        <v>130</v>
      </c>
      <c r="B50" s="97"/>
      <c r="C50" s="97"/>
      <c r="D50" s="97"/>
      <c r="G50" s="96" t="s">
        <v>133</v>
      </c>
      <c r="H50" s="99">
        <v>-3691</v>
      </c>
      <c r="I50" s="99">
        <v>-7172</v>
      </c>
      <c r="J50" s="99">
        <v>-14666</v>
      </c>
      <c r="K50" s="65"/>
      <c r="L50" s="69"/>
      <c r="M50" s="69"/>
      <c r="N50" s="70"/>
      <c r="O50" s="70"/>
      <c r="T50" s="69"/>
      <c r="Y50" s="69"/>
    </row>
    <row r="51" spans="1:25" x14ac:dyDescent="0.25">
      <c r="A51" s="96" t="s">
        <v>131</v>
      </c>
      <c r="B51" s="99">
        <v>41230</v>
      </c>
      <c r="C51" s="99">
        <v>36721</v>
      </c>
      <c r="D51" s="99">
        <v>15855</v>
      </c>
      <c r="G51" s="96" t="s">
        <v>179</v>
      </c>
      <c r="H51" s="97"/>
      <c r="I51" s="97"/>
      <c r="J51" s="97"/>
      <c r="K51" s="65"/>
      <c r="L51" s="65"/>
      <c r="M51" s="65"/>
      <c r="N51" s="70"/>
      <c r="O51" s="70"/>
      <c r="T51" s="65"/>
      <c r="Y51" s="65"/>
    </row>
    <row r="52" spans="1:25" x14ac:dyDescent="0.25">
      <c r="A52" s="96" t="s">
        <v>132</v>
      </c>
      <c r="B52" s="97"/>
      <c r="C52" s="97"/>
      <c r="D52" s="97"/>
      <c r="G52" s="96" t="s">
        <v>180</v>
      </c>
      <c r="H52" s="100">
        <v>0</v>
      </c>
      <c r="I52" s="100">
        <v>0</v>
      </c>
      <c r="J52" s="99">
        <v>-5176</v>
      </c>
      <c r="K52" s="65"/>
      <c r="L52" s="69"/>
      <c r="M52" s="70"/>
      <c r="N52" s="69"/>
      <c r="O52" s="69"/>
      <c r="T52" s="70"/>
      <c r="Y52" s="69"/>
    </row>
    <row r="53" spans="1:25" x14ac:dyDescent="0.25">
      <c r="A53" s="96" t="s">
        <v>133</v>
      </c>
      <c r="B53" s="99">
        <v>-36717</v>
      </c>
      <c r="C53" s="99">
        <v>-21549</v>
      </c>
      <c r="D53" s="99">
        <v>-7598</v>
      </c>
      <c r="G53" s="96" t="s">
        <v>134</v>
      </c>
      <c r="H53" s="99">
        <v>-181</v>
      </c>
      <c r="I53" s="99">
        <v>-741</v>
      </c>
      <c r="J53" s="99">
        <v>-943</v>
      </c>
      <c r="K53" s="65"/>
      <c r="L53" s="69"/>
      <c r="M53" s="69"/>
      <c r="N53" s="69"/>
      <c r="O53" s="69"/>
      <c r="T53" s="69"/>
      <c r="Y53" s="69"/>
    </row>
    <row r="54" spans="1:25" x14ac:dyDescent="0.25">
      <c r="A54" s="96" t="s">
        <v>134</v>
      </c>
      <c r="B54" s="99">
        <v>-1489</v>
      </c>
      <c r="C54" s="99">
        <v>-4160</v>
      </c>
      <c r="D54" s="99">
        <v>-4815</v>
      </c>
      <c r="G54" s="96" t="s">
        <v>181</v>
      </c>
      <c r="H54" s="99">
        <v>-14840</v>
      </c>
      <c r="I54" s="100">
        <v>0</v>
      </c>
      <c r="J54" s="100">
        <v>0</v>
      </c>
      <c r="K54" s="65"/>
      <c r="L54" s="68"/>
      <c r="M54" s="68"/>
      <c r="N54" s="68"/>
      <c r="O54" s="68"/>
      <c r="T54" s="68"/>
      <c r="Y54" s="68"/>
    </row>
    <row r="55" spans="1:25" x14ac:dyDescent="0.25">
      <c r="A55" s="96" t="s">
        <v>135</v>
      </c>
      <c r="B55" s="99">
        <v>-3648</v>
      </c>
      <c r="C55" s="99">
        <v>-3880</v>
      </c>
      <c r="D55" s="99">
        <v>-1867</v>
      </c>
      <c r="G55" s="96" t="s">
        <v>182</v>
      </c>
      <c r="H55" s="99">
        <v>6783</v>
      </c>
      <c r="I55" s="99">
        <v>397255</v>
      </c>
      <c r="J55" s="99">
        <v>9042</v>
      </c>
    </row>
    <row r="56" spans="1:25" x14ac:dyDescent="0.25">
      <c r="A56" s="96" t="s">
        <v>66</v>
      </c>
      <c r="B56" s="99">
        <v>437590</v>
      </c>
      <c r="C56" s="99">
        <v>-127051</v>
      </c>
      <c r="D56" s="99">
        <v>-98218</v>
      </c>
      <c r="G56" s="96" t="s">
        <v>136</v>
      </c>
      <c r="H56" s="99">
        <v>-724</v>
      </c>
      <c r="I56" s="99">
        <v>-800</v>
      </c>
      <c r="J56" s="99">
        <v>169</v>
      </c>
    </row>
    <row r="57" spans="1:25" x14ac:dyDescent="0.25">
      <c r="A57" s="96" t="s">
        <v>136</v>
      </c>
      <c r="B57" s="99">
        <v>1534</v>
      </c>
      <c r="C57" s="99">
        <v>-962</v>
      </c>
      <c r="D57" s="99">
        <v>-3055</v>
      </c>
      <c r="G57" s="96" t="s">
        <v>183</v>
      </c>
      <c r="H57" s="97"/>
      <c r="I57" s="97"/>
      <c r="J57" s="97"/>
    </row>
    <row r="58" spans="1:25" x14ac:dyDescent="0.25">
      <c r="A58" s="96" t="s">
        <v>137</v>
      </c>
      <c r="B58" s="97"/>
      <c r="C58" s="97"/>
      <c r="D58" s="97"/>
      <c r="G58" s="96" t="s">
        <v>184</v>
      </c>
      <c r="H58" s="99">
        <v>20837</v>
      </c>
      <c r="I58" s="99">
        <v>385137</v>
      </c>
      <c r="J58" s="99">
        <v>-222723</v>
      </c>
    </row>
    <row r="59" spans="1:25" x14ac:dyDescent="0.25">
      <c r="A59" s="96" t="s">
        <v>138</v>
      </c>
      <c r="B59" s="99">
        <v>296247</v>
      </c>
      <c r="C59" s="99">
        <v>-372691</v>
      </c>
      <c r="D59" s="99">
        <v>2822</v>
      </c>
      <c r="G59" s="96" t="s">
        <v>139</v>
      </c>
      <c r="H59" s="97"/>
      <c r="I59" s="97"/>
      <c r="J59" s="97"/>
    </row>
    <row r="60" spans="1:25" x14ac:dyDescent="0.25">
      <c r="A60" s="96" t="s">
        <v>139</v>
      </c>
      <c r="B60" s="97"/>
      <c r="C60" s="97"/>
      <c r="D60" s="97"/>
      <c r="G60" s="96" t="s">
        <v>140</v>
      </c>
      <c r="H60" s="99">
        <v>160355</v>
      </c>
      <c r="I60" s="99">
        <v>181192</v>
      </c>
      <c r="J60" s="99">
        <v>566329</v>
      </c>
    </row>
    <row r="61" spans="1:25" x14ac:dyDescent="0.25">
      <c r="A61" s="96" t="s">
        <v>140</v>
      </c>
      <c r="B61" s="99">
        <v>343606</v>
      </c>
      <c r="C61" s="99">
        <v>639853</v>
      </c>
      <c r="D61" s="99">
        <v>267162</v>
      </c>
      <c r="G61" s="96" t="s">
        <v>141</v>
      </c>
      <c r="H61" s="98">
        <v>181192</v>
      </c>
      <c r="I61" s="98">
        <v>566329</v>
      </c>
      <c r="J61" s="98">
        <v>343606</v>
      </c>
    </row>
    <row r="62" spans="1:25" x14ac:dyDescent="0.25">
      <c r="A62" s="96" t="s">
        <v>141</v>
      </c>
      <c r="B62" s="98">
        <v>639853</v>
      </c>
      <c r="C62" s="98">
        <v>267162</v>
      </c>
      <c r="D62" s="98">
        <v>269984</v>
      </c>
      <c r="G62" s="96" t="s">
        <v>142</v>
      </c>
      <c r="H62" s="97"/>
      <c r="I62" s="97"/>
      <c r="J62" s="97"/>
    </row>
    <row r="63" spans="1:25" x14ac:dyDescent="0.25">
      <c r="A63" s="96" t="s">
        <v>142</v>
      </c>
      <c r="B63" s="97"/>
      <c r="C63" s="97"/>
      <c r="D63" s="97"/>
      <c r="G63" s="96" t="s">
        <v>143</v>
      </c>
      <c r="H63" s="98">
        <v>116</v>
      </c>
      <c r="I63" s="98">
        <v>40</v>
      </c>
      <c r="J63" s="98">
        <v>189</v>
      </c>
    </row>
    <row r="64" spans="1:25" x14ac:dyDescent="0.25">
      <c r="A64" s="96" t="s">
        <v>143</v>
      </c>
      <c r="B64" s="98">
        <v>220</v>
      </c>
      <c r="C64" s="98">
        <v>309</v>
      </c>
      <c r="D64" s="98">
        <v>347</v>
      </c>
      <c r="G64" s="96" t="s">
        <v>144</v>
      </c>
      <c r="H64" s="98">
        <v>216</v>
      </c>
      <c r="I64" s="98">
        <v>433</v>
      </c>
      <c r="J64" s="98">
        <v>996</v>
      </c>
    </row>
    <row r="65" spans="1:10" x14ac:dyDescent="0.25">
      <c r="A65" s="96" t="s">
        <v>144</v>
      </c>
      <c r="B65" s="98">
        <v>870</v>
      </c>
      <c r="C65" s="98">
        <v>1388</v>
      </c>
      <c r="D65" s="98">
        <v>3726</v>
      </c>
      <c r="G65" s="96" t="s">
        <v>145</v>
      </c>
      <c r="H65" s="97"/>
      <c r="I65" s="97"/>
      <c r="J65" s="97"/>
    </row>
    <row r="66" spans="1:10" x14ac:dyDescent="0.25">
      <c r="A66" s="96" t="s">
        <v>145</v>
      </c>
      <c r="B66" s="97"/>
      <c r="C66" s="97"/>
      <c r="D66" s="97"/>
      <c r="G66" s="96" t="s">
        <v>150</v>
      </c>
      <c r="H66" s="97"/>
      <c r="I66" s="97"/>
      <c r="J66" s="97"/>
    </row>
    <row r="67" spans="1:10" x14ac:dyDescent="0.25">
      <c r="A67" s="96" t="s">
        <v>146</v>
      </c>
      <c r="B67" s="101">
        <v>0</v>
      </c>
      <c r="C67" s="98">
        <v>302600</v>
      </c>
      <c r="D67" s="100">
        <v>0</v>
      </c>
      <c r="G67" s="96" t="s">
        <v>151</v>
      </c>
      <c r="H67" s="101">
        <v>0</v>
      </c>
      <c r="I67" s="98">
        <v>971</v>
      </c>
      <c r="J67" s="98">
        <v>7148</v>
      </c>
    </row>
    <row r="68" spans="1:10" x14ac:dyDescent="0.25">
      <c r="A68" s="96" t="s">
        <v>147</v>
      </c>
      <c r="B68" s="101">
        <v>0</v>
      </c>
      <c r="C68" s="98">
        <v>50000</v>
      </c>
      <c r="D68" s="101">
        <v>0</v>
      </c>
      <c r="G68" s="96" t="s">
        <v>148</v>
      </c>
      <c r="H68" s="97"/>
      <c r="I68" s="97"/>
      <c r="J68" s="97"/>
    </row>
    <row r="69" spans="1:10" x14ac:dyDescent="0.25">
      <c r="A69" s="96" t="s">
        <v>148</v>
      </c>
      <c r="B69" s="97"/>
      <c r="C69" s="97"/>
      <c r="D69" s="97"/>
      <c r="G69" s="96" t="s">
        <v>149</v>
      </c>
      <c r="H69" s="98">
        <v>1699</v>
      </c>
      <c r="I69" s="98">
        <v>4785</v>
      </c>
      <c r="J69" s="98">
        <v>5215</v>
      </c>
    </row>
    <row r="70" spans="1:10" x14ac:dyDescent="0.25">
      <c r="A70" s="96" t="s">
        <v>149</v>
      </c>
      <c r="B70" s="98">
        <v>7926</v>
      </c>
      <c r="C70" s="98">
        <v>7343</v>
      </c>
      <c r="D70" s="98">
        <v>6808</v>
      </c>
      <c r="G70" s="96" t="s">
        <v>185</v>
      </c>
      <c r="H70" s="101">
        <v>0</v>
      </c>
      <c r="I70" s="101">
        <v>0</v>
      </c>
      <c r="J70" s="98">
        <v>16450</v>
      </c>
    </row>
    <row r="71" spans="1:10" x14ac:dyDescent="0.25">
      <c r="A71" s="96" t="s">
        <v>150</v>
      </c>
      <c r="B71" s="97"/>
      <c r="C71" s="97"/>
      <c r="D71" s="97"/>
      <c r="G71" s="96" t="s">
        <v>186</v>
      </c>
      <c r="H71" s="97"/>
      <c r="I71" s="97"/>
      <c r="J71" s="97"/>
    </row>
    <row r="72" spans="1:10" x14ac:dyDescent="0.25">
      <c r="A72" s="96" t="s">
        <v>151</v>
      </c>
      <c r="B72" s="98">
        <v>197</v>
      </c>
      <c r="C72" s="101">
        <v>0</v>
      </c>
      <c r="D72" s="101">
        <v>0</v>
      </c>
      <c r="G72" s="96" t="s">
        <v>187</v>
      </c>
      <c r="H72" s="101">
        <v>0</v>
      </c>
      <c r="I72" s="101">
        <v>0</v>
      </c>
      <c r="J72" s="98">
        <v>345000</v>
      </c>
    </row>
    <row r="73" spans="1:10" x14ac:dyDescent="0.25">
      <c r="A73" s="97"/>
      <c r="B73" s="97"/>
      <c r="C73" s="97"/>
      <c r="D73" s="97"/>
      <c r="G73" s="96" t="s">
        <v>188</v>
      </c>
      <c r="H73" s="97"/>
      <c r="I73" s="97"/>
      <c r="J73" s="97"/>
    </row>
    <row r="74" spans="1:10" x14ac:dyDescent="0.25">
      <c r="A74" s="96" t="s">
        <v>152</v>
      </c>
      <c r="B74" s="98">
        <v>4694</v>
      </c>
      <c r="C74" s="98">
        <v>6898</v>
      </c>
      <c r="D74" s="101">
        <v>0</v>
      </c>
      <c r="G74" s="96" t="s">
        <v>189</v>
      </c>
      <c r="H74" s="101">
        <v>0</v>
      </c>
      <c r="I74" s="98">
        <v>8223</v>
      </c>
      <c r="J74" s="101">
        <v>0</v>
      </c>
    </row>
    <row r="75" spans="1:10" x14ac:dyDescent="0.25">
      <c r="G75" s="96" t="s">
        <v>190</v>
      </c>
      <c r="H75" s="97"/>
      <c r="I75" s="97"/>
      <c r="J75" s="97"/>
    </row>
    <row r="76" spans="1:10" x14ac:dyDescent="0.25">
      <c r="G76" s="96" t="s">
        <v>152</v>
      </c>
      <c r="H76" s="101">
        <v>0</v>
      </c>
      <c r="I76" s="98">
        <v>4513</v>
      </c>
      <c r="J76" s="101">
        <v>0</v>
      </c>
    </row>
    <row r="77" spans="1:10" x14ac:dyDescent="0.25">
      <c r="G77" s="96" t="s">
        <v>191</v>
      </c>
      <c r="H77" s="98">
        <v>3560</v>
      </c>
      <c r="I77" s="98">
        <v>5375</v>
      </c>
      <c r="J77" s="101">
        <v>0</v>
      </c>
    </row>
  </sheetData>
  <sortState xmlns:xlrd2="http://schemas.microsoft.com/office/spreadsheetml/2017/richdata2" columnSort="1" ref="H5:J77">
    <sortCondition ref="H5:J5"/>
  </sortState>
  <mergeCells count="3">
    <mergeCell ref="G1:H1"/>
    <mergeCell ref="G2:H2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G14" sqref="G14"/>
    </sheetView>
  </sheetViews>
  <sheetFormatPr defaultRowHeight="15" x14ac:dyDescent="0.25"/>
  <cols>
    <col min="3" max="3" width="12.42578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6" t="s">
        <v>1</v>
      </c>
      <c r="C2" s="2"/>
      <c r="D2" s="2"/>
      <c r="E2" s="2"/>
      <c r="F2" s="2"/>
      <c r="G2" s="2"/>
      <c r="H2" s="2"/>
      <c r="I2" s="2"/>
      <c r="J2" s="2"/>
      <c r="K2" s="2"/>
      <c r="L2" s="37"/>
    </row>
    <row r="3" spans="1:14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2"/>
    </row>
    <row r="4" spans="1:14" x14ac:dyDescent="0.25">
      <c r="A4" s="39" t="s">
        <v>42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0">
        <f>'RNG DCF'!P44</f>
        <v>0.22500000000000001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0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73">
        <v>1.5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0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4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1">
        <f>'RNG DCF'!D70</f>
        <v>2700403.85084</v>
      </c>
      <c r="D12" s="2"/>
      <c r="E12" s="2" t="s">
        <v>35</v>
      </c>
      <c r="F12" s="2"/>
      <c r="G12" s="21">
        <f>'RNG DCF'!D67</f>
        <v>555613</v>
      </c>
      <c r="H12" s="2"/>
      <c r="I12" s="2" t="s">
        <v>47</v>
      </c>
      <c r="J12" s="2"/>
      <c r="K12" s="21">
        <f>G12+C12</f>
        <v>3256016.85084</v>
      </c>
      <c r="L12" s="2"/>
    </row>
    <row r="13" spans="1:14" x14ac:dyDescent="0.25">
      <c r="A13" s="2" t="s">
        <v>48</v>
      </c>
      <c r="B13" s="2"/>
      <c r="C13" s="41">
        <f>C12/K12</f>
        <v>0.82935806985867999</v>
      </c>
      <c r="D13" s="2"/>
      <c r="E13" s="2" t="s">
        <v>49</v>
      </c>
      <c r="F13" s="2"/>
      <c r="G13" s="42">
        <f>G12/K12</f>
        <v>0.17064193014132001</v>
      </c>
      <c r="H13" s="2"/>
      <c r="I13" s="2"/>
      <c r="J13" s="2"/>
      <c r="K13" s="2"/>
      <c r="L13" s="2"/>
      <c r="M13" s="34"/>
    </row>
    <row r="14" spans="1:14" x14ac:dyDescent="0.25">
      <c r="A14" s="2" t="s">
        <v>50</v>
      </c>
      <c r="B14" s="2"/>
      <c r="C14" s="43">
        <f>D7+D8*(D9)</f>
        <v>0.127</v>
      </c>
      <c r="D14" s="2"/>
      <c r="E14" s="2" t="s">
        <v>51</v>
      </c>
      <c r="F14" s="2"/>
      <c r="G14" s="44">
        <v>0.04</v>
      </c>
      <c r="H14" s="2"/>
      <c r="I14" s="45" t="s">
        <v>1</v>
      </c>
      <c r="J14" s="46"/>
      <c r="K14" s="63">
        <f>C13*C14+G14*G13*(1-D6)</f>
        <v>0.11061837470643329</v>
      </c>
      <c r="L14" s="2"/>
    </row>
    <row r="15" spans="1:14" x14ac:dyDescent="0.25">
      <c r="D15" s="34"/>
      <c r="G15" s="34"/>
      <c r="J15" s="34"/>
      <c r="M15" s="34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4"/>
      <c r="G17" s="34"/>
      <c r="J17" s="34"/>
      <c r="M17" s="34"/>
    </row>
    <row r="21" spans="4:13" x14ac:dyDescent="0.25">
      <c r="D21" s="34"/>
      <c r="E21" s="34"/>
      <c r="F21" s="34"/>
      <c r="G21" s="34"/>
      <c r="H21" s="34"/>
      <c r="I21" s="34"/>
      <c r="J21" s="34"/>
      <c r="K21" s="34"/>
      <c r="L21" s="34"/>
      <c r="M2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RNG DCF</vt:lpstr>
      <vt:lpstr>Sheet1</vt:lpstr>
      <vt:lpstr>Sheet2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2023-08-22T10:24:50Z</dcterms:modified>
</cp:coreProperties>
</file>