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024580B8-763C-48FB-BB3C-166371039463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AAP DCF" sheetId="1" r:id="rId1"/>
    <sheet name="Raw IS" sheetId="5" r:id="rId2"/>
    <sheet name="Raw CF" sheetId="4" r:id="rId3"/>
    <sheet name="WAC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6" i="1" l="1"/>
  <c r="L55" i="1"/>
  <c r="L59" i="1"/>
  <c r="L58" i="1"/>
  <c r="I40" i="1"/>
  <c r="D56" i="1"/>
  <c r="D58" i="1"/>
  <c r="I38" i="1"/>
  <c r="I11" i="1"/>
  <c r="J11" i="1" s="1"/>
  <c r="H46" i="1"/>
  <c r="H38" i="1"/>
  <c r="G33" i="1"/>
  <c r="H33" i="1"/>
  <c r="F33" i="1"/>
  <c r="G25" i="1"/>
  <c r="H25" i="1"/>
  <c r="F25" i="1"/>
  <c r="D25" i="1"/>
  <c r="E25" i="1"/>
  <c r="C25" i="1"/>
  <c r="G19" i="1"/>
  <c r="G22" i="1" s="1"/>
  <c r="H19" i="1"/>
  <c r="F19" i="1"/>
  <c r="F22" i="1" s="1"/>
  <c r="D19" i="1"/>
  <c r="E19" i="1"/>
  <c r="E22" i="1" s="1"/>
  <c r="C19" i="1"/>
  <c r="G14" i="1"/>
  <c r="H14" i="1"/>
  <c r="F14" i="1"/>
  <c r="D14" i="1"/>
  <c r="E14" i="1"/>
  <c r="C14" i="1"/>
  <c r="G11" i="1"/>
  <c r="G16" i="1" s="1"/>
  <c r="H11" i="1"/>
  <c r="H16" i="1" s="1"/>
  <c r="F11" i="1"/>
  <c r="F16" i="1" s="1"/>
  <c r="D11" i="1"/>
  <c r="D16" i="1" s="1"/>
  <c r="E11" i="1"/>
  <c r="E16" i="1" s="1"/>
  <c r="C11" i="1"/>
  <c r="C16" i="1" s="1"/>
  <c r="D59" i="1"/>
  <c r="C12" i="2" s="1"/>
  <c r="H22" i="1"/>
  <c r="D22" i="1"/>
  <c r="C38" i="1"/>
  <c r="G12" i="2"/>
  <c r="C14" i="2"/>
  <c r="J9" i="1"/>
  <c r="K9" i="1" s="1"/>
  <c r="L9" i="1" s="1"/>
  <c r="M9" i="1" s="1"/>
  <c r="N9" i="1" s="1"/>
  <c r="O9" i="1" s="1"/>
  <c r="P9" i="1" s="1"/>
  <c r="Q9" i="1" s="1"/>
  <c r="R9" i="1" s="1"/>
  <c r="J40" i="1" l="1"/>
  <c r="K11" i="1"/>
  <c r="E24" i="1"/>
  <c r="E28" i="1" s="1"/>
  <c r="G24" i="1"/>
  <c r="G28" i="1" s="1"/>
  <c r="G47" i="1" s="1"/>
  <c r="E38" i="1"/>
  <c r="E20" i="1"/>
  <c r="D24" i="1"/>
  <c r="D28" i="1" s="1"/>
  <c r="H24" i="1"/>
  <c r="H28" i="1" s="1"/>
  <c r="H47" i="1" s="1"/>
  <c r="F24" i="1"/>
  <c r="F28" i="1" s="1"/>
  <c r="F47" i="1" s="1"/>
  <c r="D44" i="1"/>
  <c r="F12" i="1"/>
  <c r="F20" i="1"/>
  <c r="C26" i="1"/>
  <c r="D26" i="1"/>
  <c r="H26" i="1"/>
  <c r="E26" i="1"/>
  <c r="F26" i="1"/>
  <c r="G26" i="1"/>
  <c r="I25" i="1"/>
  <c r="C44" i="1"/>
  <c r="D38" i="1"/>
  <c r="F41" i="1"/>
  <c r="F44" i="1"/>
  <c r="G41" i="1"/>
  <c r="E44" i="1"/>
  <c r="G44" i="1"/>
  <c r="G38" i="1"/>
  <c r="G12" i="1"/>
  <c r="F38" i="1"/>
  <c r="G20" i="1"/>
  <c r="D20" i="1"/>
  <c r="C20" i="1"/>
  <c r="C22" i="1"/>
  <c r="C24" i="1" s="1"/>
  <c r="C28" i="1" s="1"/>
  <c r="D12" i="1"/>
  <c r="D41" i="1"/>
  <c r="H12" i="1"/>
  <c r="I16" i="1"/>
  <c r="I14" i="1" s="1"/>
  <c r="D17" i="1"/>
  <c r="F17" i="1"/>
  <c r="C17" i="1"/>
  <c r="H20" i="1"/>
  <c r="C41" i="1"/>
  <c r="H41" i="1"/>
  <c r="H44" i="1"/>
  <c r="E12" i="1"/>
  <c r="E41" i="1"/>
  <c r="K12" i="2"/>
  <c r="G13" i="2" s="1"/>
  <c r="G30" i="1"/>
  <c r="G46" i="1" s="1"/>
  <c r="G17" i="1"/>
  <c r="L11" i="1" l="1"/>
  <c r="K40" i="1"/>
  <c r="E17" i="1"/>
  <c r="E30" i="1"/>
  <c r="H17" i="1"/>
  <c r="C13" i="2"/>
  <c r="K14" i="2" s="1"/>
  <c r="E5" i="1" s="1"/>
  <c r="F30" i="1"/>
  <c r="D30" i="1"/>
  <c r="D33" i="1" s="1"/>
  <c r="D47" i="1" s="1"/>
  <c r="H30" i="1"/>
  <c r="H49" i="1" s="1"/>
  <c r="G34" i="1"/>
  <c r="G31" i="1"/>
  <c r="G49" i="1"/>
  <c r="M11" i="1" l="1"/>
  <c r="L40" i="1"/>
  <c r="E33" i="1"/>
  <c r="E47" i="1" s="1"/>
  <c r="E31" i="1"/>
  <c r="H31" i="1"/>
  <c r="F34" i="1"/>
  <c r="F46" i="1"/>
  <c r="F49" i="1" s="1"/>
  <c r="D46" i="1"/>
  <c r="D49" i="1" s="1"/>
  <c r="C30" i="1"/>
  <c r="C33" i="1" s="1"/>
  <c r="C47" i="1" s="1"/>
  <c r="D31" i="1"/>
  <c r="F31" i="1"/>
  <c r="H34" i="1"/>
  <c r="N11" i="1" l="1"/>
  <c r="M40" i="1"/>
  <c r="E46" i="1"/>
  <c r="E49" i="1" s="1"/>
  <c r="C46" i="1"/>
  <c r="C49" i="1" s="1"/>
  <c r="C31" i="1"/>
  <c r="I43" i="1"/>
  <c r="O11" i="1" l="1"/>
  <c r="N40" i="1"/>
  <c r="I19" i="1"/>
  <c r="I22" i="1" s="1"/>
  <c r="I24" i="1" s="1"/>
  <c r="P11" i="1" l="1"/>
  <c r="O40" i="1"/>
  <c r="I28" i="1"/>
  <c r="Q11" i="1" l="1"/>
  <c r="P40" i="1"/>
  <c r="I30" i="1"/>
  <c r="R11" i="1" l="1"/>
  <c r="R40" i="1" s="1"/>
  <c r="Q40" i="1"/>
  <c r="I31" i="1"/>
  <c r="I33" i="1"/>
  <c r="I46" i="1" s="1"/>
  <c r="I47" i="1" l="1"/>
  <c r="I49" i="1"/>
  <c r="I50" i="1" s="1"/>
  <c r="J25" i="1" l="1"/>
  <c r="J43" i="1"/>
  <c r="J19" i="1"/>
  <c r="J22" i="1" s="1"/>
  <c r="J16" i="1"/>
  <c r="J14" i="1" s="1"/>
  <c r="J24" i="1" l="1"/>
  <c r="J30" i="1" s="1"/>
  <c r="J33" i="1" s="1"/>
  <c r="J28" i="1" l="1"/>
  <c r="J47" i="1" s="1"/>
  <c r="J31" i="1"/>
  <c r="J46" i="1"/>
  <c r="K19" i="1"/>
  <c r="K22" i="1" s="1"/>
  <c r="K24" i="1" s="1"/>
  <c r="K16" i="1"/>
  <c r="K14" i="1" s="1"/>
  <c r="K25" i="1"/>
  <c r="K43" i="1"/>
  <c r="K30" i="1" l="1"/>
  <c r="L19" i="1"/>
  <c r="L22" i="1" s="1"/>
  <c r="L24" i="1" s="1"/>
  <c r="L16" i="1"/>
  <c r="L14" i="1" s="1"/>
  <c r="L43" i="1"/>
  <c r="L25" i="1"/>
  <c r="L30" i="1" l="1"/>
  <c r="K31" i="1"/>
  <c r="K33" i="1"/>
  <c r="K46" i="1" s="1"/>
  <c r="K28" i="1"/>
  <c r="L28" i="1"/>
  <c r="K47" i="1" l="1"/>
  <c r="L31" i="1"/>
  <c r="L33" i="1"/>
  <c r="L47" i="1" s="1"/>
  <c r="M19" i="1"/>
  <c r="M22" i="1" s="1"/>
  <c r="M24" i="1" s="1"/>
  <c r="M16" i="1"/>
  <c r="M14" i="1" s="1"/>
  <c r="M25" i="1"/>
  <c r="M43" i="1"/>
  <c r="L46" i="1" l="1"/>
  <c r="M28" i="1"/>
  <c r="M30" i="1"/>
  <c r="M33" i="1" l="1"/>
  <c r="M46" i="1" s="1"/>
  <c r="M31" i="1"/>
  <c r="N19" i="1"/>
  <c r="N22" i="1" s="1"/>
  <c r="N16" i="1"/>
  <c r="N14" i="1" s="1"/>
  <c r="N43" i="1"/>
  <c r="N25" i="1"/>
  <c r="N24" i="1" l="1"/>
  <c r="M47" i="1"/>
  <c r="N28" i="1"/>
  <c r="N30" i="1"/>
  <c r="N33" i="1" l="1"/>
  <c r="N31" i="1"/>
  <c r="O43" i="1"/>
  <c r="O25" i="1"/>
  <c r="O19" i="1"/>
  <c r="O22" i="1" s="1"/>
  <c r="O16" i="1"/>
  <c r="O14" i="1" s="1"/>
  <c r="O24" i="1" l="1"/>
  <c r="N46" i="1"/>
  <c r="N47" i="1"/>
  <c r="O28" i="1"/>
  <c r="O30" i="1"/>
  <c r="O33" i="1" l="1"/>
  <c r="O46" i="1" s="1"/>
  <c r="O31" i="1"/>
  <c r="P19" i="1"/>
  <c r="P22" i="1" s="1"/>
  <c r="P16" i="1"/>
  <c r="P14" i="1" s="1"/>
  <c r="P43" i="1"/>
  <c r="P25" i="1"/>
  <c r="P24" i="1" l="1"/>
  <c r="P28" i="1" s="1"/>
  <c r="O47" i="1"/>
  <c r="P30" i="1"/>
  <c r="P31" i="1" l="1"/>
  <c r="P33" i="1"/>
  <c r="Q19" i="1"/>
  <c r="Q22" i="1" s="1"/>
  <c r="Q43" i="1"/>
  <c r="Q25" i="1"/>
  <c r="Q16" i="1"/>
  <c r="Q14" i="1" s="1"/>
  <c r="Q24" i="1" l="1"/>
  <c r="Q28" i="1" s="1"/>
  <c r="P47" i="1"/>
  <c r="P46" i="1"/>
  <c r="Q30" i="1" l="1"/>
  <c r="Q31" i="1"/>
  <c r="Q33" i="1"/>
  <c r="Q46" i="1" s="1"/>
  <c r="R19" i="1"/>
  <c r="R22" i="1" s="1"/>
  <c r="R43" i="1"/>
  <c r="R25" i="1"/>
  <c r="R16" i="1"/>
  <c r="R14" i="1" s="1"/>
  <c r="R24" i="1" l="1"/>
  <c r="R30" i="1" s="1"/>
  <c r="Q47" i="1"/>
  <c r="R28" i="1" l="1"/>
  <c r="R33" i="1"/>
  <c r="R31" i="1"/>
  <c r="R47" i="1" l="1"/>
  <c r="R46" i="1"/>
  <c r="S47" i="1" l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V47" i="1" s="1"/>
  <c r="AW47" i="1" s="1"/>
  <c r="AX47" i="1" s="1"/>
  <c r="AY47" i="1" s="1"/>
  <c r="AZ47" i="1" s="1"/>
  <c r="BA47" i="1" s="1"/>
  <c r="BB47" i="1" s="1"/>
  <c r="BC47" i="1" s="1"/>
  <c r="BD47" i="1" s="1"/>
  <c r="BE47" i="1" s="1"/>
  <c r="BF47" i="1" s="1"/>
  <c r="BG47" i="1" s="1"/>
  <c r="BH47" i="1" s="1"/>
  <c r="BI47" i="1" s="1"/>
  <c r="BJ47" i="1" s="1"/>
  <c r="BK47" i="1" s="1"/>
  <c r="BL47" i="1" s="1"/>
  <c r="BM47" i="1" s="1"/>
  <c r="BN47" i="1" s="1"/>
  <c r="BO47" i="1" s="1"/>
  <c r="BP47" i="1" s="1"/>
  <c r="BQ47" i="1" s="1"/>
  <c r="BR47" i="1" s="1"/>
  <c r="BS47" i="1" s="1"/>
  <c r="BT47" i="1" s="1"/>
  <c r="BU47" i="1" s="1"/>
  <c r="BV47" i="1" s="1"/>
  <c r="BW47" i="1" s="1"/>
  <c r="BX47" i="1" s="1"/>
  <c r="BY47" i="1" s="1"/>
  <c r="BZ47" i="1" s="1"/>
  <c r="CA47" i="1" s="1"/>
  <c r="CB47" i="1" s="1"/>
  <c r="CC47" i="1" s="1"/>
  <c r="CD47" i="1" s="1"/>
  <c r="CE47" i="1" s="1"/>
  <c r="CF47" i="1" s="1"/>
  <c r="CG47" i="1" s="1"/>
  <c r="CH47" i="1" s="1"/>
  <c r="F52" i="1" l="1"/>
  <c r="H55" i="1" s="1"/>
  <c r="H57" i="1" s="1"/>
  <c r="H60" i="1" s="1"/>
  <c r="J38" i="1"/>
  <c r="K38" i="1"/>
  <c r="L38" i="1"/>
  <c r="M38" i="1"/>
  <c r="N38" i="1"/>
  <c r="O38" i="1"/>
  <c r="P38" i="1"/>
  <c r="Q38" i="1"/>
  <c r="R38" i="1"/>
  <c r="J49" i="1"/>
  <c r="J50" i="1" s="1"/>
  <c r="K49" i="1"/>
  <c r="K50" i="1" s="1"/>
  <c r="L49" i="1"/>
  <c r="L50" i="1" s="1"/>
  <c r="M49" i="1"/>
  <c r="M50" i="1" s="1"/>
  <c r="N49" i="1"/>
  <c r="N50" i="1" s="1"/>
  <c r="O49" i="1"/>
  <c r="O50" i="1" s="1"/>
  <c r="P49" i="1"/>
  <c r="P50" i="1" s="1"/>
  <c r="Q49" i="1"/>
  <c r="Q50" i="1" s="1"/>
  <c r="R49" i="1"/>
  <c r="C52" i="1" s="1"/>
  <c r="C53" i="1" s="1"/>
  <c r="R50" i="1" l="1"/>
  <c r="G55" i="1" s="1"/>
  <c r="G57" i="1" s="1"/>
  <c r="G60" i="1" s="1"/>
  <c r="E60" i="1" s="1"/>
  <c r="L54" i="1" l="1"/>
  <c r="J6" i="1"/>
  <c r="N5" i="1" s="1"/>
</calcChain>
</file>

<file path=xl/sharedStrings.xml><?xml version="1.0" encoding="utf-8"?>
<sst xmlns="http://schemas.openxmlformats.org/spreadsheetml/2006/main" count="104" uniqueCount="73">
  <si>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</si>
  <si>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</si>
  <si>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</si>
  <si>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</si>
  <si>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</si>
  <si>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</si>
  <si>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</si>
  <si>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</si>
  <si>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</si>
  <si>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</si>
  <si>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</si>
  <si>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</si>
  <si>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</si>
  <si>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</si>
  <si>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</si>
  <si>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</si>
  <si>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</si>
  <si>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</si>
  <si>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</si>
  <si>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</si>
  <si>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</si>
  <si>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</si>
  <si>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</si>
  <si>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</si>
  <si>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</si>
  <si>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</si>
  <si>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</si>
  <si>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</si>
  <si>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</si>
  <si>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</si>
  <si>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</si>
  <si>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</si>
  <si>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</si>
  <si>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</si>
  <si>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</si>
  <si>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</si>
  <si>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</si>
  <si>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</si>
  <si>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</si>
  <si>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</si>
  <si>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</si>
  <si>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</si>
  <si>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</si>
  <si>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</si>
  <si>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</si>
  <si>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</si>
  <si>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</si>
  <si>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</si>
  <si>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</si>
  <si>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</si>
  <si>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/>
  </si>
  <si>
    <t>Other income, net</t>
  </si>
  <si>
    <t>Other income</t>
  </si>
  <si>
    <t>Terminal Growth Rate</t>
  </si>
  <si>
    <t>Year Ended</t>
  </si>
  <si>
    <t>Net sales</t>
  </si>
  <si>
    <t>Cost of sales</t>
  </si>
  <si>
    <t>Gross profit</t>
  </si>
  <si>
    <t>Selling, general and administrative expenses</t>
  </si>
  <si>
    <t>Other, net:</t>
  </si>
  <si>
    <t>Interest expense</t>
  </si>
  <si>
    <t>Loss on early redemptions of senior unsecured notes</t>
  </si>
  <si>
    <t>Other (expense) income, net</t>
  </si>
  <si>
    <t>Total other, net</t>
  </si>
  <si>
    <t>Income before provision for income taxes</t>
  </si>
  <si>
    <t>Provision for income taxes</t>
  </si>
  <si>
    <t>Basic earnings per common share</t>
  </si>
  <si>
    <t>Weighted average common shares outstanding</t>
  </si>
  <si>
    <t>Diluted earnings per common share</t>
  </si>
  <si>
    <t>Cost of sales, including purchasing and</t>
  </si>
  <si>
    <t>warehousing costs</t>
  </si>
  <si>
    <t>Advance Auto Parts DCF</t>
  </si>
  <si>
    <t>Update: 18/07/2023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</si>
</sst>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165" fontId="10" fillId="0" borderId="0" xfId="0" applyNumberFormat="1" applyFont="1" applyAlignment="1">
      <alignment vertical="top"/>
    </xf>
    <xf numFmtId="37" fontId="10" fillId="0" borderId="0" xfId="0" applyNumberFormat="1" applyFont="1" applyAlignment="1">
      <alignment vertical="top"/>
    </xf>
    <xf numFmtId="166" fontId="10" fillId="0" borderId="0" xfId="0" applyNumberFormat="1" applyFont="1" applyAlignment="1">
      <alignment vertical="top"/>
    </xf>
    <xf numFmtId="167" fontId="10" fillId="0" borderId="0" xfId="0" applyNumberFormat="1" applyFont="1" applyAlignment="1">
      <alignment vertical="top"/>
    </xf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37" fontId="3" fillId="2" borderId="0" xfId="1" applyNumberFormat="1" applyFont="1" applyFill="1"/>
    <xf numFmtId="0" fontId="3" fillId="9" borderId="0" xfId="0" applyFont="1" applyFill="1" applyAlignment="1">
      <alignment horizontal="center"/>
    </xf>
    <xf numFmtId="0" fontId="6" fillId="4" borderId="0" xfId="0" applyFont="1" applyFill="1" applyBorder="1"/>
    <xf numFmtId="1" fontId="3" fillId="2" borderId="0" xfId="0" applyNumberFormat="1" applyFont="1" applyFill="1" applyBorder="1"/>
    <xf numFmtId="0" fontId="3" fillId="2" borderId="0" xfId="0" applyFont="1" applyFill="1" applyBorder="1"/>
    <xf numFmtId="10" fontId="3" fillId="2" borderId="0" xfId="0" applyNumberFormat="1" applyFont="1" applyFill="1" applyBorder="1"/>
    <xf numFmtId="164" fontId="7" fillId="11" borderId="0" xfId="0" applyNumberFormat="1" applyFont="1" applyFill="1" applyBorder="1"/>
    <xf numFmtId="3" fontId="3" fillId="2" borderId="0" xfId="0" applyNumberFormat="1" applyFont="1" applyFill="1" applyBorder="1"/>
    <xf numFmtId="0" fontId="6" fillId="3" borderId="0" xfId="0" applyFont="1" applyFill="1" applyBorder="1"/>
    <xf numFmtId="3" fontId="3" fillId="0" borderId="0" xfId="0" applyNumberFormat="1" applyFont="1" applyBorder="1"/>
    <xf numFmtId="3" fontId="3" fillId="0" borderId="3" xfId="0" applyNumberFormat="1" applyFont="1" applyBorder="1"/>
    <xf numFmtId="3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1"/>
  <sheetViews>
    <sheetView tabSelected="1" zoomScaleNormal="100" workbookViewId="0">
      <selection activeCell="D6" sqref="D6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10.1406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2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2" customFormat="1" ht="23.25" x14ac:dyDescent="0.35">
      <c r="A2" s="3"/>
      <c r="B2" s="4" t="s">
        <v>71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1"/>
    </row>
    <row r="3" spans="1:18" s="52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2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2" customFormat="1" x14ac:dyDescent="0.25">
      <c r="A5" s="1"/>
      <c r="B5" s="1"/>
      <c r="C5" s="7" t="s">
        <v>1</v>
      </c>
      <c r="D5" s="1"/>
      <c r="E5" s="8">
        <f>WACC!K14</f>
        <v>9.694993329558331E-2</v>
      </c>
      <c r="F5" s="2"/>
      <c r="G5" s="1"/>
      <c r="H5" s="1" t="s">
        <v>2</v>
      </c>
      <c r="I5" s="1"/>
      <c r="J5" s="7">
        <v>70.25</v>
      </c>
      <c r="K5" s="1"/>
      <c r="L5" s="1" t="s">
        <v>3</v>
      </c>
      <c r="M5" s="1"/>
      <c r="N5" s="7">
        <f>(J6/J5)-1</f>
        <v>0.69322442791948147</v>
      </c>
      <c r="O5" s="1"/>
      <c r="P5" s="1" t="s">
        <v>72</v>
      </c>
      <c r="Q5" s="1"/>
      <c r="R5" s="2"/>
    </row>
    <row r="6" spans="1:18" s="52" customFormat="1" x14ac:dyDescent="0.25">
      <c r="A6" s="1"/>
      <c r="B6" s="1"/>
      <c r="C6" s="7" t="s">
        <v>4</v>
      </c>
      <c r="D6" s="1"/>
      <c r="E6" s="8">
        <v>0.01</v>
      </c>
      <c r="F6" s="2"/>
      <c r="G6" s="1"/>
      <c r="H6" s="1" t="s">
        <v>5</v>
      </c>
      <c r="I6" s="1"/>
      <c r="J6" s="58">
        <f>E60</f>
        <v>118.94901606134357</v>
      </c>
      <c r="K6" s="1"/>
      <c r="L6" s="1"/>
      <c r="M6" s="1"/>
      <c r="N6" s="1"/>
      <c r="O6" s="1"/>
      <c r="P6" s="1"/>
      <c r="Q6" s="1"/>
      <c r="R6" s="2"/>
    </row>
    <row r="7" spans="1:18" s="52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59"/>
      <c r="M7" s="1"/>
      <c r="N7" s="1"/>
      <c r="O7" s="1"/>
      <c r="P7" s="1"/>
      <c r="Q7" s="1"/>
      <c r="R7" s="2"/>
    </row>
    <row r="8" spans="1:18" s="52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2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2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4">
        <v>2023</v>
      </c>
      <c r="J10" s="87">
        <v>2024</v>
      </c>
      <c r="K10" s="87">
        <v>2025</v>
      </c>
      <c r="L10" s="87">
        <v>2026</v>
      </c>
      <c r="M10" s="87">
        <v>2027</v>
      </c>
      <c r="N10" s="87">
        <v>2028</v>
      </c>
      <c r="O10" s="87">
        <v>2029</v>
      </c>
      <c r="P10" s="87">
        <v>2030</v>
      </c>
      <c r="Q10" s="87">
        <v>2031</v>
      </c>
      <c r="R10" s="87">
        <v>2032</v>
      </c>
    </row>
    <row r="11" spans="1:18" s="52" customFormat="1" x14ac:dyDescent="0.25">
      <c r="A11" s="1"/>
      <c r="B11" s="1" t="s">
        <v>7</v>
      </c>
      <c r="C11" s="11">
        <f>'Raw IS'!G3</f>
        <v>9373784</v>
      </c>
      <c r="D11" s="11">
        <f>'Raw IS'!H3</f>
        <v>9580554</v>
      </c>
      <c r="E11" s="11">
        <f>'Raw IS'!I3</f>
        <v>9709003</v>
      </c>
      <c r="F11" s="11">
        <f>'Raw IS'!B3</f>
        <v>10106321</v>
      </c>
      <c r="G11" s="11">
        <f>'Raw IS'!C3</f>
        <v>10997989</v>
      </c>
      <c r="H11" s="11">
        <f>'Raw IS'!D3</f>
        <v>11154722</v>
      </c>
      <c r="I11" s="20">
        <f>H11*(1+I12)</f>
        <v>11240000</v>
      </c>
      <c r="J11" s="88">
        <f t="shared" ref="J11:R11" si="1">I11*(1+J12)</f>
        <v>11509999.999999998</v>
      </c>
      <c r="K11" s="88">
        <f t="shared" si="1"/>
        <v>11779999.999999998</v>
      </c>
      <c r="L11" s="88">
        <f t="shared" si="1"/>
        <v>12129999.999999996</v>
      </c>
      <c r="M11" s="88">
        <f t="shared" si="1"/>
        <v>12469999.999999996</v>
      </c>
      <c r="N11" s="88">
        <f t="shared" si="1"/>
        <v>12819999.999999996</v>
      </c>
      <c r="O11" s="88">
        <f t="shared" si="1"/>
        <v>13460999.999999996</v>
      </c>
      <c r="P11" s="88">
        <f t="shared" si="1"/>
        <v>13905212.999999994</v>
      </c>
      <c r="Q11" s="88">
        <f t="shared" si="1"/>
        <v>14365054.695183314</v>
      </c>
      <c r="R11" s="88">
        <f t="shared" si="1"/>
        <v>14854886.066139461</v>
      </c>
    </row>
    <row r="12" spans="1:18" s="52" customFormat="1" x14ac:dyDescent="0.25">
      <c r="A12" s="1"/>
      <c r="B12" s="78" t="s">
        <v>8</v>
      </c>
      <c r="C12" s="79"/>
      <c r="D12" s="79">
        <f>(D11/C11)-1</f>
        <v>2.2058327778835096E-2</v>
      </c>
      <c r="E12" s="79">
        <f>(E11/D11)-1</f>
        <v>1.3407262252266516E-2</v>
      </c>
      <c r="F12" s="79">
        <f>(F11/E11)-1</f>
        <v>4.0922636443721405E-2</v>
      </c>
      <c r="G12" s="79">
        <f>(G11/F11)-1</f>
        <v>8.8228743179639801E-2</v>
      </c>
      <c r="H12" s="79">
        <f>(H11/G11)-1</f>
        <v>1.42510598983141E-2</v>
      </c>
      <c r="I12" s="80">
        <v>7.6450134750107868E-3</v>
      </c>
      <c r="J12" s="81">
        <v>2.4021352313167155E-2</v>
      </c>
      <c r="K12" s="81">
        <v>2.3457862728062606E-2</v>
      </c>
      <c r="L12" s="81">
        <v>2.9711375212224E-2</v>
      </c>
      <c r="M12" s="81">
        <v>2.8029678483099785E-2</v>
      </c>
      <c r="N12" s="81">
        <v>2.8067361668003166E-2</v>
      </c>
      <c r="O12" s="81">
        <v>0.05</v>
      </c>
      <c r="P12" s="81">
        <v>3.3000000000000002E-2</v>
      </c>
      <c r="Q12" s="81">
        <v>3.3069734004313345E-2</v>
      </c>
      <c r="R12" s="81">
        <v>3.4098816979819091E-2</v>
      </c>
    </row>
    <row r="13" spans="1:18" s="52" customFormat="1" x14ac:dyDescent="0.25">
      <c r="A13" s="1"/>
      <c r="B13" s="6"/>
      <c r="C13" s="1"/>
      <c r="D13" s="1"/>
      <c r="E13" s="1"/>
      <c r="F13" s="1"/>
      <c r="G13" s="1"/>
      <c r="H13" s="1"/>
      <c r="I13" s="12"/>
      <c r="J13" s="90"/>
      <c r="K13" s="90"/>
      <c r="L13" s="90"/>
      <c r="M13" s="90"/>
      <c r="N13" s="90"/>
      <c r="O13" s="90"/>
      <c r="P13" s="90"/>
      <c r="Q13" s="90"/>
      <c r="R13" s="90"/>
    </row>
    <row r="14" spans="1:18" s="52" customFormat="1" x14ac:dyDescent="0.25">
      <c r="A14" s="1"/>
      <c r="B14" s="1" t="s">
        <v>9</v>
      </c>
      <c r="C14" s="11">
        <f>'Raw IS'!G5</f>
        <v>5288735</v>
      </c>
      <c r="D14" s="11">
        <f>'Raw IS'!H5</f>
        <v>5361141</v>
      </c>
      <c r="E14" s="11">
        <f>'Raw IS'!I5</f>
        <v>5454257</v>
      </c>
      <c r="F14" s="11">
        <f>'Raw IS'!B4</f>
        <v>5624707</v>
      </c>
      <c r="G14" s="11">
        <f>'Raw IS'!C4</f>
        <v>6069241</v>
      </c>
      <c r="H14" s="11">
        <f>'Raw IS'!D4</f>
        <v>6192622</v>
      </c>
      <c r="I14" s="75">
        <f>I11-I16</f>
        <v>6321376</v>
      </c>
      <c r="J14" s="76">
        <f t="shared" ref="J14:R14" si="2">J11-J16</f>
        <v>6399559.9999999991</v>
      </c>
      <c r="K14" s="76">
        <f t="shared" si="2"/>
        <v>6562637.9999999991</v>
      </c>
      <c r="L14" s="76">
        <f t="shared" si="2"/>
        <v>6695759.9999999981</v>
      </c>
      <c r="M14" s="76">
        <f t="shared" si="2"/>
        <v>6870969.9999999981</v>
      </c>
      <c r="N14" s="76">
        <f t="shared" si="2"/>
        <v>7050999.9999999981</v>
      </c>
      <c r="O14" s="76">
        <f t="shared" si="2"/>
        <v>7282400.9999999981</v>
      </c>
      <c r="P14" s="76">
        <f t="shared" si="2"/>
        <v>7522720.2329999963</v>
      </c>
      <c r="Q14" s="76">
        <f t="shared" si="2"/>
        <v>7757129.5353989899</v>
      </c>
      <c r="R14" s="76">
        <f t="shared" si="2"/>
        <v>8021638.4757153085</v>
      </c>
    </row>
    <row r="15" spans="1:18" s="52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89"/>
      <c r="K15" s="89"/>
      <c r="L15" s="89"/>
      <c r="M15" s="89"/>
      <c r="N15" s="89"/>
      <c r="O15" s="89"/>
      <c r="P15" s="89"/>
      <c r="Q15" s="89"/>
      <c r="R15" s="89"/>
    </row>
    <row r="16" spans="1:18" s="52" customFormat="1" x14ac:dyDescent="0.25">
      <c r="A16" s="1"/>
      <c r="B16" s="1" t="s">
        <v>10</v>
      </c>
      <c r="C16" s="11">
        <f>C11-C14</f>
        <v>4085049</v>
      </c>
      <c r="D16" s="11">
        <f t="shared" ref="D16:H16" si="3">D11-D14</f>
        <v>4219413</v>
      </c>
      <c r="E16" s="11">
        <f t="shared" si="3"/>
        <v>4254746</v>
      </c>
      <c r="F16" s="11">
        <f t="shared" si="3"/>
        <v>4481614</v>
      </c>
      <c r="G16" s="11">
        <f t="shared" si="3"/>
        <v>4928748</v>
      </c>
      <c r="H16" s="11">
        <f t="shared" si="3"/>
        <v>4962100</v>
      </c>
      <c r="I16" s="20">
        <f>I11*I17</f>
        <v>4918624</v>
      </c>
      <c r="J16" s="88">
        <f t="shared" ref="J16:R16" si="4">J11*J17</f>
        <v>5110439.9999999991</v>
      </c>
      <c r="K16" s="88">
        <f>K11*K17</f>
        <v>5217361.9999999991</v>
      </c>
      <c r="L16" s="88">
        <f t="shared" si="4"/>
        <v>5434239.9999999981</v>
      </c>
      <c r="M16" s="88">
        <f t="shared" si="4"/>
        <v>5599029.9999999981</v>
      </c>
      <c r="N16" s="88">
        <f t="shared" si="4"/>
        <v>5768999.9999999981</v>
      </c>
      <c r="O16" s="88">
        <f t="shared" si="4"/>
        <v>6178598.9999999981</v>
      </c>
      <c r="P16" s="88">
        <f t="shared" si="4"/>
        <v>6382492.7669999981</v>
      </c>
      <c r="Q16" s="88">
        <f t="shared" si="4"/>
        <v>6607925.1597843245</v>
      </c>
      <c r="R16" s="88">
        <f t="shared" si="4"/>
        <v>6833247.590424153</v>
      </c>
    </row>
    <row r="17" spans="1:18" s="52" customFormat="1" x14ac:dyDescent="0.25">
      <c r="A17" s="1"/>
      <c r="B17" s="78" t="s">
        <v>11</v>
      </c>
      <c r="C17" s="79">
        <f t="shared" ref="C17:H17" si="5">C16/C11</f>
        <v>0.43579508552789353</v>
      </c>
      <c r="D17" s="79">
        <f t="shared" si="5"/>
        <v>0.44041430171992141</v>
      </c>
      <c r="E17" s="79">
        <f t="shared" si="5"/>
        <v>0.43822687046239456</v>
      </c>
      <c r="F17" s="79">
        <f t="shared" si="5"/>
        <v>0.44344663107376064</v>
      </c>
      <c r="G17" s="79">
        <f t="shared" si="5"/>
        <v>0.44814992995537639</v>
      </c>
      <c r="H17" s="79">
        <f t="shared" si="5"/>
        <v>0.44484300012138356</v>
      </c>
      <c r="I17" s="83">
        <v>0.43759999999999999</v>
      </c>
      <c r="J17" s="91">
        <v>0.44400000000000001</v>
      </c>
      <c r="K17" s="91">
        <v>0.44290000000000002</v>
      </c>
      <c r="L17" s="91">
        <v>0.44800000000000001</v>
      </c>
      <c r="M17" s="91">
        <v>0.44900000000000001</v>
      </c>
      <c r="N17" s="91">
        <v>0.45</v>
      </c>
      <c r="O17" s="91">
        <v>0.45900000000000002</v>
      </c>
      <c r="P17" s="91">
        <v>0.45900000000000002</v>
      </c>
      <c r="Q17" s="91">
        <v>0.46</v>
      </c>
      <c r="R17" s="91">
        <v>0.46</v>
      </c>
    </row>
    <row r="18" spans="1:18" s="52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88"/>
      <c r="K18" s="88"/>
      <c r="L18" s="88"/>
      <c r="M18" s="88"/>
      <c r="N18" s="88"/>
      <c r="O18" s="88"/>
      <c r="P18" s="88"/>
      <c r="Q18" s="88"/>
      <c r="R18" s="88"/>
    </row>
    <row r="19" spans="1:18" s="52" customFormat="1" x14ac:dyDescent="0.25">
      <c r="A19" s="1"/>
      <c r="B19" s="1" t="s">
        <v>39</v>
      </c>
      <c r="C19" s="11">
        <f>'Raw IS'!G7</f>
        <v>3514837</v>
      </c>
      <c r="D19" s="11">
        <f>'Raw IS'!H7</f>
        <v>3615138</v>
      </c>
      <c r="E19" s="11">
        <f>'Raw IS'!I7</f>
        <v>3577566</v>
      </c>
      <c r="F19" s="11">
        <f>'Raw IS'!B6</f>
        <v>3731707</v>
      </c>
      <c r="G19" s="11">
        <f>'Raw IS'!C6</f>
        <v>4090031</v>
      </c>
      <c r="H19" s="11">
        <f>'Raw IS'!D6</f>
        <v>4247949</v>
      </c>
      <c r="I19" s="20">
        <f t="shared" ref="I19:R19" si="6">I20*I11</f>
        <v>4380228</v>
      </c>
      <c r="J19" s="88">
        <f t="shared" si="6"/>
        <v>4488899.9999999991</v>
      </c>
      <c r="K19" s="88">
        <f t="shared" si="6"/>
        <v>4558859.9999999991</v>
      </c>
      <c r="L19" s="88">
        <f t="shared" si="6"/>
        <v>4488099.9999999981</v>
      </c>
      <c r="M19" s="88">
        <f t="shared" si="6"/>
        <v>4613899.9999999981</v>
      </c>
      <c r="N19" s="88">
        <f t="shared" si="6"/>
        <v>4743399.9999999981</v>
      </c>
      <c r="O19" s="88">
        <f t="shared" si="6"/>
        <v>4980569.9999999981</v>
      </c>
      <c r="P19" s="88">
        <f t="shared" si="6"/>
        <v>5144928.8099999977</v>
      </c>
      <c r="Q19" s="88">
        <f t="shared" si="6"/>
        <v>5315070.2372178258</v>
      </c>
      <c r="R19" s="88">
        <f t="shared" si="6"/>
        <v>5481452.9584054612</v>
      </c>
    </row>
    <row r="20" spans="1:18" s="52" customFormat="1" x14ac:dyDescent="0.25">
      <c r="A20" s="1"/>
      <c r="B20" s="78" t="s">
        <v>16</v>
      </c>
      <c r="C20" s="79">
        <f t="shared" ref="C20:H20" si="7">C19/C11</f>
        <v>0.37496458207272537</v>
      </c>
      <c r="D20" s="79">
        <f t="shared" si="7"/>
        <v>0.37734122682258248</v>
      </c>
      <c r="E20" s="79">
        <f t="shared" si="7"/>
        <v>0.36847923520056591</v>
      </c>
      <c r="F20" s="79">
        <f t="shared" si="7"/>
        <v>0.36924485181105965</v>
      </c>
      <c r="G20" s="79">
        <f t="shared" si="7"/>
        <v>0.37188898806863691</v>
      </c>
      <c r="H20" s="79">
        <f t="shared" si="7"/>
        <v>0.38082069638311022</v>
      </c>
      <c r="I20" s="80">
        <v>0.38969999999999999</v>
      </c>
      <c r="J20" s="81">
        <v>0.39</v>
      </c>
      <c r="K20" s="81">
        <v>0.38700000000000001</v>
      </c>
      <c r="L20" s="81">
        <v>0.37</v>
      </c>
      <c r="M20" s="81">
        <v>0.37</v>
      </c>
      <c r="N20" s="81">
        <v>0.37</v>
      </c>
      <c r="O20" s="81">
        <v>0.37</v>
      </c>
      <c r="P20" s="81">
        <v>0.37</v>
      </c>
      <c r="Q20" s="81">
        <v>0.37</v>
      </c>
      <c r="R20" s="81">
        <v>0.36899999999999999</v>
      </c>
    </row>
    <row r="21" spans="1:18" s="52" customFormat="1" x14ac:dyDescent="0.25">
      <c r="A21" s="1"/>
      <c r="B21" s="1"/>
      <c r="C21" s="11"/>
      <c r="D21" s="11"/>
      <c r="E21" s="11"/>
      <c r="F21" s="11"/>
      <c r="G21" s="11"/>
      <c r="H21" s="11"/>
      <c r="I21" s="39"/>
      <c r="J21" s="92"/>
      <c r="K21" s="92"/>
      <c r="L21" s="92"/>
      <c r="M21" s="92"/>
      <c r="N21" s="92"/>
      <c r="O21" s="92"/>
      <c r="P21" s="92"/>
      <c r="Q21" s="92"/>
      <c r="R21" s="92"/>
    </row>
    <row r="22" spans="1:18" s="52" customFormat="1" x14ac:dyDescent="0.25">
      <c r="A22" s="1"/>
      <c r="B22" s="1" t="s">
        <v>12</v>
      </c>
      <c r="C22" s="11">
        <f>C19</f>
        <v>3514837</v>
      </c>
      <c r="D22" s="11">
        <f t="shared" ref="D22:R22" si="8">D19</f>
        <v>3615138</v>
      </c>
      <c r="E22" s="11">
        <f t="shared" si="8"/>
        <v>3577566</v>
      </c>
      <c r="F22" s="11">
        <f t="shared" si="8"/>
        <v>3731707</v>
      </c>
      <c r="G22" s="11">
        <f t="shared" si="8"/>
        <v>4090031</v>
      </c>
      <c r="H22" s="11">
        <f t="shared" si="8"/>
        <v>4247949</v>
      </c>
      <c r="I22" s="39">
        <f>I19</f>
        <v>4380228</v>
      </c>
      <c r="J22" s="92">
        <f t="shared" si="8"/>
        <v>4488899.9999999991</v>
      </c>
      <c r="K22" s="92">
        <f t="shared" si="8"/>
        <v>4558859.9999999991</v>
      </c>
      <c r="L22" s="92">
        <f t="shared" si="8"/>
        <v>4488099.9999999981</v>
      </c>
      <c r="M22" s="92">
        <f t="shared" si="8"/>
        <v>4613899.9999999981</v>
      </c>
      <c r="N22" s="92">
        <f t="shared" si="8"/>
        <v>4743399.9999999981</v>
      </c>
      <c r="O22" s="92">
        <f t="shared" si="8"/>
        <v>4980569.9999999981</v>
      </c>
      <c r="P22" s="92">
        <f t="shared" si="8"/>
        <v>5144928.8099999977</v>
      </c>
      <c r="Q22" s="92">
        <f t="shared" si="8"/>
        <v>5315070.2372178258</v>
      </c>
      <c r="R22" s="92">
        <f t="shared" si="8"/>
        <v>5481452.9584054612</v>
      </c>
    </row>
    <row r="23" spans="1:18" s="52" customFormat="1" x14ac:dyDescent="0.25">
      <c r="A23" s="1"/>
      <c r="B23" s="1"/>
      <c r="C23" s="14"/>
      <c r="D23" s="14"/>
      <c r="E23" s="14"/>
      <c r="F23" s="14"/>
      <c r="G23" s="14"/>
      <c r="H23" s="14"/>
      <c r="I23" s="19"/>
      <c r="J23" s="74"/>
      <c r="K23" s="74"/>
      <c r="L23" s="74"/>
      <c r="M23" s="74"/>
      <c r="N23" s="74"/>
      <c r="O23" s="74"/>
      <c r="P23" s="74"/>
      <c r="Q23" s="74"/>
      <c r="R23" s="74"/>
    </row>
    <row r="24" spans="1:18" s="52" customFormat="1" x14ac:dyDescent="0.25">
      <c r="A24" s="1"/>
      <c r="B24" s="1" t="s">
        <v>13</v>
      </c>
      <c r="C24" s="11">
        <f>C16-C22</f>
        <v>570212</v>
      </c>
      <c r="D24" s="11">
        <f t="shared" ref="D24:R24" si="9">D16-D22</f>
        <v>604275</v>
      </c>
      <c r="E24" s="11">
        <f t="shared" si="9"/>
        <v>677180</v>
      </c>
      <c r="F24" s="11">
        <f t="shared" si="9"/>
        <v>749907</v>
      </c>
      <c r="G24" s="11">
        <f t="shared" si="9"/>
        <v>838717</v>
      </c>
      <c r="H24" s="11">
        <f t="shared" si="9"/>
        <v>714151</v>
      </c>
      <c r="I24" s="39">
        <f t="shared" si="9"/>
        <v>538396</v>
      </c>
      <c r="J24" s="92">
        <f t="shared" si="9"/>
        <v>621540</v>
      </c>
      <c r="K24" s="92">
        <f t="shared" si="9"/>
        <v>658502</v>
      </c>
      <c r="L24" s="92">
        <f t="shared" si="9"/>
        <v>946140</v>
      </c>
      <c r="M24" s="92">
        <f t="shared" si="9"/>
        <v>985130</v>
      </c>
      <c r="N24" s="92">
        <f t="shared" si="9"/>
        <v>1025600</v>
      </c>
      <c r="O24" s="92">
        <f t="shared" si="9"/>
        <v>1198029</v>
      </c>
      <c r="P24" s="92">
        <f t="shared" si="9"/>
        <v>1237563.9570000004</v>
      </c>
      <c r="Q24" s="92">
        <f t="shared" si="9"/>
        <v>1292854.9225664986</v>
      </c>
      <c r="R24" s="92">
        <f t="shared" si="9"/>
        <v>1351794.6320186919</v>
      </c>
    </row>
    <row r="25" spans="1:18" s="52" customFormat="1" x14ac:dyDescent="0.25">
      <c r="A25" s="1"/>
      <c r="B25" s="1" t="s">
        <v>52</v>
      </c>
      <c r="C25" s="85">
        <f>SUM('Raw IS'!G12)</f>
        <v>-49953</v>
      </c>
      <c r="D25" s="85">
        <f>SUM('Raw IS'!H12)</f>
        <v>-49011</v>
      </c>
      <c r="E25" s="85">
        <f>SUM('Raw IS'!I12)</f>
        <v>-39434</v>
      </c>
      <c r="F25" s="85">
        <f>'Raw IS'!B12</f>
        <v>-98892</v>
      </c>
      <c r="G25" s="85">
        <f>'Raw IS'!C12</f>
        <v>-32792</v>
      </c>
      <c r="H25" s="85">
        <f>'Raw IS'!D12</f>
        <v>-65464</v>
      </c>
      <c r="I25" s="20">
        <f t="shared" ref="I25:R25" si="10">I26*I11</f>
        <v>-78680</v>
      </c>
      <c r="J25" s="88">
        <f t="shared" si="10"/>
        <v>-86324.999999999985</v>
      </c>
      <c r="K25" s="88">
        <f t="shared" si="10"/>
        <v>-82459.999999999985</v>
      </c>
      <c r="L25" s="88">
        <f t="shared" si="10"/>
        <v>-72779.999999999985</v>
      </c>
      <c r="M25" s="88">
        <f t="shared" si="10"/>
        <v>-24939.999999999993</v>
      </c>
      <c r="N25" s="88">
        <f t="shared" si="10"/>
        <v>38459.999999999993</v>
      </c>
      <c r="O25" s="88">
        <f t="shared" si="10"/>
        <v>-67304.999999999985</v>
      </c>
      <c r="P25" s="88">
        <f t="shared" si="10"/>
        <v>-69526.064999999973</v>
      </c>
      <c r="Q25" s="88">
        <f t="shared" si="10"/>
        <v>-71825.273475916576</v>
      </c>
      <c r="R25" s="88">
        <f t="shared" si="10"/>
        <v>-74274.430330697316</v>
      </c>
    </row>
    <row r="26" spans="1:18" s="52" customFormat="1" x14ac:dyDescent="0.25">
      <c r="A26" s="1"/>
      <c r="B26" s="78" t="s">
        <v>16</v>
      </c>
      <c r="C26" s="79">
        <f t="shared" ref="C26:H26" si="11">C25/C11</f>
        <v>-5.3290112082804552E-3</v>
      </c>
      <c r="D26" s="79">
        <f t="shared" si="11"/>
        <v>-5.11567493904841E-3</v>
      </c>
      <c r="E26" s="79">
        <f t="shared" si="11"/>
        <v>-4.0615910820091415E-3</v>
      </c>
      <c r="F26" s="79">
        <f t="shared" si="11"/>
        <v>-9.7851631666953775E-3</v>
      </c>
      <c r="G26" s="79">
        <f t="shared" si="11"/>
        <v>-2.9816360063644361E-3</v>
      </c>
      <c r="H26" s="79">
        <f t="shared" si="11"/>
        <v>-5.868725370296095E-3</v>
      </c>
      <c r="I26" s="83">
        <v>-7.0000000000000001E-3</v>
      </c>
      <c r="J26" s="91">
        <v>-7.4999999999999997E-3</v>
      </c>
      <c r="K26" s="91">
        <v>-7.0000000000000001E-3</v>
      </c>
      <c r="L26" s="91">
        <v>-6.0000000000000001E-3</v>
      </c>
      <c r="M26" s="91">
        <v>-2E-3</v>
      </c>
      <c r="N26" s="91">
        <v>3.0000000000000001E-3</v>
      </c>
      <c r="O26" s="91">
        <v>-5.0000000000000001E-3</v>
      </c>
      <c r="P26" s="91">
        <v>-5.0000000000000001E-3</v>
      </c>
      <c r="Q26" s="91">
        <v>-5.0000000000000001E-3</v>
      </c>
      <c r="R26" s="91">
        <v>-5.0000000000000001E-3</v>
      </c>
    </row>
    <row r="27" spans="1:18" s="52" customFormat="1" x14ac:dyDescent="0.25">
      <c r="A27" s="1"/>
      <c r="B27" s="1"/>
      <c r="C27" s="72"/>
      <c r="D27" s="72"/>
      <c r="E27" s="72"/>
      <c r="F27" s="72"/>
      <c r="G27" s="72"/>
      <c r="H27" s="72"/>
      <c r="I27" s="12"/>
      <c r="J27" s="89"/>
      <c r="K27" s="89"/>
      <c r="L27" s="89"/>
      <c r="M27" s="89"/>
      <c r="N27" s="89"/>
      <c r="O27" s="89"/>
      <c r="P27" s="89"/>
      <c r="Q27" s="89"/>
      <c r="R27" s="89"/>
    </row>
    <row r="28" spans="1:18" s="52" customFormat="1" x14ac:dyDescent="0.25">
      <c r="A28" s="1"/>
      <c r="B28" s="1" t="s">
        <v>14</v>
      </c>
      <c r="C28" s="11">
        <f>C24+C25</f>
        <v>520259</v>
      </c>
      <c r="D28" s="11">
        <f t="shared" ref="D28:H28" si="12">D24+D25</f>
        <v>555264</v>
      </c>
      <c r="E28" s="11">
        <f t="shared" si="12"/>
        <v>637746</v>
      </c>
      <c r="F28" s="11">
        <f t="shared" si="12"/>
        <v>651015</v>
      </c>
      <c r="G28" s="11">
        <f t="shared" si="12"/>
        <v>805925</v>
      </c>
      <c r="H28" s="11">
        <f t="shared" si="12"/>
        <v>648687</v>
      </c>
      <c r="I28" s="39">
        <f t="shared" ref="I28:R28" si="13">I24+I25</f>
        <v>459716</v>
      </c>
      <c r="J28" s="92">
        <f t="shared" si="13"/>
        <v>535215</v>
      </c>
      <c r="K28" s="92">
        <f t="shared" si="13"/>
        <v>576042</v>
      </c>
      <c r="L28" s="92">
        <f t="shared" si="13"/>
        <v>873360</v>
      </c>
      <c r="M28" s="92">
        <f t="shared" si="13"/>
        <v>960190</v>
      </c>
      <c r="N28" s="92">
        <f t="shared" si="13"/>
        <v>1064060</v>
      </c>
      <c r="O28" s="92">
        <f t="shared" si="13"/>
        <v>1130724</v>
      </c>
      <c r="P28" s="92">
        <f t="shared" si="13"/>
        <v>1168037.8920000005</v>
      </c>
      <c r="Q28" s="92">
        <f t="shared" si="13"/>
        <v>1221029.649090582</v>
      </c>
      <c r="R28" s="92">
        <f t="shared" si="13"/>
        <v>1277520.2016879946</v>
      </c>
    </row>
    <row r="29" spans="1:18" s="52" customFormat="1" x14ac:dyDescent="0.25">
      <c r="A29" s="1"/>
      <c r="B29" s="1"/>
      <c r="C29" s="21"/>
      <c r="D29" s="21"/>
      <c r="E29" s="21"/>
      <c r="F29" s="21"/>
      <c r="G29" s="21"/>
      <c r="H29" s="72"/>
      <c r="I29" s="12"/>
      <c r="J29" s="89"/>
      <c r="K29" s="89"/>
      <c r="L29" s="89"/>
      <c r="M29" s="89"/>
      <c r="N29" s="89"/>
      <c r="O29" s="89"/>
      <c r="P29" s="89"/>
      <c r="Q29" s="89"/>
      <c r="R29" s="89"/>
    </row>
    <row r="30" spans="1:18" s="52" customFormat="1" x14ac:dyDescent="0.25">
      <c r="A30" s="1"/>
      <c r="B30" s="1" t="s">
        <v>15</v>
      </c>
      <c r="C30" s="11">
        <f t="shared" ref="C30:R30" si="14">C24</f>
        <v>570212</v>
      </c>
      <c r="D30" s="11">
        <f t="shared" si="14"/>
        <v>604275</v>
      </c>
      <c r="E30" s="11">
        <f t="shared" si="14"/>
        <v>677180</v>
      </c>
      <c r="F30" s="11">
        <f t="shared" si="14"/>
        <v>749907</v>
      </c>
      <c r="G30" s="11">
        <f t="shared" si="14"/>
        <v>838717</v>
      </c>
      <c r="H30" s="11">
        <f t="shared" si="14"/>
        <v>714151</v>
      </c>
      <c r="I30" s="39">
        <f t="shared" si="14"/>
        <v>538396</v>
      </c>
      <c r="J30" s="92">
        <f t="shared" si="14"/>
        <v>621540</v>
      </c>
      <c r="K30" s="92">
        <f t="shared" si="14"/>
        <v>658502</v>
      </c>
      <c r="L30" s="92">
        <f t="shared" si="14"/>
        <v>946140</v>
      </c>
      <c r="M30" s="92">
        <f t="shared" si="14"/>
        <v>985130</v>
      </c>
      <c r="N30" s="92">
        <f t="shared" si="14"/>
        <v>1025600</v>
      </c>
      <c r="O30" s="92">
        <f t="shared" si="14"/>
        <v>1198029</v>
      </c>
      <c r="P30" s="92">
        <f t="shared" si="14"/>
        <v>1237563.9570000004</v>
      </c>
      <c r="Q30" s="92">
        <f t="shared" si="14"/>
        <v>1292854.9225664986</v>
      </c>
      <c r="R30" s="92">
        <f t="shared" si="14"/>
        <v>1351794.6320186919</v>
      </c>
    </row>
    <row r="31" spans="1:18" s="52" customFormat="1" x14ac:dyDescent="0.25">
      <c r="A31" s="1"/>
      <c r="B31" s="78" t="s">
        <v>16</v>
      </c>
      <c r="C31" s="79">
        <f t="shared" ref="C31:R31" si="15">C30/C11</f>
        <v>6.0830503455168161E-2</v>
      </c>
      <c r="D31" s="79">
        <f t="shared" si="15"/>
        <v>6.3073074897338918E-2</v>
      </c>
      <c r="E31" s="79">
        <f t="shared" si="15"/>
        <v>6.974763526182863E-2</v>
      </c>
      <c r="F31" s="79">
        <f t="shared" si="15"/>
        <v>7.4201779262701037E-2</v>
      </c>
      <c r="G31" s="79">
        <f t="shared" si="15"/>
        <v>7.6260941886739472E-2</v>
      </c>
      <c r="H31" s="79">
        <f t="shared" si="15"/>
        <v>6.4022303738273348E-2</v>
      </c>
      <c r="I31" s="80">
        <f t="shared" si="15"/>
        <v>4.7899999999999998E-2</v>
      </c>
      <c r="J31" s="81">
        <f t="shared" si="15"/>
        <v>5.4000000000000006E-2</v>
      </c>
      <c r="K31" s="81">
        <f t="shared" si="15"/>
        <v>5.5900000000000012E-2</v>
      </c>
      <c r="L31" s="81">
        <f t="shared" si="15"/>
        <v>7.8000000000000028E-2</v>
      </c>
      <c r="M31" s="81">
        <f t="shared" si="15"/>
        <v>7.9000000000000029E-2</v>
      </c>
      <c r="N31" s="81">
        <f t="shared" si="15"/>
        <v>8.0000000000000029E-2</v>
      </c>
      <c r="O31" s="81">
        <f t="shared" si="15"/>
        <v>8.9000000000000024E-2</v>
      </c>
      <c r="P31" s="81">
        <f t="shared" si="15"/>
        <v>8.9000000000000065E-2</v>
      </c>
      <c r="Q31" s="81">
        <f t="shared" si="15"/>
        <v>9.0000000000000024E-2</v>
      </c>
      <c r="R31" s="81">
        <f t="shared" si="15"/>
        <v>9.1000000000000053E-2</v>
      </c>
    </row>
    <row r="32" spans="1:18" s="52" customFormat="1" x14ac:dyDescent="0.25">
      <c r="A32" s="1"/>
      <c r="B32" s="13"/>
      <c r="C32" s="1"/>
      <c r="D32" s="1"/>
      <c r="E32" s="2"/>
      <c r="F32" s="1"/>
      <c r="G32" s="1"/>
      <c r="H32" s="1"/>
      <c r="I32" s="12"/>
      <c r="J32" s="89"/>
      <c r="K32" s="89"/>
      <c r="L32" s="89"/>
      <c r="M32" s="89"/>
      <c r="N32" s="89"/>
      <c r="O32" s="89"/>
      <c r="P32" s="89"/>
      <c r="Q32" s="89"/>
      <c r="R32" s="89"/>
    </row>
    <row r="33" spans="1:86" s="52" customFormat="1" x14ac:dyDescent="0.25">
      <c r="A33" s="1"/>
      <c r="B33" s="1" t="s">
        <v>17</v>
      </c>
      <c r="C33" s="11">
        <f>C34*C30</f>
        <v>-44754</v>
      </c>
      <c r="D33" s="11">
        <f t="shared" ref="D33:E33" si="16">D34*D30</f>
        <v>-131417</v>
      </c>
      <c r="E33" s="11">
        <f t="shared" si="16"/>
        <v>-150850</v>
      </c>
      <c r="F33" s="11">
        <f>'Raw IS'!B14</f>
        <v>-157994</v>
      </c>
      <c r="G33" s="11">
        <f>'Raw IS'!C14</f>
        <v>-189817</v>
      </c>
      <c r="H33" s="11">
        <f>'Raw IS'!D14</f>
        <v>-146815</v>
      </c>
      <c r="I33" s="20">
        <f>I30*I34</f>
        <v>-118447.12</v>
      </c>
      <c r="J33" s="88">
        <f t="shared" ref="J33:R33" si="17">J30*J34</f>
        <v>-136738.79999999999</v>
      </c>
      <c r="K33" s="88">
        <f t="shared" si="17"/>
        <v>-144870.44</v>
      </c>
      <c r="L33" s="88">
        <f t="shared" si="17"/>
        <v>-208150.8</v>
      </c>
      <c r="M33" s="88">
        <f t="shared" si="17"/>
        <v>-216728.6</v>
      </c>
      <c r="N33" s="88">
        <f t="shared" si="17"/>
        <v>-225632</v>
      </c>
      <c r="O33" s="88">
        <f t="shared" si="17"/>
        <v>-263566.38</v>
      </c>
      <c r="P33" s="88">
        <f t="shared" si="17"/>
        <v>-272264.0705400001</v>
      </c>
      <c r="Q33" s="88">
        <f t="shared" si="17"/>
        <v>-284428.08296462969</v>
      </c>
      <c r="R33" s="88">
        <f t="shared" si="17"/>
        <v>-297394.81904411223</v>
      </c>
    </row>
    <row r="34" spans="1:86" s="52" customFormat="1" x14ac:dyDescent="0.25">
      <c r="A34" s="1"/>
      <c r="B34" s="78" t="s">
        <v>18</v>
      </c>
      <c r="C34" s="82">
        <v>-7.84865979670719E-2</v>
      </c>
      <c r="D34" s="82">
        <v>-0.21747879690538249</v>
      </c>
      <c r="E34" s="82">
        <v>-0.22276204258838123</v>
      </c>
      <c r="F34" s="82">
        <f t="shared" ref="F34:H34" si="18">F33/F30</f>
        <v>-0.21068479158082268</v>
      </c>
      <c r="G34" s="82">
        <f t="shared" si="18"/>
        <v>-0.22631829329797776</v>
      </c>
      <c r="H34" s="82">
        <f t="shared" si="18"/>
        <v>-0.20557977234506428</v>
      </c>
      <c r="I34" s="83">
        <v>-0.22</v>
      </c>
      <c r="J34" s="91">
        <v>-0.22</v>
      </c>
      <c r="K34" s="91">
        <v>-0.22</v>
      </c>
      <c r="L34" s="91">
        <v>-0.22</v>
      </c>
      <c r="M34" s="91">
        <v>-0.22</v>
      </c>
      <c r="N34" s="91">
        <v>-0.22</v>
      </c>
      <c r="O34" s="91">
        <v>-0.22</v>
      </c>
      <c r="P34" s="91">
        <v>-0.22</v>
      </c>
      <c r="Q34" s="91">
        <v>-0.22</v>
      </c>
      <c r="R34" s="91">
        <v>-0.22</v>
      </c>
    </row>
    <row r="35" spans="1:86" s="52" customFormat="1" x14ac:dyDescent="0.25">
      <c r="A35" s="1"/>
      <c r="B35" s="1"/>
      <c r="C35" s="1"/>
      <c r="D35" s="1"/>
      <c r="E35" s="1"/>
      <c r="F35" s="11"/>
      <c r="G35" s="11"/>
      <c r="H35" s="11"/>
      <c r="I35" s="12"/>
      <c r="J35" s="89"/>
      <c r="K35" s="89"/>
      <c r="L35" s="89"/>
      <c r="M35" s="89"/>
      <c r="N35" s="89"/>
      <c r="O35" s="89"/>
      <c r="P35" s="89"/>
      <c r="Q35" s="89"/>
      <c r="R35" s="89"/>
    </row>
    <row r="36" spans="1:86" s="52" customFormat="1" x14ac:dyDescent="0.25">
      <c r="A36" s="1"/>
      <c r="B36" s="9" t="s">
        <v>19</v>
      </c>
      <c r="C36" s="9">
        <v>2017</v>
      </c>
      <c r="D36" s="9">
        <v>2018</v>
      </c>
      <c r="E36" s="10">
        <v>2019</v>
      </c>
      <c r="F36" s="9">
        <v>2020</v>
      </c>
      <c r="G36" s="9">
        <v>2021</v>
      </c>
      <c r="H36" s="9">
        <v>2022</v>
      </c>
      <c r="I36" s="65">
        <v>2023</v>
      </c>
      <c r="J36" s="93">
        <v>2024</v>
      </c>
      <c r="K36" s="93">
        <v>2025</v>
      </c>
      <c r="L36" s="93">
        <v>2026</v>
      </c>
      <c r="M36" s="93">
        <v>2027</v>
      </c>
      <c r="N36" s="93">
        <v>2028</v>
      </c>
      <c r="O36" s="93">
        <v>2029</v>
      </c>
      <c r="P36" s="93">
        <v>2030</v>
      </c>
      <c r="Q36" s="93">
        <v>2031</v>
      </c>
      <c r="R36" s="93">
        <v>2032</v>
      </c>
      <c r="S36" s="9">
        <v>2033</v>
      </c>
      <c r="T36" s="9">
        <v>2034</v>
      </c>
      <c r="U36" s="9">
        <v>2035</v>
      </c>
      <c r="V36" s="9">
        <v>2036</v>
      </c>
      <c r="W36" s="9">
        <v>2037</v>
      </c>
      <c r="X36" s="9">
        <v>2038</v>
      </c>
      <c r="Y36" s="9">
        <v>2039</v>
      </c>
      <c r="Z36" s="9">
        <v>2040</v>
      </c>
      <c r="AA36" s="9">
        <v>2041</v>
      </c>
      <c r="AB36" s="9">
        <v>2042</v>
      </c>
      <c r="AC36" s="9">
        <v>2043</v>
      </c>
      <c r="AD36" s="9">
        <v>2044</v>
      </c>
      <c r="AE36" s="9">
        <v>2045</v>
      </c>
      <c r="AF36" s="9">
        <v>2046</v>
      </c>
      <c r="AG36" s="9">
        <v>2047</v>
      </c>
      <c r="AH36" s="9">
        <v>2048</v>
      </c>
      <c r="AI36" s="9">
        <v>2049</v>
      </c>
      <c r="AJ36" s="9">
        <v>2050</v>
      </c>
      <c r="AK36" s="9">
        <v>2051</v>
      </c>
      <c r="AL36" s="9">
        <v>2052</v>
      </c>
      <c r="AM36" s="9">
        <v>2053</v>
      </c>
      <c r="AN36" s="9">
        <v>2054</v>
      </c>
      <c r="AO36" s="9">
        <v>2055</v>
      </c>
      <c r="AP36" s="9">
        <v>2056</v>
      </c>
      <c r="AQ36" s="9">
        <v>2057</v>
      </c>
      <c r="AR36" s="9">
        <v>2058</v>
      </c>
      <c r="AS36" s="9">
        <v>2059</v>
      </c>
      <c r="AT36" s="9">
        <v>2060</v>
      </c>
      <c r="AU36" s="9">
        <v>2061</v>
      </c>
      <c r="AV36" s="9">
        <v>2062</v>
      </c>
      <c r="AW36" s="9">
        <v>2063</v>
      </c>
      <c r="AX36" s="9">
        <v>2064</v>
      </c>
      <c r="AY36" s="9">
        <v>2065</v>
      </c>
      <c r="AZ36" s="9">
        <v>2066</v>
      </c>
      <c r="BA36" s="9">
        <v>2067</v>
      </c>
      <c r="BB36" s="9">
        <v>2068</v>
      </c>
      <c r="BC36" s="9">
        <v>2069</v>
      </c>
      <c r="BD36" s="9">
        <v>2070</v>
      </c>
      <c r="BE36" s="9">
        <v>2071</v>
      </c>
      <c r="BF36" s="9">
        <v>2072</v>
      </c>
      <c r="BG36" s="9">
        <v>2073</v>
      </c>
      <c r="BH36" s="9">
        <v>2074</v>
      </c>
      <c r="BI36" s="9">
        <v>2075</v>
      </c>
      <c r="BJ36" s="9">
        <v>2076</v>
      </c>
      <c r="BK36" s="9">
        <v>2077</v>
      </c>
      <c r="BL36" s="9">
        <v>2078</v>
      </c>
      <c r="BM36" s="9">
        <v>2079</v>
      </c>
      <c r="BN36" s="9">
        <v>2080</v>
      </c>
      <c r="BO36" s="9">
        <v>2081</v>
      </c>
      <c r="BP36" s="9">
        <v>2082</v>
      </c>
      <c r="BQ36" s="9">
        <v>2083</v>
      </c>
      <c r="BR36" s="9">
        <v>2084</v>
      </c>
      <c r="BS36" s="9">
        <v>2085</v>
      </c>
      <c r="BT36" s="9">
        <v>2086</v>
      </c>
      <c r="BU36" s="9">
        <v>2087</v>
      </c>
      <c r="BV36" s="9">
        <v>2088</v>
      </c>
      <c r="BW36" s="9">
        <v>2089</v>
      </c>
      <c r="BX36" s="9">
        <v>2090</v>
      </c>
      <c r="BY36" s="9">
        <v>2091</v>
      </c>
      <c r="BZ36" s="9">
        <v>2092</v>
      </c>
      <c r="CA36" s="9">
        <v>2093</v>
      </c>
      <c r="CB36" s="9">
        <v>2094</v>
      </c>
      <c r="CC36" s="9">
        <v>2095</v>
      </c>
      <c r="CD36" s="9">
        <v>2096</v>
      </c>
      <c r="CE36" s="9">
        <v>2097</v>
      </c>
      <c r="CF36" s="9">
        <v>2098</v>
      </c>
      <c r="CG36" s="9">
        <v>2099</v>
      </c>
      <c r="CH36" s="9">
        <v>2100</v>
      </c>
    </row>
    <row r="37" spans="1:86" s="52" customFormat="1" x14ac:dyDescent="0.25">
      <c r="A37" s="1"/>
      <c r="B37" s="1" t="s">
        <v>20</v>
      </c>
      <c r="C37" s="11">
        <v>249260</v>
      </c>
      <c r="D37" s="11">
        <v>238184</v>
      </c>
      <c r="E37" s="23">
        <v>238371</v>
      </c>
      <c r="F37" s="11">
        <v>250081</v>
      </c>
      <c r="G37" s="11">
        <v>259933</v>
      </c>
      <c r="H37" s="11">
        <v>283800</v>
      </c>
      <c r="I37" s="20">
        <v>295290</v>
      </c>
      <c r="J37" s="88">
        <v>304230</v>
      </c>
      <c r="K37" s="88">
        <v>314520</v>
      </c>
      <c r="L37" s="88">
        <v>317000</v>
      </c>
      <c r="M37" s="88">
        <v>322000</v>
      </c>
      <c r="N37" s="88">
        <v>328000</v>
      </c>
      <c r="O37" s="88">
        <v>330000</v>
      </c>
      <c r="P37" s="88">
        <v>341000</v>
      </c>
      <c r="Q37" s="88">
        <v>353000</v>
      </c>
      <c r="R37" s="88">
        <v>365000</v>
      </c>
    </row>
    <row r="38" spans="1:86" s="52" customFormat="1" x14ac:dyDescent="0.25">
      <c r="A38" s="1"/>
      <c r="B38" s="78" t="s">
        <v>16</v>
      </c>
      <c r="C38" s="79">
        <f t="shared" ref="C38:G38" si="19">C37/C11</f>
        <v>2.6591182386963473E-2</v>
      </c>
      <c r="D38" s="79">
        <f t="shared" si="19"/>
        <v>2.4861192786972443E-2</v>
      </c>
      <c r="E38" s="79">
        <f t="shared" si="19"/>
        <v>2.4551542521925269E-2</v>
      </c>
      <c r="F38" s="79">
        <f t="shared" si="19"/>
        <v>2.4745008594126389E-2</v>
      </c>
      <c r="G38" s="79">
        <f t="shared" si="19"/>
        <v>2.3634593560695506E-2</v>
      </c>
      <c r="H38" s="79">
        <f>H37/H11</f>
        <v>2.5442140108915309E-2</v>
      </c>
      <c r="I38" s="80">
        <f t="shared" ref="I38:R38" si="20">I37/I11</f>
        <v>2.6271352313167261E-2</v>
      </c>
      <c r="J38" s="81">
        <f t="shared" si="20"/>
        <v>2.643179843614249E-2</v>
      </c>
      <c r="K38" s="81">
        <f t="shared" si="20"/>
        <v>2.6699490662139225E-2</v>
      </c>
      <c r="L38" s="81">
        <f t="shared" si="20"/>
        <v>2.6133553173948894E-2</v>
      </c>
      <c r="M38" s="81">
        <f t="shared" si="20"/>
        <v>2.5821972734562958E-2</v>
      </c>
      <c r="N38" s="81">
        <f t="shared" si="20"/>
        <v>2.5585023400936043E-2</v>
      </c>
      <c r="O38" s="81">
        <f t="shared" si="20"/>
        <v>2.4515266324938719E-2</v>
      </c>
      <c r="P38" s="81">
        <f t="shared" si="20"/>
        <v>2.4523177027205561E-2</v>
      </c>
      <c r="Q38" s="81">
        <f t="shared" si="20"/>
        <v>2.4573522864369108E-2</v>
      </c>
      <c r="R38" s="81">
        <f t="shared" si="20"/>
        <v>2.4571040018407726E-2</v>
      </c>
    </row>
    <row r="39" spans="1:86" s="52" customFormat="1" x14ac:dyDescent="0.25">
      <c r="A39" s="1"/>
      <c r="B39" s="1"/>
      <c r="C39" s="1"/>
      <c r="D39" s="1"/>
      <c r="E39" s="2"/>
      <c r="F39" s="11"/>
      <c r="G39" s="11"/>
      <c r="H39" s="11"/>
      <c r="I39" s="12"/>
      <c r="J39" s="89"/>
      <c r="K39" s="89"/>
      <c r="L39" s="89"/>
      <c r="M39" s="89"/>
      <c r="N39" s="89"/>
      <c r="O39" s="89"/>
      <c r="P39" s="89"/>
      <c r="Q39" s="89"/>
      <c r="R39" s="89"/>
    </row>
    <row r="40" spans="1:86" s="52" customFormat="1" x14ac:dyDescent="0.25">
      <c r="A40" s="1"/>
      <c r="B40" s="1" t="s">
        <v>21</v>
      </c>
      <c r="C40" s="38">
        <v>-189758</v>
      </c>
      <c r="D40" s="11">
        <v>-193715</v>
      </c>
      <c r="E40" s="11">
        <v>-270129</v>
      </c>
      <c r="F40" s="23">
        <v>-267576</v>
      </c>
      <c r="G40" s="23">
        <v>-289639</v>
      </c>
      <c r="H40" s="23">
        <v>-424061</v>
      </c>
      <c r="I40" s="20">
        <f>I41*I11</f>
        <v>-282770</v>
      </c>
      <c r="J40" s="88">
        <f t="shared" ref="J40:R40" si="21">J41*J11</f>
        <v>-325290</v>
      </c>
      <c r="K40" s="88">
        <f t="shared" si="21"/>
        <v>-326190</v>
      </c>
      <c r="L40" s="88">
        <f t="shared" si="21"/>
        <v>-335881.55348047533</v>
      </c>
      <c r="M40" s="88">
        <f t="shared" si="21"/>
        <v>-345296.20543293713</v>
      </c>
      <c r="N40" s="88">
        <f t="shared" si="21"/>
        <v>-354987.75891341252</v>
      </c>
      <c r="O40" s="88">
        <f t="shared" si="21"/>
        <v>-446322.89391575661</v>
      </c>
      <c r="P40" s="88">
        <f t="shared" si="21"/>
        <v>-507390.54200958682</v>
      </c>
      <c r="Q40" s="88">
        <f t="shared" si="21"/>
        <v>-477784.25283800135</v>
      </c>
      <c r="R40" s="88">
        <f t="shared" si="21"/>
        <v>-477784.25283800135</v>
      </c>
    </row>
    <row r="41" spans="1:86" s="52" customFormat="1" x14ac:dyDescent="0.25">
      <c r="A41" s="1"/>
      <c r="B41" s="78" t="s">
        <v>16</v>
      </c>
      <c r="C41" s="79">
        <f t="shared" ref="C41:H41" si="22">C40/C11</f>
        <v>-2.0243479047522325E-2</v>
      </c>
      <c r="D41" s="79">
        <f t="shared" si="22"/>
        <v>-2.0219603166998484E-2</v>
      </c>
      <c r="E41" s="79">
        <f t="shared" si="22"/>
        <v>-2.7822527194604842E-2</v>
      </c>
      <c r="F41" s="79">
        <f t="shared" si="22"/>
        <v>-2.6476103420819505E-2</v>
      </c>
      <c r="G41" s="79">
        <f t="shared" si="22"/>
        <v>-2.633563281432633E-2</v>
      </c>
      <c r="H41" s="79">
        <f t="shared" si="22"/>
        <v>-3.8016276873596669E-2</v>
      </c>
      <c r="I41" s="80">
        <v>-2.515747330960854E-2</v>
      </c>
      <c r="J41" s="81">
        <v>-2.826151172893137E-2</v>
      </c>
      <c r="K41" s="81">
        <v>-2.7690152801358239E-2</v>
      </c>
      <c r="L41" s="81">
        <v>-2.7690152801358239E-2</v>
      </c>
      <c r="M41" s="81">
        <v>-2.7690152801358239E-2</v>
      </c>
      <c r="N41" s="81">
        <v>-2.7690152801358239E-2</v>
      </c>
      <c r="O41" s="81">
        <v>-3.3156741246248921E-2</v>
      </c>
      <c r="P41" s="81">
        <v>-3.6489231916806093E-2</v>
      </c>
      <c r="Q41" s="81">
        <v>-3.3260176377762428E-2</v>
      </c>
      <c r="R41" s="81">
        <v>-3.2163441086705657E-2</v>
      </c>
    </row>
    <row r="42" spans="1:86" s="52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89"/>
      <c r="K42" s="89"/>
      <c r="L42" s="89"/>
      <c r="M42" s="89"/>
      <c r="N42" s="89"/>
      <c r="O42" s="89"/>
      <c r="P42" s="89"/>
      <c r="Q42" s="89"/>
      <c r="R42" s="89"/>
    </row>
    <row r="43" spans="1:86" s="52" customFormat="1" x14ac:dyDescent="0.25">
      <c r="A43" s="1"/>
      <c r="B43" s="1" t="s">
        <v>22</v>
      </c>
      <c r="C43" s="11">
        <v>-28193</v>
      </c>
      <c r="D43" s="11">
        <v>87130</v>
      </c>
      <c r="E43" s="11">
        <v>61948</v>
      </c>
      <c r="F43" s="73">
        <v>118963</v>
      </c>
      <c r="G43" s="73">
        <v>103988</v>
      </c>
      <c r="H43" s="73">
        <v>-134342</v>
      </c>
      <c r="I43" s="20">
        <f t="shared" ref="I43:R43" si="23">I44*I11</f>
        <v>56200</v>
      </c>
      <c r="J43" s="88">
        <f t="shared" si="23"/>
        <v>57549.999999999993</v>
      </c>
      <c r="K43" s="88">
        <f t="shared" si="23"/>
        <v>58899.999999999993</v>
      </c>
      <c r="L43" s="88">
        <f t="shared" si="23"/>
        <v>60649.999999999985</v>
      </c>
      <c r="M43" s="88">
        <f t="shared" si="23"/>
        <v>62349.999999999985</v>
      </c>
      <c r="N43" s="88">
        <f t="shared" si="23"/>
        <v>64099.999999999985</v>
      </c>
      <c r="O43" s="88">
        <f t="shared" si="23"/>
        <v>67304.999999999985</v>
      </c>
      <c r="P43" s="88">
        <f t="shared" si="23"/>
        <v>69526.064999999973</v>
      </c>
      <c r="Q43" s="88">
        <f t="shared" si="23"/>
        <v>71825.273475916576</v>
      </c>
      <c r="R43" s="88">
        <f t="shared" si="23"/>
        <v>74274.430330697316</v>
      </c>
    </row>
    <row r="44" spans="1:86" s="52" customFormat="1" x14ac:dyDescent="0.25">
      <c r="A44" s="1"/>
      <c r="B44" s="78" t="s">
        <v>16</v>
      </c>
      <c r="C44" s="79">
        <f t="shared" ref="C44:H44" si="24">C43/C11</f>
        <v>-3.0076434447390723E-3</v>
      </c>
      <c r="D44" s="79">
        <f t="shared" si="24"/>
        <v>9.0944636395765832E-3</v>
      </c>
      <c r="E44" s="79">
        <f t="shared" si="24"/>
        <v>6.3804697557514403E-3</v>
      </c>
      <c r="F44" s="79">
        <f t="shared" si="24"/>
        <v>1.1771147977587493E-2</v>
      </c>
      <c r="G44" s="79">
        <f t="shared" si="24"/>
        <v>9.4551831248421876E-3</v>
      </c>
      <c r="H44" s="79">
        <f t="shared" si="24"/>
        <v>-1.2043509466215295E-2</v>
      </c>
      <c r="I44" s="83">
        <v>5.0000000000000001E-3</v>
      </c>
      <c r="J44" s="91">
        <v>5.0000000000000001E-3</v>
      </c>
      <c r="K44" s="91">
        <v>5.0000000000000001E-3</v>
      </c>
      <c r="L44" s="91">
        <v>5.0000000000000001E-3</v>
      </c>
      <c r="M44" s="91">
        <v>5.0000000000000001E-3</v>
      </c>
      <c r="N44" s="91">
        <v>5.0000000000000001E-3</v>
      </c>
      <c r="O44" s="91">
        <v>5.0000000000000001E-3</v>
      </c>
      <c r="P44" s="91">
        <v>5.0000000000000001E-3</v>
      </c>
      <c r="Q44" s="91">
        <v>5.0000000000000001E-3</v>
      </c>
      <c r="R44" s="91">
        <v>5.0000000000000001E-3</v>
      </c>
    </row>
    <row r="45" spans="1:86" s="52" customFormat="1" x14ac:dyDescent="0.25">
      <c r="A45" s="1"/>
      <c r="B45" s="1"/>
      <c r="C45" s="1"/>
      <c r="D45" s="1"/>
      <c r="E45" s="1"/>
      <c r="F45" s="1"/>
      <c r="G45" s="1"/>
      <c r="H45" s="1"/>
      <c r="I45" s="12"/>
      <c r="J45" s="89"/>
      <c r="K45" s="89"/>
      <c r="L45" s="89"/>
      <c r="M45" s="89"/>
      <c r="N45" s="89"/>
      <c r="O45" s="89"/>
      <c r="P45" s="89"/>
      <c r="Q45" s="89"/>
      <c r="R45" s="89"/>
    </row>
    <row r="46" spans="1:86" s="52" customFormat="1" x14ac:dyDescent="0.25">
      <c r="A46" s="1"/>
      <c r="B46" s="9" t="s">
        <v>23</v>
      </c>
      <c r="C46" s="11">
        <f t="shared" ref="C46:G46" si="25">C30+C33</f>
        <v>525458</v>
      </c>
      <c r="D46" s="11">
        <f t="shared" si="25"/>
        <v>472858</v>
      </c>
      <c r="E46" s="11">
        <f t="shared" si="25"/>
        <v>526330</v>
      </c>
      <c r="F46" s="11">
        <f t="shared" si="25"/>
        <v>591913</v>
      </c>
      <c r="G46" s="11">
        <f t="shared" si="25"/>
        <v>648900</v>
      </c>
      <c r="H46" s="11">
        <f>H30+H33</f>
        <v>567336</v>
      </c>
      <c r="I46" s="39">
        <f>I30+I33</f>
        <v>419948.88</v>
      </c>
      <c r="J46" s="92">
        <f t="shared" ref="J46:R46" si="26">J30+J33</f>
        <v>484801.2</v>
      </c>
      <c r="K46" s="92">
        <f t="shared" si="26"/>
        <v>513631.56</v>
      </c>
      <c r="L46" s="92">
        <f t="shared" si="26"/>
        <v>737989.2</v>
      </c>
      <c r="M46" s="92">
        <f t="shared" si="26"/>
        <v>768401.4</v>
      </c>
      <c r="N46" s="92">
        <f t="shared" si="26"/>
        <v>799968</v>
      </c>
      <c r="O46" s="92">
        <f t="shared" si="26"/>
        <v>934462.62</v>
      </c>
      <c r="P46" s="92">
        <f t="shared" si="26"/>
        <v>965299.8864600003</v>
      </c>
      <c r="Q46" s="92">
        <f t="shared" si="26"/>
        <v>1008426.839601869</v>
      </c>
      <c r="R46" s="92">
        <f t="shared" si="26"/>
        <v>1054399.8129745796</v>
      </c>
    </row>
    <row r="47" spans="1:86" s="52" customFormat="1" x14ac:dyDescent="0.25">
      <c r="A47" s="1"/>
      <c r="B47" s="9" t="s">
        <v>24</v>
      </c>
      <c r="C47" s="11">
        <f>C28+C33</f>
        <v>475505</v>
      </c>
      <c r="D47" s="11">
        <f t="shared" ref="D47:E47" si="27">D28+D33</f>
        <v>423847</v>
      </c>
      <c r="E47" s="11">
        <f t="shared" si="27"/>
        <v>486896</v>
      </c>
      <c r="F47" s="11">
        <f>F28+F33</f>
        <v>493021</v>
      </c>
      <c r="G47" s="11">
        <f t="shared" ref="G47:R47" si="28">G28+G33</f>
        <v>616108</v>
      </c>
      <c r="H47" s="11">
        <f t="shared" si="28"/>
        <v>501872</v>
      </c>
      <c r="I47" s="39">
        <f t="shared" si="28"/>
        <v>341268.88</v>
      </c>
      <c r="J47" s="92">
        <f t="shared" si="28"/>
        <v>398476.2</v>
      </c>
      <c r="K47" s="92">
        <f t="shared" si="28"/>
        <v>431171.56</v>
      </c>
      <c r="L47" s="92">
        <f t="shared" si="28"/>
        <v>665209.19999999995</v>
      </c>
      <c r="M47" s="92">
        <f t="shared" si="28"/>
        <v>743461.4</v>
      </c>
      <c r="N47" s="92">
        <f t="shared" si="28"/>
        <v>838428</v>
      </c>
      <c r="O47" s="92">
        <f t="shared" si="28"/>
        <v>867157.62</v>
      </c>
      <c r="P47" s="92">
        <f t="shared" si="28"/>
        <v>895773.82146000036</v>
      </c>
      <c r="Q47" s="92">
        <f t="shared" si="28"/>
        <v>936601.56612595241</v>
      </c>
      <c r="R47" s="92">
        <f t="shared" si="28"/>
        <v>980125.38264388242</v>
      </c>
      <c r="S47" s="53">
        <f>R47*(1+$E$6)</f>
        <v>989926.63647032122</v>
      </c>
      <c r="T47" s="53">
        <f t="shared" ref="T47:CE47" si="29">S47*(1+$E$6)</f>
        <v>999825.9028350244</v>
      </c>
      <c r="U47" s="53">
        <f t="shared" si="29"/>
        <v>1009824.1618633746</v>
      </c>
      <c r="V47" s="53">
        <f t="shared" si="29"/>
        <v>1019922.4034820084</v>
      </c>
      <c r="W47" s="53">
        <f t="shared" si="29"/>
        <v>1030121.6275168285</v>
      </c>
      <c r="X47" s="53">
        <f t="shared" si="29"/>
        <v>1040422.8437919968</v>
      </c>
      <c r="Y47" s="53">
        <f t="shared" si="29"/>
        <v>1050827.0722299167</v>
      </c>
      <c r="Z47" s="53">
        <f t="shared" si="29"/>
        <v>1061335.3429522158</v>
      </c>
      <c r="AA47" s="53">
        <f t="shared" si="29"/>
        <v>1071948.6963817379</v>
      </c>
      <c r="AB47" s="53">
        <f t="shared" si="29"/>
        <v>1082668.1833455553</v>
      </c>
      <c r="AC47" s="53">
        <f t="shared" si="29"/>
        <v>1093494.8651790109</v>
      </c>
      <c r="AD47" s="53">
        <f t="shared" si="29"/>
        <v>1104429.8138308011</v>
      </c>
      <c r="AE47" s="53">
        <f t="shared" si="29"/>
        <v>1115474.1119691092</v>
      </c>
      <c r="AF47" s="53">
        <f t="shared" si="29"/>
        <v>1126628.8530888003</v>
      </c>
      <c r="AG47" s="53">
        <f t="shared" si="29"/>
        <v>1137895.1416196884</v>
      </c>
      <c r="AH47" s="53">
        <f t="shared" si="29"/>
        <v>1149274.0930358854</v>
      </c>
      <c r="AI47" s="53">
        <f t="shared" si="29"/>
        <v>1160766.8339662442</v>
      </c>
      <c r="AJ47" s="53">
        <f t="shared" si="29"/>
        <v>1172374.5023059067</v>
      </c>
      <c r="AK47" s="53">
        <f t="shared" si="29"/>
        <v>1184098.2473289659</v>
      </c>
      <c r="AL47" s="53">
        <f t="shared" si="29"/>
        <v>1195939.2298022555</v>
      </c>
      <c r="AM47" s="53">
        <f t="shared" si="29"/>
        <v>1207898.622100278</v>
      </c>
      <c r="AN47" s="53">
        <f t="shared" si="29"/>
        <v>1219977.6083212809</v>
      </c>
      <c r="AO47" s="53">
        <f t="shared" si="29"/>
        <v>1232177.3844044937</v>
      </c>
      <c r="AP47" s="53">
        <f t="shared" si="29"/>
        <v>1244499.1582485386</v>
      </c>
      <c r="AQ47" s="53">
        <f t="shared" si="29"/>
        <v>1256944.149831024</v>
      </c>
      <c r="AR47" s="53">
        <f t="shared" si="29"/>
        <v>1269513.5913293343</v>
      </c>
      <c r="AS47" s="53">
        <f t="shared" si="29"/>
        <v>1282208.7272426276</v>
      </c>
      <c r="AT47" s="53">
        <f t="shared" si="29"/>
        <v>1295030.814515054</v>
      </c>
      <c r="AU47" s="53">
        <f t="shared" si="29"/>
        <v>1307981.1226602045</v>
      </c>
      <c r="AV47" s="53">
        <f t="shared" si="29"/>
        <v>1321060.9338868065</v>
      </c>
      <c r="AW47" s="53">
        <f t="shared" si="29"/>
        <v>1334271.5432256747</v>
      </c>
      <c r="AX47" s="53">
        <f t="shared" si="29"/>
        <v>1347614.2586579314</v>
      </c>
      <c r="AY47" s="53">
        <f t="shared" si="29"/>
        <v>1361090.4012445107</v>
      </c>
      <c r="AZ47" s="53">
        <f t="shared" si="29"/>
        <v>1374701.3052569558</v>
      </c>
      <c r="BA47" s="53">
        <f t="shared" si="29"/>
        <v>1388448.3183095253</v>
      </c>
      <c r="BB47" s="53">
        <f t="shared" si="29"/>
        <v>1402332.8014926205</v>
      </c>
      <c r="BC47" s="53">
        <f t="shared" si="29"/>
        <v>1416356.1295075468</v>
      </c>
      <c r="BD47" s="53">
        <f t="shared" si="29"/>
        <v>1430519.6908026224</v>
      </c>
      <c r="BE47" s="53">
        <f t="shared" si="29"/>
        <v>1444824.8877106486</v>
      </c>
      <c r="BF47" s="53">
        <f t="shared" si="29"/>
        <v>1459273.1365877551</v>
      </c>
      <c r="BG47" s="53">
        <f t="shared" si="29"/>
        <v>1473865.8679536327</v>
      </c>
      <c r="BH47" s="53">
        <f t="shared" si="29"/>
        <v>1488604.526633169</v>
      </c>
      <c r="BI47" s="53">
        <f t="shared" si="29"/>
        <v>1503490.5718995007</v>
      </c>
      <c r="BJ47" s="53">
        <f t="shared" si="29"/>
        <v>1518525.4776184957</v>
      </c>
      <c r="BK47" s="53">
        <f t="shared" si="29"/>
        <v>1533710.7323946806</v>
      </c>
      <c r="BL47" s="53">
        <f t="shared" si="29"/>
        <v>1549047.8397186275</v>
      </c>
      <c r="BM47" s="53">
        <f t="shared" si="29"/>
        <v>1564538.3181158139</v>
      </c>
      <c r="BN47" s="53">
        <f t="shared" si="29"/>
        <v>1580183.7012969721</v>
      </c>
      <c r="BO47" s="53">
        <f t="shared" si="29"/>
        <v>1595985.5383099418</v>
      </c>
      <c r="BP47" s="53">
        <f t="shared" si="29"/>
        <v>1611945.3936930413</v>
      </c>
      <c r="BQ47" s="53">
        <f t="shared" si="29"/>
        <v>1628064.8476299718</v>
      </c>
      <c r="BR47" s="53">
        <f t="shared" si="29"/>
        <v>1644345.4961062716</v>
      </c>
      <c r="BS47" s="53">
        <f t="shared" si="29"/>
        <v>1660788.9510673343</v>
      </c>
      <c r="BT47" s="53">
        <f t="shared" si="29"/>
        <v>1677396.8405780077</v>
      </c>
      <c r="BU47" s="53">
        <f t="shared" si="29"/>
        <v>1694170.8089837879</v>
      </c>
      <c r="BV47" s="53">
        <f t="shared" si="29"/>
        <v>1711112.5170736257</v>
      </c>
      <c r="BW47" s="53">
        <f t="shared" si="29"/>
        <v>1728223.642244362</v>
      </c>
      <c r="BX47" s="53">
        <f t="shared" si="29"/>
        <v>1745505.8786668056</v>
      </c>
      <c r="BY47" s="53">
        <f t="shared" si="29"/>
        <v>1762960.9374534737</v>
      </c>
      <c r="BZ47" s="53">
        <f t="shared" si="29"/>
        <v>1780590.5468280085</v>
      </c>
      <c r="CA47" s="53">
        <f t="shared" si="29"/>
        <v>1798396.4522962887</v>
      </c>
      <c r="CB47" s="53">
        <f t="shared" si="29"/>
        <v>1816380.4168192516</v>
      </c>
      <c r="CC47" s="53">
        <f t="shared" si="29"/>
        <v>1834544.220987444</v>
      </c>
      <c r="CD47" s="53">
        <f t="shared" si="29"/>
        <v>1852889.6631973186</v>
      </c>
      <c r="CE47" s="53">
        <f t="shared" si="29"/>
        <v>1871418.5598292917</v>
      </c>
      <c r="CF47" s="53">
        <f t="shared" ref="CF47:CH47" si="30">CE47*(1+$E$6)</f>
        <v>1890132.7454275845</v>
      </c>
      <c r="CG47" s="53">
        <f t="shared" si="30"/>
        <v>1909034.0728818604</v>
      </c>
      <c r="CH47" s="53">
        <f t="shared" si="30"/>
        <v>1928124.4136106791</v>
      </c>
    </row>
    <row r="48" spans="1:86" s="52" customFormat="1" x14ac:dyDescent="0.25">
      <c r="A48" s="1"/>
      <c r="B48" s="9"/>
      <c r="C48" s="11"/>
      <c r="D48" s="11"/>
      <c r="E48" s="11"/>
      <c r="F48" s="11"/>
      <c r="G48" s="11"/>
      <c r="H48" s="11"/>
      <c r="I48" s="39"/>
      <c r="J48" s="92"/>
      <c r="K48" s="92"/>
      <c r="L48" s="92"/>
      <c r="M48" s="92"/>
      <c r="N48" s="92"/>
      <c r="O48" s="92"/>
      <c r="P48" s="92"/>
      <c r="Q48" s="92"/>
      <c r="R48" s="92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</row>
    <row r="49" spans="1:18" s="52" customFormat="1" x14ac:dyDescent="0.25">
      <c r="A49" s="1"/>
      <c r="B49" s="9" t="s">
        <v>25</v>
      </c>
      <c r="C49" s="24">
        <f t="shared" ref="C49:H49" si="31">C46+C37+C40-C43</f>
        <v>613153</v>
      </c>
      <c r="D49" s="24">
        <f t="shared" si="31"/>
        <v>430197</v>
      </c>
      <c r="E49" s="24">
        <f t="shared" si="31"/>
        <v>432624</v>
      </c>
      <c r="F49" s="24">
        <f t="shared" si="31"/>
        <v>455455</v>
      </c>
      <c r="G49" s="24">
        <f t="shared" si="31"/>
        <v>515206</v>
      </c>
      <c r="H49" s="24">
        <f t="shared" si="31"/>
        <v>561417</v>
      </c>
      <c r="I49" s="95">
        <f t="shared" ref="I49:R49" si="32">I46+I37+I40-I43</f>
        <v>376268.88</v>
      </c>
      <c r="J49" s="94">
        <f t="shared" si="32"/>
        <v>406191.19999999995</v>
      </c>
      <c r="K49" s="94">
        <f t="shared" si="32"/>
        <v>443061.56000000006</v>
      </c>
      <c r="L49" s="94">
        <f t="shared" si="32"/>
        <v>658457.64651952463</v>
      </c>
      <c r="M49" s="94">
        <f t="shared" si="32"/>
        <v>682755.19456706278</v>
      </c>
      <c r="N49" s="94">
        <f t="shared" si="32"/>
        <v>708880.24108658754</v>
      </c>
      <c r="O49" s="94">
        <f t="shared" si="32"/>
        <v>750834.72608424351</v>
      </c>
      <c r="P49" s="94">
        <f t="shared" si="32"/>
        <v>729383.27945041342</v>
      </c>
      <c r="Q49" s="94">
        <f t="shared" si="32"/>
        <v>811817.31328795105</v>
      </c>
      <c r="R49" s="94">
        <f t="shared" si="32"/>
        <v>867341.12980588095</v>
      </c>
    </row>
    <row r="50" spans="1:18" s="52" customFormat="1" x14ac:dyDescent="0.25">
      <c r="A50" s="1"/>
      <c r="B50" s="25" t="s">
        <v>26</v>
      </c>
      <c r="C50" s="1"/>
      <c r="D50" s="1"/>
      <c r="E50" s="1"/>
      <c r="F50" s="1"/>
      <c r="G50" s="1"/>
      <c r="H50" s="1"/>
      <c r="I50" s="75">
        <f t="shared" ref="I50:R50" si="33">I49/((1+$E$5)^I9)</f>
        <v>343013.72248555569</v>
      </c>
      <c r="J50" s="76">
        <f t="shared" si="33"/>
        <v>337564.60138906643</v>
      </c>
      <c r="K50" s="76">
        <f t="shared" si="33"/>
        <v>335663.1409042317</v>
      </c>
      <c r="L50" s="76">
        <f t="shared" si="33"/>
        <v>454758.28617672826</v>
      </c>
      <c r="M50" s="76">
        <f t="shared" si="33"/>
        <v>429863.90803680819</v>
      </c>
      <c r="N50" s="76">
        <f t="shared" si="33"/>
        <v>406866.59539506346</v>
      </c>
      <c r="O50" s="76">
        <f t="shared" si="33"/>
        <v>392859.00107185956</v>
      </c>
      <c r="P50" s="76">
        <f t="shared" si="33"/>
        <v>347905.54817897506</v>
      </c>
      <c r="Q50" s="76">
        <f t="shared" si="33"/>
        <v>353001.90935912344</v>
      </c>
      <c r="R50" s="76">
        <f t="shared" si="33"/>
        <v>343812.67287035921</v>
      </c>
    </row>
    <row r="51" spans="1:18" s="52" customFormat="1" x14ac:dyDescent="0.25">
      <c r="A51" s="1"/>
      <c r="B51" s="26"/>
      <c r="C51" s="26"/>
      <c r="D51" s="26"/>
      <c r="E51" s="26"/>
      <c r="F51" s="26"/>
      <c r="G51" s="26"/>
      <c r="H51" s="26"/>
      <c r="I51" s="77"/>
      <c r="J51" s="1"/>
      <c r="K51" s="1"/>
      <c r="L51" s="1"/>
      <c r="M51" s="1"/>
      <c r="N51" s="1"/>
      <c r="O51" s="1"/>
      <c r="P51" s="1"/>
      <c r="Q51" s="1"/>
      <c r="R51" s="1"/>
    </row>
    <row r="52" spans="1:18" s="52" customFormat="1" x14ac:dyDescent="0.25">
      <c r="A52" s="1"/>
      <c r="B52" s="1" t="s">
        <v>27</v>
      </c>
      <c r="C52" s="27">
        <f>(R49*(1+$E$6))/($E$5-$E$6)</f>
        <v>10074930.57097535</v>
      </c>
      <c r="D52" s="1"/>
      <c r="E52" s="1" t="s">
        <v>28</v>
      </c>
      <c r="F52" s="18">
        <f>NPV($E$5,I47:CH47)</f>
        <v>8550993.2412660606</v>
      </c>
      <c r="G52" s="1"/>
      <c r="H52" s="1"/>
      <c r="I52" s="15"/>
      <c r="J52" s="1"/>
      <c r="K52" s="1"/>
      <c r="L52" s="1"/>
      <c r="M52" s="1"/>
      <c r="N52" s="1"/>
      <c r="O52" s="1"/>
      <c r="P52" s="1"/>
      <c r="Q52" s="1"/>
      <c r="R52" s="2"/>
    </row>
    <row r="53" spans="1:18" s="52" customFormat="1" x14ac:dyDescent="0.25">
      <c r="A53" s="1"/>
      <c r="B53" s="3" t="s">
        <v>29</v>
      </c>
      <c r="C53" s="28">
        <f>C52/((1+$E$5)^$R$9)</f>
        <v>3993686.7854584274</v>
      </c>
      <c r="D53" s="16"/>
      <c r="E53" s="3"/>
      <c r="F53" s="3"/>
      <c r="G53" s="3"/>
      <c r="H53" s="16"/>
      <c r="I53" s="12"/>
      <c r="J53" s="1"/>
      <c r="K53" s="2"/>
      <c r="L53" s="86" t="s">
        <v>53</v>
      </c>
      <c r="M53" s="86"/>
      <c r="N53" s="86"/>
      <c r="O53" s="86"/>
      <c r="P53" s="86"/>
      <c r="Q53" s="86"/>
      <c r="R53" s="2"/>
    </row>
    <row r="54" spans="1:18" x14ac:dyDescent="0.25">
      <c r="A54" s="1"/>
      <c r="B54" s="6" t="s">
        <v>30</v>
      </c>
      <c r="C54" s="6"/>
      <c r="D54" s="1"/>
      <c r="E54" s="6"/>
      <c r="F54" s="6"/>
      <c r="G54" s="29" t="s">
        <v>31</v>
      </c>
      <c r="H54" s="29" t="s">
        <v>28</v>
      </c>
      <c r="I54" s="15"/>
      <c r="J54" s="1"/>
      <c r="K54" s="54"/>
      <c r="L54" s="59">
        <f>E60</f>
        <v>118.94901606134357</v>
      </c>
      <c r="M54" s="84">
        <v>-0.01</v>
      </c>
      <c r="N54" s="84">
        <v>0</v>
      </c>
      <c r="O54" s="84">
        <v>0.01</v>
      </c>
      <c r="P54" s="84">
        <v>0.02</v>
      </c>
      <c r="Q54" s="84">
        <v>0.03</v>
      </c>
    </row>
    <row r="55" spans="1:18" x14ac:dyDescent="0.25">
      <c r="A55" s="1"/>
      <c r="B55" s="30" t="s">
        <v>32</v>
      </c>
      <c r="C55" s="1"/>
      <c r="D55" s="23">
        <v>226499</v>
      </c>
      <c r="E55" s="1"/>
      <c r="F55" s="1"/>
      <c r="G55" s="27">
        <f>C53+SUM(I50:R50)</f>
        <v>7738996.1713261986</v>
      </c>
      <c r="H55" s="18">
        <f>F52</f>
        <v>8550993.2412660606</v>
      </c>
      <c r="I55" s="15"/>
      <c r="K55" s="54"/>
      <c r="L55" s="56">
        <f>L56-0.5%</f>
        <v>8.194993329558331E-2</v>
      </c>
      <c r="M55" s="60">
        <f t="dataTable" ref="M55:Q59" dt2D="1" dtr="1" r1="E6" r2="E5"/>
        <v>128.86828683621192</v>
      </c>
      <c r="N55" s="60">
        <v>138.89872692823579</v>
      </c>
      <c r="O55" s="60">
        <v>151.5975976404099</v>
      </c>
      <c r="P55" s="60">
        <v>168.1255102759506</v>
      </c>
      <c r="Q55" s="60">
        <v>190.39229334369224</v>
      </c>
    </row>
    <row r="56" spans="1:18" x14ac:dyDescent="0.25">
      <c r="A56" s="1"/>
      <c r="B56" s="31" t="s">
        <v>33</v>
      </c>
      <c r="C56" s="3"/>
      <c r="D56" s="96">
        <f>4983455-3682749</f>
        <v>1300706</v>
      </c>
      <c r="E56" s="3"/>
      <c r="F56" s="3"/>
      <c r="G56" s="3"/>
      <c r="H56" s="3"/>
      <c r="I56" s="15"/>
      <c r="K56" s="55"/>
      <c r="L56" s="56">
        <f>L57-1%</f>
        <v>8.6949933295583315E-2</v>
      </c>
      <c r="M56" s="60">
        <v>119.88468975312642</v>
      </c>
      <c r="N56" s="61">
        <v>128.51066501227069</v>
      </c>
      <c r="O56" s="61">
        <v>139.30046959675133</v>
      </c>
      <c r="P56" s="61">
        <v>153.13871277736115</v>
      </c>
      <c r="Q56" s="60">
        <v>171.43938108251859</v>
      </c>
      <c r="R56" s="48"/>
    </row>
    <row r="57" spans="1:18" x14ac:dyDescent="0.25">
      <c r="A57" s="1"/>
      <c r="B57" s="6" t="s">
        <v>34</v>
      </c>
      <c r="C57" s="6"/>
      <c r="D57" s="6"/>
      <c r="E57" s="6"/>
      <c r="F57" s="6"/>
      <c r="G57" s="32">
        <f>G55+D55-D56</f>
        <v>6664789.1713261986</v>
      </c>
      <c r="H57" s="33">
        <f>H55+D55-D56</f>
        <v>7476786.2412660606</v>
      </c>
      <c r="I57" s="15"/>
      <c r="K57" s="54" t="s">
        <v>1</v>
      </c>
      <c r="L57" s="56">
        <v>9.694993329558331E-2</v>
      </c>
      <c r="M57" s="60">
        <v>104.52650148668451</v>
      </c>
      <c r="N57" s="61">
        <v>111.00912675541804</v>
      </c>
      <c r="O57" s="62">
        <v>118.94901606134357</v>
      </c>
      <c r="P57" s="61">
        <v>128.87810441796208</v>
      </c>
      <c r="Q57" s="60">
        <v>141.60785027458957</v>
      </c>
    </row>
    <row r="58" spans="1:18" x14ac:dyDescent="0.25">
      <c r="A58" s="1"/>
      <c r="B58" s="3" t="s">
        <v>35</v>
      </c>
      <c r="C58" s="3"/>
      <c r="D58" s="38">
        <f>59443852/1000</f>
        <v>59443.851999999999</v>
      </c>
      <c r="E58" s="3"/>
      <c r="F58" s="3"/>
      <c r="G58" s="3"/>
      <c r="H58" s="34"/>
      <c r="I58" s="15"/>
      <c r="K58" s="54"/>
      <c r="L58" s="57">
        <f>L57+1%</f>
        <v>0.1069499332955833</v>
      </c>
      <c r="M58" s="60">
        <v>91.906473436708779</v>
      </c>
      <c r="N58" s="61">
        <v>96.869949273610516</v>
      </c>
      <c r="O58" s="61">
        <v>102.84239163205365</v>
      </c>
      <c r="P58" s="61">
        <v>110.15613581724963</v>
      </c>
      <c r="Q58" s="60">
        <v>119.2998583287299</v>
      </c>
    </row>
    <row r="59" spans="1:18" x14ac:dyDescent="0.25">
      <c r="A59" s="1"/>
      <c r="B59" s="17" t="s">
        <v>36</v>
      </c>
      <c r="C59" s="17"/>
      <c r="D59" s="63">
        <f>D58*$J$5</f>
        <v>4175930.6030000001</v>
      </c>
      <c r="E59" s="17"/>
      <c r="F59" s="17"/>
      <c r="G59" s="17"/>
      <c r="H59" s="35"/>
      <c r="I59" s="1"/>
      <c r="K59" s="54"/>
      <c r="L59" s="57">
        <f>L58+1%</f>
        <v>0.1169499332955833</v>
      </c>
      <c r="M59" s="60">
        <v>81.37589859088159</v>
      </c>
      <c r="N59" s="60">
        <v>85.237237071346243</v>
      </c>
      <c r="O59" s="60">
        <v>89.813934984366568</v>
      </c>
      <c r="P59" s="60">
        <v>95.320332267557319</v>
      </c>
      <c r="Q59" s="60">
        <v>102.06217031777642</v>
      </c>
    </row>
    <row r="60" spans="1:18" x14ac:dyDescent="0.25">
      <c r="A60" s="1"/>
      <c r="B60" s="6" t="s">
        <v>37</v>
      </c>
      <c r="D60" s="6" t="s">
        <v>38</v>
      </c>
      <c r="E60" s="36">
        <f>(G60+H60)/2</f>
        <v>118.94901606134357</v>
      </c>
      <c r="F60" s="6"/>
      <c r="G60" s="36">
        <f>G57/D58</f>
        <v>112.11906609494618</v>
      </c>
      <c r="H60" s="37">
        <f>H57/D58</f>
        <v>125.77896602774095</v>
      </c>
      <c r="I60" s="15"/>
    </row>
    <row r="61" spans="1:18" x14ac:dyDescent="0.25">
      <c r="B61" s="41"/>
      <c r="C61" s="41"/>
      <c r="D61" s="41"/>
      <c r="E61" s="41"/>
      <c r="F61" s="41"/>
      <c r="G61" s="41"/>
      <c r="H61" s="41"/>
      <c r="I61" s="22"/>
    </row>
  </sheetData>
  <sortState xmlns:xlrd2="http://schemas.microsoft.com/office/spreadsheetml/2017/richdata2" columnSort="1" ref="C10:H50">
    <sortCondition ref="C10:H10"/>
  </sortState>
  <mergeCells count="1">
    <mergeCell ref="L53:Q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CCAC-A95F-4B10-8DE5-4AD4AFEA2F21}">
  <dimension ref="A1:I21"/>
  <sheetViews>
    <sheetView workbookViewId="0">
      <selection activeCell="A20" sqref="A20"/>
    </sheetView>
  </sheetViews>
  <sheetFormatPr defaultRowHeight="15" x14ac:dyDescent="0.25"/>
  <cols>
    <col min="1" max="1" width="34.28515625" customWidth="1"/>
    <col min="2" max="4" width="12.140625" customWidth="1"/>
    <col min="6" max="6" width="42.85546875" customWidth="1"/>
    <col min="7" max="9" width="12.5703125" customWidth="1"/>
  </cols>
  <sheetData>
    <row r="1" spans="1:9" x14ac:dyDescent="0.25">
      <c r="A1" s="66" t="s">
        <v>50</v>
      </c>
      <c r="B1" s="66" t="s">
        <v>50</v>
      </c>
      <c r="C1" s="66" t="s">
        <v>54</v>
      </c>
      <c r="D1" s="67"/>
    </row>
    <row r="2" spans="1:9" x14ac:dyDescent="0.25">
      <c r="A2" s="66" t="s">
        <v>50</v>
      </c>
      <c r="B2" s="66">
        <v>2020</v>
      </c>
      <c r="C2" s="66">
        <v>2021</v>
      </c>
      <c r="D2" s="66">
        <v>2022</v>
      </c>
      <c r="F2" s="66" t="s">
        <v>50</v>
      </c>
      <c r="G2" s="66">
        <v>2017</v>
      </c>
      <c r="H2" s="66">
        <v>2018</v>
      </c>
      <c r="I2" s="66">
        <v>2019</v>
      </c>
    </row>
    <row r="3" spans="1:9" x14ac:dyDescent="0.25">
      <c r="A3" s="66" t="s">
        <v>55</v>
      </c>
      <c r="B3" s="68">
        <v>10106321</v>
      </c>
      <c r="C3" s="68">
        <v>10997989</v>
      </c>
      <c r="D3" s="68">
        <v>11154722</v>
      </c>
      <c r="F3" s="66" t="s">
        <v>55</v>
      </c>
      <c r="G3" s="68">
        <v>9373784</v>
      </c>
      <c r="H3" s="68">
        <v>9580554</v>
      </c>
      <c r="I3" s="68">
        <v>9709003</v>
      </c>
    </row>
    <row r="4" spans="1:9" x14ac:dyDescent="0.25">
      <c r="A4" s="66" t="s">
        <v>56</v>
      </c>
      <c r="B4" s="69">
        <v>5624707</v>
      </c>
      <c r="C4" s="69">
        <v>6069241</v>
      </c>
      <c r="D4" s="69">
        <v>6192622</v>
      </c>
      <c r="F4" s="66" t="s">
        <v>69</v>
      </c>
      <c r="G4" s="67"/>
      <c r="H4" s="67"/>
      <c r="I4" s="67"/>
    </row>
    <row r="5" spans="1:9" x14ac:dyDescent="0.25">
      <c r="A5" s="66" t="s">
        <v>57</v>
      </c>
      <c r="B5" s="69">
        <v>4481614</v>
      </c>
      <c r="C5" s="69">
        <v>4928748</v>
      </c>
      <c r="D5" s="69">
        <v>4962100</v>
      </c>
      <c r="F5" s="66" t="s">
        <v>70</v>
      </c>
      <c r="G5" s="69">
        <v>5288735</v>
      </c>
      <c r="H5" s="69">
        <v>5361141</v>
      </c>
      <c r="I5" s="69">
        <v>5454257</v>
      </c>
    </row>
    <row r="6" spans="1:9" x14ac:dyDescent="0.25">
      <c r="A6" s="66" t="s">
        <v>58</v>
      </c>
      <c r="B6" s="69">
        <v>3731707</v>
      </c>
      <c r="C6" s="69">
        <v>4090031</v>
      </c>
      <c r="D6" s="69">
        <v>4247949</v>
      </c>
      <c r="F6" s="66" t="s">
        <v>57</v>
      </c>
      <c r="G6" s="69">
        <v>4085049</v>
      </c>
      <c r="H6" s="69">
        <v>4219413</v>
      </c>
      <c r="I6" s="69">
        <v>4254746</v>
      </c>
    </row>
    <row r="7" spans="1:9" x14ac:dyDescent="0.25">
      <c r="A7" s="66" t="s">
        <v>13</v>
      </c>
      <c r="B7" s="69">
        <v>749907</v>
      </c>
      <c r="C7" s="69">
        <v>838717</v>
      </c>
      <c r="D7" s="69">
        <v>714151</v>
      </c>
      <c r="F7" s="66" t="s">
        <v>58</v>
      </c>
      <c r="G7" s="69">
        <v>3514837</v>
      </c>
      <c r="H7" s="69">
        <v>3615138</v>
      </c>
      <c r="I7" s="69">
        <v>3577566</v>
      </c>
    </row>
    <row r="8" spans="1:9" x14ac:dyDescent="0.25">
      <c r="A8" s="66" t="s">
        <v>59</v>
      </c>
      <c r="B8" s="67"/>
      <c r="C8" s="67"/>
      <c r="D8" s="67"/>
      <c r="F8" s="66" t="s">
        <v>13</v>
      </c>
      <c r="G8" s="69">
        <v>570212</v>
      </c>
      <c r="H8" s="69">
        <v>604275</v>
      </c>
      <c r="I8" s="69">
        <v>677180</v>
      </c>
    </row>
    <row r="9" spans="1:9" x14ac:dyDescent="0.25">
      <c r="A9" s="66" t="s">
        <v>60</v>
      </c>
      <c r="B9" s="69">
        <v>-46886</v>
      </c>
      <c r="C9" s="69">
        <v>-37791</v>
      </c>
      <c r="D9" s="69">
        <v>-51060</v>
      </c>
      <c r="F9" s="66" t="s">
        <v>59</v>
      </c>
      <c r="G9" s="67"/>
      <c r="H9" s="67"/>
      <c r="I9" s="67"/>
    </row>
    <row r="10" spans="1:9" x14ac:dyDescent="0.25">
      <c r="A10" s="66" t="s">
        <v>61</v>
      </c>
      <c r="B10" s="69">
        <v>-48022</v>
      </c>
      <c r="C10" s="71">
        <v>0</v>
      </c>
      <c r="D10" s="69">
        <v>-7408</v>
      </c>
      <c r="F10" s="66" t="s">
        <v>60</v>
      </c>
      <c r="G10" s="69">
        <v>-58801</v>
      </c>
      <c r="H10" s="69">
        <v>-56588</v>
      </c>
      <c r="I10" s="69">
        <v>-39898</v>
      </c>
    </row>
    <row r="11" spans="1:9" x14ac:dyDescent="0.25">
      <c r="A11" s="66" t="s">
        <v>62</v>
      </c>
      <c r="B11" s="69">
        <v>-3984</v>
      </c>
      <c r="C11" s="69">
        <v>4999</v>
      </c>
      <c r="D11" s="69">
        <v>-6996</v>
      </c>
      <c r="F11" s="66" t="s">
        <v>51</v>
      </c>
      <c r="G11" s="69">
        <v>8848</v>
      </c>
      <c r="H11" s="69">
        <v>7577</v>
      </c>
      <c r="I11" s="69">
        <v>464</v>
      </c>
    </row>
    <row r="12" spans="1:9" x14ac:dyDescent="0.25">
      <c r="A12" s="66" t="s">
        <v>63</v>
      </c>
      <c r="B12" s="69">
        <v>-98892</v>
      </c>
      <c r="C12" s="69">
        <v>-32792</v>
      </c>
      <c r="D12" s="69">
        <v>-65464</v>
      </c>
      <c r="F12" s="66" t="s">
        <v>63</v>
      </c>
      <c r="G12" s="69">
        <v>-49953</v>
      </c>
      <c r="H12" s="69">
        <v>-49011</v>
      </c>
      <c r="I12" s="69">
        <v>-39434</v>
      </c>
    </row>
    <row r="13" spans="1:9" x14ac:dyDescent="0.25">
      <c r="A13" s="66" t="s">
        <v>64</v>
      </c>
      <c r="B13" s="69">
        <v>651015</v>
      </c>
      <c r="C13" s="69">
        <v>805925</v>
      </c>
      <c r="D13" s="69">
        <v>648687</v>
      </c>
      <c r="F13" s="66" t="s">
        <v>64</v>
      </c>
      <c r="G13" s="69">
        <v>520259</v>
      </c>
      <c r="H13" s="69">
        <v>555264</v>
      </c>
      <c r="I13" s="69">
        <v>637746</v>
      </c>
    </row>
    <row r="14" spans="1:9" x14ac:dyDescent="0.25">
      <c r="A14" s="66" t="s">
        <v>65</v>
      </c>
      <c r="B14" s="69">
        <v>-157994</v>
      </c>
      <c r="C14" s="69">
        <v>-189817</v>
      </c>
      <c r="D14" s="69">
        <v>-146815</v>
      </c>
      <c r="F14" s="66" t="s">
        <v>65</v>
      </c>
      <c r="G14" s="69">
        <v>44754</v>
      </c>
      <c r="H14" s="69">
        <v>131417</v>
      </c>
      <c r="I14" s="69">
        <v>150850</v>
      </c>
    </row>
    <row r="15" spans="1:9" x14ac:dyDescent="0.25">
      <c r="A15" s="66" t="s">
        <v>24</v>
      </c>
      <c r="B15" s="68">
        <v>493021</v>
      </c>
      <c r="C15" s="68">
        <v>616108</v>
      </c>
      <c r="D15" s="68">
        <v>501872</v>
      </c>
      <c r="F15" s="66" t="s">
        <v>24</v>
      </c>
      <c r="G15" s="68">
        <v>475505</v>
      </c>
      <c r="H15" s="68">
        <v>423847</v>
      </c>
      <c r="I15" s="68">
        <v>486896</v>
      </c>
    </row>
    <row r="16" spans="1:9" x14ac:dyDescent="0.25">
      <c r="A16" s="67"/>
      <c r="B16" s="67"/>
      <c r="C16" s="67"/>
      <c r="D16" s="67"/>
      <c r="F16" s="67"/>
      <c r="G16" s="67"/>
      <c r="H16" s="67"/>
      <c r="I16" s="67"/>
    </row>
    <row r="17" spans="1:9" x14ac:dyDescent="0.25">
      <c r="A17" s="66" t="s">
        <v>66</v>
      </c>
      <c r="B17" s="70">
        <v>7.17</v>
      </c>
      <c r="C17" s="70">
        <v>9.6199999999999992</v>
      </c>
      <c r="D17" s="70">
        <v>8.32</v>
      </c>
      <c r="F17" s="66" t="s">
        <v>66</v>
      </c>
      <c r="G17" s="70">
        <v>6.44</v>
      </c>
      <c r="H17" s="70">
        <v>5.75</v>
      </c>
      <c r="I17" s="70">
        <v>6.87</v>
      </c>
    </row>
    <row r="18" spans="1:9" x14ac:dyDescent="0.25">
      <c r="A18" s="66" t="s">
        <v>67</v>
      </c>
      <c r="B18" s="69">
        <v>68748</v>
      </c>
      <c r="C18" s="69">
        <v>64028</v>
      </c>
      <c r="D18" s="69">
        <v>60351</v>
      </c>
      <c r="F18" s="66" t="s">
        <v>67</v>
      </c>
      <c r="G18" s="69">
        <v>73846</v>
      </c>
      <c r="H18" s="69">
        <v>73728</v>
      </c>
      <c r="I18" s="69">
        <v>70869</v>
      </c>
    </row>
    <row r="19" spans="1:9" x14ac:dyDescent="0.25">
      <c r="A19" s="67"/>
      <c r="B19" s="67"/>
      <c r="C19" s="67"/>
      <c r="D19" s="67"/>
      <c r="F19" s="67"/>
      <c r="G19" s="67"/>
      <c r="H19" s="67"/>
      <c r="I19" s="67"/>
    </row>
    <row r="20" spans="1:9" x14ac:dyDescent="0.25">
      <c r="A20" s="66" t="s">
        <v>68</v>
      </c>
      <c r="B20" s="70">
        <v>7.14</v>
      </c>
      <c r="C20" s="70">
        <v>9.5500000000000007</v>
      </c>
      <c r="D20" s="70">
        <v>8.27</v>
      </c>
      <c r="F20" s="66" t="s">
        <v>68</v>
      </c>
      <c r="G20" s="70">
        <v>6.42</v>
      </c>
      <c r="H20" s="70">
        <v>5.73</v>
      </c>
      <c r="I20" s="70">
        <v>6.84</v>
      </c>
    </row>
    <row r="21" spans="1:9" x14ac:dyDescent="0.25">
      <c r="A21" s="66" t="s">
        <v>67</v>
      </c>
      <c r="B21" s="69">
        <v>69003</v>
      </c>
      <c r="C21" s="69">
        <v>64509</v>
      </c>
      <c r="D21" s="69">
        <v>60717</v>
      </c>
      <c r="F21" s="66" t="s">
        <v>67</v>
      </c>
      <c r="G21" s="69">
        <v>74110</v>
      </c>
      <c r="H21" s="69">
        <v>73991</v>
      </c>
      <c r="I21" s="69">
        <v>71165</v>
      </c>
    </row>
  </sheetData>
  <sortState xmlns:xlrd2="http://schemas.microsoft.com/office/spreadsheetml/2017/richdata2" columnSort="1" ref="B2:D21">
    <sortCondition ref="B2: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"/>
  <sheetViews>
    <sheetView workbookViewId="0">
      <selection activeCell="M7" sqref="M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E8" sqref="E8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0" t="s">
        <v>1</v>
      </c>
      <c r="C2" s="2"/>
      <c r="D2" s="2"/>
      <c r="E2" s="2"/>
      <c r="F2" s="2"/>
      <c r="G2" s="2"/>
      <c r="H2" s="2"/>
      <c r="I2" s="2"/>
      <c r="J2" s="2"/>
      <c r="K2" s="2"/>
      <c r="L2" s="41"/>
    </row>
    <row r="3" spans="1:12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2"/>
    </row>
    <row r="4" spans="1:12" x14ac:dyDescent="0.25">
      <c r="A4" s="43" t="s">
        <v>40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4">
        <v>0.22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4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5">
        <v>1.3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4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'AAP DCF'!D59</f>
        <v>4175930.6030000001</v>
      </c>
      <c r="D12" s="2"/>
      <c r="E12" s="2" t="s">
        <v>33</v>
      </c>
      <c r="F12" s="2"/>
      <c r="G12" s="23">
        <f>'AAP DCF'!D56</f>
        <v>1300706</v>
      </c>
      <c r="H12" s="2"/>
      <c r="I12" s="2" t="s">
        <v>45</v>
      </c>
      <c r="J12" s="2"/>
      <c r="K12" s="23">
        <f>G12+C12</f>
        <v>5476636.6030000001</v>
      </c>
      <c r="L12" s="2"/>
    </row>
    <row r="13" spans="1:12" x14ac:dyDescent="0.25">
      <c r="A13" s="2" t="s">
        <v>46</v>
      </c>
      <c r="B13" s="2"/>
      <c r="C13" s="46">
        <f>C12/K12</f>
        <v>0.76249912231030681</v>
      </c>
      <c r="D13" s="2"/>
      <c r="E13" s="2" t="s">
        <v>47</v>
      </c>
      <c r="F13" s="2"/>
      <c r="G13" s="47">
        <f>G12/K12</f>
        <v>0.23750087768969322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8">
        <f>D7+D8*(D9)</f>
        <v>0.11499999999999999</v>
      </c>
      <c r="D14" s="2"/>
      <c r="E14" s="2" t="s">
        <v>49</v>
      </c>
      <c r="F14" s="2"/>
      <c r="G14" s="47">
        <v>0.05</v>
      </c>
      <c r="H14" s="2"/>
      <c r="I14" s="49" t="s">
        <v>1</v>
      </c>
      <c r="J14" s="50"/>
      <c r="K14" s="51">
        <f>C13*C14+G14*G13*(1-D6)</f>
        <v>9.694993329558331E-2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AAP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2023-07-18T09:25:24Z</dcterms:modified>
</cp:coreProperties>
</file>