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8_{8CD5A985-6131-443A-9F79-387A0CB4EE6E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AMZN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6" i="1" l="1"/>
  <c r="J50" i="1"/>
  <c r="K50" i="1"/>
  <c r="L50" i="1"/>
  <c r="M50" i="1"/>
  <c r="N50" i="1"/>
  <c r="O50" i="1"/>
  <c r="P50" i="1"/>
  <c r="Q50" i="1"/>
  <c r="R50" i="1"/>
  <c r="I50" i="1"/>
  <c r="D67" i="1"/>
  <c r="D66" i="1"/>
  <c r="R47" i="1"/>
  <c r="J47" i="1"/>
  <c r="K47" i="1"/>
  <c r="L47" i="1"/>
  <c r="M47" i="1"/>
  <c r="N47" i="1"/>
  <c r="O47" i="1"/>
  <c r="P47" i="1"/>
  <c r="Q47" i="1"/>
  <c r="I47" i="1"/>
  <c r="I36" i="1"/>
  <c r="J20" i="1"/>
  <c r="J11" i="1"/>
  <c r="K11" i="1"/>
  <c r="L11" i="1" s="1"/>
  <c r="I11" i="1"/>
  <c r="H60" i="1"/>
  <c r="H58" i="1"/>
  <c r="F58" i="1"/>
  <c r="G58" i="1"/>
  <c r="H31" i="1"/>
  <c r="H20" i="1"/>
  <c r="H12" i="1"/>
  <c r="C31" i="1"/>
  <c r="C32" i="1" s="1"/>
  <c r="G31" i="1"/>
  <c r="F31" i="1"/>
  <c r="E31" i="1"/>
  <c r="D31" i="1"/>
  <c r="D6" i="2"/>
  <c r="G12" i="2"/>
  <c r="L67" i="1"/>
  <c r="L66" i="1" s="1"/>
  <c r="D70" i="1"/>
  <c r="C12" i="2" s="1"/>
  <c r="L69" i="1"/>
  <c r="L70" i="1" s="1"/>
  <c r="M11" i="1" l="1"/>
  <c r="G29" i="1"/>
  <c r="F29" i="1"/>
  <c r="E29" i="1"/>
  <c r="D29" i="1"/>
  <c r="C29" i="1"/>
  <c r="H29" i="1"/>
  <c r="F26" i="1"/>
  <c r="D26" i="1"/>
  <c r="H26" i="1"/>
  <c r="G23" i="1"/>
  <c r="F23" i="1"/>
  <c r="E23" i="1"/>
  <c r="D23" i="1"/>
  <c r="C23" i="1"/>
  <c r="H23" i="1"/>
  <c r="G20" i="1"/>
  <c r="F20" i="1"/>
  <c r="E20" i="1"/>
  <c r="D20" i="1"/>
  <c r="C20" i="1"/>
  <c r="C14" i="2"/>
  <c r="E51" i="1"/>
  <c r="D51" i="1"/>
  <c r="C51" i="1"/>
  <c r="F51" i="1"/>
  <c r="G51" i="1"/>
  <c r="H51" i="1"/>
  <c r="G48" i="1"/>
  <c r="H48" i="1"/>
  <c r="E48" i="1"/>
  <c r="C48" i="1"/>
  <c r="E32" i="1"/>
  <c r="G32" i="1"/>
  <c r="G26" i="1"/>
  <c r="D54" i="1"/>
  <c r="C54" i="1"/>
  <c r="D48" i="1"/>
  <c r="E26" i="1"/>
  <c r="C26" i="1"/>
  <c r="D16" i="1"/>
  <c r="E16" i="1"/>
  <c r="C16" i="1"/>
  <c r="F54" i="1"/>
  <c r="G54" i="1"/>
  <c r="H54" i="1"/>
  <c r="F48" i="1"/>
  <c r="F16" i="1"/>
  <c r="G16" i="1"/>
  <c r="G34" i="1" s="1"/>
  <c r="H16" i="1"/>
  <c r="H34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N11" i="1" l="1"/>
  <c r="J36" i="1"/>
  <c r="C34" i="1"/>
  <c r="C38" i="1"/>
  <c r="C58" i="1" s="1"/>
  <c r="F38" i="1"/>
  <c r="F34" i="1"/>
  <c r="C40" i="1"/>
  <c r="C56" i="1" s="1"/>
  <c r="C60" i="1" s="1"/>
  <c r="D38" i="1"/>
  <c r="D58" i="1" s="1"/>
  <c r="D34" i="1"/>
  <c r="E34" i="1"/>
  <c r="E40" i="1" s="1"/>
  <c r="E56" i="1" s="1"/>
  <c r="E38" i="1"/>
  <c r="E58" i="1" s="1"/>
  <c r="H38" i="1"/>
  <c r="G38" i="1"/>
  <c r="F17" i="1"/>
  <c r="D17" i="1"/>
  <c r="I28" i="1"/>
  <c r="I22" i="1"/>
  <c r="I25" i="1"/>
  <c r="H17" i="1"/>
  <c r="I53" i="1"/>
  <c r="E54" i="1"/>
  <c r="K12" i="2"/>
  <c r="I16" i="1"/>
  <c r="G17" i="1"/>
  <c r="C17" i="1"/>
  <c r="E17" i="1"/>
  <c r="H32" i="1"/>
  <c r="F32" i="1"/>
  <c r="D32" i="1"/>
  <c r="O11" i="1" l="1"/>
  <c r="K36" i="1"/>
  <c r="E44" i="1"/>
  <c r="G40" i="1"/>
  <c r="G56" i="1" s="1"/>
  <c r="K28" i="1"/>
  <c r="J28" i="1"/>
  <c r="J25" i="1"/>
  <c r="J22" i="1"/>
  <c r="I14" i="1"/>
  <c r="C13" i="2"/>
  <c r="G13" i="2"/>
  <c r="D40" i="1"/>
  <c r="D56" i="1" s="1"/>
  <c r="F40" i="1"/>
  <c r="F56" i="1" s="1"/>
  <c r="H40" i="1"/>
  <c r="J53" i="1"/>
  <c r="J16" i="1"/>
  <c r="P11" i="1" l="1"/>
  <c r="L36" i="1"/>
  <c r="F44" i="1"/>
  <c r="H44" i="1"/>
  <c r="C44" i="1"/>
  <c r="G60" i="1"/>
  <c r="G44" i="1"/>
  <c r="D60" i="1"/>
  <c r="D44" i="1"/>
  <c r="K25" i="1"/>
  <c r="K22" i="1"/>
  <c r="G41" i="1"/>
  <c r="F60" i="1"/>
  <c r="E60" i="1"/>
  <c r="E41" i="1"/>
  <c r="C41" i="1"/>
  <c r="K14" i="2"/>
  <c r="E5" i="1" s="1"/>
  <c r="J14" i="1"/>
  <c r="K16" i="1"/>
  <c r="D41" i="1"/>
  <c r="H41" i="1"/>
  <c r="F41" i="1"/>
  <c r="K53" i="1"/>
  <c r="Q11" i="1" l="1"/>
  <c r="M36" i="1"/>
  <c r="K14" i="1"/>
  <c r="L25" i="1"/>
  <c r="L22" i="1"/>
  <c r="L28" i="1"/>
  <c r="L53" i="1"/>
  <c r="L16" i="1"/>
  <c r="R11" i="1" l="1"/>
  <c r="N36" i="1"/>
  <c r="M28" i="1"/>
  <c r="M25" i="1"/>
  <c r="M22" i="1"/>
  <c r="L14" i="1"/>
  <c r="M16" i="1"/>
  <c r="M53" i="1"/>
  <c r="O36" i="1" l="1"/>
  <c r="M14" i="1"/>
  <c r="N25" i="1"/>
  <c r="N22" i="1"/>
  <c r="N28" i="1"/>
  <c r="N53" i="1"/>
  <c r="N16" i="1"/>
  <c r="P36" i="1" l="1"/>
  <c r="N14" i="1"/>
  <c r="O28" i="1"/>
  <c r="O25" i="1"/>
  <c r="O22" i="1"/>
  <c r="O16" i="1"/>
  <c r="O53" i="1"/>
  <c r="Q36" i="1" l="1"/>
  <c r="O14" i="1"/>
  <c r="P25" i="1"/>
  <c r="P22" i="1"/>
  <c r="P28" i="1"/>
  <c r="P16" i="1"/>
  <c r="P53" i="1"/>
  <c r="R36" i="1" l="1"/>
  <c r="Q28" i="1"/>
  <c r="Q25" i="1"/>
  <c r="Q22" i="1"/>
  <c r="P14" i="1"/>
  <c r="Q16" i="1"/>
  <c r="Q53" i="1"/>
  <c r="R25" i="1" l="1"/>
  <c r="R22" i="1"/>
  <c r="R28" i="1"/>
  <c r="R16" i="1"/>
  <c r="R53" i="1"/>
  <c r="Q14" i="1"/>
  <c r="R14" i="1" l="1"/>
  <c r="J19" i="1" l="1"/>
  <c r="K19" i="1"/>
  <c r="L19" i="1"/>
  <c r="M19" i="1"/>
  <c r="N19" i="1"/>
  <c r="O19" i="1"/>
  <c r="P19" i="1"/>
  <c r="Q19" i="1"/>
  <c r="I19" i="1"/>
  <c r="R19" i="1"/>
  <c r="R34" i="1" l="1"/>
  <c r="R40" i="1" s="1"/>
  <c r="Q34" i="1"/>
  <c r="Q40" i="1" s="1"/>
  <c r="P34" i="1"/>
  <c r="P40" i="1" s="1"/>
  <c r="N31" i="1"/>
  <c r="N38" i="1" s="1"/>
  <c r="N34" i="1"/>
  <c r="N40" i="1" s="1"/>
  <c r="L31" i="1"/>
  <c r="L38" i="1" s="1"/>
  <c r="L34" i="1"/>
  <c r="L40" i="1" s="1"/>
  <c r="K34" i="1"/>
  <c r="K40" i="1" s="1"/>
  <c r="I40" i="1"/>
  <c r="I43" i="1" s="1"/>
  <c r="I56" i="1" s="1"/>
  <c r="I34" i="1"/>
  <c r="Q31" i="1"/>
  <c r="Q38" i="1" s="1"/>
  <c r="O31" i="1"/>
  <c r="O38" i="1" s="1"/>
  <c r="O34" i="1"/>
  <c r="O40" i="1" s="1"/>
  <c r="M34" i="1"/>
  <c r="M40" i="1" s="1"/>
  <c r="K31" i="1"/>
  <c r="K38" i="1" s="1"/>
  <c r="J34" i="1"/>
  <c r="J40" i="1" s="1"/>
  <c r="I41" i="1"/>
  <c r="O32" i="1"/>
  <c r="R31" i="1"/>
  <c r="I31" i="1"/>
  <c r="N32" i="1"/>
  <c r="L32" i="1"/>
  <c r="P31" i="1"/>
  <c r="M31" i="1"/>
  <c r="K32" i="1"/>
  <c r="J31" i="1"/>
  <c r="Q32" i="1" l="1"/>
  <c r="K41" i="1"/>
  <c r="K43" i="1"/>
  <c r="K56" i="1" s="1"/>
  <c r="Q41" i="1"/>
  <c r="Q43" i="1"/>
  <c r="Q56" i="1" s="1"/>
  <c r="P43" i="1"/>
  <c r="P56" i="1" s="1"/>
  <c r="P41" i="1"/>
  <c r="R41" i="1"/>
  <c r="R43" i="1"/>
  <c r="R56" i="1" s="1"/>
  <c r="J43" i="1"/>
  <c r="J56" i="1" s="1"/>
  <c r="J41" i="1"/>
  <c r="M43" i="1"/>
  <c r="M56" i="1" s="1"/>
  <c r="M41" i="1"/>
  <c r="J38" i="1"/>
  <c r="J58" i="1" s="1"/>
  <c r="J32" i="1"/>
  <c r="N43" i="1"/>
  <c r="N56" i="1" s="1"/>
  <c r="N41" i="1"/>
  <c r="R38" i="1"/>
  <c r="R32" i="1"/>
  <c r="L43" i="1"/>
  <c r="L56" i="1" s="1"/>
  <c r="L41" i="1"/>
  <c r="P38" i="1"/>
  <c r="P58" i="1" s="1"/>
  <c r="P32" i="1"/>
  <c r="M32" i="1"/>
  <c r="M38" i="1"/>
  <c r="O41" i="1"/>
  <c r="O43" i="1"/>
  <c r="O56" i="1" s="1"/>
  <c r="I32" i="1"/>
  <c r="I38" i="1"/>
  <c r="I58" i="1" s="1"/>
  <c r="O58" i="1" l="1"/>
  <c r="K58" i="1"/>
  <c r="Q58" i="1"/>
  <c r="R58" i="1"/>
  <c r="S58" i="1" s="1"/>
  <c r="L58" i="1"/>
  <c r="M58" i="1"/>
  <c r="N58" i="1"/>
  <c r="I60" i="1"/>
  <c r="I61" i="1" s="1"/>
  <c r="J60" i="1"/>
  <c r="J61" i="1" s="1"/>
  <c r="K60" i="1"/>
  <c r="K61" i="1" s="1"/>
  <c r="L60" i="1"/>
  <c r="L61" i="1" s="1"/>
  <c r="M60" i="1"/>
  <c r="M61" i="1" s="1"/>
  <c r="N60" i="1"/>
  <c r="N61" i="1" s="1"/>
  <c r="O60" i="1"/>
  <c r="O61" i="1" s="1"/>
  <c r="P60" i="1"/>
  <c r="P61" i="1" s="1"/>
  <c r="Q60" i="1"/>
  <c r="Q61" i="1" s="1"/>
  <c r="R60" i="1"/>
  <c r="C63" i="1" s="1"/>
  <c r="C64" i="1" s="1"/>
  <c r="T58" i="1" l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R61" i="1"/>
  <c r="G66" i="1" s="1"/>
  <c r="G68" i="1" s="1"/>
  <c r="G71" i="1" s="1"/>
  <c r="F63" i="1" l="1"/>
  <c r="H66" i="1" s="1"/>
  <c r="H68" i="1" s="1"/>
  <c r="H71" i="1" s="1"/>
  <c r="D71" i="1" s="1"/>
  <c r="L65" i="1" l="1"/>
  <c r="J6" i="1"/>
  <c r="N5" i="1" s="1"/>
</calcChain>
</file>

<file path=xl/sharedStrings.xml><?xml version="1.0" encoding="utf-8"?>
<sst xmlns="http://schemas.openxmlformats.org/spreadsheetml/2006/main" count="86" uniqueCount="59">
  <si>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</si>
  <si>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</si>
  <si>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</si>
  <si>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</si>
  <si>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</si>
  <si>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</si>
  <si>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</si>
  <si>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</si>
  <si>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</si>
  <si>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</si>
  <si>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</si>
  <si>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</si>
  <si>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</si>
  <si>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</si>
  <si>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</si>
  <si>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</si>
  <si>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</si>
  <si>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</si>
  <si>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</si>
  <si>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</si>
  <si>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</si>
  <si>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</si>
  <si>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</si>
  <si>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</si>
  <si>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</si>
  <si>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</si>
  <si>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</si>
  <si>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</si>
  <si>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</si>
  <si>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</si>
  <si>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</si>
  <si>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</si>
  <si>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</si>
  <si>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</si>
  <si>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</si>
  <si>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</si>
  <si>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</si>
  <si>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</si>
  <si>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</si>
  <si>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</si>
  <si>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</si>
  <si>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</si>
  <si>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</si>
  <si>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</si>
  <si>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</si>
  <si>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</si>
  <si>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</si>
  <si>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</si>
  <si>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</si>
  <si>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</si>
  <si>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</si>
  <si>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</si>
  <si>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</si>
  <si>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</si>
  <si>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</si>
  <si>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</si>
  <si>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Other exp</t>
  </si>
  <si>
    <t>NCI</t>
  </si>
  <si>
    <t>Amazon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</si>
</sst>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164" fontId="8" fillId="2" borderId="4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64" fontId="8" fillId="2" borderId="0" xfId="0" applyNumberFormat="1" applyFont="1" applyFill="1"/>
    <xf numFmtId="2" fontId="3" fillId="2" borderId="0" xfId="0" applyNumberFormat="1" applyFont="1" applyFill="1" applyAlignment="1">
      <alignment horizontal="left"/>
    </xf>
    <xf numFmtId="1" fontId="3" fillId="2" borderId="4" xfId="1" applyNumberFormat="1" applyFont="1" applyFill="1" applyBorder="1"/>
    <xf numFmtId="1" fontId="3" fillId="2" borderId="0" xfId="1" applyNumberFormat="1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3" fontId="3" fillId="2" borderId="0" xfId="0" applyNumberFormat="1" applyFont="1" applyFill="1" applyBorder="1"/>
    <xf numFmtId="0" fontId="0" fillId="2" borderId="0" xfId="0" applyFill="1" applyBorder="1"/>
    <xf numFmtId="10" fontId="8" fillId="2" borderId="0" xfId="0" applyNumberFormat="1" applyFont="1" applyFill="1" applyBorder="1"/>
    <xf numFmtId="164" fontId="3" fillId="2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2"/>
  <sheetViews>
    <sheetView tabSelected="1" topLeftCell="A64" workbookViewId="0">
      <selection activeCell="I78" sqref="I78"/>
    </sheetView>
  </sheetViews>
  <sheetFormatPr defaultRowHeight="15" x14ac:dyDescent="0.25"/>
  <cols>
    <col min="1" max="1" width="7.7109375" style="2" customWidth="1"/>
    <col min="2" max="2" width="17.1406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4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0.10551424281059547</v>
      </c>
      <c r="G5" s="1"/>
      <c r="H5" s="1" t="s">
        <v>2</v>
      </c>
      <c r="I5" s="1"/>
      <c r="J5" s="7">
        <v>111.2</v>
      </c>
      <c r="K5" s="1"/>
      <c r="L5" s="1" t="s">
        <v>3</v>
      </c>
      <c r="M5" s="1"/>
      <c r="N5" s="77">
        <f>(J6/J5)-1</f>
        <v>-7.3142658932629057E-2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85">
        <f>D71</f>
        <v>103.06653632669165</v>
      </c>
      <c r="K6" s="1"/>
      <c r="L6" s="1" t="s">
        <v>53</v>
      </c>
      <c r="M6" s="1"/>
      <c r="N6" s="76">
        <v>45062</v>
      </c>
      <c r="O6" s="1"/>
      <c r="P6" s="1"/>
      <c r="Q6" s="1"/>
    </row>
    <row r="7" spans="1:86" x14ac:dyDescent="0.25">
      <c r="B7" s="76"/>
      <c r="C7" s="1"/>
      <c r="D7" s="1"/>
      <c r="E7" s="9"/>
      <c r="F7" s="1"/>
      <c r="G7" s="1"/>
      <c r="H7" s="1"/>
      <c r="I7" s="1"/>
      <c r="J7" s="1"/>
      <c r="K7" s="1"/>
      <c r="L7" s="60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0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69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177866</v>
      </c>
      <c r="D11" s="12">
        <v>232887</v>
      </c>
      <c r="E11" s="12">
        <v>280522</v>
      </c>
      <c r="F11" s="12">
        <v>386064</v>
      </c>
      <c r="G11" s="12">
        <v>469822</v>
      </c>
      <c r="H11" s="12">
        <v>513983</v>
      </c>
      <c r="I11" s="22">
        <f>H11*(1+I12)</f>
        <v>560480</v>
      </c>
      <c r="J11" s="88">
        <f t="shared" ref="J11:R11" si="1">I11*(1+J12)</f>
        <v>626930</v>
      </c>
      <c r="K11" s="88">
        <f t="shared" si="1"/>
        <v>701460</v>
      </c>
      <c r="L11" s="88">
        <f t="shared" si="1"/>
        <v>786680.00000000012</v>
      </c>
      <c r="M11" s="88">
        <f t="shared" si="1"/>
        <v>865030.00000000012</v>
      </c>
      <c r="N11" s="88">
        <f t="shared" si="1"/>
        <v>968500.00000000012</v>
      </c>
      <c r="O11" s="88">
        <f t="shared" si="1"/>
        <v>1011260.0000000001</v>
      </c>
      <c r="P11" s="88">
        <f t="shared" si="1"/>
        <v>1093050.0000000002</v>
      </c>
      <c r="Q11" s="88">
        <f t="shared" si="1"/>
        <v>1185770.0000000002</v>
      </c>
      <c r="R11" s="88">
        <f t="shared" si="1"/>
        <v>1278900.0000000002</v>
      </c>
    </row>
    <row r="12" spans="1:86" x14ac:dyDescent="0.25">
      <c r="A12" s="1"/>
      <c r="B12" s="80" t="s">
        <v>8</v>
      </c>
      <c r="C12" s="81"/>
      <c r="D12" s="81">
        <f>(D11/C11)-1</f>
        <v>0.3093396152159491</v>
      </c>
      <c r="E12" s="81">
        <f>(E11/D11)-1</f>
        <v>0.20454125820676983</v>
      </c>
      <c r="F12" s="81">
        <f>(F11/E11)-1</f>
        <v>0.37623430604373276</v>
      </c>
      <c r="G12" s="81">
        <f>(G11/F11)-1</f>
        <v>0.21695366571345676</v>
      </c>
      <c r="H12" s="81">
        <f>(H11/G11)-1</f>
        <v>9.399517263985091E-2</v>
      </c>
      <c r="I12" s="70">
        <v>9.0464081496858917E-2</v>
      </c>
      <c r="J12" s="66">
        <v>0.11855909220667993</v>
      </c>
      <c r="K12" s="66">
        <v>0.1188808957937888</v>
      </c>
      <c r="L12" s="66">
        <v>0.1214894648304965</v>
      </c>
      <c r="M12" s="66">
        <v>9.9595769563227687E-2</v>
      </c>
      <c r="N12" s="66">
        <v>0.1196143486353074</v>
      </c>
      <c r="O12" s="66">
        <v>4.4150748580278787E-2</v>
      </c>
      <c r="P12" s="66">
        <v>8.0879299092221579E-2</v>
      </c>
      <c r="Q12" s="66">
        <v>8.4826860619367839E-2</v>
      </c>
      <c r="R12" s="66">
        <v>7.8539683075132594E-2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89"/>
      <c r="K13" s="89"/>
      <c r="L13" s="89"/>
      <c r="M13" s="89"/>
      <c r="N13" s="89"/>
      <c r="O13" s="89"/>
      <c r="P13" s="89"/>
      <c r="Q13" s="89"/>
      <c r="R13" s="89"/>
    </row>
    <row r="14" spans="1:86" x14ac:dyDescent="0.25">
      <c r="A14" s="1"/>
      <c r="B14" s="1" t="s">
        <v>9</v>
      </c>
      <c r="C14" s="12">
        <v>111934</v>
      </c>
      <c r="D14" s="12">
        <v>139156</v>
      </c>
      <c r="E14" s="12">
        <v>165536</v>
      </c>
      <c r="F14" s="12">
        <v>233307</v>
      </c>
      <c r="G14" s="12">
        <v>272344</v>
      </c>
      <c r="H14" s="38">
        <v>288831</v>
      </c>
      <c r="I14" s="71">
        <f>I11-I16</f>
        <v>304508.78399999999</v>
      </c>
      <c r="J14" s="68">
        <f t="shared" ref="J14:K14" si="2">J11-J16</f>
        <v>337852.57699999999</v>
      </c>
      <c r="K14" s="68">
        <f t="shared" si="2"/>
        <v>374018.47200000001</v>
      </c>
      <c r="L14" s="68">
        <f t="shared" ref="L14:R14" si="3">L11-L16</f>
        <v>421660.48000000004</v>
      </c>
      <c r="M14" s="68">
        <f t="shared" si="3"/>
        <v>452670.19900000002</v>
      </c>
      <c r="N14" s="68">
        <f t="shared" si="3"/>
        <v>499939.70000000007</v>
      </c>
      <c r="O14" s="68">
        <f t="shared" si="3"/>
        <v>510686.30000000005</v>
      </c>
      <c r="P14" s="68">
        <f t="shared" si="3"/>
        <v>546525.00000000012</v>
      </c>
      <c r="Q14" s="68">
        <f t="shared" si="3"/>
        <v>592885.00000000012</v>
      </c>
      <c r="R14" s="68">
        <f t="shared" si="3"/>
        <v>639450.00000000012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1"/>
      <c r="K15" s="1"/>
      <c r="L15" s="1"/>
      <c r="M15" s="1"/>
      <c r="N15" s="1"/>
      <c r="O15" s="1"/>
      <c r="P15" s="1"/>
      <c r="Q15" s="1"/>
    </row>
    <row r="16" spans="1:86" x14ac:dyDescent="0.25">
      <c r="A16" s="1"/>
      <c r="B16" s="1" t="s">
        <v>10</v>
      </c>
      <c r="C16" s="12">
        <f t="shared" ref="C16:H16" si="4">C11-C14</f>
        <v>65932</v>
      </c>
      <c r="D16" s="12">
        <f t="shared" si="4"/>
        <v>93731</v>
      </c>
      <c r="E16" s="12">
        <f t="shared" si="4"/>
        <v>114986</v>
      </c>
      <c r="F16" s="12">
        <f t="shared" si="4"/>
        <v>152757</v>
      </c>
      <c r="G16" s="12">
        <f t="shared" si="4"/>
        <v>197478</v>
      </c>
      <c r="H16" s="12">
        <f t="shared" si="4"/>
        <v>225152</v>
      </c>
      <c r="I16" s="22">
        <f>I11*I17</f>
        <v>255971.21599999999</v>
      </c>
      <c r="J16" s="19">
        <f t="shared" ref="J16:R16" si="5">J11*J17</f>
        <v>289077.42300000001</v>
      </c>
      <c r="K16" s="19">
        <f t="shared" si="5"/>
        <v>327441.52799999999</v>
      </c>
      <c r="L16" s="19">
        <f t="shared" si="5"/>
        <v>365019.52000000008</v>
      </c>
      <c r="M16" s="19">
        <f t="shared" si="5"/>
        <v>412359.80100000009</v>
      </c>
      <c r="N16" s="19">
        <f t="shared" si="5"/>
        <v>468560.30000000005</v>
      </c>
      <c r="O16" s="19">
        <f t="shared" si="5"/>
        <v>500573.70000000007</v>
      </c>
      <c r="P16" s="19">
        <f t="shared" si="5"/>
        <v>546525.00000000012</v>
      </c>
      <c r="Q16" s="19">
        <f t="shared" si="5"/>
        <v>592885.00000000012</v>
      </c>
      <c r="R16" s="19">
        <f t="shared" si="5"/>
        <v>639450.00000000012</v>
      </c>
    </row>
    <row r="17" spans="1:18" x14ac:dyDescent="0.25">
      <c r="A17" s="1"/>
      <c r="B17" s="80" t="s">
        <v>11</v>
      </c>
      <c r="C17" s="81">
        <f t="shared" ref="C17:H17" si="6">C16/C11</f>
        <v>0.3706835482891615</v>
      </c>
      <c r="D17" s="81">
        <f t="shared" si="6"/>
        <v>0.40247416128852193</v>
      </c>
      <c r="E17" s="81">
        <f t="shared" si="6"/>
        <v>0.40990011478600608</v>
      </c>
      <c r="F17" s="81">
        <f t="shared" si="6"/>
        <v>0.3956779186870571</v>
      </c>
      <c r="G17" s="81">
        <f t="shared" si="6"/>
        <v>0.42032514441639601</v>
      </c>
      <c r="H17" s="81">
        <f t="shared" si="6"/>
        <v>0.43805339865326287</v>
      </c>
      <c r="I17" s="79">
        <v>0.45669999999999999</v>
      </c>
      <c r="J17" s="84">
        <v>0.46110000000000001</v>
      </c>
      <c r="K17" s="84">
        <v>0.46679999999999999</v>
      </c>
      <c r="L17" s="84">
        <v>0.46400000000000002</v>
      </c>
      <c r="M17" s="84">
        <v>0.47670000000000001</v>
      </c>
      <c r="N17" s="84">
        <v>0.48380000000000001</v>
      </c>
      <c r="O17" s="84">
        <v>0.495</v>
      </c>
      <c r="P17" s="84">
        <v>0.5</v>
      </c>
      <c r="Q17" s="84">
        <v>0.5</v>
      </c>
      <c r="R17" s="84">
        <v>0.5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</row>
    <row r="19" spans="1:18" x14ac:dyDescent="0.25">
      <c r="A19" s="1"/>
      <c r="B19" s="1" t="s">
        <v>12</v>
      </c>
      <c r="C19" s="12">
        <v>47869</v>
      </c>
      <c r="D19" s="12">
        <v>62864</v>
      </c>
      <c r="E19" s="12">
        <v>76163</v>
      </c>
      <c r="F19" s="12">
        <v>101257</v>
      </c>
      <c r="G19" s="12">
        <v>131163</v>
      </c>
      <c r="H19" s="12">
        <v>157512</v>
      </c>
      <c r="I19" s="22">
        <f>I20*I11</f>
        <v>173748.8</v>
      </c>
      <c r="J19" s="88">
        <f t="shared" ref="J19:R19" si="7">J20*J11</f>
        <v>194975.23</v>
      </c>
      <c r="K19" s="88">
        <f t="shared" si="7"/>
        <v>217452.6</v>
      </c>
      <c r="L19" s="88">
        <f t="shared" si="7"/>
        <v>233801.29600000006</v>
      </c>
      <c r="M19" s="88">
        <f t="shared" si="7"/>
        <v>262969.12000000005</v>
      </c>
      <c r="N19" s="88">
        <f t="shared" si="7"/>
        <v>288419.30000000005</v>
      </c>
      <c r="O19" s="88">
        <f t="shared" si="7"/>
        <v>314501.86000000004</v>
      </c>
      <c r="P19" s="88">
        <f t="shared" si="7"/>
        <v>338845.50000000006</v>
      </c>
      <c r="Q19" s="88">
        <f t="shared" si="7"/>
        <v>353359.46000000008</v>
      </c>
      <c r="R19" s="88">
        <f t="shared" si="7"/>
        <v>374717.70000000007</v>
      </c>
    </row>
    <row r="20" spans="1:18" x14ac:dyDescent="0.25">
      <c r="A20" s="1"/>
      <c r="B20" s="80" t="s">
        <v>18</v>
      </c>
      <c r="C20" s="81">
        <f t="shared" ref="C20:R20" si="8">C19/C11</f>
        <v>0.26912956945115984</v>
      </c>
      <c r="D20" s="81">
        <f t="shared" si="8"/>
        <v>0.26993348705595416</v>
      </c>
      <c r="E20" s="81">
        <f t="shared" si="8"/>
        <v>0.27150455222763276</v>
      </c>
      <c r="F20" s="81">
        <f t="shared" si="8"/>
        <v>0.26228034729992955</v>
      </c>
      <c r="G20" s="81">
        <f t="shared" si="8"/>
        <v>0.27917594322956352</v>
      </c>
      <c r="H20" s="81">
        <f t="shared" si="8"/>
        <v>0.30645371539525629</v>
      </c>
      <c r="I20" s="70">
        <v>0.31</v>
      </c>
      <c r="J20" s="66">
        <f t="shared" ref="J20:R20" si="9">I20+0.1%</f>
        <v>0.311</v>
      </c>
      <c r="K20" s="66">
        <v>0.31</v>
      </c>
      <c r="L20" s="66">
        <v>0.29720000000000002</v>
      </c>
      <c r="M20" s="66">
        <v>0.30399999999999999</v>
      </c>
      <c r="N20" s="66">
        <v>0.29780000000000001</v>
      </c>
      <c r="O20" s="66">
        <v>0.311</v>
      </c>
      <c r="P20" s="66">
        <v>0.31</v>
      </c>
      <c r="Q20" s="66">
        <v>0.29799999999999999</v>
      </c>
      <c r="R20" s="66">
        <v>0.29299999999999998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88"/>
      <c r="K21" s="88"/>
      <c r="L21" s="88"/>
      <c r="M21" s="88"/>
      <c r="N21" s="88"/>
      <c r="O21" s="88"/>
      <c r="P21" s="88"/>
      <c r="Q21" s="88"/>
      <c r="R21" s="88"/>
    </row>
    <row r="22" spans="1:18" x14ac:dyDescent="0.25">
      <c r="A22" s="1"/>
      <c r="B22" s="1" t="s">
        <v>54</v>
      </c>
      <c r="C22" s="12">
        <v>10069</v>
      </c>
      <c r="D22" s="12">
        <v>13814</v>
      </c>
      <c r="E22" s="12">
        <v>18878</v>
      </c>
      <c r="F22" s="12">
        <v>22008</v>
      </c>
      <c r="G22" s="12">
        <v>32551</v>
      </c>
      <c r="H22" s="12">
        <v>42238</v>
      </c>
      <c r="I22" s="22">
        <f>I23*I11</f>
        <v>50443.199999999997</v>
      </c>
      <c r="J22" s="88">
        <f t="shared" ref="J22:R22" si="10">J23*J11</f>
        <v>53602.515000000007</v>
      </c>
      <c r="K22" s="88">
        <f t="shared" si="10"/>
        <v>57519.72</v>
      </c>
      <c r="L22" s="88">
        <f t="shared" si="10"/>
        <v>64507.760000000009</v>
      </c>
      <c r="M22" s="88">
        <f t="shared" si="10"/>
        <v>70932.460000000006</v>
      </c>
      <c r="N22" s="88">
        <f t="shared" si="10"/>
        <v>79417.000000000015</v>
      </c>
      <c r="O22" s="88">
        <f t="shared" si="10"/>
        <v>82923.320000000007</v>
      </c>
      <c r="P22" s="88">
        <f t="shared" si="10"/>
        <v>89630.10000000002</v>
      </c>
      <c r="Q22" s="88">
        <f t="shared" si="10"/>
        <v>97233.140000000029</v>
      </c>
      <c r="R22" s="88">
        <f t="shared" si="10"/>
        <v>104869.80000000002</v>
      </c>
    </row>
    <row r="23" spans="1:18" x14ac:dyDescent="0.25">
      <c r="A23" s="1"/>
      <c r="B23" s="80" t="s">
        <v>18</v>
      </c>
      <c r="C23" s="81">
        <f t="shared" ref="C23:H23" si="11">C22/C11</f>
        <v>5.6610032271485276E-2</v>
      </c>
      <c r="D23" s="81">
        <f t="shared" si="11"/>
        <v>5.9316320790769775E-2</v>
      </c>
      <c r="E23" s="81">
        <f t="shared" si="11"/>
        <v>6.7295969656568824E-2</v>
      </c>
      <c r="F23" s="81">
        <f t="shared" si="11"/>
        <v>5.7006092254134028E-2</v>
      </c>
      <c r="G23" s="81">
        <f t="shared" si="11"/>
        <v>6.9283686161993263E-2</v>
      </c>
      <c r="H23" s="81">
        <f t="shared" si="11"/>
        <v>8.2177815219569517E-2</v>
      </c>
      <c r="I23" s="70">
        <v>0.09</v>
      </c>
      <c r="J23" s="66">
        <v>8.5500000000000007E-2</v>
      </c>
      <c r="K23" s="66">
        <v>8.2000000000000003E-2</v>
      </c>
      <c r="L23" s="66">
        <v>8.2000000000000003E-2</v>
      </c>
      <c r="M23" s="66">
        <v>8.2000000000000003E-2</v>
      </c>
      <c r="N23" s="66">
        <v>8.2000000000000003E-2</v>
      </c>
      <c r="O23" s="66">
        <v>8.2000000000000003E-2</v>
      </c>
      <c r="P23" s="66">
        <v>8.2000000000000003E-2</v>
      </c>
      <c r="Q23" s="66">
        <v>8.2000000000000003E-2</v>
      </c>
      <c r="R23" s="66">
        <v>8.2000000000000003E-2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88"/>
      <c r="K24" s="88"/>
      <c r="L24" s="88"/>
      <c r="M24" s="88"/>
      <c r="N24" s="88"/>
      <c r="O24" s="88"/>
      <c r="P24" s="88"/>
      <c r="Q24" s="88"/>
      <c r="R24" s="88"/>
    </row>
    <row r="25" spans="1:18" x14ac:dyDescent="0.25">
      <c r="A25" s="1"/>
      <c r="B25" s="1" t="s">
        <v>55</v>
      </c>
      <c r="C25" s="12">
        <v>3674</v>
      </c>
      <c r="D25" s="12">
        <v>4336</v>
      </c>
      <c r="E25" s="12">
        <v>5203</v>
      </c>
      <c r="F25" s="12">
        <v>6668</v>
      </c>
      <c r="G25" s="12">
        <v>8823</v>
      </c>
      <c r="H25" s="12">
        <v>11891</v>
      </c>
      <c r="I25" s="73">
        <f t="shared" ref="I25:R25" si="12">I26*I11</f>
        <v>14012</v>
      </c>
      <c r="J25" s="90">
        <f t="shared" si="12"/>
        <v>15046.32</v>
      </c>
      <c r="K25" s="90">
        <f t="shared" si="12"/>
        <v>16835.04</v>
      </c>
      <c r="L25" s="90">
        <f t="shared" si="12"/>
        <v>18880.320000000003</v>
      </c>
      <c r="M25" s="90">
        <f t="shared" si="12"/>
        <v>20760.720000000005</v>
      </c>
      <c r="N25" s="90">
        <f t="shared" si="12"/>
        <v>23244.000000000004</v>
      </c>
      <c r="O25" s="90">
        <f t="shared" si="12"/>
        <v>24270.240000000002</v>
      </c>
      <c r="P25" s="90">
        <f t="shared" si="12"/>
        <v>26233.200000000004</v>
      </c>
      <c r="Q25" s="90">
        <f t="shared" si="12"/>
        <v>28458.480000000007</v>
      </c>
      <c r="R25" s="90">
        <f t="shared" si="12"/>
        <v>30693.600000000006</v>
      </c>
    </row>
    <row r="26" spans="1:18" x14ac:dyDescent="0.25">
      <c r="A26" s="1"/>
      <c r="B26" s="80" t="s">
        <v>18</v>
      </c>
      <c r="C26" s="81">
        <f t="shared" ref="C26:H26" si="13">C25/C11</f>
        <v>2.0655999460267842E-2</v>
      </c>
      <c r="D26" s="81">
        <f t="shared" si="13"/>
        <v>1.8618471619283171E-2</v>
      </c>
      <c r="E26" s="81">
        <f t="shared" si="13"/>
        <v>1.8547564896870834E-2</v>
      </c>
      <c r="F26" s="81">
        <f t="shared" si="13"/>
        <v>1.7271747689502258E-2</v>
      </c>
      <c r="G26" s="81">
        <f t="shared" si="13"/>
        <v>1.8779452643767215E-2</v>
      </c>
      <c r="H26" s="81">
        <f t="shared" si="13"/>
        <v>2.3135006410717866E-2</v>
      </c>
      <c r="I26" s="20">
        <v>2.5000000000000001E-2</v>
      </c>
      <c r="J26" s="67">
        <v>2.4E-2</v>
      </c>
      <c r="K26" s="67">
        <v>2.4E-2</v>
      </c>
      <c r="L26" s="67">
        <v>2.4E-2</v>
      </c>
      <c r="M26" s="67">
        <v>2.4E-2</v>
      </c>
      <c r="N26" s="67">
        <v>2.4E-2</v>
      </c>
      <c r="O26" s="67">
        <v>2.4E-2</v>
      </c>
      <c r="P26" s="67">
        <v>2.4E-2</v>
      </c>
      <c r="Q26" s="67">
        <v>2.4E-2</v>
      </c>
      <c r="R26" s="67">
        <v>2.4E-2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73"/>
      <c r="J27" s="90"/>
      <c r="K27" s="90"/>
      <c r="L27" s="90"/>
      <c r="M27" s="90"/>
      <c r="N27" s="90"/>
      <c r="O27" s="90"/>
      <c r="P27" s="90"/>
      <c r="Q27" s="90"/>
      <c r="R27" s="90"/>
    </row>
    <row r="28" spans="1:18" x14ac:dyDescent="0.25">
      <c r="A28" s="1"/>
      <c r="B28" s="1" t="s">
        <v>56</v>
      </c>
      <c r="C28" s="12">
        <v>214</v>
      </c>
      <c r="D28" s="12">
        <v>296</v>
      </c>
      <c r="E28" s="12">
        <v>201</v>
      </c>
      <c r="F28" s="12">
        <v>-75</v>
      </c>
      <c r="G28" s="12">
        <v>62</v>
      </c>
      <c r="H28" s="12">
        <v>1263</v>
      </c>
      <c r="I28" s="73">
        <f t="shared" ref="I28:R28" si="14">I29*I11</f>
        <v>560.48</v>
      </c>
      <c r="J28" s="90">
        <f t="shared" si="14"/>
        <v>626.93000000000006</v>
      </c>
      <c r="K28" s="90">
        <f t="shared" si="14"/>
        <v>701.46</v>
      </c>
      <c r="L28" s="90">
        <f t="shared" si="14"/>
        <v>786.68000000000018</v>
      </c>
      <c r="M28" s="90">
        <f t="shared" si="14"/>
        <v>865.03000000000009</v>
      </c>
      <c r="N28" s="90">
        <f t="shared" si="14"/>
        <v>968.50000000000011</v>
      </c>
      <c r="O28" s="90">
        <f t="shared" si="14"/>
        <v>1011.2600000000001</v>
      </c>
      <c r="P28" s="90">
        <f t="shared" si="14"/>
        <v>1093.0500000000002</v>
      </c>
      <c r="Q28" s="90">
        <f t="shared" si="14"/>
        <v>1185.7700000000002</v>
      </c>
      <c r="R28" s="90">
        <f t="shared" si="14"/>
        <v>1278.9000000000003</v>
      </c>
    </row>
    <row r="29" spans="1:18" x14ac:dyDescent="0.25">
      <c r="A29" s="1"/>
      <c r="B29" s="80" t="s">
        <v>18</v>
      </c>
      <c r="C29" s="81">
        <f t="shared" ref="C29:H29" si="15">C28/C11</f>
        <v>1.2031529353558298E-3</v>
      </c>
      <c r="D29" s="81">
        <f t="shared" si="15"/>
        <v>1.271002675117117E-3</v>
      </c>
      <c r="E29" s="81">
        <f t="shared" si="15"/>
        <v>7.1652134235461028E-4</v>
      </c>
      <c r="F29" s="81">
        <f t="shared" si="15"/>
        <v>-1.9426830784533136E-4</v>
      </c>
      <c r="G29" s="81">
        <f t="shared" si="15"/>
        <v>1.3196487180251244E-4</v>
      </c>
      <c r="H29" s="81">
        <f t="shared" si="15"/>
        <v>2.4572797154769712E-3</v>
      </c>
      <c r="I29" s="20">
        <v>1E-3</v>
      </c>
      <c r="J29" s="67">
        <v>1E-3</v>
      </c>
      <c r="K29" s="67">
        <v>1E-3</v>
      </c>
      <c r="L29" s="67">
        <v>1E-3</v>
      </c>
      <c r="M29" s="67">
        <v>1E-3</v>
      </c>
      <c r="N29" s="67">
        <v>1E-3</v>
      </c>
      <c r="O29" s="67">
        <v>1E-3</v>
      </c>
      <c r="P29" s="67">
        <v>1E-3</v>
      </c>
      <c r="Q29" s="67">
        <v>1E-3</v>
      </c>
      <c r="R29" s="67">
        <v>1E-3</v>
      </c>
    </row>
    <row r="30" spans="1:18" x14ac:dyDescent="0.25">
      <c r="A30" s="1"/>
      <c r="B30" s="1"/>
      <c r="C30" s="12"/>
      <c r="D30" s="12"/>
      <c r="E30" s="12"/>
      <c r="F30" s="1"/>
      <c r="G30" s="1"/>
      <c r="H30" s="1"/>
      <c r="I30" s="13"/>
      <c r="J30" s="89"/>
      <c r="K30" s="89"/>
      <c r="L30" s="89"/>
      <c r="M30" s="89"/>
      <c r="N30" s="89"/>
      <c r="O30" s="89"/>
      <c r="P30" s="89"/>
      <c r="Q30" s="89"/>
      <c r="R30" s="91"/>
    </row>
    <row r="31" spans="1:18" x14ac:dyDescent="0.25">
      <c r="A31" s="1"/>
      <c r="B31" s="1" t="s">
        <v>13</v>
      </c>
      <c r="C31" s="12">
        <f t="shared" ref="C31:G31" si="16">C19+C22+C25+C28</f>
        <v>61826</v>
      </c>
      <c r="D31" s="12">
        <f t="shared" si="16"/>
        <v>81310</v>
      </c>
      <c r="E31" s="12">
        <f t="shared" si="16"/>
        <v>100445</v>
      </c>
      <c r="F31" s="12">
        <f t="shared" si="16"/>
        <v>129858</v>
      </c>
      <c r="G31" s="12">
        <f t="shared" si="16"/>
        <v>172599</v>
      </c>
      <c r="H31" s="12">
        <f>H19+H22+H25+H28</f>
        <v>212904</v>
      </c>
      <c r="I31" s="73">
        <f t="shared" ref="I31:R31" si="17">I19+I22+I25+I28</f>
        <v>238764.48</v>
      </c>
      <c r="J31" s="90">
        <f t="shared" si="17"/>
        <v>264250.995</v>
      </c>
      <c r="K31" s="90">
        <f t="shared" si="17"/>
        <v>292508.82</v>
      </c>
      <c r="L31" s="90">
        <f t="shared" si="17"/>
        <v>317976.0560000001</v>
      </c>
      <c r="M31" s="90">
        <f t="shared" si="17"/>
        <v>355527.33000000013</v>
      </c>
      <c r="N31" s="90">
        <f t="shared" si="17"/>
        <v>392048.80000000005</v>
      </c>
      <c r="O31" s="90">
        <f t="shared" si="17"/>
        <v>422706.68000000005</v>
      </c>
      <c r="P31" s="90">
        <f t="shared" si="17"/>
        <v>455801.85000000009</v>
      </c>
      <c r="Q31" s="90">
        <f t="shared" si="17"/>
        <v>480236.85000000009</v>
      </c>
      <c r="R31" s="90">
        <f t="shared" si="17"/>
        <v>511560.00000000012</v>
      </c>
    </row>
    <row r="32" spans="1:18" x14ac:dyDescent="0.25">
      <c r="A32" s="1"/>
      <c r="B32" s="80" t="s">
        <v>18</v>
      </c>
      <c r="C32" s="81">
        <f t="shared" ref="C32:H32" si="18">C31/C11</f>
        <v>0.34759875411826879</v>
      </c>
      <c r="D32" s="81">
        <f t="shared" si="18"/>
        <v>0.34913928214112422</v>
      </c>
      <c r="E32" s="81">
        <f t="shared" si="18"/>
        <v>0.35806460812342705</v>
      </c>
      <c r="F32" s="81">
        <f t="shared" si="18"/>
        <v>0.33636391893572049</v>
      </c>
      <c r="G32" s="81">
        <f t="shared" si="18"/>
        <v>0.36737104690712652</v>
      </c>
      <c r="H32" s="81">
        <f t="shared" si="18"/>
        <v>0.4142238167410206</v>
      </c>
      <c r="I32" s="20">
        <f t="shared" ref="I32:R32" si="19">I31/I11</f>
        <v>0.42600000000000005</v>
      </c>
      <c r="J32" s="67">
        <f t="shared" si="19"/>
        <v>0.42149999999999999</v>
      </c>
      <c r="K32" s="67">
        <f t="shared" si="19"/>
        <v>0.41700000000000004</v>
      </c>
      <c r="L32" s="67">
        <f t="shared" si="19"/>
        <v>0.40420000000000006</v>
      </c>
      <c r="M32" s="67">
        <f t="shared" si="19"/>
        <v>0.41100000000000009</v>
      </c>
      <c r="N32" s="67">
        <f t="shared" si="19"/>
        <v>0.40479999999999999</v>
      </c>
      <c r="O32" s="67">
        <f t="shared" si="19"/>
        <v>0.41799999999999998</v>
      </c>
      <c r="P32" s="67">
        <f t="shared" si="19"/>
        <v>0.41699999999999998</v>
      </c>
      <c r="Q32" s="67">
        <f t="shared" si="19"/>
        <v>0.40500000000000003</v>
      </c>
      <c r="R32" s="67">
        <f t="shared" si="19"/>
        <v>0.4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21"/>
      <c r="J33" s="53"/>
      <c r="K33" s="53"/>
      <c r="L33" s="53"/>
      <c r="M33" s="53"/>
      <c r="N33" s="53"/>
      <c r="O33" s="53"/>
      <c r="P33" s="53"/>
      <c r="Q33" s="53"/>
      <c r="R33" s="53"/>
    </row>
    <row r="34" spans="1:86" x14ac:dyDescent="0.25">
      <c r="A34" s="1"/>
      <c r="B34" s="1" t="s">
        <v>14</v>
      </c>
      <c r="C34" s="12">
        <f t="shared" ref="C34:R34" si="20">C16-C19-C22-C25-C28</f>
        <v>4106</v>
      </c>
      <c r="D34" s="12">
        <f t="shared" si="20"/>
        <v>12421</v>
      </c>
      <c r="E34" s="12">
        <f t="shared" si="20"/>
        <v>14541</v>
      </c>
      <c r="F34" s="12">
        <f t="shared" si="20"/>
        <v>22899</v>
      </c>
      <c r="G34" s="12">
        <f t="shared" si="20"/>
        <v>24879</v>
      </c>
      <c r="H34" s="12">
        <f t="shared" si="20"/>
        <v>12248</v>
      </c>
      <c r="I34" s="73">
        <f t="shared" si="20"/>
        <v>17206.736000000001</v>
      </c>
      <c r="J34" s="90">
        <f t="shared" si="20"/>
        <v>24826.427999999993</v>
      </c>
      <c r="K34" s="90">
        <f t="shared" si="20"/>
        <v>34932.707999999984</v>
      </c>
      <c r="L34" s="90">
        <f t="shared" si="20"/>
        <v>47043.464</v>
      </c>
      <c r="M34" s="90">
        <f t="shared" si="20"/>
        <v>56832.471000000034</v>
      </c>
      <c r="N34" s="90">
        <f t="shared" si="20"/>
        <v>76511.499999999985</v>
      </c>
      <c r="O34" s="90">
        <f t="shared" si="20"/>
        <v>77867.020000000019</v>
      </c>
      <c r="P34" s="90">
        <f t="shared" si="20"/>
        <v>90723.150000000038</v>
      </c>
      <c r="Q34" s="90">
        <f t="shared" si="20"/>
        <v>112648.15000000001</v>
      </c>
      <c r="R34" s="90">
        <f t="shared" si="20"/>
        <v>127890.00000000003</v>
      </c>
    </row>
    <row r="35" spans="1:86" x14ac:dyDescent="0.25">
      <c r="A35" s="1"/>
      <c r="B35" s="1"/>
      <c r="C35" s="12"/>
      <c r="D35" s="12"/>
      <c r="E35" s="12"/>
      <c r="F35" s="12"/>
      <c r="G35" s="12"/>
      <c r="H35" s="12"/>
      <c r="I35" s="73"/>
      <c r="J35" s="90"/>
      <c r="K35" s="90"/>
      <c r="L35" s="90"/>
      <c r="M35" s="90"/>
      <c r="N35" s="90"/>
      <c r="O35" s="90"/>
      <c r="P35" s="90"/>
      <c r="Q35" s="90"/>
      <c r="R35" s="90"/>
    </row>
    <row r="36" spans="1:86" x14ac:dyDescent="0.25">
      <c r="A36" s="1"/>
      <c r="B36" s="1" t="s">
        <v>15</v>
      </c>
      <c r="C36" s="83">
        <v>-300</v>
      </c>
      <c r="D36" s="83">
        <v>-1160</v>
      </c>
      <c r="E36" s="83">
        <v>-565</v>
      </c>
      <c r="F36" s="83">
        <v>1279</v>
      </c>
      <c r="G36" s="83">
        <v>13272</v>
      </c>
      <c r="H36" s="83">
        <v>-18184</v>
      </c>
      <c r="I36" s="86">
        <f>I11*(-0.51%)</f>
        <v>-2858.4480000000003</v>
      </c>
      <c r="J36" s="87">
        <f t="shared" ref="J36:R36" si="21">J11*(-0.51%)</f>
        <v>-3197.3430000000003</v>
      </c>
      <c r="K36" s="87">
        <f t="shared" si="21"/>
        <v>-3577.4460000000004</v>
      </c>
      <c r="L36" s="87">
        <f t="shared" si="21"/>
        <v>-4012.0680000000007</v>
      </c>
      <c r="M36" s="87">
        <f t="shared" si="21"/>
        <v>-4411.6530000000012</v>
      </c>
      <c r="N36" s="87">
        <f t="shared" si="21"/>
        <v>-4939.3500000000013</v>
      </c>
      <c r="O36" s="87">
        <f t="shared" si="21"/>
        <v>-5157.4260000000013</v>
      </c>
      <c r="P36" s="87">
        <f t="shared" si="21"/>
        <v>-5574.5550000000012</v>
      </c>
      <c r="Q36" s="87">
        <f t="shared" si="21"/>
        <v>-6047.4270000000015</v>
      </c>
      <c r="R36" s="87">
        <f t="shared" si="21"/>
        <v>-6522.3900000000012</v>
      </c>
    </row>
    <row r="37" spans="1:86" x14ac:dyDescent="0.25">
      <c r="A37" s="1"/>
      <c r="B37" s="1"/>
      <c r="C37" s="23"/>
      <c r="D37" s="23"/>
      <c r="E37" s="23"/>
      <c r="F37" s="23"/>
      <c r="G37" s="23"/>
      <c r="H37" s="23"/>
      <c r="I37" s="24"/>
      <c r="J37" s="91"/>
      <c r="K37" s="91"/>
      <c r="L37" s="91"/>
      <c r="M37" s="91"/>
      <c r="N37" s="91"/>
      <c r="O37" s="91"/>
      <c r="P37" s="91"/>
      <c r="Q37" s="91"/>
      <c r="R37" s="91"/>
    </row>
    <row r="38" spans="1:86" x14ac:dyDescent="0.25">
      <c r="A38" s="1"/>
      <c r="B38" s="1" t="s">
        <v>16</v>
      </c>
      <c r="C38" s="12">
        <f t="shared" ref="C38:H38" si="22">C16-C31+C36</f>
        <v>3806</v>
      </c>
      <c r="D38" s="12">
        <f t="shared" si="22"/>
        <v>11261</v>
      </c>
      <c r="E38" s="12">
        <f t="shared" si="22"/>
        <v>13976</v>
      </c>
      <c r="F38" s="12">
        <f t="shared" si="22"/>
        <v>24178</v>
      </c>
      <c r="G38" s="12">
        <f t="shared" si="22"/>
        <v>38151</v>
      </c>
      <c r="H38" s="12">
        <f t="shared" si="22"/>
        <v>-5936</v>
      </c>
      <c r="I38" s="73">
        <f t="shared" ref="I38:R38" si="23">I16-I31+I36</f>
        <v>14348.287999999975</v>
      </c>
      <c r="J38" s="90">
        <f t="shared" si="23"/>
        <v>21629.085000000014</v>
      </c>
      <c r="K38" s="90">
        <f t="shared" si="23"/>
        <v>31355.261999999984</v>
      </c>
      <c r="L38" s="90">
        <f t="shared" si="23"/>
        <v>43031.395999999979</v>
      </c>
      <c r="M38" s="90">
        <f t="shared" si="23"/>
        <v>52420.817999999963</v>
      </c>
      <c r="N38" s="90">
        <f t="shared" si="23"/>
        <v>71572.149999999994</v>
      </c>
      <c r="O38" s="90">
        <f t="shared" si="23"/>
        <v>72709.594000000012</v>
      </c>
      <c r="P38" s="90">
        <f t="shared" si="23"/>
        <v>85148.595000000016</v>
      </c>
      <c r="Q38" s="90">
        <f t="shared" si="23"/>
        <v>106600.72300000003</v>
      </c>
      <c r="R38" s="90">
        <f t="shared" si="23"/>
        <v>121367.61</v>
      </c>
    </row>
    <row r="39" spans="1:86" x14ac:dyDescent="0.25">
      <c r="A39" s="1"/>
      <c r="B39" s="1"/>
      <c r="C39" s="23"/>
      <c r="D39" s="23"/>
      <c r="E39" s="23"/>
      <c r="F39" s="23"/>
      <c r="G39" s="23"/>
      <c r="H39" s="23"/>
      <c r="I39" s="13"/>
      <c r="J39" s="89"/>
      <c r="K39" s="89"/>
      <c r="L39" s="89"/>
      <c r="M39" s="89"/>
      <c r="N39" s="89"/>
      <c r="O39" s="89"/>
      <c r="P39" s="89"/>
      <c r="Q39" s="89"/>
      <c r="R39" s="91"/>
    </row>
    <row r="40" spans="1:86" x14ac:dyDescent="0.25">
      <c r="A40" s="1"/>
      <c r="B40" s="1" t="s">
        <v>17</v>
      </c>
      <c r="C40" s="12">
        <f t="shared" ref="C40:I40" si="24">C34</f>
        <v>4106</v>
      </c>
      <c r="D40" s="12">
        <f t="shared" si="24"/>
        <v>12421</v>
      </c>
      <c r="E40" s="12">
        <f t="shared" si="24"/>
        <v>14541</v>
      </c>
      <c r="F40" s="12">
        <f t="shared" si="24"/>
        <v>22899</v>
      </c>
      <c r="G40" s="12">
        <f t="shared" si="24"/>
        <v>24879</v>
      </c>
      <c r="H40" s="12">
        <f t="shared" si="24"/>
        <v>12248</v>
      </c>
      <c r="I40" s="73">
        <f t="shared" si="24"/>
        <v>17206.736000000001</v>
      </c>
      <c r="J40" s="90">
        <f t="shared" ref="J40:R40" si="25">J34</f>
        <v>24826.427999999993</v>
      </c>
      <c r="K40" s="90">
        <f t="shared" si="25"/>
        <v>34932.707999999984</v>
      </c>
      <c r="L40" s="90">
        <f t="shared" si="25"/>
        <v>47043.464</v>
      </c>
      <c r="M40" s="90">
        <f t="shared" si="25"/>
        <v>56832.471000000034</v>
      </c>
      <c r="N40" s="90">
        <f t="shared" si="25"/>
        <v>76511.499999999985</v>
      </c>
      <c r="O40" s="90">
        <f t="shared" si="25"/>
        <v>77867.020000000019</v>
      </c>
      <c r="P40" s="90">
        <f t="shared" si="25"/>
        <v>90723.150000000038</v>
      </c>
      <c r="Q40" s="90">
        <f t="shared" si="25"/>
        <v>112648.15000000001</v>
      </c>
      <c r="R40" s="90">
        <f t="shared" si="25"/>
        <v>127890.00000000003</v>
      </c>
    </row>
    <row r="41" spans="1:86" x14ac:dyDescent="0.25">
      <c r="A41" s="1"/>
      <c r="B41" s="80" t="s">
        <v>18</v>
      </c>
      <c r="C41" s="81">
        <f t="shared" ref="C41:I41" si="26">C40/C11</f>
        <v>2.3084794170892695E-2</v>
      </c>
      <c r="D41" s="81">
        <f t="shared" si="26"/>
        <v>5.3334879147397665E-2</v>
      </c>
      <c r="E41" s="81">
        <f t="shared" si="26"/>
        <v>5.1835506662579051E-2</v>
      </c>
      <c r="F41" s="81">
        <f t="shared" si="26"/>
        <v>5.9313999751336569E-2</v>
      </c>
      <c r="G41" s="81">
        <f t="shared" si="26"/>
        <v>5.2954097509269465E-2</v>
      </c>
      <c r="H41" s="81">
        <f t="shared" si="26"/>
        <v>2.3829581912242232E-2</v>
      </c>
      <c r="I41" s="70">
        <f t="shared" si="26"/>
        <v>3.0700000000000002E-2</v>
      </c>
      <c r="J41" s="66">
        <f t="shared" ref="J41:R41" si="27">J40/J11</f>
        <v>3.9599999999999989E-2</v>
      </c>
      <c r="K41" s="66">
        <f t="shared" si="27"/>
        <v>4.9799999999999976E-2</v>
      </c>
      <c r="L41" s="66">
        <f t="shared" si="27"/>
        <v>5.9799999999999992E-2</v>
      </c>
      <c r="M41" s="66">
        <f t="shared" si="27"/>
        <v>6.5700000000000036E-2</v>
      </c>
      <c r="N41" s="66">
        <f t="shared" si="27"/>
        <v>7.8999999999999973E-2</v>
      </c>
      <c r="O41" s="66">
        <f t="shared" si="27"/>
        <v>7.7000000000000013E-2</v>
      </c>
      <c r="P41" s="66">
        <f t="shared" si="27"/>
        <v>8.3000000000000018E-2</v>
      </c>
      <c r="Q41" s="66">
        <f t="shared" si="27"/>
        <v>9.4999999999999987E-2</v>
      </c>
      <c r="R41" s="66">
        <f t="shared" si="27"/>
        <v>0.1</v>
      </c>
    </row>
    <row r="42" spans="1:86" x14ac:dyDescent="0.25">
      <c r="A42" s="1"/>
      <c r="B42" s="14"/>
      <c r="C42" s="1"/>
      <c r="D42" s="1"/>
      <c r="E42" s="1"/>
      <c r="G42" s="1"/>
      <c r="H42" s="1"/>
      <c r="I42" s="13"/>
      <c r="J42" s="89"/>
      <c r="K42" s="89"/>
      <c r="L42" s="89"/>
      <c r="M42" s="89"/>
      <c r="N42" s="89"/>
      <c r="O42" s="91"/>
      <c r="P42" s="91"/>
      <c r="Q42" s="91"/>
      <c r="R42" s="91"/>
    </row>
    <row r="43" spans="1:86" x14ac:dyDescent="0.25">
      <c r="A43" s="1"/>
      <c r="B43" s="1" t="s">
        <v>19</v>
      </c>
      <c r="C43" s="19">
        <v>-769</v>
      </c>
      <c r="D43" s="12">
        <v>-1197</v>
      </c>
      <c r="E43" s="12">
        <v>-2374</v>
      </c>
      <c r="F43" s="25">
        <v>-2863</v>
      </c>
      <c r="G43" s="12">
        <v>-4791</v>
      </c>
      <c r="H43" s="12">
        <v>3217</v>
      </c>
      <c r="I43" s="22">
        <f>I44*I40</f>
        <v>3637.5039904</v>
      </c>
      <c r="J43" s="88">
        <f t="shared" ref="J43:R43" si="28">J44*J40</f>
        <v>4972.7335283999982</v>
      </c>
      <c r="K43" s="88">
        <f t="shared" si="28"/>
        <v>6909.689642399997</v>
      </c>
      <c r="L43" s="88">
        <f t="shared" si="28"/>
        <v>9770.9274728</v>
      </c>
      <c r="M43" s="88">
        <f t="shared" si="28"/>
        <v>12429.261407700007</v>
      </c>
      <c r="N43" s="88">
        <f t="shared" si="28"/>
        <v>16733.065049999997</v>
      </c>
      <c r="O43" s="88">
        <f t="shared" si="28"/>
        <v>17029.517274000005</v>
      </c>
      <c r="P43" s="88">
        <f t="shared" si="28"/>
        <v>19841.15290500001</v>
      </c>
      <c r="Q43" s="88">
        <f t="shared" si="28"/>
        <v>24636.150405000004</v>
      </c>
      <c r="R43" s="88">
        <f t="shared" si="28"/>
        <v>27969.543000000009</v>
      </c>
    </row>
    <row r="44" spans="1:86" x14ac:dyDescent="0.25">
      <c r="A44" s="1"/>
      <c r="B44" s="80" t="s">
        <v>20</v>
      </c>
      <c r="C44" s="82">
        <f t="shared" ref="C44:H44" si="29">C43/C40</f>
        <v>-0.18728689722357525</v>
      </c>
      <c r="D44" s="82">
        <f t="shared" si="29"/>
        <v>-9.6369052411239026E-2</v>
      </c>
      <c r="E44" s="82">
        <f t="shared" si="29"/>
        <v>-0.16326249914036173</v>
      </c>
      <c r="F44" s="82">
        <f t="shared" si="29"/>
        <v>-0.12502729376828683</v>
      </c>
      <c r="G44" s="82">
        <f t="shared" si="29"/>
        <v>-0.1925720487157844</v>
      </c>
      <c r="H44" s="82">
        <f t="shared" si="29"/>
        <v>0.2626551273677335</v>
      </c>
      <c r="I44" s="72">
        <v>0.2114</v>
      </c>
      <c r="J44" s="92">
        <v>0.20030000000000001</v>
      </c>
      <c r="K44" s="92">
        <v>0.1978</v>
      </c>
      <c r="L44" s="92">
        <v>0.2077</v>
      </c>
      <c r="M44" s="92">
        <v>0.21870000000000001</v>
      </c>
      <c r="N44" s="92">
        <v>0.21870000000000001</v>
      </c>
      <c r="O44" s="92">
        <v>0.21870000000000001</v>
      </c>
      <c r="P44" s="92">
        <v>0.21870000000000001</v>
      </c>
      <c r="Q44" s="92">
        <v>0.21870000000000001</v>
      </c>
      <c r="R44" s="92">
        <v>0.21870000000000001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13"/>
      <c r="J45" s="1"/>
      <c r="K45" s="1"/>
      <c r="L45" s="1"/>
      <c r="M45" s="1"/>
      <c r="N45" s="1"/>
      <c r="O45" s="1"/>
      <c r="P45" s="1"/>
      <c r="Q45" s="1"/>
    </row>
    <row r="46" spans="1:86" x14ac:dyDescent="0.25">
      <c r="A46" s="1"/>
      <c r="B46" s="10" t="s">
        <v>21</v>
      </c>
      <c r="C46" s="10">
        <v>2017</v>
      </c>
      <c r="D46" s="10">
        <v>2018</v>
      </c>
      <c r="E46" s="10">
        <v>2019</v>
      </c>
      <c r="F46" s="10">
        <v>2020</v>
      </c>
      <c r="G46" s="10">
        <v>2021</v>
      </c>
      <c r="H46" s="10">
        <v>2022</v>
      </c>
      <c r="I46" s="74">
        <v>2023</v>
      </c>
      <c r="J46" s="10">
        <v>2024</v>
      </c>
      <c r="K46" s="10">
        <v>2025</v>
      </c>
      <c r="L46" s="10">
        <v>2026</v>
      </c>
      <c r="M46" s="10">
        <v>2027</v>
      </c>
      <c r="N46" s="10">
        <v>2028</v>
      </c>
      <c r="O46" s="10">
        <v>2029</v>
      </c>
      <c r="P46" s="10">
        <v>2030</v>
      </c>
      <c r="Q46" s="10">
        <v>2031</v>
      </c>
      <c r="R46" s="10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22</v>
      </c>
      <c r="C47" s="12">
        <v>11478</v>
      </c>
      <c r="D47" s="12">
        <v>15341</v>
      </c>
      <c r="E47" s="12">
        <v>21789</v>
      </c>
      <c r="F47" s="25">
        <v>25180</v>
      </c>
      <c r="G47" s="12">
        <v>34433</v>
      </c>
      <c r="H47" s="12">
        <v>41921</v>
      </c>
      <c r="I47" s="22">
        <f>I48*I11</f>
        <v>46190</v>
      </c>
      <c r="J47" s="88">
        <f t="shared" ref="J47:R47" si="30">J48*J11</f>
        <v>51530</v>
      </c>
      <c r="K47" s="88">
        <f t="shared" si="30"/>
        <v>56850</v>
      </c>
      <c r="L47" s="88">
        <f t="shared" si="30"/>
        <v>63750.000000000007</v>
      </c>
      <c r="M47" s="88">
        <f t="shared" si="30"/>
        <v>69320</v>
      </c>
      <c r="N47" s="88">
        <f t="shared" si="30"/>
        <v>73540</v>
      </c>
      <c r="O47" s="88">
        <f t="shared" si="30"/>
        <v>70788.200000000012</v>
      </c>
      <c r="P47" s="88">
        <f t="shared" si="30"/>
        <v>71002.961157368045</v>
      </c>
      <c r="Q47" s="88">
        <f t="shared" si="30"/>
        <v>77025.919447026492</v>
      </c>
      <c r="R47" s="88">
        <f t="shared" si="30"/>
        <v>83075.510748966641</v>
      </c>
    </row>
    <row r="48" spans="1:86" x14ac:dyDescent="0.25">
      <c r="A48" s="1"/>
      <c r="B48" s="80" t="s">
        <v>18</v>
      </c>
      <c r="C48" s="81">
        <f t="shared" ref="C48:H48" si="31">C47/C11</f>
        <v>6.4531726130907532E-2</v>
      </c>
      <c r="D48" s="81">
        <f t="shared" si="31"/>
        <v>6.5873148780309768E-2</v>
      </c>
      <c r="E48" s="81">
        <f t="shared" si="31"/>
        <v>7.7673052380918428E-2</v>
      </c>
      <c r="F48" s="81">
        <f t="shared" si="31"/>
        <v>6.5222346553939242E-2</v>
      </c>
      <c r="G48" s="81">
        <f t="shared" si="31"/>
        <v>7.3289458560901785E-2</v>
      </c>
      <c r="H48" s="81">
        <f t="shared" si="31"/>
        <v>8.1561063303650122E-2</v>
      </c>
      <c r="I48" s="21">
        <v>8.2411504424778764E-2</v>
      </c>
      <c r="J48" s="53">
        <v>8.2194184358700337E-2</v>
      </c>
      <c r="K48" s="53">
        <v>8.1045248481738094E-2</v>
      </c>
      <c r="L48" s="53">
        <v>8.103676208877815E-2</v>
      </c>
      <c r="M48" s="53">
        <v>8.0135949042229732E-2</v>
      </c>
      <c r="N48" s="53">
        <v>7.5931853381517797E-2</v>
      </c>
      <c r="O48" s="53">
        <v>7.0000000000000007E-2</v>
      </c>
      <c r="P48" s="53">
        <v>6.4958566540751134E-2</v>
      </c>
      <c r="Q48" s="53">
        <v>6.4958566540751134E-2</v>
      </c>
      <c r="R48" s="53">
        <v>6.4958566540751134E-2</v>
      </c>
    </row>
    <row r="49" spans="1:86" x14ac:dyDescent="0.25">
      <c r="A49" s="1"/>
      <c r="B49" s="1"/>
      <c r="C49" s="1"/>
      <c r="D49" s="1"/>
      <c r="E49" s="1"/>
      <c r="G49" s="1"/>
      <c r="H49" s="1"/>
      <c r="I49" s="13"/>
      <c r="J49" s="89"/>
      <c r="K49" s="89"/>
      <c r="L49" s="89"/>
      <c r="M49" s="89"/>
      <c r="N49" s="89"/>
      <c r="O49" s="89"/>
      <c r="P49" s="89"/>
      <c r="Q49" s="89"/>
      <c r="R49" s="89"/>
    </row>
    <row r="50" spans="1:86" x14ac:dyDescent="0.25">
      <c r="A50" s="1"/>
      <c r="B50" s="1" t="s">
        <v>23</v>
      </c>
      <c r="C50" s="12">
        <v>-11955</v>
      </c>
      <c r="D50" s="12">
        <v>-13427</v>
      </c>
      <c r="E50" s="12">
        <v>-16861</v>
      </c>
      <c r="F50" s="25">
        <v>-40140</v>
      </c>
      <c r="G50" s="12">
        <v>-61053</v>
      </c>
      <c r="H50" s="12">
        <v>-63645</v>
      </c>
      <c r="I50" s="22">
        <f>I51*I11</f>
        <v>-56710</v>
      </c>
      <c r="J50" s="88">
        <f t="shared" ref="J50:R50" si="32">J51*J11</f>
        <v>-59570</v>
      </c>
      <c r="K50" s="88">
        <f t="shared" si="32"/>
        <v>-61190</v>
      </c>
      <c r="L50" s="88">
        <f t="shared" si="32"/>
        <v>-58640</v>
      </c>
      <c r="M50" s="88">
        <f t="shared" si="32"/>
        <v>-60149.999999999993</v>
      </c>
      <c r="N50" s="88">
        <f t="shared" si="32"/>
        <v>-61820</v>
      </c>
      <c r="O50" s="88">
        <f t="shared" si="32"/>
        <v>-64549.399277232835</v>
      </c>
      <c r="P50" s="88">
        <f t="shared" si="32"/>
        <v>-69770.109447599389</v>
      </c>
      <c r="Q50" s="88">
        <f t="shared" si="32"/>
        <v>-71600</v>
      </c>
      <c r="R50" s="88">
        <f t="shared" si="32"/>
        <v>-77223.441308179492</v>
      </c>
    </row>
    <row r="51" spans="1:86" x14ac:dyDescent="0.25">
      <c r="A51" s="1"/>
      <c r="B51" s="80" t="s">
        <v>18</v>
      </c>
      <c r="C51" s="81">
        <f t="shared" ref="C51:H51" si="33">C50/C11</f>
        <v>-6.7213520290555814E-2</v>
      </c>
      <c r="D51" s="81">
        <f t="shared" si="33"/>
        <v>-5.7654570671613274E-2</v>
      </c>
      <c r="E51" s="81">
        <f t="shared" si="33"/>
        <v>-6.0105802753438235E-2</v>
      </c>
      <c r="F51" s="81">
        <f t="shared" si="33"/>
        <v>-0.10397239835882134</v>
      </c>
      <c r="G51" s="81">
        <f t="shared" si="33"/>
        <v>-0.12994921480901278</v>
      </c>
      <c r="H51" s="81">
        <f t="shared" si="33"/>
        <v>-0.12382705264571008</v>
      </c>
      <c r="I51" s="21">
        <v>-0.10118113045960606</v>
      </c>
      <c r="J51" s="53">
        <v>-9.501858261687908E-2</v>
      </c>
      <c r="K51" s="53">
        <v>-8.7232343968294698E-2</v>
      </c>
      <c r="L51" s="53">
        <v>-7.4541109472720787E-2</v>
      </c>
      <c r="M51" s="53">
        <v>-6.9535160630267143E-2</v>
      </c>
      <c r="N51" s="53">
        <v>-6.3830665978316978E-2</v>
      </c>
      <c r="O51" s="53">
        <v>-6.3830665978316978E-2</v>
      </c>
      <c r="P51" s="53">
        <v>-6.3830665978316978E-2</v>
      </c>
      <c r="Q51" s="53">
        <v>-6.0382704909046431E-2</v>
      </c>
      <c r="R51" s="53">
        <v>-6.0382704909046431E-2</v>
      </c>
    </row>
    <row r="52" spans="1:86" x14ac:dyDescent="0.25">
      <c r="A52" s="1"/>
      <c r="B52" s="1"/>
      <c r="C52" s="1"/>
      <c r="D52" s="1"/>
      <c r="E52" s="1"/>
      <c r="G52" s="1"/>
      <c r="H52" s="1"/>
      <c r="I52" s="13"/>
      <c r="J52" s="89"/>
      <c r="K52" s="89"/>
      <c r="L52" s="89"/>
      <c r="M52" s="89"/>
      <c r="N52" s="89"/>
      <c r="O52" s="89"/>
      <c r="P52" s="89"/>
      <c r="Q52" s="91"/>
      <c r="R52" s="91"/>
    </row>
    <row r="53" spans="1:86" x14ac:dyDescent="0.25">
      <c r="A53" s="1"/>
      <c r="B53" s="1" t="s">
        <v>24</v>
      </c>
      <c r="C53" s="25">
        <v>-242</v>
      </c>
      <c r="D53" s="25">
        <v>-1043</v>
      </c>
      <c r="E53" s="25">
        <v>-2438</v>
      </c>
      <c r="F53" s="2">
        <v>13481</v>
      </c>
      <c r="G53" s="1">
        <v>-19611</v>
      </c>
      <c r="H53" s="1">
        <v>-20886</v>
      </c>
      <c r="I53" s="22">
        <f t="shared" ref="I53:R53" si="34">I54*I11</f>
        <v>-16814.399999999998</v>
      </c>
      <c r="J53" s="88">
        <f t="shared" si="34"/>
        <v>-12538.6</v>
      </c>
      <c r="K53" s="88">
        <f t="shared" si="34"/>
        <v>-14029.2</v>
      </c>
      <c r="L53" s="88">
        <f t="shared" si="34"/>
        <v>-15733.600000000002</v>
      </c>
      <c r="M53" s="88">
        <f t="shared" si="34"/>
        <v>-17300.600000000002</v>
      </c>
      <c r="N53" s="88">
        <f t="shared" si="34"/>
        <v>-19370.000000000004</v>
      </c>
      <c r="O53" s="88">
        <f t="shared" si="34"/>
        <v>-20225.200000000004</v>
      </c>
      <c r="P53" s="88">
        <f t="shared" si="34"/>
        <v>-21861.000000000004</v>
      </c>
      <c r="Q53" s="88">
        <f t="shared" si="34"/>
        <v>-23715.400000000005</v>
      </c>
      <c r="R53" s="88">
        <f t="shared" si="34"/>
        <v>-25578.000000000004</v>
      </c>
    </row>
    <row r="54" spans="1:86" x14ac:dyDescent="0.25">
      <c r="A54" s="1"/>
      <c r="B54" s="80" t="s">
        <v>18</v>
      </c>
      <c r="C54" s="81">
        <f t="shared" ref="C54:H54" si="35">C53/C11</f>
        <v>-1.3605748147481813E-3</v>
      </c>
      <c r="D54" s="81">
        <f t="shared" si="35"/>
        <v>-4.4785668586052466E-3</v>
      </c>
      <c r="E54" s="81">
        <f t="shared" si="35"/>
        <v>-8.6909404609977117E-3</v>
      </c>
      <c r="F54" s="81">
        <f t="shared" si="35"/>
        <v>3.4919080774172155E-2</v>
      </c>
      <c r="G54" s="81">
        <f t="shared" si="35"/>
        <v>-4.1741340337404377E-2</v>
      </c>
      <c r="H54" s="81">
        <f t="shared" si="35"/>
        <v>-4.0635585223635799E-2</v>
      </c>
      <c r="I54" s="75">
        <v>-0.03</v>
      </c>
      <c r="J54" s="93">
        <v>-0.02</v>
      </c>
      <c r="K54" s="93">
        <v>-0.02</v>
      </c>
      <c r="L54" s="93">
        <v>-0.02</v>
      </c>
      <c r="M54" s="93">
        <v>-0.02</v>
      </c>
      <c r="N54" s="93">
        <v>-0.02</v>
      </c>
      <c r="O54" s="93">
        <v>-0.02</v>
      </c>
      <c r="P54" s="93">
        <v>-0.02</v>
      </c>
      <c r="Q54" s="93">
        <v>-0.02</v>
      </c>
      <c r="R54" s="93">
        <v>-0.02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13"/>
      <c r="J55" s="89"/>
      <c r="K55" s="89"/>
      <c r="L55" s="89"/>
      <c r="M55" s="89"/>
      <c r="N55" s="89"/>
      <c r="O55" s="89"/>
      <c r="P55" s="89"/>
      <c r="Q55" s="89"/>
      <c r="R55" s="91"/>
    </row>
    <row r="56" spans="1:86" x14ac:dyDescent="0.25">
      <c r="A56" s="1"/>
      <c r="B56" s="10" t="s">
        <v>25</v>
      </c>
      <c r="C56" s="12">
        <f t="shared" ref="C56:H56" si="36">C40-C43</f>
        <v>4875</v>
      </c>
      <c r="D56" s="12">
        <f t="shared" si="36"/>
        <v>13618</v>
      </c>
      <c r="E56" s="12">
        <f t="shared" si="36"/>
        <v>16915</v>
      </c>
      <c r="F56" s="12">
        <f t="shared" si="36"/>
        <v>25762</v>
      </c>
      <c r="G56" s="12">
        <f t="shared" si="36"/>
        <v>29670</v>
      </c>
      <c r="H56" s="12">
        <f>H40-H43</f>
        <v>9031</v>
      </c>
      <c r="I56" s="73">
        <f t="shared" ref="I56:R56" si="37">I40-I43</f>
        <v>13569.2320096</v>
      </c>
      <c r="J56" s="90">
        <f t="shared" si="37"/>
        <v>19853.694471599993</v>
      </c>
      <c r="K56" s="90">
        <f t="shared" si="37"/>
        <v>28023.018357599987</v>
      </c>
      <c r="L56" s="90">
        <f t="shared" si="37"/>
        <v>37272.536527199998</v>
      </c>
      <c r="M56" s="90">
        <f t="shared" si="37"/>
        <v>44403.209592300031</v>
      </c>
      <c r="N56" s="90">
        <f t="shared" si="37"/>
        <v>59778.434949999988</v>
      </c>
      <c r="O56" s="90">
        <f t="shared" si="37"/>
        <v>60837.502726000013</v>
      </c>
      <c r="P56" s="90">
        <f t="shared" si="37"/>
        <v>70881.997095000028</v>
      </c>
      <c r="Q56" s="90">
        <f t="shared" si="37"/>
        <v>88011.999595000001</v>
      </c>
      <c r="R56" s="90">
        <f t="shared" si="37"/>
        <v>99920.457000000024</v>
      </c>
    </row>
    <row r="57" spans="1:86" x14ac:dyDescent="0.25">
      <c r="A57" s="1"/>
      <c r="B57" s="10" t="s">
        <v>57</v>
      </c>
      <c r="C57" s="12">
        <v>-4</v>
      </c>
      <c r="D57" s="12">
        <v>9</v>
      </c>
      <c r="E57" s="12">
        <v>-14</v>
      </c>
      <c r="F57" s="12">
        <v>16</v>
      </c>
      <c r="G57" s="12">
        <v>4</v>
      </c>
      <c r="H57" s="12">
        <v>-3</v>
      </c>
      <c r="I57" s="73">
        <v>3.3333333333333299</v>
      </c>
      <c r="J57" s="90">
        <v>3.9047619047619002</v>
      </c>
      <c r="K57" s="90">
        <v>4.4761904761904798</v>
      </c>
      <c r="L57" s="90">
        <v>5.0476190476190501</v>
      </c>
      <c r="M57" s="90">
        <v>5.6190476190476204</v>
      </c>
      <c r="N57" s="90">
        <v>6.1904761904761898</v>
      </c>
      <c r="O57" s="90">
        <v>6.7619047619047601</v>
      </c>
      <c r="P57" s="90">
        <v>7.3333333333333401</v>
      </c>
      <c r="Q57" s="90">
        <v>7.9047619047619104</v>
      </c>
      <c r="R57" s="90">
        <v>8.4761904761904798</v>
      </c>
    </row>
    <row r="58" spans="1:86" x14ac:dyDescent="0.25">
      <c r="A58" s="1"/>
      <c r="B58" s="10" t="s">
        <v>26</v>
      </c>
      <c r="C58" s="12">
        <f t="shared" ref="C58:G58" si="38">C38+C43+C57</f>
        <v>3033</v>
      </c>
      <c r="D58" s="12">
        <f t="shared" si="38"/>
        <v>10073</v>
      </c>
      <c r="E58" s="12">
        <f t="shared" si="38"/>
        <v>11588</v>
      </c>
      <c r="F58" s="12">
        <f t="shared" si="38"/>
        <v>21331</v>
      </c>
      <c r="G58" s="12">
        <f t="shared" si="38"/>
        <v>33364</v>
      </c>
      <c r="H58" s="12">
        <f>H38+H43+H57</f>
        <v>-2722</v>
      </c>
      <c r="I58" s="73">
        <f t="shared" ref="I58:R58" si="39">I38+I43+I57</f>
        <v>17989.125323733308</v>
      </c>
      <c r="J58" s="90">
        <f t="shared" si="39"/>
        <v>26605.723290304777</v>
      </c>
      <c r="K58" s="90">
        <f t="shared" si="39"/>
        <v>38269.427832876172</v>
      </c>
      <c r="L58" s="90">
        <f t="shared" si="39"/>
        <v>52807.371091847599</v>
      </c>
      <c r="M58" s="90">
        <f t="shared" si="39"/>
        <v>64855.69845531902</v>
      </c>
      <c r="N58" s="90">
        <f t="shared" si="39"/>
        <v>88311.405526190472</v>
      </c>
      <c r="O58" s="90">
        <f t="shared" si="39"/>
        <v>89745.873178761933</v>
      </c>
      <c r="P58" s="90">
        <f t="shared" si="39"/>
        <v>104997.08123833335</v>
      </c>
      <c r="Q58" s="90">
        <f t="shared" si="39"/>
        <v>131244.77816690478</v>
      </c>
      <c r="R58" s="90">
        <f t="shared" si="39"/>
        <v>149345.6291904762</v>
      </c>
      <c r="S58" s="65">
        <f>R58*(1+$E$6)</f>
        <v>153825.99806619048</v>
      </c>
      <c r="T58" s="65">
        <f t="shared" ref="T58:CE58" si="40">S58*(1+$E$6)</f>
        <v>158440.77800817622</v>
      </c>
      <c r="U58" s="65">
        <f t="shared" si="40"/>
        <v>163194.0013484215</v>
      </c>
      <c r="V58" s="65">
        <f t="shared" si="40"/>
        <v>168089.82138887414</v>
      </c>
      <c r="W58" s="65">
        <f t="shared" si="40"/>
        <v>173132.51603054037</v>
      </c>
      <c r="X58" s="65">
        <f t="shared" si="40"/>
        <v>178326.49151145658</v>
      </c>
      <c r="Y58" s="65">
        <f t="shared" si="40"/>
        <v>183676.28625680029</v>
      </c>
      <c r="Z58" s="65">
        <f t="shared" si="40"/>
        <v>189186.5748445043</v>
      </c>
      <c r="AA58" s="65">
        <f t="shared" si="40"/>
        <v>194862.17208983944</v>
      </c>
      <c r="AB58" s="65">
        <f t="shared" si="40"/>
        <v>200708.03725253462</v>
      </c>
      <c r="AC58" s="65">
        <f t="shared" si="40"/>
        <v>206729.27837011067</v>
      </c>
      <c r="AD58" s="65">
        <f t="shared" si="40"/>
        <v>212931.15672121401</v>
      </c>
      <c r="AE58" s="65">
        <f t="shared" si="40"/>
        <v>219319.09142285044</v>
      </c>
      <c r="AF58" s="65">
        <f t="shared" si="40"/>
        <v>225898.66416553597</v>
      </c>
      <c r="AG58" s="65">
        <f t="shared" si="40"/>
        <v>232675.62409050207</v>
      </c>
      <c r="AH58" s="65">
        <f t="shared" si="40"/>
        <v>239655.89281321713</v>
      </c>
      <c r="AI58" s="65">
        <f t="shared" si="40"/>
        <v>246845.56959761365</v>
      </c>
      <c r="AJ58" s="65">
        <f t="shared" si="40"/>
        <v>254250.93668554205</v>
      </c>
      <c r="AK58" s="65">
        <f t="shared" si="40"/>
        <v>261878.46478610832</v>
      </c>
      <c r="AL58" s="65">
        <f t="shared" si="40"/>
        <v>269734.81872969156</v>
      </c>
      <c r="AM58" s="65">
        <f t="shared" si="40"/>
        <v>277826.86329158233</v>
      </c>
      <c r="AN58" s="65">
        <f t="shared" si="40"/>
        <v>286161.66919032979</v>
      </c>
      <c r="AO58" s="65">
        <f t="shared" si="40"/>
        <v>294746.51926603972</v>
      </c>
      <c r="AP58" s="65">
        <f t="shared" si="40"/>
        <v>303588.91484402091</v>
      </c>
      <c r="AQ58" s="65">
        <f t="shared" si="40"/>
        <v>312696.58228934155</v>
      </c>
      <c r="AR58" s="65">
        <f t="shared" si="40"/>
        <v>322077.47975802183</v>
      </c>
      <c r="AS58" s="65">
        <f t="shared" si="40"/>
        <v>331739.8041507625</v>
      </c>
      <c r="AT58" s="65">
        <f t="shared" si="40"/>
        <v>341691.99827528541</v>
      </c>
      <c r="AU58" s="65">
        <f t="shared" si="40"/>
        <v>351942.75822354399</v>
      </c>
      <c r="AV58" s="65">
        <f t="shared" si="40"/>
        <v>362501.04097025032</v>
      </c>
      <c r="AW58" s="65">
        <f t="shared" si="40"/>
        <v>373376.07219935785</v>
      </c>
      <c r="AX58" s="65">
        <f t="shared" si="40"/>
        <v>384577.35436533857</v>
      </c>
      <c r="AY58" s="65">
        <f t="shared" si="40"/>
        <v>396114.67499629874</v>
      </c>
      <c r="AZ58" s="65">
        <f t="shared" si="40"/>
        <v>407998.11524618772</v>
      </c>
      <c r="BA58" s="65">
        <f t="shared" si="40"/>
        <v>420238.05870357336</v>
      </c>
      <c r="BB58" s="65">
        <f t="shared" si="40"/>
        <v>432845.20046468056</v>
      </c>
      <c r="BC58" s="65">
        <f t="shared" si="40"/>
        <v>445830.55647862097</v>
      </c>
      <c r="BD58" s="65">
        <f t="shared" si="40"/>
        <v>459205.4731729796</v>
      </c>
      <c r="BE58" s="65">
        <f t="shared" si="40"/>
        <v>472981.63736816903</v>
      </c>
      <c r="BF58" s="65">
        <f t="shared" si="40"/>
        <v>487171.0864892141</v>
      </c>
      <c r="BG58" s="65">
        <f t="shared" si="40"/>
        <v>501786.21908389055</v>
      </c>
      <c r="BH58" s="65">
        <f t="shared" si="40"/>
        <v>516839.80565640726</v>
      </c>
      <c r="BI58" s="65">
        <f t="shared" si="40"/>
        <v>532344.99982609949</v>
      </c>
      <c r="BJ58" s="65">
        <f t="shared" si="40"/>
        <v>548315.34982088255</v>
      </c>
      <c r="BK58" s="65">
        <f t="shared" si="40"/>
        <v>564764.81031550909</v>
      </c>
      <c r="BL58" s="65">
        <f t="shared" si="40"/>
        <v>581707.75462497433</v>
      </c>
      <c r="BM58" s="65">
        <f t="shared" si="40"/>
        <v>599158.98726372363</v>
      </c>
      <c r="BN58" s="65">
        <f t="shared" si="40"/>
        <v>617133.7568816354</v>
      </c>
      <c r="BO58" s="65">
        <f t="shared" si="40"/>
        <v>635647.76958808443</v>
      </c>
      <c r="BP58" s="65">
        <f t="shared" si="40"/>
        <v>654717.20267572696</v>
      </c>
      <c r="BQ58" s="65">
        <f t="shared" si="40"/>
        <v>674358.71875599877</v>
      </c>
      <c r="BR58" s="65">
        <f t="shared" si="40"/>
        <v>694589.48031867878</v>
      </c>
      <c r="BS58" s="65">
        <f t="shared" si="40"/>
        <v>715427.16472823918</v>
      </c>
      <c r="BT58" s="65">
        <f t="shared" si="40"/>
        <v>736889.97967008641</v>
      </c>
      <c r="BU58" s="65">
        <f t="shared" si="40"/>
        <v>758996.67906018905</v>
      </c>
      <c r="BV58" s="65">
        <f t="shared" si="40"/>
        <v>781766.5794319947</v>
      </c>
      <c r="BW58" s="65">
        <f t="shared" si="40"/>
        <v>805219.57681495452</v>
      </c>
      <c r="BX58" s="65">
        <f t="shared" si="40"/>
        <v>829376.16411940323</v>
      </c>
      <c r="BY58" s="65">
        <f t="shared" si="40"/>
        <v>854257.44904298533</v>
      </c>
      <c r="BZ58" s="65">
        <f t="shared" si="40"/>
        <v>879885.17251427495</v>
      </c>
      <c r="CA58" s="65">
        <f t="shared" si="40"/>
        <v>906281.72768970323</v>
      </c>
      <c r="CB58" s="65">
        <f t="shared" si="40"/>
        <v>933470.1795203943</v>
      </c>
      <c r="CC58" s="65">
        <f t="shared" si="40"/>
        <v>961474.28490600619</v>
      </c>
      <c r="CD58" s="65">
        <f t="shared" si="40"/>
        <v>990318.51345318637</v>
      </c>
      <c r="CE58" s="65">
        <f t="shared" si="40"/>
        <v>1020028.068856782</v>
      </c>
      <c r="CF58" s="65">
        <f t="shared" ref="CF58:CH58" si="41">CE58*(1+$E$6)</f>
        <v>1050628.9109224856</v>
      </c>
      <c r="CG58" s="65">
        <f t="shared" si="41"/>
        <v>1082147.7782501602</v>
      </c>
      <c r="CH58" s="65">
        <f t="shared" si="41"/>
        <v>1114612.211597665</v>
      </c>
    </row>
    <row r="59" spans="1:86" x14ac:dyDescent="0.25">
      <c r="A59" s="1"/>
      <c r="B59" s="6"/>
      <c r="C59" s="23"/>
      <c r="D59" s="23"/>
      <c r="E59" s="23"/>
      <c r="F59" s="23"/>
      <c r="G59" s="23"/>
      <c r="H59" s="23"/>
      <c r="I59" s="13"/>
      <c r="J59" s="89"/>
      <c r="K59" s="89"/>
      <c r="L59" s="89"/>
      <c r="M59" s="89"/>
      <c r="N59" s="89"/>
      <c r="O59" s="89"/>
      <c r="P59" s="89"/>
      <c r="Q59" s="89"/>
      <c r="R59" s="91"/>
    </row>
    <row r="60" spans="1:86" x14ac:dyDescent="0.25">
      <c r="A60" s="1"/>
      <c r="B60" s="10" t="s">
        <v>27</v>
      </c>
      <c r="C60" s="12">
        <f>C56+C47+C50-C53</f>
        <v>4640</v>
      </c>
      <c r="D60" s="12">
        <f>D56+D47+D50-D53</f>
        <v>16575</v>
      </c>
      <c r="E60" s="12">
        <f>E56+E47+E50-E53</f>
        <v>24281</v>
      </c>
      <c r="F60" s="12">
        <f>F56+F47+F50-F53</f>
        <v>-2679</v>
      </c>
      <c r="G60" s="12">
        <f>G56+G47+G50-G53</f>
        <v>22661</v>
      </c>
      <c r="H60" s="12">
        <f>H56+H47+H50-H53</f>
        <v>8193</v>
      </c>
      <c r="I60" s="73">
        <f>I56+I47+I50-I53</f>
        <v>19863.632009600002</v>
      </c>
      <c r="J60" s="12">
        <f>J56+J47+J50-J53</f>
        <v>24352.294471599998</v>
      </c>
      <c r="K60" s="12">
        <f>K56+K47+K50-K53</f>
        <v>37712.218357599981</v>
      </c>
      <c r="L60" s="12">
        <f>L56+L47+L50-L53</f>
        <v>58116.136527200011</v>
      </c>
      <c r="M60" s="12">
        <f>M56+M47+M50-M53</f>
        <v>70873.809592300036</v>
      </c>
      <c r="N60" s="12">
        <f>N56+N47+N50-N53</f>
        <v>90868.434949999995</v>
      </c>
      <c r="O60" s="12">
        <f>O56+O47+O50-O53</f>
        <v>87301.50344876718</v>
      </c>
      <c r="P60" s="12">
        <f>P56+P47+P50-P53</f>
        <v>93975.848804768699</v>
      </c>
      <c r="Q60" s="12">
        <f>Q56+Q47+Q50-Q53</f>
        <v>117153.31904202652</v>
      </c>
      <c r="R60" s="12">
        <f>R56+R47+R50-R53</f>
        <v>131350.52644078716</v>
      </c>
    </row>
    <row r="61" spans="1:86" x14ac:dyDescent="0.25">
      <c r="A61" s="1"/>
      <c r="B61" s="26" t="s">
        <v>28</v>
      </c>
      <c r="C61" s="1"/>
      <c r="D61" s="1"/>
      <c r="E61" s="1"/>
      <c r="F61" s="1"/>
      <c r="G61" s="1"/>
      <c r="H61" s="1"/>
      <c r="I61" s="71">
        <f>I60/((1+$E$5)^I9)</f>
        <v>17967.775755742281</v>
      </c>
      <c r="J61" s="68">
        <f>J60/((1+$E$5)^J9)</f>
        <v>19925.590577346142</v>
      </c>
      <c r="K61" s="68">
        <f>K60/((1+$E$5)^K9)</f>
        <v>27911.877688660588</v>
      </c>
      <c r="L61" s="68">
        <f>L60/((1+$E$5)^L9)</f>
        <v>38908.041169423319</v>
      </c>
      <c r="M61" s="68">
        <f>M60/((1+$E$5)^M9)</f>
        <v>42920.430238601562</v>
      </c>
      <c r="N61" s="68">
        <f>N60/((1+$E$5)^N9)</f>
        <v>49776.802470427501</v>
      </c>
      <c r="O61" s="68">
        <f>O60/((1+$E$5)^O9)</f>
        <v>43258.487225955432</v>
      </c>
      <c r="P61" s="68">
        <f>P60/((1+$E$5)^P9)</f>
        <v>42121.276078066592</v>
      </c>
      <c r="Q61" s="68">
        <f>Q60/((1+$E$5)^Q9)</f>
        <v>47498.021269758276</v>
      </c>
      <c r="R61" s="68">
        <f>R60/((1+$E$5)^R9)</f>
        <v>48171.30326491384</v>
      </c>
    </row>
    <row r="62" spans="1:86" x14ac:dyDescent="0.25">
      <c r="A62" s="1"/>
      <c r="B62" s="27"/>
      <c r="C62" s="27"/>
      <c r="D62" s="27"/>
      <c r="E62" s="27"/>
      <c r="F62" s="27"/>
      <c r="G62" s="27"/>
      <c r="H62" s="27"/>
      <c r="I62" s="16"/>
      <c r="J62" s="1"/>
      <c r="K62" s="1"/>
      <c r="L62" s="1"/>
      <c r="M62" s="1"/>
      <c r="N62" s="1"/>
      <c r="O62" s="1"/>
      <c r="P62" s="1"/>
      <c r="Q62" s="1"/>
      <c r="R62" s="1"/>
    </row>
    <row r="63" spans="1:86" x14ac:dyDescent="0.25">
      <c r="A63" s="1"/>
      <c r="B63" s="1" t="s">
        <v>29</v>
      </c>
      <c r="C63" s="28">
        <f>(R60*(1+$E$6))/($E$5-$E$6)</f>
        <v>1791596.355847032</v>
      </c>
      <c r="D63" s="1"/>
      <c r="E63" s="1" t="s">
        <v>30</v>
      </c>
      <c r="F63" s="19">
        <f>NPV($E$5,I58:CH58)</f>
        <v>1129867.8246856509</v>
      </c>
      <c r="G63" s="1"/>
      <c r="H63" s="1"/>
      <c r="I63" s="16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31</v>
      </c>
      <c r="C64" s="29">
        <f>C63/((1+$E$5)^$R$9)</f>
        <v>657047.47232001019</v>
      </c>
      <c r="D64" s="17"/>
      <c r="E64" s="3"/>
      <c r="F64" s="3"/>
      <c r="G64" s="3"/>
      <c r="H64" s="17"/>
      <c r="I64" s="13"/>
      <c r="J64" s="1"/>
      <c r="L64" s="55" t="s">
        <v>52</v>
      </c>
      <c r="M64" s="56"/>
      <c r="N64" s="56"/>
      <c r="O64" s="56"/>
      <c r="P64" s="56"/>
      <c r="Q64" s="55"/>
    </row>
    <row r="65" spans="1:17" x14ac:dyDescent="0.25">
      <c r="A65" s="1"/>
      <c r="B65" s="6" t="s">
        <v>32</v>
      </c>
      <c r="C65" s="6"/>
      <c r="D65" s="1"/>
      <c r="E65" s="6"/>
      <c r="F65" s="6"/>
      <c r="G65" s="30" t="s">
        <v>33</v>
      </c>
      <c r="H65" s="30" t="s">
        <v>30</v>
      </c>
      <c r="I65" s="16"/>
      <c r="J65" s="1"/>
      <c r="K65" s="55"/>
      <c r="L65" s="57">
        <f>D71</f>
        <v>103.06653632669165</v>
      </c>
      <c r="M65" s="58">
        <v>-0.01</v>
      </c>
      <c r="N65" s="58">
        <v>0.01</v>
      </c>
      <c r="O65" s="58">
        <v>0.03</v>
      </c>
      <c r="P65" s="58">
        <v>0.04</v>
      </c>
      <c r="Q65" s="58">
        <v>0.05</v>
      </c>
    </row>
    <row r="66" spans="1:17" x14ac:dyDescent="0.25">
      <c r="A66" s="1"/>
      <c r="B66" s="31" t="s">
        <v>34</v>
      </c>
      <c r="C66" s="1"/>
      <c r="D66" s="39">
        <f>49343+15062</f>
        <v>64405</v>
      </c>
      <c r="E66" s="1"/>
      <c r="F66" s="1"/>
      <c r="G66" s="28">
        <f>C64+SUM(I61:R61)</f>
        <v>1035507.0780589058</v>
      </c>
      <c r="H66" s="19">
        <f>F63</f>
        <v>1129867.8246856509</v>
      </c>
      <c r="I66" s="16"/>
      <c r="J66" s="1"/>
      <c r="K66" s="55"/>
      <c r="L66" s="59">
        <f>L67-2%</f>
        <v>6.5514242810595466E-2</v>
      </c>
      <c r="M66" s="60">
        <f t="dataTable" ref="M66:Q70" dt2D="1" dtr="1" r1="E6" r2="E5"/>
        <v>139.38517208644032</v>
      </c>
      <c r="N66" s="60">
        <v>174.44917993254273</v>
      </c>
      <c r="O66" s="60">
        <v>242.93954629058325</v>
      </c>
      <c r="P66" s="60">
        <v>308.56132146074287</v>
      </c>
      <c r="Q66" s="60">
        <v>436.63128524809912</v>
      </c>
    </row>
    <row r="67" spans="1:17" x14ac:dyDescent="0.25">
      <c r="A67" s="1"/>
      <c r="B67" s="32" t="s">
        <v>35</v>
      </c>
      <c r="C67" s="3"/>
      <c r="D67" s="33">
        <f>66382+14281</f>
        <v>80663</v>
      </c>
      <c r="E67" s="3"/>
      <c r="F67" s="3"/>
      <c r="G67" s="3"/>
      <c r="H67" s="3"/>
      <c r="I67" s="16"/>
      <c r="J67" s="1"/>
      <c r="K67" s="56"/>
      <c r="L67" s="59">
        <f>L68-2%</f>
        <v>8.551424281059547E-2</v>
      </c>
      <c r="M67" s="60">
        <v>101.91420300060589</v>
      </c>
      <c r="N67" s="61">
        <v>119.63386417235762</v>
      </c>
      <c r="O67" s="61">
        <v>149.2112829470228</v>
      </c>
      <c r="P67" s="61">
        <v>172.57943009204195</v>
      </c>
      <c r="Q67" s="60">
        <v>206.83914964441539</v>
      </c>
    </row>
    <row r="68" spans="1:17" x14ac:dyDescent="0.25">
      <c r="A68" s="1"/>
      <c r="B68" s="6" t="s">
        <v>36</v>
      </c>
      <c r="C68" s="6"/>
      <c r="D68" s="6"/>
      <c r="E68" s="6"/>
      <c r="F68" s="6"/>
      <c r="G68" s="34">
        <f>(G66+D66-D67)</f>
        <v>1019249.0780589059</v>
      </c>
      <c r="H68" s="35">
        <f>(H66+D66-D67)</f>
        <v>1113609.8246856509</v>
      </c>
      <c r="I68" s="16"/>
      <c r="J68"/>
      <c r="K68" s="55" t="s">
        <v>1</v>
      </c>
      <c r="L68" s="62">
        <v>0.10551424281059547</v>
      </c>
      <c r="M68" s="60">
        <v>78.129982017612519</v>
      </c>
      <c r="N68" s="61">
        <v>88.051148419558004</v>
      </c>
      <c r="O68" s="63">
        <v>103.06653632669165</v>
      </c>
      <c r="P68" s="61">
        <v>113.81672258709895</v>
      </c>
      <c r="Q68" s="60">
        <v>128.09051362619249</v>
      </c>
    </row>
    <row r="69" spans="1:17" x14ac:dyDescent="0.25">
      <c r="A69" s="1"/>
      <c r="B69" s="3" t="s">
        <v>37</v>
      </c>
      <c r="C69" s="3"/>
      <c r="D69" s="39">
        <v>10347</v>
      </c>
      <c r="E69" s="3"/>
      <c r="F69" s="3"/>
      <c r="G69" s="3"/>
      <c r="H69" s="3"/>
      <c r="I69" s="16"/>
      <c r="J69" s="1"/>
      <c r="K69" s="55"/>
      <c r="L69" s="64">
        <f>L68+2%</f>
        <v>0.12551424281059548</v>
      </c>
      <c r="M69" s="60">
        <v>61.949750970896574</v>
      </c>
      <c r="N69" s="61">
        <v>67.919312688805277</v>
      </c>
      <c r="O69" s="61">
        <v>76.357398841393149</v>
      </c>
      <c r="P69" s="61">
        <v>82.01959047041899</v>
      </c>
      <c r="Q69" s="60">
        <v>89.117991440355041</v>
      </c>
    </row>
    <row r="70" spans="1:17" x14ac:dyDescent="0.25">
      <c r="A70" s="1"/>
      <c r="B70" s="18" t="s">
        <v>38</v>
      </c>
      <c r="C70" s="18"/>
      <c r="D70" s="18">
        <f>D69*$J$5</f>
        <v>1150586.4000000001</v>
      </c>
      <c r="E70" s="18"/>
      <c r="F70" s="18"/>
      <c r="G70" s="18"/>
      <c r="H70" s="36"/>
      <c r="I70" s="1"/>
      <c r="J70" s="1"/>
      <c r="K70" s="55"/>
      <c r="L70" s="64">
        <f>L69+2%</f>
        <v>0.14551424281059547</v>
      </c>
      <c r="M70" s="60">
        <v>50.378707278696702</v>
      </c>
      <c r="N70" s="60">
        <v>54.16684467178348</v>
      </c>
      <c r="O70" s="60">
        <v>59.260148364549977</v>
      </c>
      <c r="P70" s="60">
        <v>62.523284373560472</v>
      </c>
      <c r="Q70" s="60">
        <v>66.45700464859712</v>
      </c>
    </row>
    <row r="71" spans="1:17" x14ac:dyDescent="0.25">
      <c r="A71" s="1"/>
      <c r="B71" s="6" t="s">
        <v>39</v>
      </c>
      <c r="C71" s="6" t="s">
        <v>40</v>
      </c>
      <c r="D71" s="37">
        <f>(G71+H71)/2</f>
        <v>103.06653632669165</v>
      </c>
      <c r="F71" s="6"/>
      <c r="G71" s="37">
        <f>G68/D69</f>
        <v>98.506724466889523</v>
      </c>
      <c r="H71" s="37">
        <f>H68/D69</f>
        <v>107.62634818649376</v>
      </c>
      <c r="I71" s="16"/>
      <c r="J71" s="1"/>
    </row>
    <row r="72" spans="1:17" x14ac:dyDescent="0.25">
      <c r="A72"/>
      <c r="C72" s="1"/>
      <c r="D72" s="1"/>
    </row>
  </sheetData>
  <sortState xmlns:xlrd2="http://schemas.microsoft.com/office/spreadsheetml/2017/richdata2" columnSort="1" ref="C10:H61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D9" sqref="D9"/>
    </sheetView>
  </sheetViews>
  <sheetFormatPr defaultRowHeight="15" x14ac:dyDescent="0.25"/>
  <cols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42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5">
        <f>AMZN!I44</f>
        <v>0.2114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6">
        <v>1.26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5">
        <f>AMZN!D70</f>
        <v>1150586.4000000001</v>
      </c>
      <c r="D12" s="2"/>
      <c r="E12" s="2" t="s">
        <v>35</v>
      </c>
      <c r="F12" s="2"/>
      <c r="G12" s="25">
        <f>AMZN!D67</f>
        <v>80663</v>
      </c>
      <c r="H12" s="2"/>
      <c r="I12" s="2" t="s">
        <v>47</v>
      </c>
      <c r="J12" s="2"/>
      <c r="K12" s="25">
        <f>G12+C12</f>
        <v>1231249.4000000001</v>
      </c>
      <c r="L12" s="2"/>
    </row>
    <row r="13" spans="1:14" x14ac:dyDescent="0.25">
      <c r="A13" s="2" t="s">
        <v>48</v>
      </c>
      <c r="B13" s="2"/>
      <c r="C13" s="47">
        <f>C12/K12</f>
        <v>0.93448687162812016</v>
      </c>
      <c r="D13" s="2"/>
      <c r="E13" s="2" t="s">
        <v>49</v>
      </c>
      <c r="F13" s="2"/>
      <c r="G13" s="48">
        <f>G12/K12</f>
        <v>6.5513128371879809E-2</v>
      </c>
      <c r="H13" s="2"/>
      <c r="I13" s="2"/>
      <c r="J13" s="2"/>
      <c r="K13" s="2"/>
      <c r="L13" s="2"/>
      <c r="M13" s="39"/>
    </row>
    <row r="14" spans="1:14" x14ac:dyDescent="0.25">
      <c r="A14" s="2" t="s">
        <v>50</v>
      </c>
      <c r="B14" s="2"/>
      <c r="C14" s="49">
        <f>D7+D8*(D9)</f>
        <v>0.11069999999999999</v>
      </c>
      <c r="D14" s="2"/>
      <c r="E14" s="2" t="s">
        <v>51</v>
      </c>
      <c r="F14" s="2"/>
      <c r="G14" s="50">
        <v>0.04</v>
      </c>
      <c r="H14" s="2"/>
      <c r="I14" s="51" t="s">
        <v>1</v>
      </c>
      <c r="J14" s="52"/>
      <c r="K14" s="78">
        <f>C13*C14+G14*G13*(1-D6)</f>
        <v>0.10551424281059547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AMZN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2023-05-16T09:46:29Z</dcterms:modified>
</cp:coreProperties>
</file>