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0BA6F89A-CE1F-4C6D-91CA-FA7CB37A810D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CHDN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9" i="1" l="1"/>
  <c r="L63" i="1"/>
  <c r="L62" i="1"/>
  <c r="K12" i="1"/>
  <c r="I49" i="1"/>
  <c r="J49" i="1"/>
  <c r="K49" i="1"/>
  <c r="C49" i="1"/>
  <c r="D49" i="1"/>
  <c r="E49" i="1"/>
  <c r="F49" i="1"/>
  <c r="G49" i="1"/>
  <c r="H49" i="1"/>
  <c r="L17" i="1"/>
  <c r="M17" i="1"/>
  <c r="N17" i="1" s="1"/>
  <c r="O17" i="1" s="1"/>
  <c r="P17" i="1" s="1"/>
  <c r="Q17" i="1" s="1"/>
  <c r="R17" i="1" s="1"/>
  <c r="K17" i="1"/>
  <c r="P44" i="1"/>
  <c r="Q44" i="1"/>
  <c r="R44" i="1" s="1"/>
  <c r="O44" i="1"/>
  <c r="M44" i="1"/>
  <c r="N44" i="1"/>
  <c r="L44" i="1"/>
  <c r="D62" i="1"/>
  <c r="D60" i="1"/>
  <c r="G12" i="2" s="1"/>
  <c r="D59" i="1"/>
  <c r="I44" i="1"/>
  <c r="J44" i="1"/>
  <c r="K44" i="1"/>
  <c r="M41" i="1"/>
  <c r="N41" i="1"/>
  <c r="O41" i="1" s="1"/>
  <c r="P41" i="1" s="1"/>
  <c r="Q41" i="1" s="1"/>
  <c r="R41" i="1" s="1"/>
  <c r="L41" i="1"/>
  <c r="I41" i="1"/>
  <c r="J22" i="1"/>
  <c r="K22" i="1"/>
  <c r="I22" i="1"/>
  <c r="I12" i="1"/>
  <c r="G46" i="1"/>
  <c r="H46" i="1"/>
  <c r="F46" i="1"/>
  <c r="G43" i="1"/>
  <c r="H43" i="1"/>
  <c r="F43" i="1"/>
  <c r="G40" i="1"/>
  <c r="H40" i="1"/>
  <c r="F40" i="1"/>
  <c r="D43" i="1"/>
  <c r="C43" i="1"/>
  <c r="F51" i="1"/>
  <c r="G51" i="1"/>
  <c r="H51" i="1"/>
  <c r="F50" i="1"/>
  <c r="G36" i="1"/>
  <c r="H36" i="1"/>
  <c r="F36" i="1"/>
  <c r="G28" i="1"/>
  <c r="H28" i="1"/>
  <c r="F28" i="1"/>
  <c r="G22" i="1"/>
  <c r="H22" i="1"/>
  <c r="F22" i="1"/>
  <c r="G19" i="1"/>
  <c r="H19" i="1"/>
  <c r="F19" i="1"/>
  <c r="G14" i="1"/>
  <c r="H14" i="1"/>
  <c r="F14" i="1"/>
  <c r="G11" i="1"/>
  <c r="H11" i="1"/>
  <c r="F11" i="1"/>
  <c r="E50" i="1"/>
  <c r="D51" i="1"/>
  <c r="E51" i="1"/>
  <c r="C51" i="1"/>
  <c r="C31" i="1"/>
  <c r="C27" i="1"/>
  <c r="C25" i="1"/>
  <c r="C22" i="1"/>
  <c r="E14" i="1"/>
  <c r="D14" i="1"/>
  <c r="D16" i="1" s="1"/>
  <c r="C14" i="1"/>
  <c r="C16" i="1" s="1"/>
  <c r="G25" i="1"/>
  <c r="D25" i="1"/>
  <c r="E25" i="1"/>
  <c r="L60" i="1"/>
  <c r="D63" i="1"/>
  <c r="C12" i="2" s="1"/>
  <c r="C14" i="2"/>
  <c r="J9" i="1"/>
  <c r="K9" i="1" s="1"/>
  <c r="L9" i="1" s="1"/>
  <c r="M9" i="1" s="1"/>
  <c r="N9" i="1" s="1"/>
  <c r="O9" i="1" s="1"/>
  <c r="P9" i="1" s="1"/>
  <c r="Q9" i="1" s="1"/>
  <c r="R9" i="1" s="1"/>
  <c r="C33" i="1" l="1"/>
  <c r="C53" i="1" s="1"/>
  <c r="D27" i="1"/>
  <c r="D31" i="1" s="1"/>
  <c r="E23" i="1"/>
  <c r="E20" i="1"/>
  <c r="F16" i="1"/>
  <c r="G16" i="1"/>
  <c r="G27" i="1" s="1"/>
  <c r="C23" i="1"/>
  <c r="D23" i="1"/>
  <c r="H25" i="1"/>
  <c r="F25" i="1"/>
  <c r="F27" i="1" s="1"/>
  <c r="F31" i="1" s="1"/>
  <c r="G23" i="1"/>
  <c r="H23" i="1"/>
  <c r="F23" i="1"/>
  <c r="C41" i="1"/>
  <c r="E16" i="1"/>
  <c r="E27" i="1" s="1"/>
  <c r="E31" i="1" s="1"/>
  <c r="H16" i="1"/>
  <c r="E41" i="1"/>
  <c r="D47" i="1"/>
  <c r="F12" i="1"/>
  <c r="F20" i="1"/>
  <c r="C29" i="1"/>
  <c r="D29" i="1"/>
  <c r="H29" i="1"/>
  <c r="E29" i="1"/>
  <c r="F29" i="1"/>
  <c r="G29" i="1"/>
  <c r="I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I14" i="1" s="1"/>
  <c r="D17" i="1"/>
  <c r="F17" i="1"/>
  <c r="C17" i="1"/>
  <c r="H20" i="1"/>
  <c r="H41" i="1"/>
  <c r="C44" i="1"/>
  <c r="H44" i="1"/>
  <c r="H47" i="1"/>
  <c r="E12" i="1"/>
  <c r="E44" i="1"/>
  <c r="K12" i="2"/>
  <c r="G13" i="2" s="1"/>
  <c r="H27" i="1" l="1"/>
  <c r="H33" i="1" s="1"/>
  <c r="G17" i="1"/>
  <c r="G31" i="1"/>
  <c r="G33" i="1"/>
  <c r="G53" i="1" s="1"/>
  <c r="H31" i="1"/>
  <c r="E17" i="1"/>
  <c r="E33" i="1"/>
  <c r="H17" i="1"/>
  <c r="C13" i="2"/>
  <c r="K14" i="2" s="1"/>
  <c r="E5" i="1" s="1"/>
  <c r="F33" i="1"/>
  <c r="D33" i="1"/>
  <c r="G34" i="1" l="1"/>
  <c r="G37" i="1"/>
  <c r="H53" i="1"/>
  <c r="E53" i="1"/>
  <c r="E34" i="1"/>
  <c r="E37" i="1"/>
  <c r="H34" i="1"/>
  <c r="F37" i="1"/>
  <c r="F53" i="1"/>
  <c r="D53" i="1"/>
  <c r="D34" i="1"/>
  <c r="D37" i="1"/>
  <c r="F34" i="1"/>
  <c r="H37" i="1"/>
  <c r="C37" i="1" l="1"/>
  <c r="C34" i="1"/>
  <c r="I46" i="1"/>
  <c r="I19" i="1" l="1"/>
  <c r="I25" i="1" l="1"/>
  <c r="I27" i="1" s="1"/>
  <c r="I31" i="1" s="1"/>
  <c r="I33" i="1" l="1"/>
  <c r="I34" i="1" l="1"/>
  <c r="I36" i="1"/>
  <c r="I51" i="1" s="1"/>
  <c r="I53" i="1" l="1"/>
  <c r="I54" i="1" s="1"/>
  <c r="J19" i="1" l="1"/>
  <c r="J25" i="1" s="1"/>
  <c r="J27" i="1" s="1"/>
  <c r="J33" i="1" s="1"/>
  <c r="J28" i="1"/>
  <c r="J46" i="1"/>
  <c r="J16" i="1"/>
  <c r="J14" i="1" s="1"/>
  <c r="J12" i="1"/>
  <c r="J36" i="1" l="1"/>
  <c r="J34" i="1"/>
  <c r="J31" i="1"/>
  <c r="J51" i="1" s="1"/>
  <c r="K19" i="1" l="1"/>
  <c r="K25" i="1" s="1"/>
  <c r="K46" i="1"/>
  <c r="K28" i="1"/>
  <c r="K16" i="1"/>
  <c r="K14" i="1" s="1"/>
  <c r="K27" i="1" l="1"/>
  <c r="K33" i="1" s="1"/>
  <c r="K36" i="1" s="1"/>
  <c r="K34" i="1" l="1"/>
  <c r="K31" i="1"/>
  <c r="K51" i="1" s="1"/>
  <c r="L11" i="1"/>
  <c r="L43" i="1" s="1"/>
  <c r="L16" i="1" l="1"/>
  <c r="L19" i="1"/>
  <c r="L22" i="1"/>
  <c r="L46" i="1"/>
  <c r="L14" i="1"/>
  <c r="L28" i="1"/>
  <c r="L25" i="1" l="1"/>
  <c r="L27" i="1" s="1"/>
  <c r="L33" i="1" s="1"/>
  <c r="L34" i="1" s="1"/>
  <c r="M11" i="1"/>
  <c r="M22" i="1" s="1"/>
  <c r="L31" i="1" l="1"/>
  <c r="L36" i="1"/>
  <c r="L49" i="1" s="1"/>
  <c r="M28" i="1"/>
  <c r="M46" i="1"/>
  <c r="M19" i="1"/>
  <c r="M25" i="1" s="1"/>
  <c r="M43" i="1"/>
  <c r="M16" i="1"/>
  <c r="M14" i="1" s="1"/>
  <c r="N11" i="1"/>
  <c r="N22" i="1" s="1"/>
  <c r="L51" i="1" l="1"/>
  <c r="M27" i="1"/>
  <c r="M33" i="1" s="1"/>
  <c r="N46" i="1"/>
  <c r="N43" i="1"/>
  <c r="N16" i="1"/>
  <c r="N14" i="1" s="1"/>
  <c r="N28" i="1"/>
  <c r="O11" i="1"/>
  <c r="O22" i="1" s="1"/>
  <c r="N19" i="1"/>
  <c r="N25" i="1" s="1"/>
  <c r="M31" i="1" l="1"/>
  <c r="M36" i="1"/>
  <c r="M49" i="1" s="1"/>
  <c r="M34" i="1"/>
  <c r="O46" i="1"/>
  <c r="O43" i="1"/>
  <c r="O28" i="1"/>
  <c r="O16" i="1"/>
  <c r="P11" i="1"/>
  <c r="P22" i="1" s="1"/>
  <c r="O19" i="1"/>
  <c r="O25" i="1" s="1"/>
  <c r="N27" i="1"/>
  <c r="M51" i="1" l="1"/>
  <c r="O27" i="1"/>
  <c r="N33" i="1"/>
  <c r="N31" i="1"/>
  <c r="P16" i="1"/>
  <c r="P28" i="1"/>
  <c r="P43" i="1"/>
  <c r="P19" i="1"/>
  <c r="P25" i="1" s="1"/>
  <c r="P46" i="1"/>
  <c r="Q11" i="1"/>
  <c r="Q22" i="1" s="1"/>
  <c r="O14" i="1"/>
  <c r="P27" i="1" l="1"/>
  <c r="N34" i="1"/>
  <c r="N36" i="1"/>
  <c r="N49" i="1" s="1"/>
  <c r="Q19" i="1"/>
  <c r="Q25" i="1" s="1"/>
  <c r="Q16" i="1"/>
  <c r="R11" i="1"/>
  <c r="R22" i="1" s="1"/>
  <c r="Q28" i="1"/>
  <c r="Q43" i="1"/>
  <c r="Q46" i="1"/>
  <c r="P14" i="1"/>
  <c r="O31" i="1"/>
  <c r="O33" i="1"/>
  <c r="N51" i="1" l="1"/>
  <c r="Q27" i="1"/>
  <c r="Q31" i="1" s="1"/>
  <c r="O34" i="1"/>
  <c r="O36" i="1"/>
  <c r="O49" i="1" s="1"/>
  <c r="Q14" i="1"/>
  <c r="R19" i="1"/>
  <c r="R25" i="1" s="1"/>
  <c r="R43" i="1"/>
  <c r="R46" i="1"/>
  <c r="R28" i="1"/>
  <c r="R16" i="1"/>
  <c r="P31" i="1"/>
  <c r="P33" i="1"/>
  <c r="R27" i="1" l="1"/>
  <c r="R33" i="1" s="1"/>
  <c r="R14" i="1"/>
  <c r="Q33" i="1"/>
  <c r="O51" i="1"/>
  <c r="P34" i="1"/>
  <c r="P36" i="1"/>
  <c r="P49" i="1" s="1"/>
  <c r="R31" i="1"/>
  <c r="Q34" i="1" l="1"/>
  <c r="Q36" i="1"/>
  <c r="Q51" i="1" s="1"/>
  <c r="P51" i="1"/>
  <c r="R36" i="1"/>
  <c r="R51" i="1" s="1"/>
  <c r="R34" i="1"/>
  <c r="Q49" i="1" l="1"/>
  <c r="R49" i="1"/>
  <c r="S51" i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F56" i="1" s="1"/>
  <c r="H59" i="1" s="1"/>
  <c r="H61" i="1" s="1"/>
  <c r="H64" i="1" s="1"/>
  <c r="J41" i="1"/>
  <c r="J53" i="1"/>
  <c r="J54" i="1" s="1"/>
  <c r="K41" i="1"/>
  <c r="K53" i="1"/>
  <c r="K54" i="1" s="1"/>
  <c r="L40" i="1"/>
  <c r="L53" i="1" s="1"/>
  <c r="L54" i="1" s="1"/>
  <c r="M40" i="1"/>
  <c r="M53" i="1" s="1"/>
  <c r="M54" i="1" s="1"/>
  <c r="O40" i="1"/>
  <c r="O53" i="1" s="1"/>
  <c r="O54" i="1" s="1"/>
  <c r="Q40" i="1"/>
  <c r="Q53" i="1" s="1"/>
  <c r="Q54" i="1" s="1"/>
  <c r="R40" i="1"/>
  <c r="N40" i="1"/>
  <c r="N53" i="1" s="1"/>
  <c r="N54" i="1" s="1"/>
  <c r="P40" i="1"/>
  <c r="P53" i="1" s="1"/>
  <c r="P54" i="1" s="1"/>
  <c r="R53" i="1" l="1"/>
  <c r="C56" i="1" s="1"/>
  <c r="C57" i="1" s="1"/>
  <c r="R54" i="1" l="1"/>
  <c r="G59" i="1" s="1"/>
  <c r="G61" i="1" s="1"/>
  <c r="G64" i="1" s="1"/>
  <c r="E64" i="1" s="1"/>
  <c r="L58" i="1" s="1"/>
  <c r="J6" i="1" l="1"/>
  <c r="N5" i="1" s="1"/>
</calcChain>
</file>

<file path=xl/sharedStrings.xml><?xml version="1.0" encoding="utf-8"?>
<sst xmlns="http://schemas.openxmlformats.org/spreadsheetml/2006/main" count="183" uniqueCount="134">
  <si>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</si>
  <si>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</si>
  <si>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</si>
  <si>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</si>
  <si>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</si>
  <si>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</si>
  <si>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</si>
  <si>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</si>
  <si>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</si>
  <si>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</si>
  <si>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</si>
  <si>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</si>
  <si>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</si>
  <si>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</si>
  <si>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</si>
  <si>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</si>
  <si>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</si>
  <si>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</si>
  <si>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</si>
  <si>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</si>
  <si>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</si>
  <si>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</si>
  <si>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</si>
  <si>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</si>
  <si>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</si>
  <si>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</si>
  <si>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</si>
  <si>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</si>
  <si>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</si>
  <si>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</si>
  <si>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</si>
  <si>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</si>
  <si>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</si>
  <si>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</si>
  <si>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</si>
  <si>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</si>
  <si>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</si>
  <si>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</si>
  <si>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</si>
  <si>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</si>
  <si>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</si>
  <si>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</si>
  <si>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</si>
  <si>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</si>
  <si>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</si>
  <si>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</si>
  <si>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</si>
  <si>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</si>
  <si>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</si>
  <si>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</si>
  <si>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</si>
  <si>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</si>
  <si>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Net income (loss)</t>
  </si>
  <si>
    <t>CONSOLIDATED STATEMENTS OF CASH FLOWS</t>
  </si>
  <si>
    <t>Deferred income taxes</t>
  </si>
  <si>
    <t>Other income</t>
  </si>
  <si>
    <t>Terminal Growth Rate</t>
  </si>
  <si>
    <t>2022</t>
  </si>
  <si>
    <t>2021</t>
  </si>
  <si>
    <t>2020</t>
  </si>
  <si>
    <t>Selling, general and administrative expense</t>
  </si>
  <si>
    <t>—</t>
  </si>
  <si>
    <t>Net cash used in investing activities</t>
  </si>
  <si>
    <t>Cash, cash equivalents and restricted cash, beginning of year</t>
  </si>
  <si>
    <t>Cash, cash equivalents and restricted cash, end of year</t>
  </si>
  <si>
    <t>$—</t>
  </si>
  <si>
    <t>Debt issuance costs</t>
  </si>
  <si>
    <t>Net cash provided by (used in) financing activities</t>
  </si>
  <si>
    <t xml:space="preserve">Other </t>
  </si>
  <si>
    <t>CONSOLIDATED STATEMENTS OF COMPREHENSIVE INCOME (LOSS)</t>
  </si>
  <si>
    <t>(in millions, except per common share data)</t>
  </si>
  <si>
    <t>Net revenue:</t>
  </si>
  <si>
    <t>Live and Historical Racing</t>
  </si>
  <si>
    <t>TwinSpires</t>
  </si>
  <si>
    <t>Gaming</t>
  </si>
  <si>
    <t>All Other</t>
  </si>
  <si>
    <t>Total net revenue</t>
  </si>
  <si>
    <t>Operating expense:</t>
  </si>
  <si>
    <t>Asset impairments</t>
  </si>
  <si>
    <t>Transaction expense</t>
  </si>
  <si>
    <t>Total operating expense</t>
  </si>
  <si>
    <t>Other income (expense):</t>
  </si>
  <si>
    <t>Interest expense, net</t>
  </si>
  <si>
    <t>Equity in income of unconsolidated affiliates</t>
  </si>
  <si>
    <t>Gain on Calder land sale</t>
  </si>
  <si>
    <t>Miscellaneous, net</t>
  </si>
  <si>
    <t>Total other income (expense)</t>
  </si>
  <si>
    <t>Income from continuing operations before provision for income taxes</t>
  </si>
  <si>
    <t>Income tax (provision) benefit</t>
  </si>
  <si>
    <t>Income from continued operations, net of tax</t>
  </si>
  <si>
    <t>Loss from discontinued operations, net of tax</t>
  </si>
  <si>
    <t>Net loss attributable to noncontrolling interest</t>
  </si>
  <si>
    <t>Net income (loss) and comprehensive income (loss) attributable to Churchill Downs Incorporated</t>
  </si>
  <si>
    <t>Net income (loss) per common share data - basic:</t>
  </si>
  <si>
    <t>Continuing operations</t>
  </si>
  <si>
    <t>Discontinued operations</t>
  </si>
  <si>
    <t>Net income (loss) per common share - basic</t>
  </si>
  <si>
    <t>Net income (loss) per common share data - diluted:</t>
  </si>
  <si>
    <t>Net income (loss) per common share - diluted</t>
  </si>
  <si>
    <t>Weighted average shares outstanding:</t>
  </si>
  <si>
    <t>Basic</t>
  </si>
  <si>
    <t>Diluted</t>
  </si>
  <si>
    <t>(in millions)</t>
  </si>
  <si>
    <t>Cash flows from operating activities:</t>
  </si>
  <si>
    <t>Income from continuing operations, net of tax</t>
  </si>
  <si>
    <t>Adjustments to reconcile net income (loss) to net cash provided by operating activities:</t>
  </si>
  <si>
    <t>Distributions from unconsolidated affiliates</t>
  </si>
  <si>
    <t>Stock-based compensation</t>
  </si>
  <si>
    <t>Amortization of operating lease assets</t>
  </si>
  <si>
    <t>Other</t>
  </si>
  <si>
    <t>Changes in operating assets and liabilities, net of businesses acquired and dispositions:</t>
  </si>
  <si>
    <t>Income taxes</t>
  </si>
  <si>
    <t>Deferred revenue</t>
  </si>
  <si>
    <t>Other assets and liabilities</t>
  </si>
  <si>
    <t>Net cash provided by operating activities</t>
  </si>
  <si>
    <t>Cash flows from investing activities:</t>
  </si>
  <si>
    <t>Capital maintenance expenditures</t>
  </si>
  <si>
    <t>Capital project expenditures</t>
  </si>
  <si>
    <t>Acquisition of businesses, net of cash acquired</t>
  </si>
  <si>
    <t>Acquisition of gaming rights, net of cash acquired</t>
  </si>
  <si>
    <t>Proceeds from the Calder land sale</t>
  </si>
  <si>
    <t>Cash flows from financing activities:</t>
  </si>
  <si>
    <t>Proceeds from borrowings under long-term debt obligations</t>
  </si>
  <si>
    <t>Repayments of  borrowings under long-term debt obligations</t>
  </si>
  <si>
    <t>Payment of dividends</t>
  </si>
  <si>
    <t>Repurchase of common stock</t>
  </si>
  <si>
    <t>Cash settlement of stock awards</t>
  </si>
  <si>
    <t>Taxes paid related to net share settlement of stock awards</t>
  </si>
  <si>
    <t>Change in bank overdraft</t>
  </si>
  <si>
    <t>Cash flows from discontinued operations:</t>
  </si>
  <si>
    <t>Operating cash flows of discontinued operations</t>
  </si>
  <si>
    <t>Net (decrease) increase in cash, cash equivalents and restricted cash</t>
  </si>
  <si>
    <t>Churchill Downs Inc. DCF</t>
  </si>
  <si>
    <t>Update: 30/06/2023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</si>
</sst>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  <numFmt numFmtId="168" formatCode="&quot;($&quot;#,##0.00_);[Red]&quot;($&quot;#,##0.00\)"/>
    <numFmt numFmtId="169" formatCode="\(#,##0.00_);[Red]\(#,##0.0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166" fontId="0" fillId="0" borderId="0" xfId="0" applyNumberFormat="1"/>
    <xf numFmtId="165" fontId="0" fillId="0" borderId="0" xfId="0" applyNumberFormat="1"/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10" fillId="0" borderId="0" xfId="0" applyFont="1"/>
    <xf numFmtId="4" fontId="10" fillId="0" borderId="0" xfId="0" applyNumberFormat="1" applyFont="1"/>
    <xf numFmtId="168" fontId="10" fillId="0" borderId="0" xfId="0" applyNumberFormat="1" applyFont="1"/>
    <xf numFmtId="167" fontId="10" fillId="0" borderId="0" xfId="0" applyNumberFormat="1" applyFont="1"/>
    <xf numFmtId="169" fontId="10" fillId="0" borderId="0" xfId="0" applyNumberFormat="1" applyFont="1"/>
    <xf numFmtId="10" fontId="3" fillId="2" borderId="0" xfId="0" applyNumberFormat="1" applyFont="1" applyFill="1"/>
    <xf numFmtId="164" fontId="7" fillId="11" borderId="0" xfId="0" applyNumberFormat="1" applyFont="1" applyFill="1"/>
    <xf numFmtId="0" fontId="3" fillId="9" borderId="0" xfId="0" applyFont="1" applyFill="1" applyAlignment="1">
      <alignment horizontal="center"/>
    </xf>
    <xf numFmtId="0" fontId="10" fillId="0" borderId="0" xfId="0" applyFont="1"/>
    <xf numFmtId="0" fontId="0" fillId="0" borderId="0" xfId="0"/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E11" sqref="E11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132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</f>
        <v>0.10221604341431378</v>
      </c>
      <c r="F5" s="2"/>
      <c r="G5" s="1"/>
      <c r="H5" s="1" t="s">
        <v>2</v>
      </c>
      <c r="I5" s="1"/>
      <c r="J5" s="7">
        <v>139.94999999999999</v>
      </c>
      <c r="K5" s="1"/>
      <c r="L5" s="1" t="s">
        <v>3</v>
      </c>
      <c r="M5" s="1"/>
      <c r="N5" s="7">
        <f>(J6/J5)-1</f>
        <v>-1.1471896532210701E-2</v>
      </c>
      <c r="O5" s="1"/>
      <c r="P5" s="1" t="s">
        <v>133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59">
        <f>E64</f>
        <v>138.3445080803171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0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5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2" customFormat="1" x14ac:dyDescent="0.25">
      <c r="A11" s="1"/>
      <c r="B11" s="1" t="s">
        <v>7</v>
      </c>
      <c r="C11" s="11">
        <v>882.6</v>
      </c>
      <c r="D11" s="11">
        <v>1009</v>
      </c>
      <c r="E11" s="11">
        <v>1329.7</v>
      </c>
      <c r="F11" s="11">
        <f>'Raw IS'!D10</f>
        <v>1054</v>
      </c>
      <c r="G11" s="11">
        <f>'Raw IS'!E10</f>
        <v>1597.2</v>
      </c>
      <c r="H11" s="11">
        <f>'Raw IS'!F10</f>
        <v>1809.8</v>
      </c>
      <c r="I11" s="20">
        <v>2540</v>
      </c>
      <c r="J11" s="18">
        <v>3010</v>
      </c>
      <c r="K11" s="18">
        <v>3230</v>
      </c>
      <c r="L11" s="18">
        <f t="shared" ref="L11" si="1">K11*(1+L12)</f>
        <v>3465.79</v>
      </c>
      <c r="M11" s="18">
        <f t="shared" ref="M11" si="2">L11*(1+M12)</f>
        <v>3718.7926699999998</v>
      </c>
      <c r="N11" s="18">
        <f t="shared" ref="N11" si="3">M11*(1+N12)</f>
        <v>3990.2645349099998</v>
      </c>
      <c r="O11" s="18">
        <f t="shared" ref="O11" si="4">N11*(1+O12)</f>
        <v>4281.5538459584295</v>
      </c>
      <c r="P11" s="18">
        <f t="shared" ref="P11" si="5">O11*(1+P12)</f>
        <v>4594.1072767133946</v>
      </c>
      <c r="Q11" s="18">
        <f t="shared" ref="Q11" si="6">P11*(1+Q12)</f>
        <v>4929.4771079134725</v>
      </c>
      <c r="R11" s="18">
        <f t="shared" ref="R11" si="7">Q11*(1+R12)</f>
        <v>5289.3289367911557</v>
      </c>
    </row>
    <row r="12" spans="1:18" s="52" customFormat="1" x14ac:dyDescent="0.25">
      <c r="A12" s="1"/>
      <c r="B12" s="73" t="s">
        <v>8</v>
      </c>
      <c r="C12" s="74"/>
      <c r="D12" s="74">
        <f>(D11/C11)-1</f>
        <v>0.14321323362791749</v>
      </c>
      <c r="E12" s="74">
        <f>(E11/D11)-1</f>
        <v>0.31783944499504457</v>
      </c>
      <c r="F12" s="74">
        <f>(F11/E11)-1</f>
        <v>-0.2073400015040987</v>
      </c>
      <c r="G12" s="74">
        <f>(G11/F11)-1</f>
        <v>0.51537001897533208</v>
      </c>
      <c r="H12" s="74">
        <f>(H11/G11)-1</f>
        <v>0.13310793889306272</v>
      </c>
      <c r="I12" s="75">
        <f t="shared" ref="I12:K12" si="8">(I11/H11)-1</f>
        <v>0.40346999668471661</v>
      </c>
      <c r="J12" s="76">
        <f t="shared" si="8"/>
        <v>0.18503937007874005</v>
      </c>
      <c r="K12" s="76">
        <f t="shared" si="8"/>
        <v>7.3089700996677776E-2</v>
      </c>
      <c r="L12" s="76">
        <v>7.2999999999999995E-2</v>
      </c>
      <c r="M12" s="76">
        <v>7.2999999999999995E-2</v>
      </c>
      <c r="N12" s="76">
        <v>7.2999999999999995E-2</v>
      </c>
      <c r="O12" s="76">
        <v>7.2999999999999995E-2</v>
      </c>
      <c r="P12" s="76">
        <v>7.2999999999999995E-2</v>
      </c>
      <c r="Q12" s="76">
        <v>7.2999999999999995E-2</v>
      </c>
      <c r="R12" s="76">
        <v>7.2999999999999995E-2</v>
      </c>
    </row>
    <row r="13" spans="1:18" s="52" customFormat="1" x14ac:dyDescent="0.25">
      <c r="A13" s="1"/>
      <c r="B13" s="6"/>
      <c r="C13" s="1"/>
      <c r="D13" s="1"/>
      <c r="E13" s="1"/>
      <c r="F13" s="1"/>
      <c r="G13" s="1"/>
      <c r="H13" s="1"/>
      <c r="I13" s="84"/>
      <c r="J13" s="90"/>
      <c r="K13" s="90"/>
      <c r="L13" s="90"/>
      <c r="M13" s="90"/>
      <c r="N13" s="90"/>
      <c r="O13" s="90"/>
      <c r="P13" s="90"/>
      <c r="Q13" s="90"/>
      <c r="R13" s="90"/>
    </row>
    <row r="14" spans="1:18" s="52" customFormat="1" x14ac:dyDescent="0.25">
      <c r="A14" s="1"/>
      <c r="B14" s="1" t="s">
        <v>9</v>
      </c>
      <c r="C14" s="11">
        <f>89.5+170.2+293.8+75.9</f>
        <v>629.4</v>
      </c>
      <c r="D14" s="11">
        <f>116.3+196.1+331+75.9</f>
        <v>719.3</v>
      </c>
      <c r="E14" s="11">
        <f>163.8+205.8+528.1+89</f>
        <v>986.7</v>
      </c>
      <c r="F14" s="11">
        <f>SUM('Raw IS'!D12:D15)</f>
        <v>860.5</v>
      </c>
      <c r="G14" s="11">
        <f>SUM('Raw IS'!E12:E15)</f>
        <v>1151.0999999999999</v>
      </c>
      <c r="H14" s="11">
        <f>SUM('Raw IS'!F12:F15)</f>
        <v>1243.4000000000001</v>
      </c>
      <c r="I14" s="70">
        <f>I11-I16</f>
        <v>1546.8600000000001</v>
      </c>
      <c r="J14" s="71">
        <f t="shared" ref="J14:R14" si="9">J11-J16</f>
        <v>1730.75</v>
      </c>
      <c r="K14" s="71">
        <f t="shared" si="9"/>
        <v>1841.1</v>
      </c>
      <c r="L14" s="71">
        <f t="shared" si="9"/>
        <v>1958.1713500000001</v>
      </c>
      <c r="M14" s="71">
        <f t="shared" si="9"/>
        <v>2082.5238952</v>
      </c>
      <c r="N14" s="71">
        <f t="shared" si="9"/>
        <v>2214.5968168750496</v>
      </c>
      <c r="O14" s="71">
        <f t="shared" si="9"/>
        <v>2354.854615277136</v>
      </c>
      <c r="P14" s="71">
        <f t="shared" si="9"/>
        <v>2503.7884658088001</v>
      </c>
      <c r="Q14" s="71">
        <f t="shared" si="9"/>
        <v>2661.9176382732749</v>
      </c>
      <c r="R14" s="71">
        <f t="shared" si="9"/>
        <v>2829.7909811832683</v>
      </c>
    </row>
    <row r="15" spans="1:18" s="52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"/>
      <c r="K15" s="1"/>
      <c r="L15" s="1"/>
      <c r="M15" s="1"/>
      <c r="N15" s="1"/>
      <c r="O15" s="1"/>
      <c r="P15" s="1"/>
      <c r="Q15" s="1"/>
      <c r="R15" s="1"/>
    </row>
    <row r="16" spans="1:18" s="52" customFormat="1" x14ac:dyDescent="0.25">
      <c r="A16" s="1"/>
      <c r="B16" s="1" t="s">
        <v>10</v>
      </c>
      <c r="C16" s="11">
        <f>C11-C14</f>
        <v>253.20000000000005</v>
      </c>
      <c r="D16" s="11">
        <f t="shared" ref="D16:H16" si="10">D11-D14</f>
        <v>289.70000000000005</v>
      </c>
      <c r="E16" s="11">
        <f t="shared" si="10"/>
        <v>343</v>
      </c>
      <c r="F16" s="11">
        <f t="shared" si="10"/>
        <v>193.5</v>
      </c>
      <c r="G16" s="11">
        <f t="shared" si="10"/>
        <v>446.10000000000014</v>
      </c>
      <c r="H16" s="11">
        <f t="shared" si="10"/>
        <v>566.39999999999986</v>
      </c>
      <c r="I16" s="20">
        <f>I11*I17</f>
        <v>993.14</v>
      </c>
      <c r="J16" s="18">
        <f t="shared" ref="J16:R16" si="11">J11*J17</f>
        <v>1279.25</v>
      </c>
      <c r="K16" s="18">
        <f>K11*K17</f>
        <v>1388.9</v>
      </c>
      <c r="L16" s="18">
        <f t="shared" si="11"/>
        <v>1507.6186499999999</v>
      </c>
      <c r="M16" s="18">
        <f t="shared" si="11"/>
        <v>1636.2687747999998</v>
      </c>
      <c r="N16" s="18">
        <f t="shared" si="11"/>
        <v>1775.66771803495</v>
      </c>
      <c r="O16" s="18">
        <f t="shared" si="11"/>
        <v>1926.6992306812933</v>
      </c>
      <c r="P16" s="18">
        <f t="shared" si="11"/>
        <v>2090.3188109045946</v>
      </c>
      <c r="Q16" s="18">
        <f t="shared" si="11"/>
        <v>2267.5594696401977</v>
      </c>
      <c r="R16" s="18">
        <f t="shared" si="11"/>
        <v>2459.5379556078874</v>
      </c>
    </row>
    <row r="17" spans="1:18" s="52" customFormat="1" x14ac:dyDescent="0.25">
      <c r="A17" s="1"/>
      <c r="B17" s="73" t="s">
        <v>11</v>
      </c>
      <c r="C17" s="74">
        <f t="shared" ref="C17:H17" si="12">C16/C11</f>
        <v>0.28687967369136647</v>
      </c>
      <c r="D17" s="74">
        <f t="shared" si="12"/>
        <v>0.28711595639246784</v>
      </c>
      <c r="E17" s="74">
        <f t="shared" si="12"/>
        <v>0.25795292171166428</v>
      </c>
      <c r="F17" s="74">
        <f t="shared" si="12"/>
        <v>0.18358633776091082</v>
      </c>
      <c r="G17" s="74">
        <f t="shared" si="12"/>
        <v>0.27930127723516163</v>
      </c>
      <c r="H17" s="74">
        <f t="shared" si="12"/>
        <v>0.31296275831583592</v>
      </c>
      <c r="I17" s="78">
        <v>0.39100000000000001</v>
      </c>
      <c r="J17" s="91">
        <v>0.42499999999999999</v>
      </c>
      <c r="K17" s="91">
        <f>J17+0.5%</f>
        <v>0.43</v>
      </c>
      <c r="L17" s="91">
        <f t="shared" ref="L17:R17" si="13">K17+0.5%</f>
        <v>0.435</v>
      </c>
      <c r="M17" s="91">
        <f t="shared" si="13"/>
        <v>0.44</v>
      </c>
      <c r="N17" s="91">
        <f t="shared" si="13"/>
        <v>0.44500000000000001</v>
      </c>
      <c r="O17" s="91">
        <f t="shared" si="13"/>
        <v>0.45</v>
      </c>
      <c r="P17" s="91">
        <f t="shared" si="13"/>
        <v>0.45500000000000002</v>
      </c>
      <c r="Q17" s="91">
        <f t="shared" si="13"/>
        <v>0.46</v>
      </c>
      <c r="R17" s="91">
        <f t="shared" si="13"/>
        <v>0.46500000000000002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52" customFormat="1" x14ac:dyDescent="0.25">
      <c r="A19" s="1"/>
      <c r="B19" s="1" t="s">
        <v>39</v>
      </c>
      <c r="C19" s="11">
        <v>83.5</v>
      </c>
      <c r="D19" s="11">
        <v>90.6</v>
      </c>
      <c r="E19" s="11">
        <v>122</v>
      </c>
      <c r="F19" s="11">
        <f>'Raw IS'!D16</f>
        <v>114.8</v>
      </c>
      <c r="G19" s="11">
        <f>'Raw IS'!E16</f>
        <v>138.5</v>
      </c>
      <c r="H19" s="11">
        <f>'Raw IS'!F16</f>
        <v>164.2</v>
      </c>
      <c r="I19" s="20">
        <f t="shared" ref="I19:R19" si="14">I20*I11</f>
        <v>223.51999999999998</v>
      </c>
      <c r="J19" s="18">
        <f t="shared" si="14"/>
        <v>270.89999999999998</v>
      </c>
      <c r="K19" s="18">
        <f t="shared" si="14"/>
        <v>290.7</v>
      </c>
      <c r="L19" s="18">
        <f t="shared" si="14"/>
        <v>311.92109999999997</v>
      </c>
      <c r="M19" s="18">
        <f t="shared" si="14"/>
        <v>334.69134029999998</v>
      </c>
      <c r="N19" s="18">
        <f t="shared" si="14"/>
        <v>359.12380814189999</v>
      </c>
      <c r="O19" s="18">
        <f t="shared" si="14"/>
        <v>385.33984613625864</v>
      </c>
      <c r="P19" s="18">
        <f t="shared" si="14"/>
        <v>413.46965490420553</v>
      </c>
      <c r="Q19" s="18">
        <f t="shared" si="14"/>
        <v>443.65293971221251</v>
      </c>
      <c r="R19" s="18">
        <f t="shared" si="14"/>
        <v>476.03960431120402</v>
      </c>
    </row>
    <row r="20" spans="1:18" s="52" customFormat="1" x14ac:dyDescent="0.25">
      <c r="A20" s="1"/>
      <c r="B20" s="73" t="s">
        <v>16</v>
      </c>
      <c r="C20" s="74">
        <f t="shared" ref="C20:H20" si="15">C19/C11</f>
        <v>9.4606843417176525E-2</v>
      </c>
      <c r="D20" s="74">
        <f t="shared" si="15"/>
        <v>8.9791873141724474E-2</v>
      </c>
      <c r="E20" s="74">
        <f t="shared" si="15"/>
        <v>9.175001880123336E-2</v>
      </c>
      <c r="F20" s="74">
        <f t="shared" si="15"/>
        <v>0.10891840607210626</v>
      </c>
      <c r="G20" s="74">
        <f t="shared" si="15"/>
        <v>8.6714249937390436E-2</v>
      </c>
      <c r="H20" s="74">
        <f t="shared" si="15"/>
        <v>9.0728257265996246E-2</v>
      </c>
      <c r="I20" s="75">
        <v>8.7999999999999995E-2</v>
      </c>
      <c r="J20" s="76">
        <v>0.09</v>
      </c>
      <c r="K20" s="76">
        <v>0.09</v>
      </c>
      <c r="L20" s="76">
        <v>0.09</v>
      </c>
      <c r="M20" s="76">
        <v>0.09</v>
      </c>
      <c r="N20" s="76">
        <v>0.09</v>
      </c>
      <c r="O20" s="76">
        <v>0.09</v>
      </c>
      <c r="P20" s="76">
        <v>0.09</v>
      </c>
      <c r="Q20" s="76">
        <v>0.09</v>
      </c>
      <c r="R20" s="76">
        <v>0.09</v>
      </c>
    </row>
    <row r="21" spans="1:18" s="52" customFormat="1" x14ac:dyDescent="0.25">
      <c r="A21" s="1"/>
      <c r="B21" s="73"/>
      <c r="C21" s="74"/>
      <c r="D21" s="74"/>
      <c r="E21" s="74"/>
      <c r="F21" s="74"/>
      <c r="G21" s="74"/>
      <c r="H21" s="74"/>
      <c r="I21" s="75"/>
      <c r="J21" s="76"/>
      <c r="K21" s="76"/>
      <c r="L21" s="76"/>
      <c r="M21" s="76"/>
      <c r="N21" s="76"/>
      <c r="O21" s="76"/>
      <c r="P21" s="76"/>
      <c r="Q21" s="76"/>
      <c r="R21" s="76"/>
    </row>
    <row r="22" spans="1:18" s="52" customFormat="1" x14ac:dyDescent="0.25">
      <c r="A22" s="1"/>
      <c r="B22" s="1" t="s">
        <v>68</v>
      </c>
      <c r="C22" s="11">
        <f>21.7+2.3</f>
        <v>24</v>
      </c>
      <c r="D22" s="11">
        <v>10.3</v>
      </c>
      <c r="E22" s="11">
        <v>5.3</v>
      </c>
      <c r="F22" s="11">
        <f>'Raw IS'!D17+'Raw IS'!D18</f>
        <v>18.5</v>
      </c>
      <c r="G22" s="11">
        <f>'Raw IS'!E17+'Raw IS'!E18</f>
        <v>23.200000000000003</v>
      </c>
      <c r="H22" s="11">
        <f>'Raw IS'!F17+'Raw IS'!F18</f>
        <v>80.400000000000006</v>
      </c>
      <c r="I22" s="39">
        <f>I23*I11</f>
        <v>127</v>
      </c>
      <c r="J22" s="11">
        <f t="shared" ref="J22:R22" si="16">J23*J11</f>
        <v>150.5</v>
      </c>
      <c r="K22" s="11">
        <f t="shared" si="16"/>
        <v>161.5</v>
      </c>
      <c r="L22" s="11">
        <f t="shared" si="16"/>
        <v>121.30265000000001</v>
      </c>
      <c r="M22" s="11">
        <f t="shared" si="16"/>
        <v>130.15774345</v>
      </c>
      <c r="N22" s="11">
        <f t="shared" si="16"/>
        <v>139.65925872184999</v>
      </c>
      <c r="O22" s="11">
        <f t="shared" si="16"/>
        <v>149.85438460854505</v>
      </c>
      <c r="P22" s="11">
        <f t="shared" si="16"/>
        <v>160.79375468496883</v>
      </c>
      <c r="Q22" s="11">
        <f t="shared" si="16"/>
        <v>172.53169877697155</v>
      </c>
      <c r="R22" s="11">
        <f t="shared" si="16"/>
        <v>185.12651278769047</v>
      </c>
    </row>
    <row r="23" spans="1:18" s="52" customFormat="1" x14ac:dyDescent="0.25">
      <c r="A23" s="1"/>
      <c r="B23" s="13" t="s">
        <v>16</v>
      </c>
      <c r="C23" s="14">
        <f>C22/C11</f>
        <v>2.7192386131883073E-2</v>
      </c>
      <c r="D23" s="14">
        <f t="shared" ref="D23:H23" si="17">D22/D11</f>
        <v>1.0208126858275521E-2</v>
      </c>
      <c r="E23" s="14">
        <f t="shared" si="17"/>
        <v>3.9858614725125962E-3</v>
      </c>
      <c r="F23" s="14">
        <f t="shared" si="17"/>
        <v>1.7552182163187855E-2</v>
      </c>
      <c r="G23" s="14">
        <f t="shared" si="17"/>
        <v>1.4525419484097172E-2</v>
      </c>
      <c r="H23" s="14">
        <f t="shared" si="17"/>
        <v>4.4424798320256385E-2</v>
      </c>
      <c r="I23" s="19">
        <v>0.05</v>
      </c>
      <c r="J23" s="69">
        <v>0.05</v>
      </c>
      <c r="K23" s="69">
        <v>0.05</v>
      </c>
      <c r="L23" s="69">
        <v>3.5000000000000003E-2</v>
      </c>
      <c r="M23" s="69">
        <v>3.5000000000000003E-2</v>
      </c>
      <c r="N23" s="69">
        <v>3.5000000000000003E-2</v>
      </c>
      <c r="O23" s="69">
        <v>3.5000000000000003E-2</v>
      </c>
      <c r="P23" s="69">
        <v>3.5000000000000003E-2</v>
      </c>
      <c r="Q23" s="69">
        <v>3.5000000000000003E-2</v>
      </c>
      <c r="R23" s="69">
        <v>3.5000000000000003E-2</v>
      </c>
    </row>
    <row r="24" spans="1:18" s="52" customFormat="1" x14ac:dyDescent="0.25">
      <c r="A24" s="1"/>
      <c r="B24" s="1"/>
      <c r="C24" s="11"/>
      <c r="D24" s="11"/>
      <c r="E24" s="11"/>
      <c r="F24" s="11"/>
      <c r="G24" s="11"/>
      <c r="H24" s="11"/>
      <c r="I24" s="39"/>
      <c r="J24" s="11"/>
      <c r="K24" s="11"/>
      <c r="L24" s="11"/>
      <c r="M24" s="11"/>
      <c r="N24" s="11"/>
      <c r="O24" s="11"/>
      <c r="P24" s="11"/>
      <c r="Q24" s="11"/>
      <c r="R24" s="11"/>
    </row>
    <row r="25" spans="1:18" s="52" customFormat="1" x14ac:dyDescent="0.25">
      <c r="A25" s="1"/>
      <c r="B25" s="1" t="s">
        <v>12</v>
      </c>
      <c r="C25" s="11">
        <f>C19+C22</f>
        <v>107.5</v>
      </c>
      <c r="D25" s="11">
        <f t="shared" ref="D25:G25" si="18">D19+D22</f>
        <v>100.89999999999999</v>
      </c>
      <c r="E25" s="11">
        <f t="shared" si="18"/>
        <v>127.3</v>
      </c>
      <c r="F25" s="11">
        <f t="shared" si="18"/>
        <v>133.30000000000001</v>
      </c>
      <c r="G25" s="11">
        <f t="shared" si="18"/>
        <v>161.69999999999999</v>
      </c>
      <c r="H25" s="11">
        <f>H19+H22</f>
        <v>244.6</v>
      </c>
      <c r="I25" s="39">
        <f t="shared" ref="I25:R25" si="19">I19+I22</f>
        <v>350.52</v>
      </c>
      <c r="J25" s="11">
        <f t="shared" si="19"/>
        <v>421.4</v>
      </c>
      <c r="K25" s="11">
        <f t="shared" si="19"/>
        <v>452.2</v>
      </c>
      <c r="L25" s="11">
        <f t="shared" si="19"/>
        <v>433.22375</v>
      </c>
      <c r="M25" s="11">
        <f t="shared" si="19"/>
        <v>464.84908374999998</v>
      </c>
      <c r="N25" s="11">
        <f t="shared" si="19"/>
        <v>498.78306686374998</v>
      </c>
      <c r="O25" s="11">
        <f t="shared" si="19"/>
        <v>535.19423074480369</v>
      </c>
      <c r="P25" s="11">
        <f t="shared" si="19"/>
        <v>574.26340958917433</v>
      </c>
      <c r="Q25" s="11">
        <f t="shared" si="19"/>
        <v>616.18463848918407</v>
      </c>
      <c r="R25" s="11">
        <f t="shared" si="19"/>
        <v>661.16611709889446</v>
      </c>
    </row>
    <row r="26" spans="1:18" s="52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69"/>
      <c r="K26" s="69"/>
      <c r="L26" s="69"/>
      <c r="M26" s="69"/>
      <c r="N26" s="69"/>
      <c r="O26" s="69"/>
      <c r="P26" s="69"/>
      <c r="Q26" s="69"/>
      <c r="R26" s="69"/>
    </row>
    <row r="27" spans="1:18" s="52" customFormat="1" x14ac:dyDescent="0.25">
      <c r="A27" s="1"/>
      <c r="B27" s="1" t="s">
        <v>13</v>
      </c>
      <c r="C27" s="11">
        <f>C16-C25</f>
        <v>145.70000000000005</v>
      </c>
      <c r="D27" s="11">
        <f t="shared" ref="D27:R27" si="20">D16-D25</f>
        <v>188.80000000000007</v>
      </c>
      <c r="E27" s="11">
        <f t="shared" si="20"/>
        <v>215.7</v>
      </c>
      <c r="F27" s="11">
        <f t="shared" si="20"/>
        <v>60.199999999999989</v>
      </c>
      <c r="G27" s="11">
        <f t="shared" si="20"/>
        <v>284.40000000000015</v>
      </c>
      <c r="H27" s="11">
        <f t="shared" si="20"/>
        <v>321.79999999999984</v>
      </c>
      <c r="I27" s="39">
        <f>I16-I25</f>
        <v>642.62</v>
      </c>
      <c r="J27" s="11">
        <f t="shared" si="20"/>
        <v>857.85</v>
      </c>
      <c r="K27" s="11">
        <f t="shared" si="20"/>
        <v>936.7</v>
      </c>
      <c r="L27" s="11">
        <f t="shared" si="20"/>
        <v>1074.3948999999998</v>
      </c>
      <c r="M27" s="11">
        <f t="shared" si="20"/>
        <v>1171.41969105</v>
      </c>
      <c r="N27" s="11">
        <f t="shared" si="20"/>
        <v>1276.8846511711999</v>
      </c>
      <c r="O27" s="11">
        <f t="shared" si="20"/>
        <v>1391.5049999364896</v>
      </c>
      <c r="P27" s="11">
        <f t="shared" si="20"/>
        <v>1516.0554013154201</v>
      </c>
      <c r="Q27" s="11">
        <f t="shared" si="20"/>
        <v>1651.3748311510135</v>
      </c>
      <c r="R27" s="11">
        <f t="shared" si="20"/>
        <v>1798.3718385089928</v>
      </c>
    </row>
    <row r="28" spans="1:18" s="52" customFormat="1" x14ac:dyDescent="0.25">
      <c r="A28" s="1"/>
      <c r="B28" s="1" t="s">
        <v>55</v>
      </c>
      <c r="C28" s="82">
        <v>-43.2</v>
      </c>
      <c r="D28" s="82">
        <v>45.1</v>
      </c>
      <c r="E28" s="82">
        <v>-19.3</v>
      </c>
      <c r="F28" s="82">
        <f>SUM('Raw IS'!D26)</f>
        <v>-52.2</v>
      </c>
      <c r="G28" s="82">
        <f>SUM('Raw IS'!E26)</f>
        <v>59.2</v>
      </c>
      <c r="H28" s="82">
        <f>SUM('Raw IS'!F26)</f>
        <v>287</v>
      </c>
      <c r="I28" s="20">
        <f t="shared" ref="I28:R28" si="21">I29*I11</f>
        <v>22.86</v>
      </c>
      <c r="J28" s="18">
        <f t="shared" si="21"/>
        <v>-87.29</v>
      </c>
      <c r="K28" s="18">
        <f t="shared" si="21"/>
        <v>-93.67</v>
      </c>
      <c r="L28" s="18">
        <f t="shared" si="21"/>
        <v>-100.50791000000001</v>
      </c>
      <c r="M28" s="18">
        <f t="shared" si="21"/>
        <v>-107.84498743</v>
      </c>
      <c r="N28" s="18">
        <f t="shared" si="21"/>
        <v>-115.71767151239</v>
      </c>
      <c r="O28" s="18">
        <f t="shared" si="21"/>
        <v>-124.16506153279447</v>
      </c>
      <c r="P28" s="18">
        <f t="shared" si="21"/>
        <v>-133.22911102468845</v>
      </c>
      <c r="Q28" s="18">
        <f t="shared" si="21"/>
        <v>-142.9548361294907</v>
      </c>
      <c r="R28" s="18">
        <f t="shared" si="21"/>
        <v>-153.39053916694351</v>
      </c>
    </row>
    <row r="29" spans="1:18" s="52" customFormat="1" x14ac:dyDescent="0.25">
      <c r="A29" s="1"/>
      <c r="B29" s="73" t="s">
        <v>16</v>
      </c>
      <c r="C29" s="74">
        <f t="shared" ref="C29:H29" si="22">C28/C11</f>
        <v>-4.894629503738953E-2</v>
      </c>
      <c r="D29" s="74">
        <f t="shared" si="22"/>
        <v>4.4697720515361743E-2</v>
      </c>
      <c r="E29" s="74">
        <f t="shared" si="22"/>
        <v>-1.4514552154621344E-2</v>
      </c>
      <c r="F29" s="74">
        <f t="shared" si="22"/>
        <v>-4.9525616698292224E-2</v>
      </c>
      <c r="G29" s="74">
        <f t="shared" si="22"/>
        <v>3.7064863511144505E-2</v>
      </c>
      <c r="H29" s="74">
        <f t="shared" si="22"/>
        <v>0.1585810586805172</v>
      </c>
      <c r="I29" s="78">
        <v>8.9999999999999993E-3</v>
      </c>
      <c r="J29" s="91">
        <v>-2.9000000000000001E-2</v>
      </c>
      <c r="K29" s="91">
        <v>-2.9000000000000001E-2</v>
      </c>
      <c r="L29" s="91">
        <v>-2.9000000000000001E-2</v>
      </c>
      <c r="M29" s="91">
        <v>-2.9000000000000001E-2</v>
      </c>
      <c r="N29" s="91">
        <v>-2.9000000000000001E-2</v>
      </c>
      <c r="O29" s="91">
        <v>-2.9000000000000001E-2</v>
      </c>
      <c r="P29" s="91">
        <v>-2.9000000000000001E-2</v>
      </c>
      <c r="Q29" s="91">
        <v>-2.9000000000000001E-2</v>
      </c>
      <c r="R29" s="91">
        <v>-2.9000000000000001E-2</v>
      </c>
    </row>
    <row r="30" spans="1:18" s="52" customFormat="1" x14ac:dyDescent="0.25">
      <c r="A30" s="1"/>
      <c r="B30" s="1"/>
      <c r="C30" s="67"/>
      <c r="D30" s="67"/>
      <c r="E30" s="67"/>
      <c r="F30" s="67"/>
      <c r="G30" s="67"/>
      <c r="H30" s="67"/>
      <c r="I30" s="12"/>
      <c r="J30" s="1"/>
      <c r="K30" s="1"/>
      <c r="L30" s="1"/>
      <c r="M30" s="1"/>
      <c r="N30" s="1"/>
      <c r="O30" s="1"/>
      <c r="P30" s="1"/>
      <c r="Q30" s="1"/>
      <c r="R30" s="1"/>
    </row>
    <row r="31" spans="1:18" s="52" customFormat="1" x14ac:dyDescent="0.25">
      <c r="A31" s="1"/>
      <c r="B31" s="1" t="s">
        <v>14</v>
      </c>
      <c r="C31" s="11">
        <f>C27+C28</f>
        <v>102.50000000000004</v>
      </c>
      <c r="D31" s="11">
        <f t="shared" ref="D31:R31" si="23">D27+D28</f>
        <v>233.90000000000006</v>
      </c>
      <c r="E31" s="11">
        <f t="shared" si="23"/>
        <v>196.39999999999998</v>
      </c>
      <c r="F31" s="11">
        <f t="shared" si="23"/>
        <v>7.9999999999999858</v>
      </c>
      <c r="G31" s="11">
        <f t="shared" si="23"/>
        <v>343.60000000000014</v>
      </c>
      <c r="H31" s="11">
        <f>H27+H28</f>
        <v>608.79999999999984</v>
      </c>
      <c r="I31" s="39">
        <f t="shared" si="23"/>
        <v>665.48</v>
      </c>
      <c r="J31" s="11">
        <f t="shared" si="23"/>
        <v>770.56000000000006</v>
      </c>
      <c r="K31" s="11">
        <f t="shared" si="23"/>
        <v>843.03000000000009</v>
      </c>
      <c r="L31" s="11">
        <f t="shared" si="23"/>
        <v>973.88698999999974</v>
      </c>
      <c r="M31" s="11">
        <f t="shared" si="23"/>
        <v>1063.57470362</v>
      </c>
      <c r="N31" s="11">
        <f t="shared" si="23"/>
        <v>1161.1669796588099</v>
      </c>
      <c r="O31" s="11">
        <f t="shared" si="23"/>
        <v>1267.3399384036952</v>
      </c>
      <c r="P31" s="11">
        <f t="shared" si="23"/>
        <v>1382.8262902907318</v>
      </c>
      <c r="Q31" s="11">
        <f t="shared" si="23"/>
        <v>1508.4199950215227</v>
      </c>
      <c r="R31" s="11">
        <f t="shared" si="23"/>
        <v>1644.9812993420494</v>
      </c>
    </row>
    <row r="32" spans="1:18" s="52" customFormat="1" x14ac:dyDescent="0.25">
      <c r="A32" s="1"/>
      <c r="B32" s="1"/>
      <c r="C32" s="21"/>
      <c r="D32" s="21"/>
      <c r="E32" s="21"/>
      <c r="F32" s="21"/>
      <c r="G32" s="21"/>
      <c r="H32" s="67"/>
      <c r="I32" s="12"/>
      <c r="J32" s="1"/>
      <c r="K32" s="1"/>
      <c r="L32" s="1"/>
      <c r="M32" s="1"/>
      <c r="N32" s="1"/>
      <c r="O32" s="1"/>
      <c r="P32" s="1"/>
      <c r="Q32" s="1"/>
      <c r="R32" s="1"/>
    </row>
    <row r="33" spans="1:86" s="52" customFormat="1" x14ac:dyDescent="0.25">
      <c r="A33" s="1"/>
      <c r="B33" s="1" t="s">
        <v>15</v>
      </c>
      <c r="C33" s="11">
        <f>C27</f>
        <v>145.70000000000005</v>
      </c>
      <c r="D33" s="11">
        <f t="shared" ref="D33:R33" si="24">D27</f>
        <v>188.80000000000007</v>
      </c>
      <c r="E33" s="11">
        <f t="shared" si="24"/>
        <v>215.7</v>
      </c>
      <c r="F33" s="11">
        <f t="shared" si="24"/>
        <v>60.199999999999989</v>
      </c>
      <c r="G33" s="11">
        <f t="shared" si="24"/>
        <v>284.40000000000015</v>
      </c>
      <c r="H33" s="11">
        <f t="shared" si="24"/>
        <v>321.79999999999984</v>
      </c>
      <c r="I33" s="39">
        <f t="shared" si="24"/>
        <v>642.62</v>
      </c>
      <c r="J33" s="11">
        <f t="shared" si="24"/>
        <v>857.85</v>
      </c>
      <c r="K33" s="11">
        <f t="shared" si="24"/>
        <v>936.7</v>
      </c>
      <c r="L33" s="11">
        <f t="shared" si="24"/>
        <v>1074.3948999999998</v>
      </c>
      <c r="M33" s="11">
        <f t="shared" si="24"/>
        <v>1171.41969105</v>
      </c>
      <c r="N33" s="11">
        <f t="shared" si="24"/>
        <v>1276.8846511711999</v>
      </c>
      <c r="O33" s="11">
        <f t="shared" si="24"/>
        <v>1391.5049999364896</v>
      </c>
      <c r="P33" s="11">
        <f t="shared" si="24"/>
        <v>1516.0554013154201</v>
      </c>
      <c r="Q33" s="11">
        <f t="shared" si="24"/>
        <v>1651.3748311510135</v>
      </c>
      <c r="R33" s="11">
        <f t="shared" si="24"/>
        <v>1798.3718385089928</v>
      </c>
    </row>
    <row r="34" spans="1:86" s="52" customFormat="1" x14ac:dyDescent="0.25">
      <c r="A34" s="1"/>
      <c r="B34" s="73" t="s">
        <v>16</v>
      </c>
      <c r="C34" s="74">
        <f t="shared" ref="C34:R34" si="25">C33/C11</f>
        <v>0.16508044414230688</v>
      </c>
      <c r="D34" s="74">
        <f t="shared" si="25"/>
        <v>0.18711595639246786</v>
      </c>
      <c r="E34" s="74">
        <f t="shared" si="25"/>
        <v>0.16221704143791832</v>
      </c>
      <c r="F34" s="74">
        <f t="shared" si="25"/>
        <v>5.7115749525616689E-2</v>
      </c>
      <c r="G34" s="74">
        <f t="shared" si="25"/>
        <v>0.17806160781367403</v>
      </c>
      <c r="H34" s="74">
        <f t="shared" si="25"/>
        <v>0.1778097027295833</v>
      </c>
      <c r="I34" s="75">
        <f t="shared" si="25"/>
        <v>0.253</v>
      </c>
      <c r="J34" s="76">
        <f t="shared" si="25"/>
        <v>0.28500000000000003</v>
      </c>
      <c r="K34" s="76">
        <f t="shared" si="25"/>
        <v>0.29000000000000004</v>
      </c>
      <c r="L34" s="76">
        <f t="shared" si="25"/>
        <v>0.30999999999999994</v>
      </c>
      <c r="M34" s="76">
        <f t="shared" si="25"/>
        <v>0.315</v>
      </c>
      <c r="N34" s="76">
        <f t="shared" si="25"/>
        <v>0.32</v>
      </c>
      <c r="O34" s="76">
        <f t="shared" si="25"/>
        <v>0.32500000000000001</v>
      </c>
      <c r="P34" s="76">
        <f t="shared" si="25"/>
        <v>0.32999999999999996</v>
      </c>
      <c r="Q34" s="76">
        <f t="shared" si="25"/>
        <v>0.33500000000000002</v>
      </c>
      <c r="R34" s="76">
        <f t="shared" si="25"/>
        <v>0.33999999999999997</v>
      </c>
    </row>
    <row r="35" spans="1:86" s="52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/>
    </row>
    <row r="36" spans="1:86" s="52" customFormat="1" x14ac:dyDescent="0.25">
      <c r="A36" s="1"/>
      <c r="B36" s="1" t="s">
        <v>17</v>
      </c>
      <c r="C36" s="11">
        <v>19.899999999999999</v>
      </c>
      <c r="D36" s="11">
        <v>-51.3</v>
      </c>
      <c r="E36" s="11">
        <v>-56.8</v>
      </c>
      <c r="F36" s="11">
        <f>'Raw IS'!D28</f>
        <v>5.3</v>
      </c>
      <c r="G36" s="11">
        <f>'Raw IS'!E28</f>
        <v>-94.5</v>
      </c>
      <c r="H36" s="11">
        <f>'Raw IS'!F28</f>
        <v>-169.4</v>
      </c>
      <c r="I36" s="20">
        <f>I33*I37</f>
        <v>-170.744134</v>
      </c>
      <c r="J36" s="18">
        <f t="shared" ref="J36:R36" si="26">J33*J37</f>
        <v>-231.61950000000002</v>
      </c>
      <c r="K36" s="18">
        <f t="shared" si="26"/>
        <v>-243.54200000000003</v>
      </c>
      <c r="L36" s="18">
        <f t="shared" si="26"/>
        <v>-279.34267399999993</v>
      </c>
      <c r="M36" s="18">
        <f t="shared" si="26"/>
        <v>-304.56911967299999</v>
      </c>
      <c r="N36" s="18">
        <f t="shared" si="26"/>
        <v>-331.990009304512</v>
      </c>
      <c r="O36" s="18">
        <f t="shared" si="26"/>
        <v>-361.79129998348731</v>
      </c>
      <c r="P36" s="18">
        <f t="shared" si="26"/>
        <v>-394.17440434200927</v>
      </c>
      <c r="Q36" s="18">
        <f t="shared" si="26"/>
        <v>-429.35745609926352</v>
      </c>
      <c r="R36" s="18">
        <f t="shared" si="26"/>
        <v>-467.57667801233816</v>
      </c>
    </row>
    <row r="37" spans="1:86" s="52" customFormat="1" x14ac:dyDescent="0.25">
      <c r="A37" s="1"/>
      <c r="B37" s="73" t="s">
        <v>18</v>
      </c>
      <c r="C37" s="77">
        <f>C36/C33</f>
        <v>0.13658201784488669</v>
      </c>
      <c r="D37" s="77">
        <f t="shared" ref="D37:H37" si="27">D36/D33</f>
        <v>-0.27171610169491517</v>
      </c>
      <c r="E37" s="77">
        <f t="shared" si="27"/>
        <v>-0.26332869726471952</v>
      </c>
      <c r="F37" s="77">
        <f t="shared" si="27"/>
        <v>8.8039867109634559E-2</v>
      </c>
      <c r="G37" s="77">
        <f t="shared" si="27"/>
        <v>-0.33227848101265806</v>
      </c>
      <c r="H37" s="77">
        <f t="shared" si="27"/>
        <v>-0.52641392169049128</v>
      </c>
      <c r="I37" s="78">
        <v>-0.26569999999999999</v>
      </c>
      <c r="J37" s="91">
        <v>-0.27</v>
      </c>
      <c r="K37" s="91">
        <v>-0.26</v>
      </c>
      <c r="L37" s="91">
        <v>-0.26</v>
      </c>
      <c r="M37" s="91">
        <v>-0.26</v>
      </c>
      <c r="N37" s="91">
        <v>-0.26</v>
      </c>
      <c r="O37" s="91">
        <v>-0.26</v>
      </c>
      <c r="P37" s="91">
        <v>-0.26</v>
      </c>
      <c r="Q37" s="91">
        <v>-0.26</v>
      </c>
      <c r="R37" s="91">
        <v>-0.26</v>
      </c>
    </row>
    <row r="38" spans="1:86" s="52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/>
    </row>
    <row r="39" spans="1:86" s="52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6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2" customFormat="1" x14ac:dyDescent="0.25">
      <c r="A40" s="1"/>
      <c r="B40" s="1" t="s">
        <v>20</v>
      </c>
      <c r="C40" s="11">
        <v>97.1</v>
      </c>
      <c r="D40" s="11">
        <v>63.6</v>
      </c>
      <c r="E40" s="11">
        <v>96.4</v>
      </c>
      <c r="F40" s="11">
        <f>'Raw CF'!D10</f>
        <v>92.9</v>
      </c>
      <c r="G40" s="11">
        <f>'Raw CF'!E10</f>
        <v>103.2</v>
      </c>
      <c r="H40" s="11">
        <f>'Raw CF'!F10</f>
        <v>113.7</v>
      </c>
      <c r="I40" s="20">
        <v>143.13</v>
      </c>
      <c r="J40" s="18">
        <v>156.69999999999999</v>
      </c>
      <c r="K40" s="18">
        <v>171.2</v>
      </c>
      <c r="L40" s="18">
        <f t="shared" ref="L40" si="28">L41*L11</f>
        <v>180.23180999999997</v>
      </c>
      <c r="M40" s="18">
        <f t="shared" ref="M40" si="29">M41*M11</f>
        <v>189.66993945999997</v>
      </c>
      <c r="N40" s="18">
        <f t="shared" ref="N40" si="30">N41*N11</f>
        <v>199.52558050566995</v>
      </c>
      <c r="O40" s="18">
        <f t="shared" ref="O40" si="31">O41*O11</f>
        <v>209.80939403662543</v>
      </c>
      <c r="P40" s="18">
        <f t="shared" ref="P40" si="32">P41*P11</f>
        <v>220.53137252458566</v>
      </c>
      <c r="Q40" s="18">
        <f t="shared" ref="Q40" si="33">Q41*Q11</f>
        <v>231.70068561096696</v>
      </c>
      <c r="R40" s="18">
        <f t="shared" ref="R40" si="34">R41*R11</f>
        <v>243.32550672377636</v>
      </c>
    </row>
    <row r="41" spans="1:86" s="52" customFormat="1" x14ac:dyDescent="0.25">
      <c r="A41" s="1"/>
      <c r="B41" s="73" t="s">
        <v>16</v>
      </c>
      <c r="C41" s="74">
        <f t="shared" ref="C41:K41" si="35">C40/C11</f>
        <v>0.11001586222524359</v>
      </c>
      <c r="D41" s="74">
        <f t="shared" si="35"/>
        <v>6.3032705649157583E-2</v>
      </c>
      <c r="E41" s="74">
        <f t="shared" si="35"/>
        <v>7.249755583966308E-2</v>
      </c>
      <c r="F41" s="74">
        <f t="shared" si="35"/>
        <v>8.8140417457305512E-2</v>
      </c>
      <c r="G41" s="74">
        <f t="shared" si="35"/>
        <v>6.4613072877535691E-2</v>
      </c>
      <c r="H41" s="74">
        <f t="shared" si="35"/>
        <v>6.2824621505138692E-2</v>
      </c>
      <c r="I41" s="75">
        <f t="shared" si="35"/>
        <v>5.6350393700787399E-2</v>
      </c>
      <c r="J41" s="76">
        <f t="shared" si="35"/>
        <v>5.2059800664451823E-2</v>
      </c>
      <c r="K41" s="76">
        <f t="shared" si="35"/>
        <v>5.3003095975232194E-2</v>
      </c>
      <c r="L41" s="76">
        <f>K41-0.1%</f>
        <v>5.2003095975232193E-2</v>
      </c>
      <c r="M41" s="76">
        <f t="shared" ref="M41:R41" si="36">L41-0.1%</f>
        <v>5.1003095975232192E-2</v>
      </c>
      <c r="N41" s="76">
        <f t="shared" si="36"/>
        <v>5.0003095975232191E-2</v>
      </c>
      <c r="O41" s="76">
        <f t="shared" si="36"/>
        <v>4.900309597523219E-2</v>
      </c>
      <c r="P41" s="76">
        <f t="shared" si="36"/>
        <v>4.8003095975232189E-2</v>
      </c>
      <c r="Q41" s="76">
        <f t="shared" si="36"/>
        <v>4.7003095975232188E-2</v>
      </c>
      <c r="R41" s="76">
        <f t="shared" si="36"/>
        <v>4.6003095975232187E-2</v>
      </c>
    </row>
    <row r="42" spans="1:86" s="52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/>
    </row>
    <row r="43" spans="1:86" s="52" customFormat="1" x14ac:dyDescent="0.25">
      <c r="A43" s="1"/>
      <c r="B43" s="1" t="s">
        <v>21</v>
      </c>
      <c r="C43" s="11">
        <f>-33.3-83.6</f>
        <v>-116.89999999999999</v>
      </c>
      <c r="D43" s="11">
        <f>-29.6-119.8</f>
        <v>-149.4</v>
      </c>
      <c r="E43" s="11">
        <v>-131.19999999999999</v>
      </c>
      <c r="F43" s="38">
        <f>'Raw CF'!D27+'Raw CF'!D28</f>
        <v>-234.2</v>
      </c>
      <c r="G43" s="38">
        <f>'Raw CF'!E27+'Raw CF'!E28</f>
        <v>-91.8</v>
      </c>
      <c r="H43" s="38">
        <f>'Raw CF'!F27+'Raw CF'!F28</f>
        <v>-423.5</v>
      </c>
      <c r="I43" s="20">
        <v>-707.5</v>
      </c>
      <c r="J43" s="18">
        <v>-570.77</v>
      </c>
      <c r="K43" s="18">
        <v>-93.1</v>
      </c>
      <c r="L43" s="18">
        <f t="shared" ref="L43:Q43" si="37">L44*L11</f>
        <v>-117.22524999999999</v>
      </c>
      <c r="M43" s="18">
        <f t="shared" si="37"/>
        <v>-144.37665659999996</v>
      </c>
      <c r="N43" s="18">
        <f t="shared" si="37"/>
        <v>-174.86747520634995</v>
      </c>
      <c r="O43" s="18">
        <f t="shared" si="37"/>
        <v>-191.91435474237193</v>
      </c>
      <c r="P43" s="18">
        <f t="shared" si="37"/>
        <v>-210.51820991527848</v>
      </c>
      <c r="Q43" s="18">
        <f t="shared" si="37"/>
        <v>-230.81551634700728</v>
      </c>
      <c r="R43" s="18">
        <f>R44*R11</f>
        <v>-252.95437797712995</v>
      </c>
    </row>
    <row r="44" spans="1:86" s="52" customFormat="1" x14ac:dyDescent="0.25">
      <c r="A44" s="1"/>
      <c r="B44" s="73" t="s">
        <v>16</v>
      </c>
      <c r="C44" s="74">
        <f t="shared" ref="C44:K44" si="38">C43/C11</f>
        <v>-0.13244958078404712</v>
      </c>
      <c r="D44" s="74">
        <f t="shared" si="38"/>
        <v>-0.14806739345887018</v>
      </c>
      <c r="E44" s="74">
        <f t="shared" si="38"/>
        <v>-9.8668872678047664E-2</v>
      </c>
      <c r="F44" s="74">
        <f t="shared" si="38"/>
        <v>-0.2222011385199241</v>
      </c>
      <c r="G44" s="74">
        <f t="shared" si="38"/>
        <v>-5.7475582268970697E-2</v>
      </c>
      <c r="H44" s="74">
        <f t="shared" si="38"/>
        <v>-0.23400375732125098</v>
      </c>
      <c r="I44" s="75">
        <f t="shared" si="38"/>
        <v>-0.27854330708661418</v>
      </c>
      <c r="J44" s="76">
        <f t="shared" si="38"/>
        <v>-0.18962458471760796</v>
      </c>
      <c r="K44" s="76">
        <f t="shared" si="38"/>
        <v>-2.8823529411764703E-2</v>
      </c>
      <c r="L44" s="76">
        <f>K44-0.5%</f>
        <v>-3.3823529411764704E-2</v>
      </c>
      <c r="M44" s="76">
        <f t="shared" ref="M44:N44" si="39">L44-0.5%</f>
        <v>-3.8823529411764701E-2</v>
      </c>
      <c r="N44" s="76">
        <f t="shared" si="39"/>
        <v>-4.3823529411764699E-2</v>
      </c>
      <c r="O44" s="76">
        <f>N44-0.1%</f>
        <v>-4.48235294117647E-2</v>
      </c>
      <c r="P44" s="76">
        <f t="shared" ref="P44:R44" si="40">O44-0.1%</f>
        <v>-4.58235294117647E-2</v>
      </c>
      <c r="Q44" s="76">
        <f t="shared" si="40"/>
        <v>-4.6823529411764701E-2</v>
      </c>
      <c r="R44" s="76">
        <f t="shared" si="40"/>
        <v>-4.7823529411764702E-2</v>
      </c>
    </row>
    <row r="45" spans="1:86" s="52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/>
    </row>
    <row r="46" spans="1:86" s="52" customFormat="1" x14ac:dyDescent="0.25">
      <c r="A46" s="1"/>
      <c r="B46" s="1" t="s">
        <v>22</v>
      </c>
      <c r="C46" s="11">
        <v>-36.4</v>
      </c>
      <c r="D46" s="11">
        <v>9.1999999999999993</v>
      </c>
      <c r="E46" s="11">
        <v>5.7999999999999989</v>
      </c>
      <c r="F46" s="68">
        <f>SUM('Raw CF'!D21:D24)</f>
        <v>-46.800000000000004</v>
      </c>
      <c r="G46" s="68">
        <f>SUM('Raw CF'!E21:E24)</f>
        <v>77.5</v>
      </c>
      <c r="H46" s="68">
        <f>SUM('Raw CF'!F21:F24)</f>
        <v>36.6</v>
      </c>
      <c r="I46" s="20">
        <f t="shared" ref="I46:R46" si="41">I47*I11</f>
        <v>50.800000000000004</v>
      </c>
      <c r="J46" s="18">
        <f t="shared" si="41"/>
        <v>60.2</v>
      </c>
      <c r="K46" s="18">
        <f t="shared" si="41"/>
        <v>64.599999999999994</v>
      </c>
      <c r="L46" s="18">
        <f t="shared" si="41"/>
        <v>69.315799999999996</v>
      </c>
      <c r="M46" s="18">
        <f t="shared" si="41"/>
        <v>74.375853399999997</v>
      </c>
      <c r="N46" s="18">
        <f t="shared" si="41"/>
        <v>79.805290698199997</v>
      </c>
      <c r="O46" s="18">
        <f t="shared" si="41"/>
        <v>85.631076919168592</v>
      </c>
      <c r="P46" s="18">
        <f t="shared" si="41"/>
        <v>91.882145534267892</v>
      </c>
      <c r="Q46" s="18">
        <f t="shared" si="41"/>
        <v>98.589542158269452</v>
      </c>
      <c r="R46" s="18">
        <f t="shared" si="41"/>
        <v>105.78657873582311</v>
      </c>
    </row>
    <row r="47" spans="1:86" s="52" customFormat="1" x14ac:dyDescent="0.25">
      <c r="A47" s="1"/>
      <c r="B47" s="73" t="s">
        <v>16</v>
      </c>
      <c r="C47" s="74">
        <f t="shared" ref="C47:H47" si="42">C46/C11</f>
        <v>-4.1241785633355989E-2</v>
      </c>
      <c r="D47" s="74">
        <f t="shared" si="42"/>
        <v>9.117938553022795E-3</v>
      </c>
      <c r="E47" s="74">
        <f t="shared" si="42"/>
        <v>4.3618861397307657E-3</v>
      </c>
      <c r="F47" s="74">
        <f t="shared" si="42"/>
        <v>-4.4402277039848198E-2</v>
      </c>
      <c r="G47" s="74">
        <f t="shared" si="42"/>
        <v>4.8522414224893562E-2</v>
      </c>
      <c r="H47" s="74">
        <f t="shared" si="42"/>
        <v>2.0223229086086862E-2</v>
      </c>
      <c r="I47" s="78">
        <v>0.02</v>
      </c>
      <c r="J47" s="91">
        <v>0.02</v>
      </c>
      <c r="K47" s="91">
        <v>0.02</v>
      </c>
      <c r="L47" s="91">
        <v>0.02</v>
      </c>
      <c r="M47" s="91">
        <v>0.02</v>
      </c>
      <c r="N47" s="91">
        <v>0.02</v>
      </c>
      <c r="O47" s="91">
        <v>0.02</v>
      </c>
      <c r="P47" s="91">
        <v>0.02</v>
      </c>
      <c r="Q47" s="91">
        <v>0.02</v>
      </c>
      <c r="R47" s="91">
        <v>0.02</v>
      </c>
    </row>
    <row r="48" spans="1:86" s="52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/>
    </row>
    <row r="49" spans="1:86" s="52" customFormat="1" x14ac:dyDescent="0.25">
      <c r="A49" s="1"/>
      <c r="B49" s="9" t="s">
        <v>23</v>
      </c>
      <c r="C49" s="11">
        <f t="shared" ref="C49:G49" si="43">C33+C36</f>
        <v>165.60000000000005</v>
      </c>
      <c r="D49" s="11">
        <f t="shared" si="43"/>
        <v>137.50000000000006</v>
      </c>
      <c r="E49" s="11">
        <f t="shared" si="43"/>
        <v>158.89999999999998</v>
      </c>
      <c r="F49" s="11">
        <f t="shared" si="43"/>
        <v>65.499999999999986</v>
      </c>
      <c r="G49" s="11">
        <f t="shared" si="43"/>
        <v>189.90000000000015</v>
      </c>
      <c r="H49" s="11">
        <f>H33+H36</f>
        <v>152.39999999999984</v>
      </c>
      <c r="I49" s="39">
        <f t="shared" ref="I49:R49" si="44">I33+I36</f>
        <v>471.87586599999997</v>
      </c>
      <c r="J49" s="11">
        <f t="shared" si="44"/>
        <v>626.23050000000001</v>
      </c>
      <c r="K49" s="11">
        <f t="shared" si="44"/>
        <v>693.15800000000002</v>
      </c>
      <c r="L49" s="11">
        <f t="shared" si="44"/>
        <v>795.05222599999979</v>
      </c>
      <c r="M49" s="11">
        <f t="shared" si="44"/>
        <v>866.85057137700005</v>
      </c>
      <c r="N49" s="11">
        <f t="shared" si="44"/>
        <v>944.89464186668795</v>
      </c>
      <c r="O49" s="11">
        <f t="shared" si="44"/>
        <v>1029.7136999530023</v>
      </c>
      <c r="P49" s="11">
        <f t="shared" si="44"/>
        <v>1121.8809969734109</v>
      </c>
      <c r="Q49" s="11">
        <f t="shared" si="44"/>
        <v>1222.0173750517499</v>
      </c>
      <c r="R49" s="11">
        <f t="shared" si="44"/>
        <v>1330.7951604966547</v>
      </c>
    </row>
    <row r="50" spans="1:86" s="52" customFormat="1" x14ac:dyDescent="0.25">
      <c r="A50" s="1"/>
      <c r="B50" s="9" t="s">
        <v>50</v>
      </c>
      <c r="C50" s="11">
        <v>18.100000000000001</v>
      </c>
      <c r="D50" s="11">
        <v>170.2</v>
      </c>
      <c r="E50" s="11">
        <f>-2.4+0.3</f>
        <v>-2.1</v>
      </c>
      <c r="F50" s="11">
        <f>'Raw IS'!D30+'Raw IS'!D32</f>
        <v>-95.600000000000009</v>
      </c>
      <c r="G50" s="11"/>
      <c r="H50" s="11"/>
      <c r="I50" s="39"/>
      <c r="J50" s="11"/>
      <c r="K50" s="11"/>
      <c r="L50" s="11"/>
      <c r="M50" s="11"/>
      <c r="N50" s="11"/>
      <c r="O50" s="11"/>
      <c r="P50" s="11"/>
      <c r="Q50" s="11"/>
      <c r="R50" s="11"/>
    </row>
    <row r="51" spans="1:86" s="52" customFormat="1" x14ac:dyDescent="0.25">
      <c r="A51" s="1"/>
      <c r="B51" s="9" t="s">
        <v>24</v>
      </c>
      <c r="C51" s="11">
        <f>C31+C36+C50</f>
        <v>140.50000000000003</v>
      </c>
      <c r="D51" s="11">
        <f t="shared" ref="D51:E51" si="45">D31+D36+D50</f>
        <v>352.80000000000007</v>
      </c>
      <c r="E51" s="11">
        <f t="shared" si="45"/>
        <v>137.49999999999997</v>
      </c>
      <c r="F51" s="11">
        <f t="shared" ref="F51" si="46">F31+F36+F50</f>
        <v>-82.300000000000026</v>
      </c>
      <c r="G51" s="11">
        <f t="shared" ref="G51" si="47">G31+G36+G50</f>
        <v>249.10000000000014</v>
      </c>
      <c r="H51" s="11">
        <f t="shared" ref="H51" si="48">H31+H36+H50</f>
        <v>439.39999999999986</v>
      </c>
      <c r="I51" s="39">
        <f t="shared" ref="I51" si="49">I31+I36+I50</f>
        <v>494.73586599999999</v>
      </c>
      <c r="J51" s="11">
        <f t="shared" ref="J51" si="50">J31+J36+J50</f>
        <v>538.94050000000004</v>
      </c>
      <c r="K51" s="11">
        <f t="shared" ref="K51" si="51">K31+K36+K50</f>
        <v>599.48800000000006</v>
      </c>
      <c r="L51" s="11">
        <f t="shared" ref="L51" si="52">L31+L36+L50</f>
        <v>694.54431599999975</v>
      </c>
      <c r="M51" s="11">
        <f t="shared" ref="M51" si="53">M31+M36+M50</f>
        <v>759.0055839470001</v>
      </c>
      <c r="N51" s="11">
        <f t="shared" ref="N51" si="54">N31+N36+N50</f>
        <v>829.17697035429785</v>
      </c>
      <c r="O51" s="11">
        <f t="shared" ref="O51" si="55">O31+O36+O50</f>
        <v>905.54863842020791</v>
      </c>
      <c r="P51" s="11">
        <f t="shared" ref="P51" si="56">P31+P36+P50</f>
        <v>988.65188594872257</v>
      </c>
      <c r="Q51" s="11">
        <f t="shared" ref="Q51" si="57">Q31+Q36+Q50</f>
        <v>1079.0625389222591</v>
      </c>
      <c r="R51" s="11">
        <f t="shared" ref="R51" si="58">R31+R36+R50</f>
        <v>1177.4046213297113</v>
      </c>
      <c r="S51" s="53">
        <f>R51*(1+$E$6)</f>
        <v>1212.7267599696027</v>
      </c>
      <c r="T51" s="53">
        <f t="shared" ref="T51:CE51" si="59">S51*(1+$E$6)</f>
        <v>1249.1085627686907</v>
      </c>
      <c r="U51" s="53">
        <f t="shared" si="59"/>
        <v>1286.5818196517514</v>
      </c>
      <c r="V51" s="53">
        <f t="shared" si="59"/>
        <v>1325.179274241304</v>
      </c>
      <c r="W51" s="53">
        <f t="shared" si="59"/>
        <v>1364.9346524685432</v>
      </c>
      <c r="X51" s="53">
        <f t="shared" si="59"/>
        <v>1405.8826920425995</v>
      </c>
      <c r="Y51" s="53">
        <f t="shared" si="59"/>
        <v>1448.0591728038776</v>
      </c>
      <c r="Z51" s="53">
        <f t="shared" si="59"/>
        <v>1491.5009479879939</v>
      </c>
      <c r="AA51" s="53">
        <f t="shared" si="59"/>
        <v>1536.2459764276337</v>
      </c>
      <c r="AB51" s="53">
        <f t="shared" si="59"/>
        <v>1582.3333557204628</v>
      </c>
      <c r="AC51" s="53">
        <f t="shared" si="59"/>
        <v>1629.8033563920767</v>
      </c>
      <c r="AD51" s="53">
        <f t="shared" si="59"/>
        <v>1678.697457083839</v>
      </c>
      <c r="AE51" s="53">
        <f t="shared" si="59"/>
        <v>1729.0583807963542</v>
      </c>
      <c r="AF51" s="53">
        <f t="shared" si="59"/>
        <v>1780.9301322202448</v>
      </c>
      <c r="AG51" s="53">
        <f t="shared" si="59"/>
        <v>1834.3580361868521</v>
      </c>
      <c r="AH51" s="53">
        <f t="shared" si="59"/>
        <v>1889.3887772724577</v>
      </c>
      <c r="AI51" s="53">
        <f t="shared" si="59"/>
        <v>1946.0704405906315</v>
      </c>
      <c r="AJ51" s="53">
        <f t="shared" si="59"/>
        <v>2004.4525538083506</v>
      </c>
      <c r="AK51" s="53">
        <f t="shared" si="59"/>
        <v>2064.5861304226009</v>
      </c>
      <c r="AL51" s="53">
        <f t="shared" si="59"/>
        <v>2126.5237143352792</v>
      </c>
      <c r="AM51" s="53">
        <f t="shared" si="59"/>
        <v>2190.3194257653377</v>
      </c>
      <c r="AN51" s="53">
        <f t="shared" si="59"/>
        <v>2256.0290085382981</v>
      </c>
      <c r="AO51" s="53">
        <f t="shared" si="59"/>
        <v>2323.7098787944469</v>
      </c>
      <c r="AP51" s="53">
        <f t="shared" si="59"/>
        <v>2393.4211751582802</v>
      </c>
      <c r="AQ51" s="53">
        <f t="shared" si="59"/>
        <v>2465.2238104130288</v>
      </c>
      <c r="AR51" s="53">
        <f t="shared" si="59"/>
        <v>2539.1805247254197</v>
      </c>
      <c r="AS51" s="53">
        <f t="shared" si="59"/>
        <v>2615.3559404671823</v>
      </c>
      <c r="AT51" s="53">
        <f t="shared" si="59"/>
        <v>2693.8166186811977</v>
      </c>
      <c r="AU51" s="53">
        <f t="shared" si="59"/>
        <v>2774.6311172416335</v>
      </c>
      <c r="AV51" s="53">
        <f t="shared" si="59"/>
        <v>2857.8700507588828</v>
      </c>
      <c r="AW51" s="53">
        <f t="shared" si="59"/>
        <v>2943.6061522816494</v>
      </c>
      <c r="AX51" s="53">
        <f t="shared" si="59"/>
        <v>3031.9143368500991</v>
      </c>
      <c r="AY51" s="53">
        <f t="shared" si="59"/>
        <v>3122.8717669556022</v>
      </c>
      <c r="AZ51" s="53">
        <f t="shared" si="59"/>
        <v>3216.5579199642702</v>
      </c>
      <c r="BA51" s="53">
        <f t="shared" si="59"/>
        <v>3313.0546575631984</v>
      </c>
      <c r="BB51" s="53">
        <f t="shared" si="59"/>
        <v>3412.4462972900942</v>
      </c>
      <c r="BC51" s="53">
        <f t="shared" si="59"/>
        <v>3514.8196862087971</v>
      </c>
      <c r="BD51" s="53">
        <f t="shared" si="59"/>
        <v>3620.2642767950611</v>
      </c>
      <c r="BE51" s="53">
        <f t="shared" si="59"/>
        <v>3728.8722050989131</v>
      </c>
      <c r="BF51" s="53">
        <f t="shared" si="59"/>
        <v>3840.7383712518808</v>
      </c>
      <c r="BG51" s="53">
        <f t="shared" si="59"/>
        <v>3955.9605223894373</v>
      </c>
      <c r="BH51" s="53">
        <f t="shared" si="59"/>
        <v>4074.6393380611207</v>
      </c>
      <c r="BI51" s="53">
        <f t="shared" si="59"/>
        <v>4196.8785182029542</v>
      </c>
      <c r="BJ51" s="53">
        <f t="shared" si="59"/>
        <v>4322.7848737490431</v>
      </c>
      <c r="BK51" s="53">
        <f t="shared" si="59"/>
        <v>4452.4684199615149</v>
      </c>
      <c r="BL51" s="53">
        <f t="shared" si="59"/>
        <v>4586.0424725603607</v>
      </c>
      <c r="BM51" s="53">
        <f t="shared" si="59"/>
        <v>4723.623746737172</v>
      </c>
      <c r="BN51" s="53">
        <f t="shared" si="59"/>
        <v>4865.3324591392875</v>
      </c>
      <c r="BO51" s="53">
        <f t="shared" si="59"/>
        <v>5011.2924329134667</v>
      </c>
      <c r="BP51" s="53">
        <f t="shared" si="59"/>
        <v>5161.6312059008706</v>
      </c>
      <c r="BQ51" s="53">
        <f t="shared" si="59"/>
        <v>5316.4801420778967</v>
      </c>
      <c r="BR51" s="53">
        <f t="shared" si="59"/>
        <v>5475.9745463402342</v>
      </c>
      <c r="BS51" s="53">
        <f t="shared" si="59"/>
        <v>5640.2537827304413</v>
      </c>
      <c r="BT51" s="53">
        <f t="shared" si="59"/>
        <v>5809.4613962123549</v>
      </c>
      <c r="BU51" s="53">
        <f t="shared" si="59"/>
        <v>5983.7452380987261</v>
      </c>
      <c r="BV51" s="53">
        <f t="shared" si="59"/>
        <v>6163.2575952416883</v>
      </c>
      <c r="BW51" s="53">
        <f t="shared" si="59"/>
        <v>6348.1553230989393</v>
      </c>
      <c r="BX51" s="53">
        <f t="shared" si="59"/>
        <v>6538.5999827919077</v>
      </c>
      <c r="BY51" s="53">
        <f t="shared" si="59"/>
        <v>6734.7579822756652</v>
      </c>
      <c r="BZ51" s="53">
        <f t="shared" si="59"/>
        <v>6936.8007217439354</v>
      </c>
      <c r="CA51" s="53">
        <f t="shared" si="59"/>
        <v>7144.9047433962533</v>
      </c>
      <c r="CB51" s="53">
        <f t="shared" si="59"/>
        <v>7359.2518856981415</v>
      </c>
      <c r="CC51" s="53">
        <f t="shared" si="59"/>
        <v>7580.0294422690858</v>
      </c>
      <c r="CD51" s="53">
        <f t="shared" si="59"/>
        <v>7807.4303255371588</v>
      </c>
      <c r="CE51" s="53">
        <f t="shared" si="59"/>
        <v>8041.6532353032735</v>
      </c>
      <c r="CF51" s="53">
        <f t="shared" ref="CF51:CH51" si="60">CE51*(1+$E$6)</f>
        <v>8282.9028323623716</v>
      </c>
      <c r="CG51" s="53">
        <f t="shared" si="60"/>
        <v>8531.3899173332429</v>
      </c>
      <c r="CH51" s="53">
        <f t="shared" si="60"/>
        <v>8787.3316148532413</v>
      </c>
    </row>
    <row r="52" spans="1:86" s="52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"/>
      <c r="K52" s="1"/>
      <c r="L52" s="1"/>
      <c r="M52" s="1"/>
      <c r="N52" s="1"/>
      <c r="O52" s="1"/>
      <c r="P52" s="1"/>
      <c r="Q52" s="1"/>
      <c r="R52" s="1"/>
    </row>
    <row r="53" spans="1:86" s="52" customFormat="1" x14ac:dyDescent="0.25">
      <c r="A53" s="1"/>
      <c r="B53" s="9" t="s">
        <v>25</v>
      </c>
      <c r="C53" s="24">
        <f t="shared" ref="C53:R53" si="61">C49+C40+C43-C46</f>
        <v>182.20000000000007</v>
      </c>
      <c r="D53" s="24">
        <f t="shared" si="61"/>
        <v>42.500000000000043</v>
      </c>
      <c r="E53" s="24">
        <f t="shared" si="61"/>
        <v>118.3</v>
      </c>
      <c r="F53" s="24">
        <f t="shared" si="61"/>
        <v>-29.000000000000007</v>
      </c>
      <c r="G53" s="24">
        <f t="shared" si="61"/>
        <v>123.80000000000013</v>
      </c>
      <c r="H53" s="24">
        <f t="shared" si="61"/>
        <v>-194.00000000000014</v>
      </c>
      <c r="I53" s="54">
        <f t="shared" si="61"/>
        <v>-143.29413400000004</v>
      </c>
      <c r="J53" s="24">
        <f t="shared" si="61"/>
        <v>151.96049999999997</v>
      </c>
      <c r="K53" s="24">
        <f t="shared" si="61"/>
        <v>706.6579999999999</v>
      </c>
      <c r="L53" s="24">
        <f t="shared" si="61"/>
        <v>788.74298599999986</v>
      </c>
      <c r="M53" s="24">
        <f t="shared" si="61"/>
        <v>837.76800083700016</v>
      </c>
      <c r="N53" s="24">
        <f t="shared" si="61"/>
        <v>889.74745646780787</v>
      </c>
      <c r="O53" s="24">
        <f t="shared" si="61"/>
        <v>961.97766232808738</v>
      </c>
      <c r="P53" s="24">
        <f t="shared" si="61"/>
        <v>1040.0120140484503</v>
      </c>
      <c r="Q53" s="24">
        <f t="shared" si="61"/>
        <v>1124.31300215744</v>
      </c>
      <c r="R53" s="24">
        <f t="shared" si="61"/>
        <v>1215.3797105074782</v>
      </c>
    </row>
    <row r="54" spans="1:86" s="52" customFormat="1" x14ac:dyDescent="0.25">
      <c r="A54" s="1"/>
      <c r="B54" s="25" t="s">
        <v>26</v>
      </c>
      <c r="C54" s="1"/>
      <c r="D54" s="1"/>
      <c r="E54" s="1"/>
      <c r="F54" s="1"/>
      <c r="G54" s="1"/>
      <c r="H54" s="1"/>
      <c r="I54" s="70">
        <f t="shared" ref="I54:R54" si="62">I53/((1+$E$5)^I9)</f>
        <v>-130.0054874506458</v>
      </c>
      <c r="J54" s="71">
        <f t="shared" si="62"/>
        <v>125.08270297308815</v>
      </c>
      <c r="K54" s="71">
        <f t="shared" si="62"/>
        <v>527.72673387765315</v>
      </c>
      <c r="L54" s="71">
        <f t="shared" si="62"/>
        <v>534.40264333905554</v>
      </c>
      <c r="M54" s="71">
        <f t="shared" si="62"/>
        <v>514.9797207229783</v>
      </c>
      <c r="N54" s="71">
        <f t="shared" si="62"/>
        <v>496.21099859084069</v>
      </c>
      <c r="O54" s="71">
        <f t="shared" si="62"/>
        <v>486.74095573837928</v>
      </c>
      <c r="P54" s="71">
        <f t="shared" si="62"/>
        <v>477.42431210006623</v>
      </c>
      <c r="Q54" s="71">
        <f t="shared" si="62"/>
        <v>468.25958915103865</v>
      </c>
      <c r="R54" s="71">
        <f t="shared" si="62"/>
        <v>459.24527896929902</v>
      </c>
    </row>
    <row r="55" spans="1:86" s="52" customFormat="1" x14ac:dyDescent="0.25">
      <c r="A55" s="1"/>
      <c r="B55" s="26"/>
      <c r="C55" s="26"/>
      <c r="D55" s="26"/>
      <c r="E55" s="26"/>
      <c r="F55" s="26"/>
      <c r="G55" s="26"/>
      <c r="H55" s="26"/>
      <c r="I55" s="72"/>
      <c r="J55" s="1"/>
      <c r="K55" s="1"/>
      <c r="L55" s="1"/>
      <c r="M55" s="1"/>
      <c r="N55" s="1"/>
      <c r="O55" s="1"/>
      <c r="P55" s="1"/>
      <c r="Q55" s="1"/>
      <c r="R55" s="1"/>
    </row>
    <row r="56" spans="1:86" s="52" customFormat="1" x14ac:dyDescent="0.25">
      <c r="A56" s="1"/>
      <c r="B56" s="1" t="s">
        <v>27</v>
      </c>
      <c r="C56" s="27">
        <f>(R53*(1+$E$6))/($E$5-$E$6)</f>
        <v>17334.667514816767</v>
      </c>
      <c r="D56" s="1"/>
      <c r="E56" s="1" t="s">
        <v>28</v>
      </c>
      <c r="F56" s="18">
        <f>NPV($E$5,I51:CH51)</f>
        <v>10828.250074712485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2" customFormat="1" x14ac:dyDescent="0.25">
      <c r="A57" s="1"/>
      <c r="B57" s="3" t="s">
        <v>29</v>
      </c>
      <c r="C57" s="28">
        <f>C56/((1+$E$5)^$R$9)</f>
        <v>6550.1045885964613</v>
      </c>
      <c r="D57" s="16"/>
      <c r="E57" s="3"/>
      <c r="F57" s="3"/>
      <c r="G57" s="3"/>
      <c r="H57" s="16"/>
      <c r="I57" s="12"/>
      <c r="J57" s="1"/>
      <c r="K57" s="2"/>
      <c r="L57" s="92" t="s">
        <v>56</v>
      </c>
      <c r="M57" s="92"/>
      <c r="N57" s="92"/>
      <c r="O57" s="92"/>
      <c r="P57" s="92"/>
      <c r="Q57" s="92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9" t="s">
        <v>31</v>
      </c>
      <c r="H58" s="29" t="s">
        <v>28</v>
      </c>
      <c r="I58" s="15"/>
      <c r="J58" s="1"/>
      <c r="K58" s="55"/>
      <c r="L58" s="60">
        <f>E64</f>
        <v>138.3445080803171</v>
      </c>
      <c r="M58" s="79">
        <v>-0.01</v>
      </c>
      <c r="N58" s="79">
        <v>0.01</v>
      </c>
      <c r="O58" s="79">
        <v>0.03</v>
      </c>
      <c r="P58" s="79">
        <v>0.04</v>
      </c>
      <c r="Q58" s="79">
        <v>0.05</v>
      </c>
    </row>
    <row r="59" spans="1:86" x14ac:dyDescent="0.25">
      <c r="A59" s="1"/>
      <c r="B59" s="30" t="s">
        <v>32</v>
      </c>
      <c r="C59" s="1"/>
      <c r="D59" s="23">
        <f>173.9+63.5</f>
        <v>237.4</v>
      </c>
      <c r="E59" s="1"/>
      <c r="F59" s="1"/>
      <c r="G59" s="27">
        <f>C57+SUM(I54:R54)</f>
        <v>10510.172036608215</v>
      </c>
      <c r="H59" s="18">
        <f>F56</f>
        <v>10828.250074712485</v>
      </c>
      <c r="I59" s="15"/>
      <c r="K59" s="55"/>
      <c r="L59" s="57">
        <f>L60-0.5%</f>
        <v>8.6579010630418882E-2</v>
      </c>
      <c r="M59" s="61">
        <f t="dataTable" ref="M59:Q63" dt2D="1" dtr="1" r1="E6" r2="E5"/>
        <v>129.05040042841742</v>
      </c>
      <c r="N59" s="61">
        <v>149.26660590730518</v>
      </c>
      <c r="O59" s="61">
        <v>182.87406333584056</v>
      </c>
      <c r="P59" s="61">
        <v>209.34823939325952</v>
      </c>
      <c r="Q59" s="61">
        <v>248.07460863643504</v>
      </c>
    </row>
    <row r="60" spans="1:86" x14ac:dyDescent="0.25">
      <c r="A60" s="1"/>
      <c r="B60" s="31" t="s">
        <v>33</v>
      </c>
      <c r="C60" s="3"/>
      <c r="D60" s="83">
        <f>694.4-145.3</f>
        <v>549.09999999999991</v>
      </c>
      <c r="E60" s="3"/>
      <c r="F60" s="3"/>
      <c r="G60" s="3"/>
      <c r="H60" s="3"/>
      <c r="I60" s="15"/>
      <c r="K60" s="56"/>
      <c r="L60" s="57">
        <f>L61-1%</f>
        <v>9.1579010630418886E-2</v>
      </c>
      <c r="M60" s="61">
        <v>120.82643834096942</v>
      </c>
      <c r="N60" s="62">
        <v>138.18999519029472</v>
      </c>
      <c r="O60" s="62">
        <v>166.25369216626754</v>
      </c>
      <c r="P60" s="62">
        <v>187.71954547196017</v>
      </c>
      <c r="Q60" s="61">
        <v>218.14378666151725</v>
      </c>
      <c r="R60" s="48"/>
    </row>
    <row r="61" spans="1:86" x14ac:dyDescent="0.25">
      <c r="A61" s="1"/>
      <c r="B61" s="6" t="s">
        <v>34</v>
      </c>
      <c r="C61" s="6"/>
      <c r="D61" s="6"/>
      <c r="E61" s="6"/>
      <c r="F61" s="6"/>
      <c r="G61" s="32">
        <f>G59+D59-D60</f>
        <v>10198.472036608215</v>
      </c>
      <c r="H61" s="33">
        <f>H59+D59-D60</f>
        <v>10516.550074712484</v>
      </c>
      <c r="I61" s="15"/>
      <c r="K61" s="55" t="s">
        <v>1</v>
      </c>
      <c r="L61" s="57">
        <v>0.10157901063041888</v>
      </c>
      <c r="M61" s="61">
        <v>106.70719888597195</v>
      </c>
      <c r="N61" s="62">
        <v>119.73025160039586</v>
      </c>
      <c r="O61" s="63">
        <v>139.78642306184008</v>
      </c>
      <c r="P61" s="62">
        <v>154.40084010417684</v>
      </c>
      <c r="Q61" s="61">
        <v>174.14101846210812</v>
      </c>
    </row>
    <row r="62" spans="1:86" x14ac:dyDescent="0.25">
      <c r="A62" s="1"/>
      <c r="B62" s="3" t="s">
        <v>35</v>
      </c>
      <c r="C62" s="3"/>
      <c r="D62" s="38">
        <f>74867526/1000000</f>
        <v>74.867525999999998</v>
      </c>
      <c r="E62" s="3"/>
      <c r="F62" s="3"/>
      <c r="G62" s="3"/>
      <c r="H62" s="34"/>
      <c r="I62" s="15"/>
      <c r="K62" s="55"/>
      <c r="L62" s="58">
        <f>L61+1%</f>
        <v>0.11157901063041888</v>
      </c>
      <c r="M62" s="61">
        <v>95.051727058606474</v>
      </c>
      <c r="N62" s="62">
        <v>105.0081563412221</v>
      </c>
      <c r="O62" s="62">
        <v>119.74044655978614</v>
      </c>
      <c r="P62" s="62">
        <v>130.06669644741581</v>
      </c>
      <c r="Q62" s="61">
        <v>143.5228184764278</v>
      </c>
    </row>
    <row r="63" spans="1:86" x14ac:dyDescent="0.25">
      <c r="A63" s="1"/>
      <c r="B63" s="17" t="s">
        <v>36</v>
      </c>
      <c r="C63" s="17"/>
      <c r="D63" s="64">
        <f>D62*$J$5</f>
        <v>10477.710263699999</v>
      </c>
      <c r="E63" s="17"/>
      <c r="F63" s="17"/>
      <c r="G63" s="17"/>
      <c r="H63" s="35"/>
      <c r="I63" s="1"/>
      <c r="K63" s="55"/>
      <c r="L63" s="58">
        <f>L62+0.5%</f>
        <v>0.11657901063041888</v>
      </c>
      <c r="M63" s="61">
        <v>89.963589328044151</v>
      </c>
      <c r="N63" s="61">
        <v>98.723897195943351</v>
      </c>
      <c r="O63" s="61">
        <v>111.46114081240071</v>
      </c>
      <c r="P63" s="61">
        <v>120.24092346133878</v>
      </c>
      <c r="Q63" s="61">
        <v>131.51215558106264</v>
      </c>
    </row>
    <row r="64" spans="1:86" x14ac:dyDescent="0.25">
      <c r="A64" s="1"/>
      <c r="B64" s="6" t="s">
        <v>37</v>
      </c>
      <c r="D64" s="6" t="s">
        <v>38</v>
      </c>
      <c r="E64" s="36">
        <f>(G64+H64)/2</f>
        <v>138.3445080803171</v>
      </c>
      <c r="F64" s="6"/>
      <c r="G64" s="36">
        <f>G61/D62</f>
        <v>136.22023568146508</v>
      </c>
      <c r="H64" s="37">
        <f>H61/D62</f>
        <v>140.46878047916908</v>
      </c>
      <c r="I64" s="15"/>
    </row>
    <row r="65" spans="2:9" x14ac:dyDescent="0.25">
      <c r="B65" s="41"/>
      <c r="C65" s="41"/>
      <c r="D65" s="41"/>
      <c r="E65" s="41"/>
      <c r="F65" s="41"/>
      <c r="G65" s="41"/>
      <c r="H65" s="41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R47"/>
  <sheetViews>
    <sheetView topLeftCell="A19" workbookViewId="0">
      <selection activeCell="D30" sqref="D30"/>
    </sheetView>
  </sheetViews>
  <sheetFormatPr defaultRowHeight="15" x14ac:dyDescent="0.25"/>
  <sheetData>
    <row r="1" spans="1:18" x14ac:dyDescent="0.25">
      <c r="A1" s="93" t="s">
        <v>69</v>
      </c>
      <c r="B1" s="93"/>
      <c r="C1" s="93"/>
      <c r="D1" s="93"/>
      <c r="E1" s="93"/>
      <c r="F1" s="93"/>
    </row>
    <row r="4" spans="1:18" x14ac:dyDescent="0.25">
      <c r="A4" s="95" t="s">
        <v>70</v>
      </c>
      <c r="B4" s="95"/>
      <c r="C4" s="95"/>
      <c r="D4" s="85" t="s">
        <v>59</v>
      </c>
      <c r="E4" s="85" t="s">
        <v>58</v>
      </c>
      <c r="F4" s="85" t="s">
        <v>57</v>
      </c>
      <c r="G4" s="85"/>
      <c r="H4" s="85"/>
      <c r="L4" s="85"/>
      <c r="M4" s="85"/>
      <c r="Q4" s="85"/>
      <c r="R4" s="85"/>
    </row>
    <row r="5" spans="1:18" x14ac:dyDescent="0.25">
      <c r="A5" s="93" t="s">
        <v>71</v>
      </c>
      <c r="B5" s="93"/>
      <c r="C5" s="93"/>
    </row>
    <row r="6" spans="1:18" x14ac:dyDescent="0.25">
      <c r="A6" s="93" t="s">
        <v>72</v>
      </c>
      <c r="B6" s="93"/>
      <c r="C6" s="93"/>
      <c r="D6" s="88">
        <v>169.6</v>
      </c>
      <c r="E6" s="88">
        <v>409.1</v>
      </c>
      <c r="F6" s="88">
        <v>614.6</v>
      </c>
      <c r="G6" s="88"/>
      <c r="L6" s="88"/>
      <c r="Q6" s="88"/>
    </row>
    <row r="7" spans="1:18" x14ac:dyDescent="0.25">
      <c r="A7" s="93" t="s">
        <v>73</v>
      </c>
      <c r="B7" s="93"/>
      <c r="C7" s="93"/>
      <c r="D7" s="86">
        <v>430.1</v>
      </c>
      <c r="E7" s="86">
        <v>451.4</v>
      </c>
      <c r="F7" s="86">
        <v>436.4</v>
      </c>
      <c r="G7" s="86"/>
      <c r="L7" s="86"/>
      <c r="Q7" s="86"/>
    </row>
    <row r="8" spans="1:18" x14ac:dyDescent="0.25">
      <c r="A8" s="93" t="s">
        <v>74</v>
      </c>
      <c r="B8" s="93"/>
      <c r="C8" s="93"/>
      <c r="D8" s="86">
        <v>435.3</v>
      </c>
      <c r="E8" s="86">
        <v>695.4</v>
      </c>
      <c r="F8" s="86">
        <v>755.9</v>
      </c>
      <c r="G8" s="86"/>
      <c r="L8" s="86"/>
      <c r="Q8" s="86"/>
    </row>
    <row r="9" spans="1:18" x14ac:dyDescent="0.25">
      <c r="A9" s="93" t="s">
        <v>75</v>
      </c>
      <c r="B9" s="93"/>
      <c r="C9" s="93"/>
      <c r="D9" s="86">
        <v>19</v>
      </c>
      <c r="E9" s="86">
        <v>41.3</v>
      </c>
      <c r="F9" s="86">
        <v>2.9</v>
      </c>
      <c r="G9" s="86"/>
      <c r="L9" s="86"/>
      <c r="Q9" s="86"/>
    </row>
    <row r="10" spans="1:18" x14ac:dyDescent="0.25">
      <c r="A10" s="93" t="s">
        <v>76</v>
      </c>
      <c r="B10" s="93"/>
      <c r="C10" s="93"/>
      <c r="D10" s="86">
        <v>1054</v>
      </c>
      <c r="E10" s="86">
        <v>1597.2</v>
      </c>
      <c r="F10" s="86">
        <v>1809.8</v>
      </c>
      <c r="G10" s="86"/>
      <c r="L10" s="86"/>
      <c r="Q10" s="86"/>
    </row>
    <row r="11" spans="1:18" x14ac:dyDescent="0.25">
      <c r="A11" s="93" t="s">
        <v>77</v>
      </c>
      <c r="B11" s="93"/>
      <c r="C11" s="93"/>
    </row>
    <row r="12" spans="1:18" x14ac:dyDescent="0.25">
      <c r="A12" s="93" t="s">
        <v>72</v>
      </c>
      <c r="B12" s="93"/>
      <c r="C12" s="93"/>
      <c r="D12" s="86">
        <v>179</v>
      </c>
      <c r="E12" s="86">
        <v>288.89999999999998</v>
      </c>
      <c r="F12" s="86">
        <v>400.9</v>
      </c>
      <c r="G12" s="86"/>
      <c r="L12" s="86"/>
      <c r="Q12" s="86"/>
    </row>
    <row r="13" spans="1:18" x14ac:dyDescent="0.25">
      <c r="A13" s="93" t="s">
        <v>73</v>
      </c>
      <c r="B13" s="93"/>
      <c r="C13" s="93"/>
      <c r="D13" s="86">
        <v>293.10000000000002</v>
      </c>
      <c r="E13" s="86">
        <v>345.8</v>
      </c>
      <c r="F13" s="86">
        <v>293.60000000000002</v>
      </c>
      <c r="G13" s="86"/>
      <c r="L13" s="86"/>
      <c r="Q13" s="86"/>
    </row>
    <row r="14" spans="1:18" x14ac:dyDescent="0.25">
      <c r="A14" s="93" t="s">
        <v>74</v>
      </c>
      <c r="B14" s="93"/>
      <c r="C14" s="93"/>
      <c r="D14" s="86">
        <v>357.9</v>
      </c>
      <c r="E14" s="86">
        <v>476.3</v>
      </c>
      <c r="F14" s="86">
        <v>537.9</v>
      </c>
      <c r="G14" s="86"/>
      <c r="L14" s="86"/>
      <c r="Q14" s="86"/>
    </row>
    <row r="15" spans="1:18" x14ac:dyDescent="0.25">
      <c r="A15" s="93" t="s">
        <v>75</v>
      </c>
      <c r="B15" s="93"/>
      <c r="C15" s="93"/>
      <c r="D15" s="86">
        <v>30.5</v>
      </c>
      <c r="E15" s="86">
        <v>40.1</v>
      </c>
      <c r="F15" s="86">
        <v>11</v>
      </c>
      <c r="G15" s="86"/>
      <c r="L15" s="86"/>
      <c r="Q15" s="86"/>
    </row>
    <row r="16" spans="1:18" x14ac:dyDescent="0.25">
      <c r="A16" s="93" t="s">
        <v>60</v>
      </c>
      <c r="B16" s="93"/>
      <c r="C16" s="93"/>
      <c r="D16" s="86">
        <v>114.8</v>
      </c>
      <c r="E16" s="86">
        <v>138.5</v>
      </c>
      <c r="F16" s="86">
        <v>164.2</v>
      </c>
      <c r="G16" s="86"/>
      <c r="L16" s="86"/>
      <c r="Q16" s="86"/>
    </row>
    <row r="17" spans="1:17" x14ac:dyDescent="0.25">
      <c r="A17" s="93" t="s">
        <v>78</v>
      </c>
      <c r="B17" s="93"/>
      <c r="C17" s="93"/>
      <c r="D17" s="86">
        <v>17.5</v>
      </c>
      <c r="E17" s="86">
        <v>15.3</v>
      </c>
      <c r="F17" s="86">
        <v>38.299999999999997</v>
      </c>
      <c r="G17" s="86"/>
      <c r="L17" s="86"/>
      <c r="Q17" s="86"/>
    </row>
    <row r="18" spans="1:17" x14ac:dyDescent="0.25">
      <c r="A18" s="93" t="s">
        <v>79</v>
      </c>
      <c r="B18" s="93"/>
      <c r="C18" s="93"/>
      <c r="D18" s="86">
        <v>1</v>
      </c>
      <c r="E18" s="86">
        <v>7.9</v>
      </c>
      <c r="F18" s="86">
        <v>42.1</v>
      </c>
      <c r="G18" s="86"/>
      <c r="L18" s="86"/>
      <c r="Q18" s="86"/>
    </row>
    <row r="19" spans="1:17" ht="30" customHeight="1" x14ac:dyDescent="0.25">
      <c r="A19" s="93" t="s">
        <v>80</v>
      </c>
      <c r="B19" s="93"/>
      <c r="C19" s="93"/>
      <c r="D19" s="86">
        <v>993.8</v>
      </c>
      <c r="E19" s="86">
        <v>1312.8</v>
      </c>
      <c r="F19" s="86">
        <v>1488</v>
      </c>
      <c r="G19" s="86"/>
      <c r="L19" s="86"/>
      <c r="Q19" s="86"/>
    </row>
    <row r="20" spans="1:17" x14ac:dyDescent="0.25">
      <c r="A20" s="93" t="s">
        <v>13</v>
      </c>
      <c r="B20" s="93"/>
      <c r="C20" s="93"/>
      <c r="D20" s="86">
        <v>60.2</v>
      </c>
      <c r="E20" s="86">
        <v>284.39999999999998</v>
      </c>
      <c r="F20" s="86">
        <v>321.8</v>
      </c>
      <c r="G20" s="86"/>
      <c r="L20" s="86"/>
      <c r="Q20" s="86"/>
    </row>
    <row r="21" spans="1:17" x14ac:dyDescent="0.25">
      <c r="A21" s="93" t="s">
        <v>81</v>
      </c>
      <c r="B21" s="93"/>
      <c r="C21" s="93"/>
    </row>
    <row r="22" spans="1:17" x14ac:dyDescent="0.25">
      <c r="A22" s="93" t="s">
        <v>82</v>
      </c>
      <c r="B22" s="93"/>
      <c r="C22" s="93"/>
      <c r="D22" s="89">
        <v>-80</v>
      </c>
      <c r="E22" s="89">
        <v>-84.7</v>
      </c>
      <c r="F22" s="89">
        <v>-147.30000000000001</v>
      </c>
      <c r="G22" s="89"/>
      <c r="L22" s="89"/>
      <c r="Q22" s="89"/>
    </row>
    <row r="23" spans="1:17" x14ac:dyDescent="0.25">
      <c r="A23" s="93" t="s">
        <v>83</v>
      </c>
      <c r="B23" s="93"/>
      <c r="C23" s="93"/>
      <c r="D23" s="86">
        <v>27.7</v>
      </c>
      <c r="E23" s="86">
        <v>143.19999999999999</v>
      </c>
      <c r="F23" s="86">
        <v>152.69999999999999</v>
      </c>
      <c r="G23" s="86"/>
      <c r="L23" s="86"/>
      <c r="Q23" s="86"/>
    </row>
    <row r="24" spans="1:17" x14ac:dyDescent="0.25">
      <c r="A24" s="93" t="s">
        <v>84</v>
      </c>
      <c r="B24" s="93"/>
      <c r="C24" s="93"/>
      <c r="D24" s="85" t="s">
        <v>61</v>
      </c>
      <c r="E24" s="85" t="s">
        <v>61</v>
      </c>
      <c r="F24" s="86">
        <v>274.60000000000002</v>
      </c>
      <c r="G24" s="86"/>
      <c r="L24" s="85"/>
      <c r="Q24" s="85"/>
    </row>
    <row r="25" spans="1:17" x14ac:dyDescent="0.25">
      <c r="A25" s="93" t="s">
        <v>85</v>
      </c>
      <c r="B25" s="93"/>
      <c r="C25" s="93"/>
      <c r="D25" s="86">
        <v>0.1</v>
      </c>
      <c r="E25" s="86">
        <v>0.7</v>
      </c>
      <c r="F25" s="86">
        <v>7</v>
      </c>
      <c r="G25" s="86"/>
      <c r="L25" s="86"/>
      <c r="Q25" s="86"/>
    </row>
    <row r="26" spans="1:17" x14ac:dyDescent="0.25">
      <c r="A26" s="93" t="s">
        <v>86</v>
      </c>
      <c r="B26" s="93"/>
      <c r="C26" s="93"/>
      <c r="D26" s="89">
        <v>-52.2</v>
      </c>
      <c r="E26" s="86">
        <v>59.2</v>
      </c>
      <c r="F26" s="86">
        <v>287</v>
      </c>
      <c r="G26" s="86"/>
      <c r="L26" s="86"/>
      <c r="Q26" s="89"/>
    </row>
    <row r="27" spans="1:17" x14ac:dyDescent="0.25">
      <c r="A27" s="93" t="s">
        <v>87</v>
      </c>
      <c r="B27" s="93"/>
      <c r="C27" s="93"/>
      <c r="D27" s="86">
        <v>8</v>
      </c>
      <c r="E27" s="86">
        <v>343.6</v>
      </c>
      <c r="F27" s="86">
        <v>608.79999999999995</v>
      </c>
      <c r="G27" s="86"/>
      <c r="L27" s="86"/>
      <c r="Q27" s="86"/>
    </row>
    <row r="28" spans="1:17" x14ac:dyDescent="0.25">
      <c r="A28" s="93" t="s">
        <v>88</v>
      </c>
      <c r="B28" s="93"/>
      <c r="C28" s="93"/>
      <c r="D28" s="86">
        <v>5.3</v>
      </c>
      <c r="E28" s="89">
        <v>-94.5</v>
      </c>
      <c r="F28" s="89">
        <v>-169.4</v>
      </c>
      <c r="G28" s="89"/>
      <c r="L28" s="89"/>
      <c r="Q28" s="86"/>
    </row>
    <row r="29" spans="1:17" x14ac:dyDescent="0.25">
      <c r="A29" s="93" t="s">
        <v>89</v>
      </c>
      <c r="B29" s="93"/>
      <c r="C29" s="93"/>
      <c r="D29" s="86">
        <v>13.3</v>
      </c>
      <c r="E29" s="86">
        <v>249.1</v>
      </c>
      <c r="F29" s="86">
        <v>439.4</v>
      </c>
      <c r="G29" s="86"/>
      <c r="L29" s="86"/>
      <c r="Q29" s="86"/>
    </row>
    <row r="30" spans="1:17" x14ac:dyDescent="0.25">
      <c r="A30" s="93" t="s">
        <v>90</v>
      </c>
      <c r="B30" s="93"/>
      <c r="C30" s="93"/>
      <c r="D30" s="89">
        <v>-95.4</v>
      </c>
      <c r="E30" s="85" t="s">
        <v>61</v>
      </c>
      <c r="F30" s="85" t="s">
        <v>61</v>
      </c>
      <c r="G30" s="85"/>
      <c r="L30" s="85"/>
      <c r="Q30" s="89"/>
    </row>
    <row r="31" spans="1:17" x14ac:dyDescent="0.25">
      <c r="A31" s="93" t="s">
        <v>52</v>
      </c>
      <c r="B31" s="93"/>
      <c r="C31" s="93"/>
      <c r="D31" s="89">
        <v>-82.1</v>
      </c>
      <c r="E31" s="86">
        <v>249.1</v>
      </c>
      <c r="F31" s="86">
        <v>439.4</v>
      </c>
      <c r="G31" s="86"/>
      <c r="L31" s="86"/>
      <c r="Q31" s="89"/>
    </row>
    <row r="32" spans="1:17" x14ac:dyDescent="0.25">
      <c r="A32" s="93" t="s">
        <v>91</v>
      </c>
      <c r="B32" s="93"/>
      <c r="C32" s="93"/>
      <c r="D32" s="89">
        <v>-0.2</v>
      </c>
      <c r="E32" s="85" t="s">
        <v>61</v>
      </c>
      <c r="F32" s="85" t="s">
        <v>61</v>
      </c>
      <c r="G32" s="85"/>
      <c r="L32" s="85"/>
      <c r="Q32" s="89"/>
    </row>
    <row r="33" spans="1:17" x14ac:dyDescent="0.25">
      <c r="A33" s="93" t="s">
        <v>92</v>
      </c>
      <c r="B33" s="93"/>
      <c r="C33" s="93"/>
      <c r="D33" s="87">
        <v>-81.900000000000006</v>
      </c>
      <c r="E33" s="88">
        <v>249.1</v>
      </c>
      <c r="F33" s="88">
        <v>439.4</v>
      </c>
      <c r="G33" s="88"/>
      <c r="L33" s="88"/>
      <c r="Q33" s="87"/>
    </row>
    <row r="34" spans="1:17" x14ac:dyDescent="0.25">
      <c r="A34" s="94"/>
      <c r="B34" s="94"/>
      <c r="C34" s="94"/>
    </row>
    <row r="35" spans="1:17" x14ac:dyDescent="0.25">
      <c r="A35" s="93" t="s">
        <v>93</v>
      </c>
      <c r="B35" s="93"/>
      <c r="C35" s="93"/>
    </row>
    <row r="36" spans="1:17" x14ac:dyDescent="0.25">
      <c r="A36" s="93" t="s">
        <v>94</v>
      </c>
      <c r="B36" s="93"/>
      <c r="C36" s="93"/>
      <c r="D36" s="88">
        <v>0.34</v>
      </c>
      <c r="E36" s="88">
        <v>6.45</v>
      </c>
      <c r="F36" s="88">
        <v>11.58</v>
      </c>
      <c r="G36" s="88"/>
      <c r="L36" s="88"/>
      <c r="Q36" s="88"/>
    </row>
    <row r="37" spans="1:17" x14ac:dyDescent="0.25">
      <c r="A37" s="93" t="s">
        <v>95</v>
      </c>
      <c r="B37" s="93"/>
      <c r="C37" s="93"/>
      <c r="D37" s="87">
        <v>-2.41</v>
      </c>
      <c r="E37" s="85" t="s">
        <v>65</v>
      </c>
      <c r="F37" s="85" t="s">
        <v>65</v>
      </c>
      <c r="G37" s="85"/>
      <c r="L37" s="85"/>
      <c r="Q37" s="87"/>
    </row>
    <row r="38" spans="1:17" x14ac:dyDescent="0.25">
      <c r="A38" s="93" t="s">
        <v>96</v>
      </c>
      <c r="B38" s="93"/>
      <c r="C38" s="93"/>
      <c r="D38" s="87">
        <v>-2.0699999999999998</v>
      </c>
      <c r="E38" s="88">
        <v>6.45</v>
      </c>
      <c r="F38" s="88">
        <v>11.58</v>
      </c>
      <c r="G38" s="88"/>
      <c r="L38" s="88"/>
      <c r="Q38" s="87"/>
    </row>
    <row r="39" spans="1:17" x14ac:dyDescent="0.25">
      <c r="A39" s="94"/>
      <c r="B39" s="94"/>
      <c r="C39" s="94"/>
    </row>
    <row r="40" spans="1:17" x14ac:dyDescent="0.25">
      <c r="A40" s="93" t="s">
        <v>97</v>
      </c>
      <c r="B40" s="93"/>
      <c r="C40" s="93"/>
    </row>
    <row r="41" spans="1:17" x14ac:dyDescent="0.25">
      <c r="A41" s="93" t="s">
        <v>94</v>
      </c>
      <c r="B41" s="93"/>
      <c r="C41" s="93"/>
      <c r="D41" s="88">
        <v>0.33</v>
      </c>
      <c r="E41" s="88">
        <v>6.35</v>
      </c>
      <c r="F41" s="88">
        <v>11.42</v>
      </c>
      <c r="G41" s="88"/>
      <c r="L41" s="88"/>
      <c r="Q41" s="88"/>
    </row>
    <row r="42" spans="1:17" x14ac:dyDescent="0.25">
      <c r="A42" s="93" t="s">
        <v>95</v>
      </c>
      <c r="B42" s="93"/>
      <c r="C42" s="93"/>
      <c r="D42" s="87">
        <v>-2.41</v>
      </c>
      <c r="E42" s="85" t="s">
        <v>65</v>
      </c>
      <c r="F42" s="85" t="s">
        <v>65</v>
      </c>
      <c r="G42" s="85"/>
      <c r="L42" s="85"/>
      <c r="Q42" s="87"/>
    </row>
    <row r="43" spans="1:17" x14ac:dyDescent="0.25">
      <c r="A43" s="93" t="s">
        <v>98</v>
      </c>
      <c r="B43" s="93"/>
      <c r="C43" s="93"/>
      <c r="D43" s="87">
        <v>-2.08</v>
      </c>
      <c r="E43" s="88">
        <v>6.35</v>
      </c>
      <c r="F43" s="88">
        <v>11.42</v>
      </c>
      <c r="G43" s="88"/>
      <c r="L43" s="88"/>
      <c r="Q43" s="87"/>
    </row>
    <row r="44" spans="1:17" x14ac:dyDescent="0.25">
      <c r="A44" s="94"/>
      <c r="B44" s="94"/>
      <c r="C44" s="94"/>
    </row>
    <row r="45" spans="1:17" x14ac:dyDescent="0.25">
      <c r="A45" s="93" t="s">
        <v>99</v>
      </c>
      <c r="B45" s="93"/>
      <c r="C45" s="93"/>
    </row>
    <row r="46" spans="1:17" x14ac:dyDescent="0.25">
      <c r="A46" s="93" t="s">
        <v>100</v>
      </c>
      <c r="B46" s="93"/>
      <c r="C46" s="93"/>
      <c r="D46" s="86">
        <v>39.6</v>
      </c>
      <c r="E46" s="86">
        <v>38.6</v>
      </c>
      <c r="F46" s="86">
        <v>37.9</v>
      </c>
      <c r="G46" s="86"/>
      <c r="L46" s="86"/>
      <c r="Q46" s="86"/>
    </row>
    <row r="47" spans="1:17" x14ac:dyDescent="0.25">
      <c r="A47" s="93" t="s">
        <v>101</v>
      </c>
      <c r="B47" s="93"/>
      <c r="C47" s="93"/>
      <c r="D47" s="86">
        <v>40.1</v>
      </c>
      <c r="E47" s="86">
        <v>39.200000000000003</v>
      </c>
      <c r="F47" s="86">
        <v>38.5</v>
      </c>
      <c r="G47" s="86"/>
      <c r="L47" s="86"/>
      <c r="Q47" s="86"/>
    </row>
  </sheetData>
  <sortState xmlns:xlrd2="http://schemas.microsoft.com/office/spreadsheetml/2017/richdata2" columnSort="1" ref="D4:R47">
    <sortCondition ref="D4:R4"/>
  </sortState>
  <mergeCells count="45">
    <mergeCell ref="A7:C7"/>
    <mergeCell ref="A6:C6"/>
    <mergeCell ref="A1:F1"/>
    <mergeCell ref="A4:C4"/>
    <mergeCell ref="A5:C5"/>
    <mergeCell ref="A12:C12"/>
    <mergeCell ref="A11:C11"/>
    <mergeCell ref="A10:C10"/>
    <mergeCell ref="A9:C9"/>
    <mergeCell ref="A8:C8"/>
    <mergeCell ref="A17:C17"/>
    <mergeCell ref="A16:C16"/>
    <mergeCell ref="A15:C15"/>
    <mergeCell ref="A14:C14"/>
    <mergeCell ref="A13:C13"/>
    <mergeCell ref="A22:C22"/>
    <mergeCell ref="A21:C21"/>
    <mergeCell ref="A20:C20"/>
    <mergeCell ref="A19:C19"/>
    <mergeCell ref="A18:C18"/>
    <mergeCell ref="A27:C27"/>
    <mergeCell ref="A26:C26"/>
    <mergeCell ref="A25:C25"/>
    <mergeCell ref="A24:C24"/>
    <mergeCell ref="A23:C23"/>
    <mergeCell ref="A32:C32"/>
    <mergeCell ref="A31:C31"/>
    <mergeCell ref="A30:C30"/>
    <mergeCell ref="A29:C29"/>
    <mergeCell ref="A28:C28"/>
    <mergeCell ref="A37:C37"/>
    <mergeCell ref="A36:C36"/>
    <mergeCell ref="A35:C35"/>
    <mergeCell ref="A34:C34"/>
    <mergeCell ref="A33:C33"/>
    <mergeCell ref="A42:C42"/>
    <mergeCell ref="A41:C41"/>
    <mergeCell ref="A40:C40"/>
    <mergeCell ref="A39:C39"/>
    <mergeCell ref="A38:C38"/>
    <mergeCell ref="A47:C47"/>
    <mergeCell ref="A46:C46"/>
    <mergeCell ref="A45:C45"/>
    <mergeCell ref="A44:C44"/>
    <mergeCell ref="A43:C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R60"/>
  <sheetViews>
    <sheetView topLeftCell="A13" workbookViewId="0">
      <selection activeCell="G8" sqref="G8"/>
    </sheetView>
  </sheetViews>
  <sheetFormatPr defaultRowHeight="15" x14ac:dyDescent="0.25"/>
  <cols>
    <col min="1" max="1" width="27.28515625" customWidth="1"/>
  </cols>
  <sheetData>
    <row r="1" spans="1:18" x14ac:dyDescent="0.25">
      <c r="A1" s="93" t="s">
        <v>53</v>
      </c>
      <c r="B1" s="93"/>
      <c r="C1" s="93"/>
      <c r="D1" s="93"/>
      <c r="E1" s="93"/>
      <c r="F1" s="93"/>
    </row>
    <row r="4" spans="1:18" x14ac:dyDescent="0.25">
      <c r="A4" s="95" t="s">
        <v>102</v>
      </c>
      <c r="B4" s="95"/>
      <c r="C4" s="95"/>
      <c r="D4" s="85" t="s">
        <v>59</v>
      </c>
      <c r="E4" s="85" t="s">
        <v>58</v>
      </c>
      <c r="F4" s="85" t="s">
        <v>57</v>
      </c>
      <c r="G4" s="85"/>
      <c r="H4" s="85"/>
      <c r="L4" s="85"/>
      <c r="M4" s="85"/>
      <c r="Q4" s="85"/>
      <c r="R4" s="85"/>
    </row>
    <row r="5" spans="1:18" x14ac:dyDescent="0.25">
      <c r="A5" s="93" t="s">
        <v>103</v>
      </c>
      <c r="B5" s="93"/>
      <c r="C5" s="93"/>
    </row>
    <row r="6" spans="1:18" x14ac:dyDescent="0.25">
      <c r="A6" s="93" t="s">
        <v>52</v>
      </c>
      <c r="B6" s="93"/>
      <c r="C6" s="93"/>
      <c r="D6" s="87">
        <v>-82.1</v>
      </c>
      <c r="E6" s="88">
        <v>249.1</v>
      </c>
      <c r="F6" s="88">
        <v>439.4</v>
      </c>
      <c r="G6" s="88"/>
      <c r="L6" s="88"/>
      <c r="Q6" s="87"/>
    </row>
    <row r="7" spans="1:18" x14ac:dyDescent="0.25">
      <c r="A7" s="93" t="s">
        <v>90</v>
      </c>
      <c r="B7" s="93"/>
      <c r="C7" s="93"/>
      <c r="D7" s="89">
        <v>-95.4</v>
      </c>
      <c r="E7" s="85" t="s">
        <v>61</v>
      </c>
      <c r="F7" s="85" t="s">
        <v>61</v>
      </c>
      <c r="G7" s="85"/>
      <c r="L7" s="85"/>
      <c r="Q7" s="89"/>
    </row>
    <row r="8" spans="1:18" x14ac:dyDescent="0.25">
      <c r="A8" s="93" t="s">
        <v>104</v>
      </c>
      <c r="B8" s="93"/>
      <c r="C8" s="93"/>
      <c r="D8" s="88">
        <v>13.3</v>
      </c>
      <c r="E8" s="88">
        <v>249.1</v>
      </c>
      <c r="F8" s="88">
        <v>439.4</v>
      </c>
      <c r="G8" s="88"/>
      <c r="L8" s="88"/>
      <c r="Q8" s="88"/>
    </row>
    <row r="9" spans="1:18" x14ac:dyDescent="0.25">
      <c r="A9" s="93" t="s">
        <v>105</v>
      </c>
      <c r="B9" s="93"/>
      <c r="C9" s="93"/>
    </row>
    <row r="10" spans="1:18" x14ac:dyDescent="0.25">
      <c r="A10" s="93" t="s">
        <v>51</v>
      </c>
      <c r="B10" s="93"/>
      <c r="C10" s="93"/>
      <c r="D10" s="86">
        <v>92.9</v>
      </c>
      <c r="E10" s="86">
        <v>103.2</v>
      </c>
      <c r="F10" s="86">
        <v>113.7</v>
      </c>
      <c r="G10" s="86"/>
      <c r="L10" s="86"/>
      <c r="Q10" s="86"/>
    </row>
    <row r="11" spans="1:18" x14ac:dyDescent="0.25">
      <c r="A11" s="93" t="s">
        <v>83</v>
      </c>
      <c r="B11" s="93"/>
      <c r="C11" s="93"/>
      <c r="D11" s="89">
        <v>-27.7</v>
      </c>
      <c r="E11" s="89">
        <v>-143.19999999999999</v>
      </c>
      <c r="F11" s="89">
        <v>-152.69999999999999</v>
      </c>
      <c r="G11" s="89"/>
      <c r="L11" s="89"/>
      <c r="Q11" s="89"/>
    </row>
    <row r="12" spans="1:18" x14ac:dyDescent="0.25">
      <c r="A12" s="93" t="s">
        <v>106</v>
      </c>
      <c r="B12" s="93"/>
      <c r="C12" s="93"/>
      <c r="D12" s="86">
        <v>30.7</v>
      </c>
      <c r="E12" s="86">
        <v>109.4</v>
      </c>
      <c r="F12" s="86">
        <v>156.9</v>
      </c>
      <c r="G12" s="86"/>
      <c r="L12" s="86"/>
      <c r="Q12" s="86"/>
    </row>
    <row r="13" spans="1:18" x14ac:dyDescent="0.25">
      <c r="A13" s="93" t="s">
        <v>107</v>
      </c>
      <c r="B13" s="93"/>
      <c r="C13" s="93"/>
      <c r="D13" s="86">
        <v>23.7</v>
      </c>
      <c r="E13" s="86">
        <v>27.8</v>
      </c>
      <c r="F13" s="86">
        <v>31.8</v>
      </c>
      <c r="G13" s="86"/>
      <c r="L13" s="86"/>
      <c r="Q13" s="86"/>
    </row>
    <row r="14" spans="1:18" x14ac:dyDescent="0.25">
      <c r="A14" s="93" t="s">
        <v>54</v>
      </c>
      <c r="B14" s="93"/>
      <c r="C14" s="93"/>
      <c r="D14" s="86">
        <v>30.1</v>
      </c>
      <c r="E14" s="86">
        <v>9.8000000000000007</v>
      </c>
      <c r="F14" s="86">
        <v>108.7</v>
      </c>
      <c r="G14" s="86"/>
      <c r="L14" s="86"/>
      <c r="Q14" s="86"/>
    </row>
    <row r="15" spans="1:18" x14ac:dyDescent="0.25">
      <c r="A15" s="93" t="s">
        <v>78</v>
      </c>
      <c r="B15" s="93"/>
      <c r="C15" s="93"/>
      <c r="D15" s="86">
        <v>17.5</v>
      </c>
      <c r="E15" s="86">
        <v>15.3</v>
      </c>
      <c r="F15" s="86">
        <v>38.299999999999997</v>
      </c>
      <c r="G15" s="86"/>
      <c r="L15" s="86"/>
      <c r="Q15" s="86"/>
    </row>
    <row r="16" spans="1:18" x14ac:dyDescent="0.25">
      <c r="A16" s="93" t="s">
        <v>108</v>
      </c>
      <c r="B16" s="93"/>
      <c r="C16" s="93"/>
      <c r="D16" s="86">
        <v>5</v>
      </c>
      <c r="E16" s="86">
        <v>5.3</v>
      </c>
      <c r="F16" s="86">
        <v>5.3</v>
      </c>
      <c r="G16" s="86"/>
      <c r="L16" s="86"/>
      <c r="Q16" s="86"/>
    </row>
    <row r="17" spans="1:17" x14ac:dyDescent="0.25">
      <c r="A17" s="93" t="s">
        <v>84</v>
      </c>
      <c r="B17" s="93"/>
      <c r="C17" s="93"/>
      <c r="D17" s="85" t="s">
        <v>61</v>
      </c>
      <c r="E17" s="85" t="s">
        <v>61</v>
      </c>
      <c r="F17" s="89">
        <v>-274.60000000000002</v>
      </c>
      <c r="G17" s="89"/>
      <c r="L17" s="85"/>
      <c r="Q17" s="85"/>
    </row>
    <row r="19" spans="1:17" x14ac:dyDescent="0.25">
      <c r="A19" s="93" t="s">
        <v>109</v>
      </c>
      <c r="B19" s="93"/>
      <c r="C19" s="93"/>
      <c r="D19" s="86">
        <v>4.5</v>
      </c>
      <c r="E19" s="86">
        <v>5.3</v>
      </c>
      <c r="F19" s="86">
        <v>7.4</v>
      </c>
      <c r="G19" s="86"/>
      <c r="L19" s="86"/>
      <c r="Q19" s="86"/>
    </row>
    <row r="20" spans="1:17" x14ac:dyDescent="0.25">
      <c r="A20" s="93" t="s">
        <v>110</v>
      </c>
      <c r="B20" s="93"/>
      <c r="C20" s="93"/>
    </row>
    <row r="21" spans="1:17" x14ac:dyDescent="0.25">
      <c r="A21" s="93" t="s">
        <v>111</v>
      </c>
      <c r="B21" s="93"/>
      <c r="C21" s="93"/>
      <c r="D21" s="89">
        <v>-34.6</v>
      </c>
      <c r="E21" s="86">
        <v>12.9</v>
      </c>
      <c r="F21" s="86">
        <v>28.2</v>
      </c>
      <c r="G21" s="86"/>
      <c r="L21" s="86"/>
      <c r="Q21" s="89"/>
    </row>
    <row r="22" spans="1:17" x14ac:dyDescent="0.25">
      <c r="A22" s="93" t="s">
        <v>112</v>
      </c>
      <c r="B22" s="93"/>
      <c r="C22" s="93"/>
      <c r="D22" s="89">
        <v>-8.3000000000000007</v>
      </c>
      <c r="E22" s="86">
        <v>10.7</v>
      </c>
      <c r="F22" s="89">
        <v>-12.7</v>
      </c>
      <c r="G22" s="89"/>
      <c r="L22" s="86"/>
      <c r="Q22" s="89"/>
    </row>
    <row r="24" spans="1:17" x14ac:dyDescent="0.25">
      <c r="A24" s="93" t="s">
        <v>113</v>
      </c>
      <c r="B24" s="93"/>
      <c r="C24" s="93"/>
      <c r="D24" s="89">
        <v>-3.9</v>
      </c>
      <c r="E24" s="86">
        <v>53.9</v>
      </c>
      <c r="F24" s="86">
        <v>21.1</v>
      </c>
      <c r="G24" s="86"/>
      <c r="L24" s="86"/>
      <c r="Q24" s="89"/>
    </row>
    <row r="25" spans="1:17" x14ac:dyDescent="0.25">
      <c r="A25" s="93" t="s">
        <v>114</v>
      </c>
      <c r="B25" s="93"/>
      <c r="C25" s="93"/>
      <c r="D25" s="86">
        <v>143.19999999999999</v>
      </c>
      <c r="E25" s="86">
        <v>459.5</v>
      </c>
      <c r="F25" s="86">
        <v>510.8</v>
      </c>
      <c r="G25" s="86"/>
      <c r="L25" s="86"/>
      <c r="Q25" s="86"/>
    </row>
    <row r="26" spans="1:17" x14ac:dyDescent="0.25">
      <c r="A26" s="93" t="s">
        <v>115</v>
      </c>
      <c r="B26" s="93"/>
      <c r="C26" s="93"/>
    </row>
    <row r="27" spans="1:17" x14ac:dyDescent="0.25">
      <c r="A27" s="93" t="s">
        <v>116</v>
      </c>
      <c r="B27" s="93"/>
      <c r="C27" s="93"/>
      <c r="D27" s="89">
        <v>-23</v>
      </c>
      <c r="E27" s="89">
        <v>-39.5</v>
      </c>
      <c r="F27" s="89">
        <v>-50.2</v>
      </c>
      <c r="G27" s="89"/>
      <c r="L27" s="89"/>
      <c r="Q27" s="89"/>
    </row>
    <row r="28" spans="1:17" x14ac:dyDescent="0.25">
      <c r="A28" s="93" t="s">
        <v>117</v>
      </c>
      <c r="B28" s="93"/>
      <c r="C28" s="93"/>
      <c r="D28" s="89">
        <v>-211.2</v>
      </c>
      <c r="E28" s="89">
        <v>-52.3</v>
      </c>
      <c r="F28" s="89">
        <v>-373.3</v>
      </c>
      <c r="G28" s="89"/>
      <c r="L28" s="89"/>
      <c r="Q28" s="89"/>
    </row>
    <row r="29" spans="1:17" x14ac:dyDescent="0.25">
      <c r="A29" s="93" t="s">
        <v>118</v>
      </c>
      <c r="B29" s="93"/>
      <c r="C29" s="93"/>
      <c r="D29" s="85" t="s">
        <v>61</v>
      </c>
      <c r="E29" s="85" t="s">
        <v>61</v>
      </c>
      <c r="F29" s="89">
        <v>-2918.5</v>
      </c>
      <c r="G29" s="89"/>
      <c r="L29" s="85"/>
      <c r="Q29" s="85"/>
    </row>
    <row r="31" spans="1:17" x14ac:dyDescent="0.25">
      <c r="A31" s="93" t="s">
        <v>119</v>
      </c>
      <c r="B31" s="93"/>
      <c r="C31" s="93"/>
      <c r="D31" s="85" t="s">
        <v>61</v>
      </c>
      <c r="E31" s="85" t="s">
        <v>61</v>
      </c>
      <c r="F31" s="89">
        <v>-33.299999999999997</v>
      </c>
      <c r="G31" s="89"/>
      <c r="L31" s="85"/>
      <c r="Q31" s="85"/>
    </row>
    <row r="32" spans="1:17" x14ac:dyDescent="0.25">
      <c r="A32" s="93" t="s">
        <v>120</v>
      </c>
      <c r="B32" s="93"/>
      <c r="C32" s="93"/>
      <c r="D32" s="85" t="s">
        <v>61</v>
      </c>
      <c r="E32" s="85" t="s">
        <v>61</v>
      </c>
      <c r="F32" s="86">
        <v>279</v>
      </c>
      <c r="G32" s="86"/>
      <c r="L32" s="85"/>
      <c r="Q32" s="85"/>
    </row>
    <row r="33" spans="1:17" x14ac:dyDescent="0.25">
      <c r="A33" s="93" t="s">
        <v>109</v>
      </c>
      <c r="B33" s="93"/>
      <c r="C33" s="93"/>
      <c r="D33" s="89">
        <v>-5.2</v>
      </c>
      <c r="E33" s="89">
        <v>-8.6</v>
      </c>
      <c r="F33" s="89">
        <v>-7.4</v>
      </c>
      <c r="G33" s="89"/>
      <c r="L33" s="89"/>
      <c r="Q33" s="89"/>
    </row>
    <row r="34" spans="1:17" x14ac:dyDescent="0.25">
      <c r="A34" s="93" t="s">
        <v>62</v>
      </c>
      <c r="B34" s="93"/>
      <c r="C34" s="93"/>
      <c r="D34" s="89">
        <v>-239.4</v>
      </c>
      <c r="E34" s="89">
        <v>-100.4</v>
      </c>
      <c r="F34" s="89">
        <v>-3103.7</v>
      </c>
      <c r="G34" s="89"/>
      <c r="L34" s="89"/>
      <c r="Q34" s="89"/>
    </row>
    <row r="35" spans="1:17" x14ac:dyDescent="0.25">
      <c r="A35" s="93" t="s">
        <v>121</v>
      </c>
      <c r="B35" s="93"/>
      <c r="C35" s="93"/>
    </row>
    <row r="36" spans="1:17" x14ac:dyDescent="0.25">
      <c r="A36" s="93" t="s">
        <v>122</v>
      </c>
      <c r="B36" s="93"/>
      <c r="C36" s="93"/>
      <c r="D36" s="86">
        <v>726.1</v>
      </c>
      <c r="E36" s="86">
        <v>780.8</v>
      </c>
      <c r="F36" s="86">
        <v>2862.4</v>
      </c>
      <c r="G36" s="86"/>
      <c r="L36" s="86"/>
      <c r="Q36" s="86"/>
    </row>
    <row r="37" spans="1:17" x14ac:dyDescent="0.25">
      <c r="A37" s="93" t="s">
        <v>123</v>
      </c>
      <c r="B37" s="93"/>
      <c r="C37" s="93"/>
      <c r="D37" s="89">
        <v>-580.4</v>
      </c>
      <c r="E37" s="89">
        <v>-430.9</v>
      </c>
      <c r="F37" s="89">
        <v>-205.4</v>
      </c>
      <c r="G37" s="89"/>
      <c r="L37" s="89"/>
      <c r="Q37" s="89"/>
    </row>
    <row r="38" spans="1:17" x14ac:dyDescent="0.25">
      <c r="A38" s="93" t="s">
        <v>124</v>
      </c>
      <c r="B38" s="93"/>
      <c r="C38" s="93"/>
      <c r="D38" s="89">
        <v>-23.4</v>
      </c>
      <c r="E38" s="89">
        <v>-24.8</v>
      </c>
      <c r="F38" s="89">
        <v>-26</v>
      </c>
      <c r="G38" s="89"/>
      <c r="L38" s="89"/>
      <c r="Q38" s="89"/>
    </row>
    <row r="39" spans="1:17" x14ac:dyDescent="0.25">
      <c r="A39" s="93" t="s">
        <v>125</v>
      </c>
      <c r="B39" s="93"/>
      <c r="C39" s="93"/>
      <c r="D39" s="89">
        <v>-28.4</v>
      </c>
      <c r="E39" s="89">
        <v>-297.5</v>
      </c>
      <c r="F39" s="89">
        <v>-174.9</v>
      </c>
      <c r="G39" s="89"/>
      <c r="L39" s="89"/>
      <c r="Q39" s="89"/>
    </row>
    <row r="40" spans="1:17" x14ac:dyDescent="0.25">
      <c r="A40" s="93" t="s">
        <v>126</v>
      </c>
      <c r="B40" s="93"/>
      <c r="C40" s="93"/>
      <c r="D40" s="89">
        <v>-12.7</v>
      </c>
      <c r="E40" s="85" t="s">
        <v>61</v>
      </c>
      <c r="F40" s="85" t="s">
        <v>61</v>
      </c>
      <c r="G40" s="85"/>
      <c r="L40" s="85"/>
      <c r="Q40" s="89"/>
    </row>
    <row r="41" spans="1:17" x14ac:dyDescent="0.25">
      <c r="A41" s="93" t="s">
        <v>127</v>
      </c>
      <c r="B41" s="93"/>
      <c r="C41" s="93"/>
      <c r="D41" s="89">
        <v>-18.7</v>
      </c>
      <c r="E41" s="89">
        <v>-12.9</v>
      </c>
      <c r="F41" s="89">
        <v>-28.4</v>
      </c>
      <c r="G41" s="89"/>
      <c r="L41" s="89"/>
      <c r="Q41" s="89"/>
    </row>
    <row r="44" spans="1:17" x14ac:dyDescent="0.25">
      <c r="A44" s="93" t="s">
        <v>66</v>
      </c>
      <c r="B44" s="93"/>
      <c r="C44" s="93"/>
      <c r="D44" s="89">
        <v>-2</v>
      </c>
      <c r="E44" s="89">
        <v>-6.9</v>
      </c>
      <c r="F44" s="89">
        <v>-27.3</v>
      </c>
      <c r="G44" s="89"/>
      <c r="L44" s="89"/>
      <c r="Q44" s="89"/>
    </row>
    <row r="45" spans="1:17" x14ac:dyDescent="0.25">
      <c r="A45" s="93" t="s">
        <v>128</v>
      </c>
      <c r="B45" s="93"/>
      <c r="C45" s="93"/>
      <c r="D45" s="86">
        <v>13.4</v>
      </c>
      <c r="E45" s="89">
        <v>-10.5</v>
      </c>
      <c r="F45" s="86">
        <v>13.3</v>
      </c>
      <c r="G45" s="86"/>
      <c r="L45" s="89"/>
      <c r="Q45" s="86"/>
    </row>
    <row r="46" spans="1:17" x14ac:dyDescent="0.25">
      <c r="A46" s="93" t="s">
        <v>109</v>
      </c>
      <c r="B46" s="93"/>
      <c r="C46" s="93"/>
      <c r="D46" s="86">
        <v>2.1</v>
      </c>
      <c r="E46" s="86">
        <v>2.2000000000000002</v>
      </c>
      <c r="F46" s="86">
        <v>2.2999999999999998</v>
      </c>
      <c r="G46" s="86"/>
      <c r="L46" s="86"/>
      <c r="Q46" s="86"/>
    </row>
    <row r="47" spans="1:17" x14ac:dyDescent="0.25">
      <c r="A47" s="93" t="s">
        <v>67</v>
      </c>
      <c r="B47" s="93"/>
      <c r="C47" s="93"/>
      <c r="D47" s="86">
        <v>76</v>
      </c>
      <c r="E47" s="89">
        <v>-0.5</v>
      </c>
      <c r="F47" s="86">
        <v>2416</v>
      </c>
      <c r="G47" s="86"/>
      <c r="L47" s="89"/>
      <c r="Q47" s="86"/>
    </row>
    <row r="48" spans="1:17" x14ac:dyDescent="0.25">
      <c r="A48" s="93" t="s">
        <v>129</v>
      </c>
      <c r="B48" s="93"/>
      <c r="C48" s="93"/>
    </row>
    <row r="49" spans="1:17" x14ac:dyDescent="0.25">
      <c r="A49" s="93" t="s">
        <v>130</v>
      </c>
      <c r="B49" s="93"/>
      <c r="C49" s="93"/>
      <c r="D49" s="89">
        <v>-1.3</v>
      </c>
      <c r="E49" s="89">
        <v>-124</v>
      </c>
      <c r="F49" s="86">
        <v>26</v>
      </c>
      <c r="G49" s="86"/>
      <c r="L49" s="89"/>
      <c r="Q49" s="89"/>
    </row>
    <row r="50" spans="1:17" x14ac:dyDescent="0.25">
      <c r="A50" s="93" t="s">
        <v>131</v>
      </c>
      <c r="B50" s="93"/>
      <c r="C50" s="93"/>
      <c r="D50" s="89">
        <v>-21.5</v>
      </c>
      <c r="E50" s="86">
        <v>234.6</v>
      </c>
      <c r="F50" s="89">
        <v>-150.9</v>
      </c>
      <c r="G50" s="89"/>
      <c r="L50" s="86"/>
      <c r="Q50" s="89"/>
    </row>
    <row r="52" spans="1:17" x14ac:dyDescent="0.25">
      <c r="A52" s="93" t="s">
        <v>63</v>
      </c>
      <c r="B52" s="93"/>
      <c r="C52" s="93"/>
      <c r="D52" s="86">
        <v>142.5</v>
      </c>
      <c r="E52" s="86">
        <v>121</v>
      </c>
      <c r="F52" s="86">
        <v>355.6</v>
      </c>
      <c r="G52" s="86"/>
      <c r="L52" s="86"/>
      <c r="Q52" s="86"/>
    </row>
    <row r="53" spans="1:17" x14ac:dyDescent="0.25">
      <c r="A53" s="93" t="s">
        <v>64</v>
      </c>
      <c r="B53" s="93"/>
      <c r="C53" s="93"/>
      <c r="D53" s="88">
        <v>121</v>
      </c>
      <c r="E53" s="88">
        <v>355.6</v>
      </c>
      <c r="F53" s="88">
        <v>204.7</v>
      </c>
      <c r="G53" s="88"/>
      <c r="L53" s="88"/>
      <c r="Q53" s="88"/>
    </row>
    <row r="54" spans="1:17" x14ac:dyDescent="0.25">
      <c r="C54" s="80"/>
      <c r="F54" s="38"/>
    </row>
    <row r="55" spans="1:17" x14ac:dyDescent="0.25">
      <c r="C55" s="80"/>
      <c r="F55" s="38"/>
    </row>
    <row r="56" spans="1:17" x14ac:dyDescent="0.25">
      <c r="C56" s="38"/>
      <c r="F56" s="38"/>
    </row>
    <row r="57" spans="1:17" x14ac:dyDescent="0.25">
      <c r="C57" s="81"/>
      <c r="F57" s="81"/>
    </row>
    <row r="59" spans="1:17" x14ac:dyDescent="0.25">
      <c r="C59" s="81"/>
      <c r="F59" s="81"/>
    </row>
    <row r="60" spans="1:17" x14ac:dyDescent="0.25">
      <c r="C60" s="81"/>
      <c r="F60" s="81"/>
    </row>
  </sheetData>
  <sortState xmlns:xlrd2="http://schemas.microsoft.com/office/spreadsheetml/2017/richdata2" columnSort="1" ref="D4:R53">
    <sortCondition ref="D4:R4"/>
  </sortState>
  <mergeCells count="45">
    <mergeCell ref="A7:C7"/>
    <mergeCell ref="A6:C6"/>
    <mergeCell ref="A1:F1"/>
    <mergeCell ref="A4:C4"/>
    <mergeCell ref="A5:C5"/>
    <mergeCell ref="A12:C12"/>
    <mergeCell ref="A11:C11"/>
    <mergeCell ref="A10:C10"/>
    <mergeCell ref="A9:C9"/>
    <mergeCell ref="A8:C8"/>
    <mergeCell ref="A17:C17"/>
    <mergeCell ref="A16:C16"/>
    <mergeCell ref="A15:C15"/>
    <mergeCell ref="A14:C14"/>
    <mergeCell ref="A13:C13"/>
    <mergeCell ref="A24:C24"/>
    <mergeCell ref="A22:C22"/>
    <mergeCell ref="A21:C21"/>
    <mergeCell ref="A20:C20"/>
    <mergeCell ref="A19:C19"/>
    <mergeCell ref="A29:C29"/>
    <mergeCell ref="A28:C28"/>
    <mergeCell ref="A27:C27"/>
    <mergeCell ref="A26:C26"/>
    <mergeCell ref="A25:C25"/>
    <mergeCell ref="A35:C35"/>
    <mergeCell ref="A34:C34"/>
    <mergeCell ref="A33:C33"/>
    <mergeCell ref="A32:C32"/>
    <mergeCell ref="A31:C31"/>
    <mergeCell ref="A40:C40"/>
    <mergeCell ref="A39:C39"/>
    <mergeCell ref="A38:C38"/>
    <mergeCell ref="A37:C37"/>
    <mergeCell ref="A36:C36"/>
    <mergeCell ref="A47:C47"/>
    <mergeCell ref="A46:C46"/>
    <mergeCell ref="A45:C45"/>
    <mergeCell ref="A44:C44"/>
    <mergeCell ref="A41:C41"/>
    <mergeCell ref="A53:C53"/>
    <mergeCell ref="A52:C52"/>
    <mergeCell ref="A50:C50"/>
    <mergeCell ref="A49:C49"/>
    <mergeCell ref="A48:C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13" sqref="E13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v>0.26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3.7600000000000001E-2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1.1200000000000001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'CHDN DCF'!D63</f>
        <v>10477.710263699999</v>
      </c>
      <c r="D12" s="2"/>
      <c r="E12" s="2" t="s">
        <v>33</v>
      </c>
      <c r="F12" s="2"/>
      <c r="G12" s="23">
        <f>'CHDN DCF'!D60</f>
        <v>549.09999999999991</v>
      </c>
      <c r="H12" s="2"/>
      <c r="I12" s="2" t="s">
        <v>45</v>
      </c>
      <c r="J12" s="2"/>
      <c r="K12" s="23">
        <f>G12+C12</f>
        <v>11026.810263699999</v>
      </c>
      <c r="L12" s="2"/>
    </row>
    <row r="13" spans="1:12" x14ac:dyDescent="0.25">
      <c r="A13" s="2" t="s">
        <v>46</v>
      </c>
      <c r="B13" s="2"/>
      <c r="C13" s="46">
        <f>C12/K12</f>
        <v>0.95020318778789326</v>
      </c>
      <c r="D13" s="2"/>
      <c r="E13" s="2" t="s">
        <v>47</v>
      </c>
      <c r="F13" s="2"/>
      <c r="G13" s="47">
        <f>G12/K12</f>
        <v>4.9796812212106724E-2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0.1048</v>
      </c>
      <c r="D14" s="2"/>
      <c r="E14" s="2" t="s">
        <v>49</v>
      </c>
      <c r="F14" s="2"/>
      <c r="G14" s="47">
        <v>7.1499999999999994E-2</v>
      </c>
      <c r="H14" s="2"/>
      <c r="I14" s="49" t="s">
        <v>1</v>
      </c>
      <c r="J14" s="50"/>
      <c r="K14" s="51">
        <f>C13*C14+G14*G13*(1-D6)</f>
        <v>0.10221604341431378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CHDN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2023-06-30T18:06:07Z</dcterms:modified>
</cp:coreProperties>
</file>