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50CB95E5-3E0E-451E-9F6B-19743533661E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ENPH" sheetId="1" r:id="rId1"/>
    <sheet name="Sheet1" sheetId="3" r:id="rId2"/>
    <sheet name="WACC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I55" i="1"/>
  <c r="D63" i="1"/>
  <c r="D66" i="1"/>
  <c r="D26" i="1"/>
  <c r="E26" i="1"/>
  <c r="F26" i="1"/>
  <c r="G26" i="1"/>
  <c r="H26" i="1"/>
  <c r="L52" i="3"/>
  <c r="M52" i="3"/>
  <c r="K52" i="3"/>
  <c r="C25" i="1"/>
  <c r="C28" i="1" s="1"/>
  <c r="D28" i="1"/>
  <c r="E28" i="1"/>
  <c r="F28" i="1"/>
  <c r="G28" i="1"/>
  <c r="L37" i="3"/>
  <c r="M37" i="3"/>
  <c r="K37" i="3"/>
  <c r="P25" i="3"/>
  <c r="Q25" i="3"/>
  <c r="O25" i="3"/>
  <c r="K14" i="3"/>
  <c r="L14" i="3"/>
  <c r="J14" i="3"/>
  <c r="H28" i="1"/>
  <c r="I11" i="1"/>
  <c r="C26" i="1" l="1"/>
  <c r="I25" i="1"/>
  <c r="G12" i="2"/>
  <c r="D67" i="1"/>
  <c r="C12" i="2" s="1"/>
  <c r="C16" i="1"/>
  <c r="C32" i="1" s="1"/>
  <c r="D16" i="1"/>
  <c r="D32" i="1" s="1"/>
  <c r="D35" i="1" s="1"/>
  <c r="D55" i="1" s="1"/>
  <c r="E16" i="1"/>
  <c r="E32" i="1" s="1"/>
  <c r="E35" i="1" s="1"/>
  <c r="E55" i="1" s="1"/>
  <c r="D6" i="2"/>
  <c r="L64" i="1"/>
  <c r="L63" i="1" s="1"/>
  <c r="L66" i="1"/>
  <c r="L67" i="1" s="1"/>
  <c r="C37" i="1" l="1"/>
  <c r="C35" i="1"/>
  <c r="C55" i="1" s="1"/>
  <c r="H29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48" i="1"/>
  <c r="G48" i="1"/>
  <c r="H48" i="1"/>
  <c r="E48" i="1"/>
  <c r="D48" i="1"/>
  <c r="C48" i="1"/>
  <c r="D45" i="1"/>
  <c r="C45" i="1"/>
  <c r="F45" i="1"/>
  <c r="H45" i="1"/>
  <c r="F29" i="1"/>
  <c r="D29" i="1"/>
  <c r="G51" i="1"/>
  <c r="H51" i="1"/>
  <c r="G45" i="1"/>
  <c r="G16" i="1"/>
  <c r="G32" i="1" s="1"/>
  <c r="G35" i="1" s="1"/>
  <c r="G55" i="1" s="1"/>
  <c r="F16" i="1"/>
  <c r="F32" i="1" s="1"/>
  <c r="F35" i="1" s="1"/>
  <c r="F55" i="1" s="1"/>
  <c r="H16" i="1"/>
  <c r="H32" i="1" s="1"/>
  <c r="E51" i="1"/>
  <c r="D51" i="1"/>
  <c r="C51" i="1"/>
  <c r="E45" i="1"/>
  <c r="D43" i="1"/>
  <c r="E43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H37" i="1" l="1"/>
  <c r="H53" i="1" s="1"/>
  <c r="H57" i="1" s="1"/>
  <c r="H35" i="1"/>
  <c r="H55" i="1" s="1"/>
  <c r="G37" i="1"/>
  <c r="G53" i="1" s="1"/>
  <c r="G57" i="1" s="1"/>
  <c r="E17" i="1"/>
  <c r="G17" i="1"/>
  <c r="C17" i="1"/>
  <c r="F51" i="1"/>
  <c r="K12" i="2"/>
  <c r="D17" i="1"/>
  <c r="H17" i="1"/>
  <c r="F17" i="1"/>
  <c r="C29" i="1"/>
  <c r="E29" i="1"/>
  <c r="G29" i="1"/>
  <c r="F37" i="1" l="1"/>
  <c r="F53" i="1" s="1"/>
  <c r="F57" i="1" s="1"/>
  <c r="F41" i="1"/>
  <c r="D37" i="1"/>
  <c r="C13" i="2"/>
  <c r="G13" i="2"/>
  <c r="E37" i="1"/>
  <c r="E41" i="1" s="1"/>
  <c r="C41" i="1"/>
  <c r="H41" i="1" l="1"/>
  <c r="D53" i="1"/>
  <c r="D57" i="1" s="1"/>
  <c r="D41" i="1"/>
  <c r="G41" i="1"/>
  <c r="D38" i="1"/>
  <c r="E53" i="1"/>
  <c r="E57" i="1" s="1"/>
  <c r="C53" i="1"/>
  <c r="C57" i="1" s="1"/>
  <c r="F38" i="1"/>
  <c r="H38" i="1"/>
  <c r="K14" i="2"/>
  <c r="E5" i="1" s="1"/>
  <c r="G38" i="1"/>
  <c r="C38" i="1"/>
  <c r="E38" i="1"/>
  <c r="I47" i="1" l="1"/>
  <c r="I50" i="1"/>
  <c r="I19" i="1"/>
  <c r="I44" i="1"/>
  <c r="J11" i="1"/>
  <c r="I22" i="1"/>
  <c r="I16" i="1"/>
  <c r="J25" i="1" l="1"/>
  <c r="I28" i="1"/>
  <c r="I32" i="1" s="1"/>
  <c r="J19" i="1"/>
  <c r="J50" i="1"/>
  <c r="J47" i="1"/>
  <c r="J16" i="1"/>
  <c r="J14" i="1" s="1"/>
  <c r="J44" i="1"/>
  <c r="J22" i="1"/>
  <c r="K11" i="1"/>
  <c r="I14" i="1"/>
  <c r="I37" i="1" l="1"/>
  <c r="I38" i="1" s="1"/>
  <c r="I35" i="1"/>
  <c r="K25" i="1"/>
  <c r="J28" i="1"/>
  <c r="J32" i="1" s="1"/>
  <c r="I29" i="1"/>
  <c r="J29" i="1"/>
  <c r="K19" i="1"/>
  <c r="K16" i="1"/>
  <c r="K47" i="1"/>
  <c r="K50" i="1"/>
  <c r="L11" i="1"/>
  <c r="K22" i="1"/>
  <c r="K44" i="1"/>
  <c r="L25" i="1" l="1"/>
  <c r="J35" i="1"/>
  <c r="J37" i="1"/>
  <c r="K28" i="1"/>
  <c r="K32" i="1" s="1"/>
  <c r="L19" i="1"/>
  <c r="L22" i="1"/>
  <c r="L50" i="1"/>
  <c r="L44" i="1"/>
  <c r="L47" i="1"/>
  <c r="L16" i="1"/>
  <c r="M11" i="1"/>
  <c r="K14" i="1"/>
  <c r="K29" i="1" l="1"/>
  <c r="M25" i="1"/>
  <c r="K37" i="1"/>
  <c r="K35" i="1"/>
  <c r="L28" i="1"/>
  <c r="L32" i="1" s="1"/>
  <c r="I40" i="1"/>
  <c r="M50" i="1"/>
  <c r="M19" i="1"/>
  <c r="M44" i="1"/>
  <c r="M22" i="1"/>
  <c r="N11" i="1"/>
  <c r="M47" i="1"/>
  <c r="M16" i="1"/>
  <c r="L14" i="1"/>
  <c r="L29" i="1"/>
  <c r="N25" i="1" l="1"/>
  <c r="L35" i="1"/>
  <c r="L37" i="1"/>
  <c r="M28" i="1"/>
  <c r="M32" i="1" s="1"/>
  <c r="I53" i="1"/>
  <c r="I57" i="1" s="1"/>
  <c r="I58" i="1" s="1"/>
  <c r="J40" i="1"/>
  <c r="J38" i="1"/>
  <c r="N19" i="1"/>
  <c r="N47" i="1"/>
  <c r="N22" i="1"/>
  <c r="N16" i="1"/>
  <c r="N14" i="1" s="1"/>
  <c r="N44" i="1"/>
  <c r="N50" i="1"/>
  <c r="O11" i="1"/>
  <c r="M14" i="1"/>
  <c r="O25" i="1" l="1"/>
  <c r="M37" i="1"/>
  <c r="M35" i="1"/>
  <c r="N28" i="1"/>
  <c r="N29" i="1" s="1"/>
  <c r="M29" i="1"/>
  <c r="N32" i="1"/>
  <c r="N35" i="1" s="1"/>
  <c r="J53" i="1"/>
  <c r="J57" i="1" s="1"/>
  <c r="J58" i="1" s="1"/>
  <c r="K38" i="1"/>
  <c r="K40" i="1"/>
  <c r="O19" i="1"/>
  <c r="O22" i="1"/>
  <c r="O44" i="1"/>
  <c r="O16" i="1"/>
  <c r="P11" i="1"/>
  <c r="O47" i="1"/>
  <c r="O50" i="1"/>
  <c r="N37" i="1" l="1"/>
  <c r="P25" i="1"/>
  <c r="O28" i="1"/>
  <c r="O32" i="1" s="1"/>
  <c r="K53" i="1"/>
  <c r="K57" i="1" s="1"/>
  <c r="K58" i="1" s="1"/>
  <c r="K55" i="1"/>
  <c r="L38" i="1"/>
  <c r="L40" i="1"/>
  <c r="M38" i="1"/>
  <c r="M40" i="1"/>
  <c r="O14" i="1"/>
  <c r="P19" i="1"/>
  <c r="P50" i="1"/>
  <c r="P44" i="1"/>
  <c r="P22" i="1"/>
  <c r="P47" i="1"/>
  <c r="Q11" i="1"/>
  <c r="P16" i="1"/>
  <c r="O37" i="1" l="1"/>
  <c r="O35" i="1"/>
  <c r="Q25" i="1"/>
  <c r="O29" i="1"/>
  <c r="P28" i="1"/>
  <c r="P29" i="1" s="1"/>
  <c r="M55" i="1"/>
  <c r="M53" i="1"/>
  <c r="M57" i="1" s="1"/>
  <c r="M58" i="1" s="1"/>
  <c r="P14" i="1"/>
  <c r="P32" i="1"/>
  <c r="L55" i="1"/>
  <c r="L53" i="1"/>
  <c r="L57" i="1" s="1"/>
  <c r="L58" i="1" s="1"/>
  <c r="Q19" i="1"/>
  <c r="Q44" i="1"/>
  <c r="R11" i="1"/>
  <c r="Q50" i="1"/>
  <c r="Q47" i="1"/>
  <c r="Q22" i="1"/>
  <c r="Q16" i="1"/>
  <c r="R25" i="1" l="1"/>
  <c r="Q28" i="1"/>
  <c r="Q29" i="1" s="1"/>
  <c r="P35" i="1"/>
  <c r="P37" i="1"/>
  <c r="Q14" i="1"/>
  <c r="Q32" i="1"/>
  <c r="N38" i="1"/>
  <c r="N40" i="1"/>
  <c r="R47" i="1"/>
  <c r="R50" i="1"/>
  <c r="R19" i="1"/>
  <c r="R44" i="1"/>
  <c r="R22" i="1"/>
  <c r="R16" i="1"/>
  <c r="O40" i="1"/>
  <c r="O55" i="1" s="1"/>
  <c r="O38" i="1"/>
  <c r="R28" i="1" l="1"/>
  <c r="R29" i="1" s="1"/>
  <c r="R14" i="1"/>
  <c r="R32" i="1"/>
  <c r="Q37" i="1"/>
  <c r="Q35" i="1"/>
  <c r="O53" i="1"/>
  <c r="O57" i="1" s="1"/>
  <c r="O58" i="1" s="1"/>
  <c r="N55" i="1"/>
  <c r="N53" i="1"/>
  <c r="N57" i="1" s="1"/>
  <c r="N58" i="1" s="1"/>
  <c r="R35" i="1" l="1"/>
  <c r="R37" i="1"/>
  <c r="P38" i="1"/>
  <c r="P40" i="1"/>
  <c r="Q38" i="1"/>
  <c r="Q40" i="1"/>
  <c r="Q55" i="1" s="1"/>
  <c r="Q53" i="1" l="1"/>
  <c r="Q57" i="1" s="1"/>
  <c r="P55" i="1"/>
  <c r="P53" i="1"/>
  <c r="P57" i="1" s="1"/>
  <c r="P58" i="1" s="1"/>
  <c r="R40" i="1"/>
  <c r="R53" i="1" s="1"/>
  <c r="R57" i="1" s="1"/>
  <c r="Q58" i="1"/>
  <c r="R55" i="1" l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R38" i="1"/>
  <c r="C60" i="1"/>
  <c r="C61" i="1" s="1"/>
  <c r="R58" i="1"/>
  <c r="F60" i="1" l="1"/>
  <c r="H63" i="1" s="1"/>
  <c r="H65" i="1" s="1"/>
  <c r="H68" i="1" s="1"/>
  <c r="G63" i="1"/>
  <c r="G65" i="1" s="1"/>
  <c r="G68" i="1" s="1"/>
  <c r="D68" i="1" l="1"/>
  <c r="L62" i="1" s="1"/>
  <c r="J6" i="1" l="1"/>
  <c r="N5" i="1" s="1"/>
</calcChain>
</file>

<file path=xl/sharedStrings.xml><?xml version="1.0" encoding="utf-8"?>
<sst xmlns="http://schemas.openxmlformats.org/spreadsheetml/2006/main" count="1383" uniqueCount="121">
  <si>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</si>
  <si>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</si>
  <si>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</si>
  <si>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</si>
  <si>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</si>
  <si>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</si>
  <si>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</si>
  <si>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</si>
  <si>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</si>
  <si>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</si>
  <si>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</si>
  <si>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</si>
  <si>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</si>
  <si>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</si>
  <si>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</si>
  <si>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</si>
  <si>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</si>
  <si>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</si>
  <si>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</si>
  <si>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</si>
  <si>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</si>
  <si>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</si>
  <si>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</si>
  <si>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</si>
  <si>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</si>
  <si>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</si>
  <si>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</si>
  <si>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</si>
  <si>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</si>
  <si>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</si>
  <si>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</si>
  <si>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</si>
  <si>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</si>
  <si>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</si>
  <si>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</si>
  <si>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</si>
  <si>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</si>
  <si>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</si>
  <si>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</si>
  <si>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</si>
  <si>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</si>
  <si>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</si>
  <si>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</si>
  <si>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</si>
  <si>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</si>
  <si>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</si>
  <si>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</si>
  <si>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</si>
  <si>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</si>
  <si>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</si>
  <si>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</si>
  <si>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</si>
  <si>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</si>
  <si>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</si>
  <si>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Other</t>
  </si>
  <si>
    <t>SG&amp;A</t>
  </si>
  <si>
    <t>Production start-up</t>
  </si>
  <si>
    <t>litigation loss</t>
  </si>
  <si>
    <t>Gain on sales of businesses, net</t>
  </si>
  <si>
    <t>Gains sales business</t>
  </si>
  <si>
    <t>Foreign</t>
  </si>
  <si>
    <t>currency</t>
  </si>
  <si>
    <t>loss,</t>
  </si>
  <si>
    <t>net</t>
  </si>
  <si>
    <t>.</t>
  </si>
  <si>
    <t>Interest</t>
  </si>
  <si>
    <t>income</t>
  </si>
  <si>
    <t>expense,</t>
  </si>
  <si>
    <t>(expense),</t>
  </si>
  <si>
    <t>Income</t>
  </si>
  <si>
    <t>before</t>
  </si>
  <si>
    <t>taxes</t>
  </si>
  <si>
    <t>and</t>
  </si>
  <si>
    <t>equity</t>
  </si>
  <si>
    <t>in</t>
  </si>
  <si>
    <t>earnings</t>
  </si>
  <si>
    <t>tax</t>
  </si>
  <si>
    <t>(expense)</t>
  </si>
  <si>
    <t>benefit</t>
  </si>
  <si>
    <t>Equity</t>
  </si>
  <si>
    <t>earnings,</t>
  </si>
  <si>
    <t>of</t>
  </si>
  <si>
    <t>Equity in earnings</t>
  </si>
  <si>
    <t>Changes</t>
  </si>
  <si>
    <t>operating</t>
  </si>
  <si>
    <t>assets</t>
  </si>
  <si>
    <t>liabilities:</t>
  </si>
  <si>
    <t>Accounts</t>
  </si>
  <si>
    <t>receivable,</t>
  </si>
  <si>
    <t>trade</t>
  </si>
  <si>
    <t>unbilled</t>
  </si>
  <si>
    <t>Inventories</t>
  </si>
  <si>
    <t>Project</t>
  </si>
  <si>
    <t>PV</t>
  </si>
  <si>
    <t>solar</t>
  </si>
  <si>
    <t>power</t>
  </si>
  <si>
    <t>systems</t>
  </si>
  <si>
    <t>receivable</t>
  </si>
  <si>
    <t>payable</t>
  </si>
  <si>
    <t>accrued</t>
  </si>
  <si>
    <t>expenses</t>
  </si>
  <si>
    <t>Deferred</t>
  </si>
  <si>
    <t>revenue</t>
  </si>
  <si>
    <t>liabilities</t>
  </si>
  <si>
    <t>First Solar DCF</t>
  </si>
  <si>
    <t>(loss),</t>
  </si>
  <si>
    <t>income,</t>
  </si>
  <si>
    <t>trade,</t>
  </si>
  <si>
    <t>retainage.</t>
  </si>
  <si>
    <t>Prepaid</t>
  </si>
  <si>
    <t>other</t>
  </si>
  <si>
    <t>current</t>
  </si>
  <si>
    <t>assets.</t>
  </si>
  <si>
    <t>balance</t>
  </si>
  <si>
    <t>parts</t>
  </si>
  <si>
    <t>systems.</t>
  </si>
  <si>
    <t>Accrued</t>
  </si>
  <si>
    <t>module</t>
  </si>
  <si>
    <t>collection</t>
  </si>
  <si>
    <t>recycling</t>
  </si>
  <si>
    <t>liability.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</si>
</sst>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64" fontId="8" fillId="2" borderId="4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0" fontId="3" fillId="2" borderId="4" xfId="0" applyNumberFormat="1" applyFont="1" applyFill="1" applyBorder="1"/>
    <xf numFmtId="0" fontId="3" fillId="2" borderId="4" xfId="1" applyNumberFormat="1" applyFont="1" applyFill="1" applyBorder="1"/>
    <xf numFmtId="10" fontId="0" fillId="2" borderId="4" xfId="0" applyNumberFormat="1" applyFill="1" applyBorder="1"/>
    <xf numFmtId="10" fontId="3" fillId="2" borderId="0" xfId="0" applyNumberFormat="1" applyFont="1" applyFill="1" applyBorder="1"/>
    <xf numFmtId="0" fontId="3" fillId="12" borderId="0" xfId="0" applyFont="1" applyFill="1"/>
    <xf numFmtId="10" fontId="7" fillId="12" borderId="0" xfId="1" applyNumberFormat="1" applyFont="1" applyFill="1"/>
    <xf numFmtId="1" fontId="0" fillId="2" borderId="4" xfId="0" applyNumberFormat="1" applyFill="1" applyBorder="1"/>
    <xf numFmtId="10" fontId="9" fillId="2" borderId="4" xfId="0" applyNumberFormat="1" applyFont="1" applyFill="1" applyBorder="1"/>
    <xf numFmtId="3" fontId="0" fillId="2" borderId="1" xfId="0" applyNumberFormat="1" applyFill="1" applyBorder="1"/>
    <xf numFmtId="3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" fontId="3" fillId="2" borderId="0" xfId="0" applyNumberFormat="1" applyFont="1" applyFill="1" applyBorder="1"/>
    <xf numFmtId="164" fontId="8" fillId="2" borderId="0" xfId="0" applyNumberFormat="1" applyFont="1" applyFill="1" applyBorder="1"/>
    <xf numFmtId="10" fontId="9" fillId="2" borderId="0" xfId="0" applyNumberFormat="1" applyFont="1" applyFill="1" applyBorder="1"/>
    <xf numFmtId="0" fontId="3" fillId="2" borderId="0" xfId="1" applyNumberFormat="1" applyFont="1" applyFill="1" applyBorder="1"/>
    <xf numFmtId="1" fontId="0" fillId="2" borderId="0" xfId="0" applyNumberFormat="1" applyFill="1" applyBorder="1"/>
    <xf numFmtId="10" fontId="0" fillId="2" borderId="0" xfId="0" applyNumberFormat="1" applyFill="1" applyBorder="1"/>
    <xf numFmtId="10" fontId="8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9"/>
  <sheetViews>
    <sheetView tabSelected="1" topLeftCell="A2" workbookViewId="0">
      <selection activeCell="I8" sqref="I8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6" width="9.140625" style="2"/>
    <col min="7" max="7" width="11.5703125" style="2" customWidth="1"/>
    <col min="8" max="8" width="11.28515625" style="2" customWidth="1"/>
    <col min="9" max="15" width="12.5703125" style="2" bestFit="1" customWidth="1"/>
    <col min="16" max="16" width="10.7109375" style="2" customWidth="1"/>
    <col min="17" max="18" width="12.5703125" style="2" bestFit="1" customWidth="1"/>
    <col min="19" max="16384" width="9.140625" style="53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104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3"/>
      <c r="Q4" s="53"/>
    </row>
    <row r="5" spans="1:86" x14ac:dyDescent="0.25">
      <c r="A5" s="1"/>
      <c r="B5" s="1"/>
      <c r="C5" s="7" t="s">
        <v>1</v>
      </c>
      <c r="D5" s="1"/>
      <c r="E5" s="8">
        <f>WACC!K14</f>
        <v>0.11682719037063462</v>
      </c>
      <c r="G5" s="1"/>
      <c r="H5" s="1" t="s">
        <v>2</v>
      </c>
      <c r="I5" s="1"/>
      <c r="J5" s="7">
        <v>178.6</v>
      </c>
      <c r="K5" s="1"/>
      <c r="L5" s="1" t="s">
        <v>3</v>
      </c>
      <c r="M5" s="1"/>
      <c r="N5" s="76">
        <f>(J6/J5)-1</f>
        <v>0.32083211314132654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D68</f>
        <v>235.9006154070409</v>
      </c>
      <c r="K6" s="1"/>
      <c r="L6" s="1" t="s">
        <v>53</v>
      </c>
      <c r="M6" s="1"/>
      <c r="N6" s="75">
        <v>45052</v>
      </c>
      <c r="O6" s="1"/>
      <c r="P6" s="1"/>
      <c r="Q6" s="1"/>
    </row>
    <row r="7" spans="1:86" x14ac:dyDescent="0.25">
      <c r="B7" s="75"/>
      <c r="C7" s="1"/>
      <c r="D7" s="1"/>
      <c r="E7" s="9"/>
      <c r="F7" s="1"/>
      <c r="G7" s="1"/>
      <c r="H7" s="1"/>
      <c r="I7" s="1"/>
      <c r="J7" s="1"/>
      <c r="K7" s="1"/>
      <c r="L7" s="59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9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8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2941324</v>
      </c>
      <c r="D11" s="12">
        <v>2244044</v>
      </c>
      <c r="E11" s="12">
        <v>3063117</v>
      </c>
      <c r="F11" s="12">
        <v>2711332</v>
      </c>
      <c r="G11" s="12">
        <v>2923377</v>
      </c>
      <c r="H11" s="12">
        <v>2619319</v>
      </c>
      <c r="I11" s="22">
        <f>H11*(1+I12)</f>
        <v>3462739.7180000003</v>
      </c>
      <c r="J11" s="19">
        <f>I11*(1+J12)</f>
        <v>4563890.9483240005</v>
      </c>
      <c r="K11" s="19">
        <f t="shared" ref="K11:R11" si="1">J11*(1+K12)</f>
        <v>5581638.6298002526</v>
      </c>
      <c r="L11" s="19">
        <f t="shared" si="1"/>
        <v>6424466.0629000906</v>
      </c>
      <c r="M11" s="19">
        <f t="shared" si="1"/>
        <v>7150430.7280078009</v>
      </c>
      <c r="N11" s="19">
        <f t="shared" si="1"/>
        <v>7958429.4002726823</v>
      </c>
      <c r="O11" s="19">
        <f t="shared" si="1"/>
        <v>8857731.9225034956</v>
      </c>
      <c r="P11" s="19">
        <f t="shared" si="1"/>
        <v>9858655.6297463905</v>
      </c>
      <c r="Q11" s="19">
        <f t="shared" si="1"/>
        <v>10972683.715907732</v>
      </c>
      <c r="R11" s="19">
        <f t="shared" si="1"/>
        <v>12212596.975805305</v>
      </c>
    </row>
    <row r="12" spans="1:86" x14ac:dyDescent="0.25">
      <c r="A12" s="1"/>
      <c r="B12" s="79" t="s">
        <v>8</v>
      </c>
      <c r="C12" s="80"/>
      <c r="D12" s="80">
        <f>(D11/C11)-1</f>
        <v>-0.2370633089044254</v>
      </c>
      <c r="E12" s="80">
        <f t="shared" ref="E12:H12" si="2">(E11/D11)-1</f>
        <v>0.36499863639037389</v>
      </c>
      <c r="F12" s="80">
        <f t="shared" si="2"/>
        <v>-0.11484543358937971</v>
      </c>
      <c r="G12" s="80">
        <f t="shared" si="2"/>
        <v>7.8206947729012821E-2</v>
      </c>
      <c r="H12" s="80">
        <f t="shared" si="2"/>
        <v>-0.10400916474337729</v>
      </c>
      <c r="I12" s="69">
        <v>0.32200000000000001</v>
      </c>
      <c r="J12" s="65">
        <v>0.318</v>
      </c>
      <c r="K12" s="65">
        <v>0.223</v>
      </c>
      <c r="L12" s="65">
        <v>0.151</v>
      </c>
      <c r="M12" s="65">
        <v>0.113</v>
      </c>
      <c r="N12" s="65">
        <v>0.113</v>
      </c>
      <c r="O12" s="65">
        <v>0.113</v>
      </c>
      <c r="P12" s="65">
        <v>0.113</v>
      </c>
      <c r="Q12" s="65">
        <v>0.113</v>
      </c>
      <c r="R12" s="65">
        <v>0.113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</row>
    <row r="14" spans="1:86" x14ac:dyDescent="0.25">
      <c r="A14" s="1"/>
      <c r="B14" s="1" t="s">
        <v>9</v>
      </c>
      <c r="C14" s="12">
        <v>2392377</v>
      </c>
      <c r="D14" s="12">
        <v>1851867</v>
      </c>
      <c r="E14" s="12">
        <v>2513905</v>
      </c>
      <c r="F14" s="12">
        <v>2030659</v>
      </c>
      <c r="G14" s="12">
        <v>2193423</v>
      </c>
      <c r="H14" s="37">
        <v>2549461</v>
      </c>
      <c r="I14" s="70">
        <f>I11-I16</f>
        <v>2254243.5564180003</v>
      </c>
      <c r="J14" s="67">
        <f t="shared" ref="J14:K14" si="3">J11-J16</f>
        <v>2630626.742613954</v>
      </c>
      <c r="K14" s="67">
        <f t="shared" si="3"/>
        <v>3217256.506216866</v>
      </c>
      <c r="L14" s="67">
        <f t="shared" ref="L14:R14" si="4">L11-L16</f>
        <v>3703062.2386556123</v>
      </c>
      <c r="M14" s="67">
        <f t="shared" si="4"/>
        <v>4121508.2716236967</v>
      </c>
      <c r="N14" s="67">
        <f t="shared" si="4"/>
        <v>4587238.7063171742</v>
      </c>
      <c r="O14" s="67">
        <f t="shared" si="4"/>
        <v>5105596.6801310144</v>
      </c>
      <c r="P14" s="67">
        <f t="shared" si="4"/>
        <v>5682529.1049858201</v>
      </c>
      <c r="Q14" s="67">
        <f t="shared" si="4"/>
        <v>6324654.8938492173</v>
      </c>
      <c r="R14" s="67">
        <f t="shared" si="4"/>
        <v>7039340.896854178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94"/>
      <c r="K15" s="94"/>
      <c r="L15" s="94"/>
      <c r="M15" s="94"/>
      <c r="N15" s="94"/>
      <c r="O15" s="94"/>
      <c r="P15" s="94"/>
      <c r="Q15" s="94"/>
      <c r="R15" s="95"/>
    </row>
    <row r="16" spans="1:86" x14ac:dyDescent="0.25">
      <c r="A16" s="1"/>
      <c r="B16" s="1" t="s">
        <v>10</v>
      </c>
      <c r="C16" s="12">
        <f t="shared" ref="C16:E16" si="5">C11-C14</f>
        <v>548947</v>
      </c>
      <c r="D16" s="12">
        <f t="shared" si="5"/>
        <v>392177</v>
      </c>
      <c r="E16" s="12">
        <f t="shared" si="5"/>
        <v>549212</v>
      </c>
      <c r="F16" s="12">
        <f t="shared" ref="F16" si="6">F11-F14</f>
        <v>680673</v>
      </c>
      <c r="G16" s="12">
        <f>G11-G14</f>
        <v>729954</v>
      </c>
      <c r="H16" s="12">
        <f>H11-H14</f>
        <v>69858</v>
      </c>
      <c r="I16" s="22">
        <f>I11*I17</f>
        <v>1208496.1615820001</v>
      </c>
      <c r="J16" s="96">
        <f t="shared" ref="J16:R16" si="7">J11*J17</f>
        <v>1933264.2057100465</v>
      </c>
      <c r="K16" s="96">
        <f t="shared" si="7"/>
        <v>2364382.1235833867</v>
      </c>
      <c r="L16" s="96">
        <f t="shared" si="7"/>
        <v>2721403.8242444783</v>
      </c>
      <c r="M16" s="96">
        <f t="shared" si="7"/>
        <v>3028922.4563841042</v>
      </c>
      <c r="N16" s="96">
        <f t="shared" si="7"/>
        <v>3371190.6939555081</v>
      </c>
      <c r="O16" s="96">
        <f t="shared" si="7"/>
        <v>3752135.2423724807</v>
      </c>
      <c r="P16" s="96">
        <f t="shared" si="7"/>
        <v>4176126.5247605708</v>
      </c>
      <c r="Q16" s="96">
        <f t="shared" si="7"/>
        <v>4648028.8220585147</v>
      </c>
      <c r="R16" s="96">
        <f t="shared" si="7"/>
        <v>5173256.0789511269</v>
      </c>
    </row>
    <row r="17" spans="1:18" x14ac:dyDescent="0.25">
      <c r="A17" s="1"/>
      <c r="B17" s="79" t="s">
        <v>11</v>
      </c>
      <c r="C17" s="80">
        <f>C16/C11</f>
        <v>0.18663261850785565</v>
      </c>
      <c r="D17" s="80">
        <f t="shared" ref="D17:H17" si="8">D16/D11</f>
        <v>0.17476350731090834</v>
      </c>
      <c r="E17" s="80">
        <f t="shared" si="8"/>
        <v>0.17929840747186607</v>
      </c>
      <c r="F17" s="80">
        <f t="shared" si="8"/>
        <v>0.25104745564172887</v>
      </c>
      <c r="G17" s="80">
        <f t="shared" si="8"/>
        <v>0.24969547205167175</v>
      </c>
      <c r="H17" s="80">
        <f t="shared" si="8"/>
        <v>2.6670291018390659E-2</v>
      </c>
      <c r="I17" s="78">
        <v>0.34899999999999998</v>
      </c>
      <c r="J17" s="97">
        <v>0.42359999999999998</v>
      </c>
      <c r="K17" s="97">
        <v>0.42359999999999998</v>
      </c>
      <c r="L17" s="97">
        <v>0.42359999999999998</v>
      </c>
      <c r="M17" s="97">
        <v>0.42359999999999998</v>
      </c>
      <c r="N17" s="97">
        <v>0.42359999999999998</v>
      </c>
      <c r="O17" s="97">
        <v>0.42359999999999998</v>
      </c>
      <c r="P17" s="97">
        <v>0.42359999999999998</v>
      </c>
      <c r="Q17" s="97">
        <v>0.42359999999999998</v>
      </c>
      <c r="R17" s="97">
        <v>0.42359999999999998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94"/>
      <c r="K18" s="94"/>
      <c r="L18" s="94"/>
      <c r="M18" s="94"/>
      <c r="N18" s="94"/>
      <c r="O18" s="94"/>
      <c r="P18" s="94"/>
      <c r="Q18" s="94"/>
      <c r="R18" s="95"/>
    </row>
    <row r="19" spans="1:18" x14ac:dyDescent="0.25">
      <c r="A19" s="1"/>
      <c r="B19" s="1" t="s">
        <v>55</v>
      </c>
      <c r="C19" s="12">
        <v>202699</v>
      </c>
      <c r="D19" s="12">
        <v>176857</v>
      </c>
      <c r="E19" s="12">
        <v>205471</v>
      </c>
      <c r="F19" s="12">
        <v>222918</v>
      </c>
      <c r="G19" s="12">
        <v>170320</v>
      </c>
      <c r="H19" s="12">
        <v>164724</v>
      </c>
      <c r="I19" s="22">
        <f>I20*I11</f>
        <v>277019.17744000006</v>
      </c>
      <c r="J19" s="96">
        <f t="shared" ref="J19:R19" si="9">J20*J11</f>
        <v>365111.27586592006</v>
      </c>
      <c r="K19" s="96">
        <f t="shared" si="9"/>
        <v>446531.09038402024</v>
      </c>
      <c r="L19" s="96">
        <f t="shared" si="9"/>
        <v>513957.28503200726</v>
      </c>
      <c r="M19" s="96">
        <f t="shared" si="9"/>
        <v>572034.45824062405</v>
      </c>
      <c r="N19" s="96">
        <f t="shared" si="9"/>
        <v>636674.35202181456</v>
      </c>
      <c r="O19" s="96">
        <f t="shared" si="9"/>
        <v>708618.55380027962</v>
      </c>
      <c r="P19" s="96">
        <f t="shared" si="9"/>
        <v>788692.45037971123</v>
      </c>
      <c r="Q19" s="96">
        <f t="shared" si="9"/>
        <v>877814.69727261853</v>
      </c>
      <c r="R19" s="96">
        <f t="shared" si="9"/>
        <v>977007.75806442439</v>
      </c>
    </row>
    <row r="20" spans="1:18" x14ac:dyDescent="0.25">
      <c r="A20" s="1"/>
      <c r="B20" s="79" t="s">
        <v>18</v>
      </c>
      <c r="C20" s="80">
        <f>C19/C11</f>
        <v>6.8914203263564303E-2</v>
      </c>
      <c r="D20" s="80">
        <f t="shared" ref="D20:H20" si="10">D19/D11</f>
        <v>7.8811734529269484E-2</v>
      </c>
      <c r="E20" s="80">
        <f t="shared" si="10"/>
        <v>6.7079057052015972E-2</v>
      </c>
      <c r="F20" s="80">
        <f t="shared" si="10"/>
        <v>8.2217153782716393E-2</v>
      </c>
      <c r="G20" s="80">
        <f t="shared" si="10"/>
        <v>5.8261387429674655E-2</v>
      </c>
      <c r="H20" s="80">
        <f t="shared" si="10"/>
        <v>6.2888101831048454E-2</v>
      </c>
      <c r="I20" s="20">
        <v>0.08</v>
      </c>
      <c r="J20" s="66">
        <v>0.08</v>
      </c>
      <c r="K20" s="66">
        <v>0.08</v>
      </c>
      <c r="L20" s="66">
        <v>0.08</v>
      </c>
      <c r="M20" s="66">
        <v>0.08</v>
      </c>
      <c r="N20" s="66">
        <v>0.08</v>
      </c>
      <c r="O20" s="66">
        <v>0.08</v>
      </c>
      <c r="P20" s="66">
        <v>0.08</v>
      </c>
      <c r="Q20" s="66">
        <v>0.08</v>
      </c>
      <c r="R20" s="66">
        <v>0.08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96"/>
      <c r="K21" s="96"/>
      <c r="L21" s="96"/>
      <c r="M21" s="96"/>
      <c r="N21" s="96"/>
      <c r="O21" s="96"/>
      <c r="P21" s="96"/>
      <c r="Q21" s="96"/>
      <c r="R21" s="96"/>
    </row>
    <row r="22" spans="1:18" x14ac:dyDescent="0.25">
      <c r="A22" s="1"/>
      <c r="B22" s="1" t="s">
        <v>12</v>
      </c>
      <c r="C22" s="12">
        <v>88573</v>
      </c>
      <c r="D22" s="12">
        <v>84472</v>
      </c>
      <c r="E22" s="12">
        <v>96611</v>
      </c>
      <c r="F22" s="12">
        <v>93738</v>
      </c>
      <c r="G22" s="12">
        <v>99115</v>
      </c>
      <c r="H22" s="12">
        <v>112804</v>
      </c>
      <c r="I22" s="22">
        <f>I23*I11</f>
        <v>173136.98590000003</v>
      </c>
      <c r="J22" s="96">
        <f t="shared" ref="J22:R22" si="11">J23*J11</f>
        <v>200811.201726256</v>
      </c>
      <c r="K22" s="96">
        <f t="shared" si="11"/>
        <v>245592.09971121111</v>
      </c>
      <c r="L22" s="96">
        <f t="shared" si="11"/>
        <v>282676.50676760398</v>
      </c>
      <c r="M22" s="96">
        <f t="shared" si="11"/>
        <v>314618.95203234319</v>
      </c>
      <c r="N22" s="96">
        <f t="shared" si="11"/>
        <v>350170.89361199801</v>
      </c>
      <c r="O22" s="96">
        <f t="shared" si="11"/>
        <v>389740.20459015376</v>
      </c>
      <c r="P22" s="96">
        <f t="shared" si="11"/>
        <v>433780.84770884115</v>
      </c>
      <c r="Q22" s="96">
        <f t="shared" si="11"/>
        <v>482798.08349994017</v>
      </c>
      <c r="R22" s="96">
        <f t="shared" si="11"/>
        <v>537354.26693543338</v>
      </c>
    </row>
    <row r="23" spans="1:18" x14ac:dyDescent="0.25">
      <c r="A23" s="1"/>
      <c r="B23" s="79" t="s">
        <v>18</v>
      </c>
      <c r="C23" s="80">
        <f>C22/C11</f>
        <v>3.0113309516394658E-2</v>
      </c>
      <c r="D23" s="80">
        <f t="shared" ref="D23:H23" si="12">D22/D11</f>
        <v>3.7642755667892429E-2</v>
      </c>
      <c r="E23" s="80">
        <f t="shared" si="12"/>
        <v>3.1540094616039807E-2</v>
      </c>
      <c r="F23" s="80">
        <f t="shared" si="12"/>
        <v>3.4572674980415531E-2</v>
      </c>
      <c r="G23" s="80">
        <f t="shared" si="12"/>
        <v>3.3904282615618855E-2</v>
      </c>
      <c r="H23" s="80">
        <f t="shared" si="12"/>
        <v>4.3066155745061979E-2</v>
      </c>
      <c r="I23" s="20">
        <v>0.05</v>
      </c>
      <c r="J23" s="66">
        <v>4.3999999999999997E-2</v>
      </c>
      <c r="K23" s="66">
        <v>4.3999999999999997E-2</v>
      </c>
      <c r="L23" s="66">
        <v>4.3999999999999997E-2</v>
      </c>
      <c r="M23" s="66">
        <v>4.3999999999999997E-2</v>
      </c>
      <c r="N23" s="66">
        <v>4.3999999999999997E-2</v>
      </c>
      <c r="O23" s="66">
        <v>4.3999999999999997E-2</v>
      </c>
      <c r="P23" s="66">
        <v>4.3999999999999997E-2</v>
      </c>
      <c r="Q23" s="66">
        <v>4.3999999999999997E-2</v>
      </c>
      <c r="R23" s="66">
        <v>4.3999999999999997E-2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2"/>
      <c r="J24" s="92"/>
      <c r="K24" s="92"/>
      <c r="L24" s="92"/>
      <c r="M24" s="92"/>
      <c r="N24" s="92"/>
      <c r="O24" s="92"/>
      <c r="P24" s="92"/>
      <c r="Q24" s="92"/>
      <c r="R24" s="92"/>
    </row>
    <row r="25" spans="1:18" x14ac:dyDescent="0.25">
      <c r="A25" s="1"/>
      <c r="B25" s="1" t="s">
        <v>54</v>
      </c>
      <c r="C25" s="12">
        <f>42643+37181</f>
        <v>79824</v>
      </c>
      <c r="D25" s="12">
        <v>90735</v>
      </c>
      <c r="E25" s="12">
        <v>408915</v>
      </c>
      <c r="F25" s="12">
        <v>46528</v>
      </c>
      <c r="G25" s="12">
        <v>21052</v>
      </c>
      <c r="H25" s="12">
        <v>73077</v>
      </c>
      <c r="I25" s="22">
        <f>I26*I11</f>
        <v>79643.013514000006</v>
      </c>
      <c r="J25" s="96">
        <f t="shared" ref="J25:R25" si="13">J26*J11</f>
        <v>104969.49181145201</v>
      </c>
      <c r="K25" s="96">
        <f t="shared" si="13"/>
        <v>128377.6884854058</v>
      </c>
      <c r="L25" s="96">
        <f t="shared" si="13"/>
        <v>147762.71944670207</v>
      </c>
      <c r="M25" s="96">
        <f t="shared" si="13"/>
        <v>164459.9067441794</v>
      </c>
      <c r="N25" s="96">
        <f t="shared" si="13"/>
        <v>183043.8762062717</v>
      </c>
      <c r="O25" s="96">
        <f t="shared" si="13"/>
        <v>203727.83421758038</v>
      </c>
      <c r="P25" s="96">
        <f t="shared" si="13"/>
        <v>226749.07948416698</v>
      </c>
      <c r="Q25" s="96">
        <f t="shared" si="13"/>
        <v>252371.72546587783</v>
      </c>
      <c r="R25" s="96">
        <f t="shared" si="13"/>
        <v>280889.73044352198</v>
      </c>
    </row>
    <row r="26" spans="1:18" x14ac:dyDescent="0.25">
      <c r="A26" s="1"/>
      <c r="B26" s="87" t="s">
        <v>18</v>
      </c>
      <c r="C26" s="88">
        <f>C25/C11</f>
        <v>2.7138798717856311E-2</v>
      </c>
      <c r="D26" s="88">
        <f t="shared" ref="D26:H26" si="14">D25/D11</f>
        <v>4.0433699160979018E-2</v>
      </c>
      <c r="E26" s="88">
        <f t="shared" si="14"/>
        <v>0.13349636987421637</v>
      </c>
      <c r="F26" s="88">
        <f t="shared" si="14"/>
        <v>1.7160569048718488E-2</v>
      </c>
      <c r="G26" s="88">
        <f t="shared" si="14"/>
        <v>7.2012607337336235E-3</v>
      </c>
      <c r="H26" s="88">
        <f t="shared" si="14"/>
        <v>2.7899236404576915E-2</v>
      </c>
      <c r="I26" s="90">
        <v>2.3E-2</v>
      </c>
      <c r="J26" s="98">
        <v>2.3E-2</v>
      </c>
      <c r="K26" s="98">
        <v>2.3E-2</v>
      </c>
      <c r="L26" s="98">
        <v>2.3E-2</v>
      </c>
      <c r="M26" s="98">
        <v>2.3E-2</v>
      </c>
      <c r="N26" s="98">
        <v>2.3E-2</v>
      </c>
      <c r="O26" s="98">
        <v>2.3E-2</v>
      </c>
      <c r="P26" s="98">
        <v>2.3E-2</v>
      </c>
      <c r="Q26" s="98">
        <v>2.3E-2</v>
      </c>
      <c r="R26" s="98">
        <v>2.3E-2</v>
      </c>
    </row>
    <row r="27" spans="1:18" x14ac:dyDescent="0.25">
      <c r="A27" s="1"/>
      <c r="B27" s="1"/>
      <c r="C27" s="23"/>
      <c r="D27" s="23"/>
      <c r="E27" s="23"/>
      <c r="F27" s="23"/>
      <c r="G27" s="23"/>
      <c r="H27" s="23"/>
      <c r="I27" s="83"/>
      <c r="J27" s="86"/>
      <c r="K27" s="86"/>
      <c r="L27" s="86"/>
      <c r="M27" s="86"/>
      <c r="N27" s="86"/>
      <c r="O27" s="86"/>
      <c r="P27" s="86"/>
      <c r="Q27" s="86"/>
      <c r="R27" s="86"/>
    </row>
    <row r="28" spans="1:18" x14ac:dyDescent="0.25">
      <c r="A28" s="1"/>
      <c r="B28" s="1" t="s">
        <v>13</v>
      </c>
      <c r="C28" s="12">
        <f>C19+C22+C25</f>
        <v>371096</v>
      </c>
      <c r="D28" s="12">
        <f t="shared" ref="D28:G28" si="15">D19+D22+D25</f>
        <v>352064</v>
      </c>
      <c r="E28" s="12">
        <f t="shared" si="15"/>
        <v>710997</v>
      </c>
      <c r="F28" s="12">
        <f t="shared" si="15"/>
        <v>363184</v>
      </c>
      <c r="G28" s="12">
        <f t="shared" si="15"/>
        <v>290487</v>
      </c>
      <c r="H28" s="12">
        <f>H19+H22+H25</f>
        <v>350605</v>
      </c>
      <c r="I28" s="72">
        <f t="shared" ref="I28:R28" si="16">I19+I22+I25</f>
        <v>529799.17685400008</v>
      </c>
      <c r="J28" s="92">
        <f t="shared" si="16"/>
        <v>670891.96940362803</v>
      </c>
      <c r="K28" s="92">
        <f t="shared" si="16"/>
        <v>820500.87858063716</v>
      </c>
      <c r="L28" s="92">
        <f t="shared" si="16"/>
        <v>944396.51124631322</v>
      </c>
      <c r="M28" s="92">
        <f t="shared" si="16"/>
        <v>1051113.3170171466</v>
      </c>
      <c r="N28" s="92">
        <f t="shared" si="16"/>
        <v>1169889.1218400844</v>
      </c>
      <c r="O28" s="92">
        <f t="shared" si="16"/>
        <v>1302086.5926080137</v>
      </c>
      <c r="P28" s="92">
        <f t="shared" si="16"/>
        <v>1449222.3775727195</v>
      </c>
      <c r="Q28" s="92">
        <f t="shared" si="16"/>
        <v>1612984.5062384366</v>
      </c>
      <c r="R28" s="92">
        <f t="shared" si="16"/>
        <v>1795251.7554433797</v>
      </c>
    </row>
    <row r="29" spans="1:18" x14ac:dyDescent="0.25">
      <c r="A29" s="1"/>
      <c r="B29" s="79" t="s">
        <v>18</v>
      </c>
      <c r="C29" s="80">
        <f t="shared" ref="C29:R29" si="17">C28/C11</f>
        <v>0.12616631149781526</v>
      </c>
      <c r="D29" s="80">
        <f t="shared" si="17"/>
        <v>0.15688818935814092</v>
      </c>
      <c r="E29" s="80">
        <f t="shared" si="17"/>
        <v>0.23211552154227214</v>
      </c>
      <c r="F29" s="80">
        <f t="shared" si="17"/>
        <v>0.13395039781185042</v>
      </c>
      <c r="G29" s="80">
        <f t="shared" si="17"/>
        <v>9.9366930779027127E-2</v>
      </c>
      <c r="H29" s="80">
        <f t="shared" si="17"/>
        <v>0.13385349398068735</v>
      </c>
      <c r="I29" s="20">
        <f t="shared" si="17"/>
        <v>0.153</v>
      </c>
      <c r="J29" s="66">
        <f t="shared" si="17"/>
        <v>0.14699999999999999</v>
      </c>
      <c r="K29" s="66">
        <f t="shared" si="17"/>
        <v>0.14699999999999999</v>
      </c>
      <c r="L29" s="66">
        <f t="shared" si="17"/>
        <v>0.14699999999999999</v>
      </c>
      <c r="M29" s="66">
        <f t="shared" si="17"/>
        <v>0.14699999999999999</v>
      </c>
      <c r="N29" s="66">
        <f t="shared" si="17"/>
        <v>0.14700000000000002</v>
      </c>
      <c r="O29" s="66">
        <f t="shared" si="17"/>
        <v>0.14699999999999999</v>
      </c>
      <c r="P29" s="66">
        <f t="shared" si="17"/>
        <v>0.14700000000000002</v>
      </c>
      <c r="Q29" s="66">
        <f t="shared" si="17"/>
        <v>0.14699999999999999</v>
      </c>
      <c r="R29" s="66">
        <f t="shared" si="17"/>
        <v>0.14699999999999999</v>
      </c>
    </row>
    <row r="30" spans="1:18" x14ac:dyDescent="0.25">
      <c r="A30" s="1"/>
      <c r="B30" s="1" t="s">
        <v>59</v>
      </c>
      <c r="C30" s="82">
        <v>0</v>
      </c>
      <c r="D30" s="82">
        <v>0</v>
      </c>
      <c r="E30" s="82">
        <v>0</v>
      </c>
      <c r="F30" s="82">
        <v>0</v>
      </c>
      <c r="G30" s="82">
        <v>147284</v>
      </c>
      <c r="H30" s="82">
        <v>253511</v>
      </c>
      <c r="I30" s="84">
        <v>80000</v>
      </c>
      <c r="J30" s="99">
        <v>80000</v>
      </c>
      <c r="K30" s="99">
        <v>80000</v>
      </c>
      <c r="L30" s="99">
        <v>80000</v>
      </c>
      <c r="M30" s="99">
        <v>80000</v>
      </c>
      <c r="N30" s="99">
        <v>80000</v>
      </c>
      <c r="O30" s="99">
        <v>80000</v>
      </c>
      <c r="P30" s="99">
        <v>80000</v>
      </c>
      <c r="Q30" s="99">
        <v>80000</v>
      </c>
      <c r="R30" s="99">
        <v>80000</v>
      </c>
    </row>
    <row r="31" spans="1:18" x14ac:dyDescent="0.25">
      <c r="A31" s="1"/>
      <c r="B31" s="1"/>
      <c r="C31" s="15"/>
      <c r="D31" s="15"/>
      <c r="E31" s="15"/>
      <c r="F31" s="82"/>
      <c r="G31" s="82"/>
      <c r="H31" s="82"/>
      <c r="I31" s="21"/>
      <c r="J31" s="52"/>
      <c r="K31" s="52"/>
      <c r="L31" s="52"/>
      <c r="M31" s="52"/>
      <c r="N31" s="52"/>
      <c r="O31" s="52"/>
      <c r="P31" s="52"/>
      <c r="Q31" s="52"/>
      <c r="R31" s="52"/>
    </row>
    <row r="32" spans="1:18" x14ac:dyDescent="0.25">
      <c r="A32" s="1"/>
      <c r="B32" s="1" t="s">
        <v>14</v>
      </c>
      <c r="C32" s="12">
        <f t="shared" ref="C32:G32" si="18">C16-C28+C30</f>
        <v>177851</v>
      </c>
      <c r="D32" s="12">
        <f t="shared" si="18"/>
        <v>40113</v>
      </c>
      <c r="E32" s="12">
        <f t="shared" si="18"/>
        <v>-161785</v>
      </c>
      <c r="F32" s="12">
        <f t="shared" si="18"/>
        <v>317489</v>
      </c>
      <c r="G32" s="12">
        <f t="shared" si="18"/>
        <v>586751</v>
      </c>
      <c r="H32" s="12">
        <f>H16-H28+H30</f>
        <v>-27236</v>
      </c>
      <c r="I32" s="72">
        <f>I16-I28+I30</f>
        <v>758696.98472800001</v>
      </c>
      <c r="J32" s="92">
        <f t="shared" ref="J32:R32" si="19">J16-J28+J30</f>
        <v>1342372.2363064184</v>
      </c>
      <c r="K32" s="92">
        <f t="shared" si="19"/>
        <v>1623881.2450027494</v>
      </c>
      <c r="L32" s="92">
        <f t="shared" si="19"/>
        <v>1857007.3129981649</v>
      </c>
      <c r="M32" s="92">
        <f t="shared" si="19"/>
        <v>2057809.1393669576</v>
      </c>
      <c r="N32" s="92">
        <f t="shared" si="19"/>
        <v>2281301.5721154236</v>
      </c>
      <c r="O32" s="92">
        <f t="shared" si="19"/>
        <v>2530048.649764467</v>
      </c>
      <c r="P32" s="92">
        <f t="shared" si="19"/>
        <v>2806904.1471878514</v>
      </c>
      <c r="Q32" s="92">
        <f t="shared" si="19"/>
        <v>3115044.3158200784</v>
      </c>
      <c r="R32" s="92">
        <f t="shared" si="19"/>
        <v>3458004.3235077471</v>
      </c>
    </row>
    <row r="33" spans="1:86" x14ac:dyDescent="0.25">
      <c r="A33" s="1"/>
      <c r="B33" s="1" t="s">
        <v>15</v>
      </c>
      <c r="C33" s="82">
        <v>24264</v>
      </c>
      <c r="D33" s="82">
        <v>73034</v>
      </c>
      <c r="E33" s="82">
        <v>41656</v>
      </c>
      <c r="F33" s="82">
        <v>-24299</v>
      </c>
      <c r="G33" s="82">
        <v>-14589</v>
      </c>
      <c r="H33" s="82">
        <v>35834</v>
      </c>
      <c r="I33" s="89">
        <v>17313.698590000004</v>
      </c>
      <c r="J33" s="100">
        <v>22819.454741620004</v>
      </c>
      <c r="K33" s="100">
        <v>27908.193149001265</v>
      </c>
      <c r="L33" s="100">
        <v>32122.330314500454</v>
      </c>
      <c r="M33" s="100">
        <v>35752.153640039003</v>
      </c>
      <c r="N33" s="100">
        <v>39792.14700136341</v>
      </c>
      <c r="O33" s="100">
        <v>39792.14700136341</v>
      </c>
      <c r="P33" s="100">
        <v>49293.278148731952</v>
      </c>
      <c r="Q33" s="100">
        <v>54863.418579538658</v>
      </c>
      <c r="R33" s="100">
        <v>61062.984879026524</v>
      </c>
    </row>
    <row r="34" spans="1:86" x14ac:dyDescent="0.25">
      <c r="A34" s="1"/>
      <c r="B34" s="14"/>
      <c r="C34" s="23"/>
      <c r="D34" s="23"/>
      <c r="E34" s="23"/>
      <c r="F34" s="23"/>
      <c r="G34" s="23"/>
      <c r="H34" s="23"/>
      <c r="I34" s="85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1:86" x14ac:dyDescent="0.25">
      <c r="A35" s="1"/>
      <c r="B35" s="1" t="s">
        <v>16</v>
      </c>
      <c r="C35" s="12">
        <f t="shared" ref="C35:G35" si="20">C32+C33</f>
        <v>202115</v>
      </c>
      <c r="D35" s="12">
        <f t="shared" si="20"/>
        <v>113147</v>
      </c>
      <c r="E35" s="12">
        <f t="shared" si="20"/>
        <v>-120129</v>
      </c>
      <c r="F35" s="12">
        <f t="shared" si="20"/>
        <v>293190</v>
      </c>
      <c r="G35" s="12">
        <f t="shared" si="20"/>
        <v>572162</v>
      </c>
      <c r="H35" s="12">
        <f>H32+H33</f>
        <v>8598</v>
      </c>
      <c r="I35" s="72">
        <f>I32+I33</f>
        <v>776010.68331800005</v>
      </c>
      <c r="J35" s="92">
        <f t="shared" ref="J35:R35" si="21">J32+J33</f>
        <v>1365191.6910480384</v>
      </c>
      <c r="K35" s="92">
        <f t="shared" si="21"/>
        <v>1651789.4381517507</v>
      </c>
      <c r="L35" s="92">
        <f t="shared" si="21"/>
        <v>1889129.6433126654</v>
      </c>
      <c r="M35" s="92">
        <f t="shared" si="21"/>
        <v>2093561.2930069966</v>
      </c>
      <c r="N35" s="92">
        <f t="shared" si="21"/>
        <v>2321093.719116787</v>
      </c>
      <c r="O35" s="92">
        <f t="shared" si="21"/>
        <v>2569840.7967658304</v>
      </c>
      <c r="P35" s="92">
        <f t="shared" si="21"/>
        <v>2856197.4253365835</v>
      </c>
      <c r="Q35" s="92">
        <f t="shared" si="21"/>
        <v>3169907.7343996172</v>
      </c>
      <c r="R35" s="92">
        <f t="shared" si="21"/>
        <v>3519067.3083867738</v>
      </c>
    </row>
    <row r="36" spans="1:86" x14ac:dyDescent="0.25">
      <c r="A36" s="1"/>
      <c r="B36" s="1"/>
      <c r="C36" s="23"/>
      <c r="D36" s="23"/>
      <c r="E36" s="23"/>
      <c r="F36" s="23"/>
      <c r="G36" s="23"/>
      <c r="H36" s="23"/>
      <c r="I36" s="13"/>
      <c r="J36" s="94"/>
      <c r="K36" s="94"/>
      <c r="L36" s="94"/>
      <c r="M36" s="94"/>
      <c r="N36" s="94"/>
      <c r="O36" s="94"/>
      <c r="P36" s="94"/>
      <c r="Q36" s="94"/>
      <c r="R36" s="95"/>
    </row>
    <row r="37" spans="1:86" x14ac:dyDescent="0.25">
      <c r="A37" s="1"/>
      <c r="B37" s="1" t="s">
        <v>17</v>
      </c>
      <c r="C37" s="12">
        <f>C32</f>
        <v>177851</v>
      </c>
      <c r="D37" s="12">
        <f t="shared" ref="D37:F37" si="22">D32</f>
        <v>40113</v>
      </c>
      <c r="E37" s="12">
        <f t="shared" si="22"/>
        <v>-161785</v>
      </c>
      <c r="F37" s="12">
        <f t="shared" si="22"/>
        <v>317489</v>
      </c>
      <c r="G37" s="12">
        <f>G32</f>
        <v>586751</v>
      </c>
      <c r="H37" s="12">
        <f>H32</f>
        <v>-27236</v>
      </c>
      <c r="I37" s="72">
        <f>I32</f>
        <v>758696.98472800001</v>
      </c>
      <c r="J37" s="92">
        <f t="shared" ref="J37:R37" si="23">J32</f>
        <v>1342372.2363064184</v>
      </c>
      <c r="K37" s="92">
        <f t="shared" si="23"/>
        <v>1623881.2450027494</v>
      </c>
      <c r="L37" s="92">
        <f t="shared" si="23"/>
        <v>1857007.3129981649</v>
      </c>
      <c r="M37" s="92">
        <f t="shared" si="23"/>
        <v>2057809.1393669576</v>
      </c>
      <c r="N37" s="92">
        <f t="shared" si="23"/>
        <v>2281301.5721154236</v>
      </c>
      <c r="O37" s="92">
        <f t="shared" si="23"/>
        <v>2530048.649764467</v>
      </c>
      <c r="P37" s="92">
        <f t="shared" si="23"/>
        <v>2806904.1471878514</v>
      </c>
      <c r="Q37" s="92">
        <f t="shared" si="23"/>
        <v>3115044.3158200784</v>
      </c>
      <c r="R37" s="92">
        <f t="shared" si="23"/>
        <v>3458004.3235077471</v>
      </c>
    </row>
    <row r="38" spans="1:86" x14ac:dyDescent="0.25">
      <c r="A38" s="1"/>
      <c r="B38" s="79" t="s">
        <v>18</v>
      </c>
      <c r="C38" s="80">
        <f t="shared" ref="C38:R38" si="24">C37/C11</f>
        <v>6.0466307010040375E-2</v>
      </c>
      <c r="D38" s="80">
        <f t="shared" si="24"/>
        <v>1.7875317952767415E-2</v>
      </c>
      <c r="E38" s="80">
        <f t="shared" si="24"/>
        <v>-5.2817114070406061E-2</v>
      </c>
      <c r="F38" s="80">
        <f t="shared" si="24"/>
        <v>0.11709705782987845</v>
      </c>
      <c r="G38" s="80">
        <f t="shared" si="24"/>
        <v>0.20071000079702345</v>
      </c>
      <c r="H38" s="80">
        <f t="shared" si="24"/>
        <v>-1.0398122565445447E-2</v>
      </c>
      <c r="I38" s="69">
        <f t="shared" si="24"/>
        <v>0.21910309365273523</v>
      </c>
      <c r="J38" s="65">
        <f t="shared" si="24"/>
        <v>0.29412890261967772</v>
      </c>
      <c r="K38" s="65">
        <f t="shared" si="24"/>
        <v>0.29093270860153525</v>
      </c>
      <c r="L38" s="65">
        <f t="shared" si="24"/>
        <v>0.28905239669985694</v>
      </c>
      <c r="M38" s="65">
        <f t="shared" si="24"/>
        <v>0.28778813719663693</v>
      </c>
      <c r="N38" s="65">
        <f t="shared" si="24"/>
        <v>0.28665223467802059</v>
      </c>
      <c r="O38" s="65">
        <f t="shared" si="24"/>
        <v>0.28563165739265106</v>
      </c>
      <c r="P38" s="65">
        <f t="shared" si="24"/>
        <v>0.28471469666904853</v>
      </c>
      <c r="Q38" s="65">
        <f t="shared" si="24"/>
        <v>0.28389083258674624</v>
      </c>
      <c r="R38" s="65">
        <f t="shared" si="24"/>
        <v>0.2831506132854863</v>
      </c>
    </row>
    <row r="39" spans="1:86" x14ac:dyDescent="0.25">
      <c r="A39" s="1"/>
      <c r="B39" s="14"/>
      <c r="C39" s="1"/>
      <c r="D39" s="1"/>
      <c r="F39" s="1"/>
      <c r="G39" s="1"/>
      <c r="H39" s="1"/>
      <c r="I39" s="13"/>
      <c r="J39" s="94"/>
      <c r="K39" s="94"/>
      <c r="L39" s="94"/>
      <c r="M39" s="94"/>
      <c r="N39" s="94"/>
      <c r="O39" s="95"/>
      <c r="P39" s="95"/>
      <c r="Q39" s="95"/>
      <c r="R39" s="95"/>
    </row>
    <row r="40" spans="1:86" x14ac:dyDescent="0.25">
      <c r="A40" s="1"/>
      <c r="B40" s="1" t="s">
        <v>19</v>
      </c>
      <c r="C40" s="12">
        <v>-371996</v>
      </c>
      <c r="D40" s="12">
        <v>-3441</v>
      </c>
      <c r="E40" s="24">
        <v>5480</v>
      </c>
      <c r="F40" s="12">
        <v>107294</v>
      </c>
      <c r="G40" s="12">
        <v>-103469</v>
      </c>
      <c r="H40" s="19">
        <v>-52764</v>
      </c>
      <c r="I40" s="22">
        <f>I41*I37</f>
        <v>52350.091946232002</v>
      </c>
      <c r="J40" s="96">
        <f t="shared" ref="J40:R40" si="25">J41*J37</f>
        <v>138801.28923408367</v>
      </c>
      <c r="K40" s="96">
        <f t="shared" si="25"/>
        <v>175703.9507092975</v>
      </c>
      <c r="L40" s="96">
        <f t="shared" si="25"/>
        <v>200928.19126640144</v>
      </c>
      <c r="M40" s="96">
        <f t="shared" si="25"/>
        <v>222654.94887950481</v>
      </c>
      <c r="N40" s="96">
        <f t="shared" si="25"/>
        <v>246836.83010288884</v>
      </c>
      <c r="O40" s="96">
        <f t="shared" si="25"/>
        <v>273751.26390451536</v>
      </c>
      <c r="P40" s="96">
        <f t="shared" si="25"/>
        <v>303707.02872572554</v>
      </c>
      <c r="Q40" s="96">
        <f t="shared" si="25"/>
        <v>337047.79497173248</v>
      </c>
      <c r="R40" s="96">
        <f t="shared" si="25"/>
        <v>374156.06780353823</v>
      </c>
    </row>
    <row r="41" spans="1:86" x14ac:dyDescent="0.25">
      <c r="A41" s="1"/>
      <c r="B41" s="79" t="s">
        <v>20</v>
      </c>
      <c r="C41" s="81">
        <f>C40/C37</f>
        <v>-2.0916160156535528</v>
      </c>
      <c r="D41" s="81">
        <f t="shared" ref="D41:G41" si="26">D40/D37</f>
        <v>-8.5782663974272685E-2</v>
      </c>
      <c r="E41" s="81">
        <f t="shared" si="26"/>
        <v>-3.3872114225669873E-2</v>
      </c>
      <c r="F41" s="81">
        <f>F40/F37</f>
        <v>0.33794556661805608</v>
      </c>
      <c r="G41" s="81">
        <f t="shared" si="26"/>
        <v>-0.17634226443585099</v>
      </c>
      <c r="H41" s="81">
        <f>H40/H37</f>
        <v>1.9372888823615804</v>
      </c>
      <c r="I41" s="71">
        <v>6.9000000000000006E-2</v>
      </c>
      <c r="J41" s="102">
        <v>0.10340000000000001</v>
      </c>
      <c r="K41" s="102">
        <v>0.1082</v>
      </c>
      <c r="L41" s="102">
        <v>0.1082</v>
      </c>
      <c r="M41" s="102">
        <v>0.1082</v>
      </c>
      <c r="N41" s="102">
        <v>0.1082</v>
      </c>
      <c r="O41" s="102">
        <v>0.1082</v>
      </c>
      <c r="P41" s="102">
        <v>0.1082</v>
      </c>
      <c r="Q41" s="102">
        <v>0.1082</v>
      </c>
      <c r="R41" s="102">
        <v>0.1082</v>
      </c>
    </row>
    <row r="42" spans="1:86" x14ac:dyDescent="0.25">
      <c r="A42" s="1"/>
      <c r="B42" s="1"/>
      <c r="C42" s="1"/>
      <c r="D42" s="1"/>
      <c r="E42" s="1"/>
      <c r="F42" s="1"/>
      <c r="G42" s="1"/>
      <c r="H42" s="1"/>
      <c r="I42" s="13"/>
      <c r="J42" s="94"/>
      <c r="K42" s="94"/>
      <c r="L42" s="94"/>
      <c r="M42" s="94"/>
      <c r="N42" s="94"/>
      <c r="O42" s="94"/>
      <c r="P42" s="94"/>
      <c r="Q42" s="94"/>
      <c r="R42" s="95"/>
    </row>
    <row r="43" spans="1:86" x14ac:dyDescent="0.25">
      <c r="A43" s="1"/>
      <c r="B43" s="10" t="s">
        <v>21</v>
      </c>
      <c r="C43" s="10">
        <v>2017</v>
      </c>
      <c r="D43" s="10">
        <f>C43+1</f>
        <v>2018</v>
      </c>
      <c r="E43" s="10">
        <f>D43+1</f>
        <v>2019</v>
      </c>
      <c r="F43" s="10">
        <v>2020</v>
      </c>
      <c r="G43" s="10">
        <v>2021</v>
      </c>
      <c r="H43" s="10">
        <v>2022</v>
      </c>
      <c r="I43" s="73">
        <v>2023</v>
      </c>
      <c r="J43" s="10">
        <v>2024</v>
      </c>
      <c r="K43" s="10">
        <v>2025</v>
      </c>
      <c r="L43" s="10">
        <v>2026</v>
      </c>
      <c r="M43" s="10">
        <v>2027</v>
      </c>
      <c r="N43" s="10">
        <v>2028</v>
      </c>
      <c r="O43" s="10">
        <v>2029</v>
      </c>
      <c r="P43" s="10">
        <v>2030</v>
      </c>
      <c r="Q43" s="10">
        <v>2031</v>
      </c>
      <c r="R43" s="10">
        <v>2032</v>
      </c>
      <c r="S43" s="10">
        <v>2033</v>
      </c>
      <c r="T43" s="10">
        <v>2034</v>
      </c>
      <c r="U43" s="10">
        <v>2035</v>
      </c>
      <c r="V43" s="10">
        <v>2036</v>
      </c>
      <c r="W43" s="10">
        <v>2037</v>
      </c>
      <c r="X43" s="10">
        <v>2038</v>
      </c>
      <c r="Y43" s="10">
        <v>2039</v>
      </c>
      <c r="Z43" s="10">
        <v>2040</v>
      </c>
      <c r="AA43" s="10">
        <v>2041</v>
      </c>
      <c r="AB43" s="10">
        <v>2042</v>
      </c>
      <c r="AC43" s="10">
        <v>2043</v>
      </c>
      <c r="AD43" s="10">
        <v>2044</v>
      </c>
      <c r="AE43" s="10">
        <v>2045</v>
      </c>
      <c r="AF43" s="10">
        <v>2046</v>
      </c>
      <c r="AG43" s="10">
        <v>2047</v>
      </c>
      <c r="AH43" s="10">
        <v>2048</v>
      </c>
      <c r="AI43" s="10">
        <v>2049</v>
      </c>
      <c r="AJ43" s="10">
        <v>2050</v>
      </c>
      <c r="AK43" s="10">
        <v>2051</v>
      </c>
      <c r="AL43" s="10">
        <v>2052</v>
      </c>
      <c r="AM43" s="10">
        <v>2053</v>
      </c>
      <c r="AN43" s="10">
        <v>2054</v>
      </c>
      <c r="AO43" s="10">
        <v>2055</v>
      </c>
      <c r="AP43" s="10">
        <v>2056</v>
      </c>
      <c r="AQ43" s="10">
        <v>2057</v>
      </c>
      <c r="AR43" s="10">
        <v>2058</v>
      </c>
      <c r="AS43" s="10">
        <v>2059</v>
      </c>
      <c r="AT43" s="10">
        <v>2060</v>
      </c>
      <c r="AU43" s="10">
        <v>2061</v>
      </c>
      <c r="AV43" s="10">
        <v>2062</v>
      </c>
      <c r="AW43" s="10">
        <v>2063</v>
      </c>
      <c r="AX43" s="10">
        <v>2064</v>
      </c>
      <c r="AY43" s="10">
        <v>2065</v>
      </c>
      <c r="AZ43" s="10">
        <v>2066</v>
      </c>
      <c r="BA43" s="10">
        <v>2067</v>
      </c>
      <c r="BB43" s="10">
        <v>2068</v>
      </c>
      <c r="BC43" s="10">
        <v>2069</v>
      </c>
      <c r="BD43" s="10">
        <v>2070</v>
      </c>
      <c r="BE43" s="10">
        <v>2071</v>
      </c>
      <c r="BF43" s="10">
        <v>2072</v>
      </c>
      <c r="BG43" s="10">
        <v>2073</v>
      </c>
      <c r="BH43" s="10">
        <v>2074</v>
      </c>
      <c r="BI43" s="10">
        <v>2075</v>
      </c>
      <c r="BJ43" s="10">
        <v>2076</v>
      </c>
      <c r="BK43" s="10">
        <v>2077</v>
      </c>
      <c r="BL43" s="10">
        <v>2078</v>
      </c>
      <c r="BM43" s="10">
        <v>2079</v>
      </c>
      <c r="BN43" s="10">
        <v>2080</v>
      </c>
      <c r="BO43" s="10">
        <v>2081</v>
      </c>
      <c r="BP43" s="10">
        <v>2082</v>
      </c>
      <c r="BQ43" s="10">
        <v>2083</v>
      </c>
      <c r="BR43" s="10">
        <v>2084</v>
      </c>
      <c r="BS43" s="10">
        <v>2085</v>
      </c>
      <c r="BT43" s="10">
        <v>2086</v>
      </c>
      <c r="BU43" s="10">
        <v>2087</v>
      </c>
      <c r="BV43" s="10">
        <v>2088</v>
      </c>
      <c r="BW43" s="10">
        <v>2089</v>
      </c>
      <c r="BX43" s="10">
        <v>2090</v>
      </c>
      <c r="BY43" s="10">
        <v>2091</v>
      </c>
      <c r="BZ43" s="10">
        <v>2092</v>
      </c>
      <c r="CA43" s="10">
        <v>2093</v>
      </c>
      <c r="CB43" s="10">
        <v>2094</v>
      </c>
      <c r="CC43" s="10">
        <v>2095</v>
      </c>
      <c r="CD43" s="10">
        <v>2096</v>
      </c>
      <c r="CE43" s="10">
        <v>2097</v>
      </c>
      <c r="CF43" s="10">
        <v>2098</v>
      </c>
      <c r="CG43" s="10">
        <v>2099</v>
      </c>
      <c r="CH43" s="10">
        <v>2100</v>
      </c>
    </row>
    <row r="44" spans="1:86" x14ac:dyDescent="0.25">
      <c r="A44" s="1"/>
      <c r="B44" s="1" t="s">
        <v>22</v>
      </c>
      <c r="C44" s="12">
        <v>115313</v>
      </c>
      <c r="D44" s="12">
        <v>130736</v>
      </c>
      <c r="E44" s="24">
        <v>205475</v>
      </c>
      <c r="F44" s="12">
        <v>232925</v>
      </c>
      <c r="G44" s="12">
        <v>259900</v>
      </c>
      <c r="H44" s="12">
        <v>269724</v>
      </c>
      <c r="I44" s="22">
        <f t="shared" ref="I44:R44" si="27">I45*I11</f>
        <v>362895.12244640006</v>
      </c>
      <c r="J44" s="19">
        <f t="shared" si="27"/>
        <v>463691.32034971844</v>
      </c>
      <c r="K44" s="19">
        <f t="shared" si="27"/>
        <v>516301.57325652335</v>
      </c>
      <c r="L44" s="19">
        <f t="shared" si="27"/>
        <v>542224.93570876762</v>
      </c>
      <c r="M44" s="19">
        <f t="shared" si="27"/>
        <v>603496.35344385845</v>
      </c>
      <c r="N44" s="19">
        <f t="shared" si="27"/>
        <v>671691.44138301443</v>
      </c>
      <c r="O44" s="19">
        <f t="shared" si="27"/>
        <v>747592.57425929501</v>
      </c>
      <c r="P44" s="19">
        <f t="shared" si="27"/>
        <v>832070.53515059536</v>
      </c>
      <c r="Q44" s="19">
        <f t="shared" si="27"/>
        <v>926094.50562261266</v>
      </c>
      <c r="R44" s="19">
        <f t="shared" si="27"/>
        <v>1030743.1847579678</v>
      </c>
    </row>
    <row r="45" spans="1:86" x14ac:dyDescent="0.25">
      <c r="A45" s="1"/>
      <c r="B45" s="79" t="s">
        <v>18</v>
      </c>
      <c r="C45" s="80">
        <f t="shared" ref="C45:H45" si="28">C44/C11</f>
        <v>3.9204453504612206E-2</v>
      </c>
      <c r="D45" s="80">
        <f t="shared" si="28"/>
        <v>5.8259107218931537E-2</v>
      </c>
      <c r="E45" s="80">
        <f t="shared" si="28"/>
        <v>6.7080362911374258E-2</v>
      </c>
      <c r="F45" s="80">
        <f t="shared" si="28"/>
        <v>8.5907959630174391E-2</v>
      </c>
      <c r="G45" s="80">
        <f t="shared" si="28"/>
        <v>8.8904031194060845E-2</v>
      </c>
      <c r="H45" s="80">
        <f t="shared" si="28"/>
        <v>0.10297485720525068</v>
      </c>
      <c r="I45" s="21">
        <v>0.1048</v>
      </c>
      <c r="J45" s="52">
        <v>0.1016</v>
      </c>
      <c r="K45" s="52">
        <v>9.2499999999999999E-2</v>
      </c>
      <c r="L45" s="52">
        <v>8.4400000000000003E-2</v>
      </c>
      <c r="M45" s="52">
        <v>8.4400000000000003E-2</v>
      </c>
      <c r="N45" s="52">
        <v>8.4400000000000003E-2</v>
      </c>
      <c r="O45" s="52">
        <v>8.4400000000000003E-2</v>
      </c>
      <c r="P45" s="52">
        <v>8.4400000000000003E-2</v>
      </c>
      <c r="Q45" s="52">
        <v>8.4400000000000003E-2</v>
      </c>
      <c r="R45" s="52">
        <v>8.4400000000000003E-2</v>
      </c>
    </row>
    <row r="46" spans="1:86" x14ac:dyDescent="0.25">
      <c r="A46" s="1"/>
      <c r="B46" s="1"/>
      <c r="C46" s="1"/>
      <c r="D46" s="1"/>
      <c r="F46" s="1"/>
      <c r="G46" s="1"/>
      <c r="H46" s="1"/>
      <c r="I46" s="13"/>
      <c r="J46" s="94"/>
      <c r="K46" s="94"/>
      <c r="L46" s="94"/>
      <c r="M46" s="94"/>
      <c r="N46" s="94"/>
      <c r="O46" s="95"/>
      <c r="P46" s="95"/>
      <c r="Q46" s="95"/>
      <c r="R46" s="95"/>
    </row>
    <row r="47" spans="1:86" x14ac:dyDescent="0.25">
      <c r="A47" s="1"/>
      <c r="B47" s="1" t="s">
        <v>23</v>
      </c>
      <c r="C47" s="12">
        <v>-514357</v>
      </c>
      <c r="D47" s="12">
        <v>-739838</v>
      </c>
      <c r="E47" s="24">
        <v>-668717</v>
      </c>
      <c r="F47" s="12">
        <v>-416635</v>
      </c>
      <c r="G47" s="12">
        <v>-540291</v>
      </c>
      <c r="H47" s="12">
        <v>-903605</v>
      </c>
      <c r="I47" s="22">
        <f t="shared" ref="I47:R47" si="29">I48*I11</f>
        <v>-1959910.6803880001</v>
      </c>
      <c r="J47" s="96">
        <f t="shared" si="29"/>
        <v>-1145536.6280293241</v>
      </c>
      <c r="K47" s="96">
        <f t="shared" si="29"/>
        <v>-621236.37949676812</v>
      </c>
      <c r="L47" s="96">
        <f t="shared" si="29"/>
        <v>-723394.87868255028</v>
      </c>
      <c r="M47" s="96">
        <f t="shared" si="29"/>
        <v>-507680.58168855379</v>
      </c>
      <c r="N47" s="96">
        <f t="shared" si="29"/>
        <v>-469547.33461608825</v>
      </c>
      <c r="O47" s="96">
        <f t="shared" si="29"/>
        <v>-522606.18342770619</v>
      </c>
      <c r="P47" s="96">
        <f t="shared" si="29"/>
        <v>-581660.68215503707</v>
      </c>
      <c r="Q47" s="96">
        <f t="shared" si="29"/>
        <v>-647388.3392385561</v>
      </c>
      <c r="R47" s="96">
        <f t="shared" si="29"/>
        <v>-720543.22157251299</v>
      </c>
    </row>
    <row r="48" spans="1:86" x14ac:dyDescent="0.25">
      <c r="A48" s="1"/>
      <c r="B48" s="79" t="s">
        <v>18</v>
      </c>
      <c r="C48" s="80">
        <f t="shared" ref="C48:H48" si="30">C47/C11</f>
        <v>-0.17487260838996316</v>
      </c>
      <c r="D48" s="80">
        <f t="shared" si="30"/>
        <v>-0.32968961392913865</v>
      </c>
      <c r="E48" s="80">
        <f t="shared" si="30"/>
        <v>-0.21831258812510262</v>
      </c>
      <c r="F48" s="80">
        <f t="shared" si="30"/>
        <v>-0.15366432439848754</v>
      </c>
      <c r="G48" s="80">
        <f t="shared" si="30"/>
        <v>-0.18481742176941257</v>
      </c>
      <c r="H48" s="80">
        <f t="shared" si="30"/>
        <v>-0.34497707228481905</v>
      </c>
      <c r="I48" s="21">
        <v>-0.56599999999999995</v>
      </c>
      <c r="J48" s="52">
        <v>-0.251</v>
      </c>
      <c r="K48" s="52">
        <v>-0.1113</v>
      </c>
      <c r="L48" s="52">
        <v>-0.11260000000000001</v>
      </c>
      <c r="M48" s="52">
        <v>-7.0999999999999994E-2</v>
      </c>
      <c r="N48" s="52">
        <v>-5.8999999999999997E-2</v>
      </c>
      <c r="O48" s="52">
        <v>-5.8999999999999997E-2</v>
      </c>
      <c r="P48" s="52">
        <v>-5.8999999999999997E-2</v>
      </c>
      <c r="Q48" s="52">
        <v>-5.8999999999999997E-2</v>
      </c>
      <c r="R48" s="52">
        <v>-5.8999999999999997E-2</v>
      </c>
    </row>
    <row r="49" spans="1:86" x14ac:dyDescent="0.25">
      <c r="A49" s="1"/>
      <c r="B49" s="1"/>
      <c r="C49" s="1"/>
      <c r="D49" s="1"/>
      <c r="F49" s="1"/>
      <c r="G49" s="1"/>
      <c r="H49" s="1"/>
      <c r="I49" s="13"/>
      <c r="J49" s="1"/>
      <c r="K49" s="1"/>
      <c r="L49" s="1"/>
      <c r="M49" s="1"/>
      <c r="N49" s="1"/>
    </row>
    <row r="50" spans="1:86" x14ac:dyDescent="0.25">
      <c r="A50" s="1"/>
      <c r="B50" s="1" t="s">
        <v>24</v>
      </c>
      <c r="C50" s="1">
        <v>1166086</v>
      </c>
      <c r="D50" s="1">
        <v>-326343</v>
      </c>
      <c r="E50" s="2">
        <v>225279</v>
      </c>
      <c r="F50" s="38">
        <v>-562452</v>
      </c>
      <c r="G50" s="38">
        <v>-336705</v>
      </c>
      <c r="H50" s="38">
        <v>998638</v>
      </c>
      <c r="I50" s="22">
        <f t="shared" ref="I50:R50" si="31">I51*I11</f>
        <v>34627.397180000007</v>
      </c>
      <c r="J50" s="19">
        <f t="shared" si="31"/>
        <v>45638.909483240008</v>
      </c>
      <c r="K50" s="19">
        <f t="shared" si="31"/>
        <v>55816.38629800253</v>
      </c>
      <c r="L50" s="19">
        <f t="shared" si="31"/>
        <v>64244.660629000908</v>
      </c>
      <c r="M50" s="19">
        <f t="shared" si="31"/>
        <v>71504.307280078006</v>
      </c>
      <c r="N50" s="19">
        <f t="shared" si="31"/>
        <v>79584.29400272682</v>
      </c>
      <c r="O50" s="19">
        <f t="shared" si="31"/>
        <v>88577.319225034953</v>
      </c>
      <c r="P50" s="19">
        <f t="shared" si="31"/>
        <v>98586.556297463903</v>
      </c>
      <c r="Q50" s="19">
        <f t="shared" si="31"/>
        <v>109726.83715907732</v>
      </c>
      <c r="R50" s="19">
        <f t="shared" si="31"/>
        <v>122125.96975805305</v>
      </c>
    </row>
    <row r="51" spans="1:86" x14ac:dyDescent="0.25">
      <c r="A51" s="1"/>
      <c r="B51" s="79" t="s">
        <v>18</v>
      </c>
      <c r="C51" s="80">
        <f t="shared" ref="C51:H51" si="32">C50/C11</f>
        <v>0.39644935410039833</v>
      </c>
      <c r="D51" s="80">
        <f t="shared" si="32"/>
        <v>-0.14542629288908773</v>
      </c>
      <c r="E51" s="80">
        <f t="shared" si="32"/>
        <v>7.3545672594288763E-2</v>
      </c>
      <c r="F51" s="80">
        <f t="shared" si="32"/>
        <v>-0.2074449016203106</v>
      </c>
      <c r="G51" s="80">
        <f t="shared" si="32"/>
        <v>-0.11517672883107448</v>
      </c>
      <c r="H51" s="80">
        <f t="shared" si="32"/>
        <v>0.38125864012745297</v>
      </c>
      <c r="I51" s="74">
        <v>0.01</v>
      </c>
      <c r="J51" s="93">
        <v>0.01</v>
      </c>
      <c r="K51" s="93">
        <v>0.01</v>
      </c>
      <c r="L51" s="93">
        <v>0.01</v>
      </c>
      <c r="M51" s="93">
        <v>0.01</v>
      </c>
      <c r="N51" s="93">
        <v>0.01</v>
      </c>
      <c r="O51" s="93">
        <v>0.01</v>
      </c>
      <c r="P51" s="93">
        <v>0.01</v>
      </c>
      <c r="Q51" s="93">
        <v>0.01</v>
      </c>
      <c r="R51" s="93">
        <v>0.01</v>
      </c>
    </row>
    <row r="52" spans="1:86" x14ac:dyDescent="0.25">
      <c r="A52" s="1"/>
      <c r="B52" s="1"/>
      <c r="C52" s="1"/>
      <c r="D52" s="1"/>
      <c r="E52" s="1"/>
      <c r="F52" s="1"/>
      <c r="G52" s="1"/>
      <c r="H52" s="1"/>
      <c r="I52" s="13"/>
      <c r="J52" s="1"/>
      <c r="K52" s="1"/>
      <c r="L52" s="1"/>
      <c r="M52" s="1"/>
      <c r="N52" s="1"/>
      <c r="O52" s="1"/>
      <c r="P52" s="1"/>
      <c r="Q52" s="1"/>
    </row>
    <row r="53" spans="1:86" x14ac:dyDescent="0.25">
      <c r="A53" s="1"/>
      <c r="B53" s="10" t="s">
        <v>25</v>
      </c>
      <c r="C53" s="12">
        <f>C37+C40</f>
        <v>-194145</v>
      </c>
      <c r="D53" s="12">
        <f t="shared" ref="D53:E53" si="33">D37+D40</f>
        <v>36672</v>
      </c>
      <c r="E53" s="12">
        <f t="shared" si="33"/>
        <v>-156305</v>
      </c>
      <c r="F53" s="12">
        <f>F37-F40</f>
        <v>210195</v>
      </c>
      <c r="G53" s="12">
        <f t="shared" ref="G53" si="34">G37-G40</f>
        <v>690220</v>
      </c>
      <c r="H53" s="12">
        <f>H37-H40</f>
        <v>25528</v>
      </c>
      <c r="I53" s="72">
        <f t="shared" ref="I53:R53" si="35">I37-I40</f>
        <v>706346.89278176799</v>
      </c>
      <c r="J53" s="12">
        <f t="shared" si="35"/>
        <v>1203570.9470723348</v>
      </c>
      <c r="K53" s="12">
        <f t="shared" si="35"/>
        <v>1448177.2942934518</v>
      </c>
      <c r="L53" s="12">
        <f t="shared" si="35"/>
        <v>1656079.1217317635</v>
      </c>
      <c r="M53" s="12">
        <f t="shared" si="35"/>
        <v>1835154.1904874528</v>
      </c>
      <c r="N53" s="12">
        <f t="shared" si="35"/>
        <v>2034464.7420125348</v>
      </c>
      <c r="O53" s="12">
        <f t="shared" si="35"/>
        <v>2256297.3858599518</v>
      </c>
      <c r="P53" s="12">
        <f t="shared" si="35"/>
        <v>2503197.1184621258</v>
      </c>
      <c r="Q53" s="12">
        <f t="shared" si="35"/>
        <v>2777996.5208483459</v>
      </c>
      <c r="R53" s="12">
        <f t="shared" si="35"/>
        <v>3083848.2557042087</v>
      </c>
    </row>
    <row r="54" spans="1:86" x14ac:dyDescent="0.25">
      <c r="A54" s="1"/>
      <c r="B54" s="10" t="s">
        <v>82</v>
      </c>
      <c r="C54" s="12">
        <v>4266</v>
      </c>
      <c r="D54" s="12">
        <v>34620</v>
      </c>
      <c r="E54" s="12">
        <v>-284</v>
      </c>
      <c r="F54" s="12">
        <v>-2129</v>
      </c>
      <c r="G54" s="12">
        <v>0</v>
      </c>
      <c r="H54" s="12">
        <v>0</v>
      </c>
      <c r="I54" s="72">
        <v>-53010.77526423207</v>
      </c>
      <c r="J54" s="92">
        <v>-123010.775264232</v>
      </c>
      <c r="K54" s="12"/>
      <c r="L54" s="12"/>
      <c r="M54" s="12"/>
      <c r="N54" s="12"/>
      <c r="O54" s="12"/>
      <c r="P54" s="12"/>
      <c r="Q54" s="12"/>
      <c r="R54" s="12"/>
    </row>
    <row r="55" spans="1:86" x14ac:dyDescent="0.25">
      <c r="A55" s="1"/>
      <c r="B55" s="10" t="s">
        <v>26</v>
      </c>
      <c r="C55" s="12">
        <f t="shared" ref="C55" si="36">C35+C40+C54</f>
        <v>-165615</v>
      </c>
      <c r="D55" s="12">
        <f t="shared" ref="D55" si="37">D35+D40+D54</f>
        <v>144326</v>
      </c>
      <c r="E55" s="12">
        <f t="shared" ref="E55" si="38">E35+E40+E54</f>
        <v>-114933</v>
      </c>
      <c r="F55" s="12">
        <f t="shared" ref="F55" si="39">F35+F40+F54</f>
        <v>398355</v>
      </c>
      <c r="G55" s="12">
        <f t="shared" ref="G55" si="40">G35+G40+G54</f>
        <v>468693</v>
      </c>
      <c r="H55" s="12">
        <f t="shared" ref="H55" si="41">H35+H40+H54</f>
        <v>-44166</v>
      </c>
      <c r="I55" s="72">
        <f>I35+I40+I54</f>
        <v>775350</v>
      </c>
      <c r="J55" s="12">
        <f>J35+J40+J54</f>
        <v>1380982.2050178901</v>
      </c>
      <c r="K55" s="12">
        <f t="shared" ref="K55" si="42">K35+K40+K54</f>
        <v>1827493.3888610483</v>
      </c>
      <c r="L55" s="12">
        <f t="shared" ref="L55" si="43">L35+L40+L54</f>
        <v>2090057.8345790668</v>
      </c>
      <c r="M55" s="12">
        <f t="shared" ref="M55" si="44">M35+M40+M54</f>
        <v>2316216.2418865012</v>
      </c>
      <c r="N55" s="12">
        <f t="shared" ref="N55" si="45">N35+N40+N54</f>
        <v>2567930.5492196758</v>
      </c>
      <c r="O55" s="12">
        <f>O35+O40+O54</f>
        <v>2843592.0606703456</v>
      </c>
      <c r="P55" s="12">
        <f t="shared" ref="P55" si="46">P35+P40+P54</f>
        <v>3159904.4540623091</v>
      </c>
      <c r="Q55" s="12">
        <f t="shared" ref="Q55" si="47">Q35+Q40+Q54</f>
        <v>3506955.5293713496</v>
      </c>
      <c r="R55" s="12">
        <f t="shared" ref="R55" si="48">R35+R40+R54</f>
        <v>3893223.3761903122</v>
      </c>
      <c r="S55" s="64">
        <f>R55*(1+$E$6)</f>
        <v>4010020.0774760218</v>
      </c>
      <c r="T55" s="64">
        <f t="shared" ref="T55:CE55" si="49">S55*(1+$E$6)</f>
        <v>4130320.6798003027</v>
      </c>
      <c r="U55" s="64">
        <f t="shared" si="49"/>
        <v>4254230.3001943119</v>
      </c>
      <c r="V55" s="64">
        <f t="shared" si="49"/>
        <v>4381857.209200141</v>
      </c>
      <c r="W55" s="64">
        <f t="shared" si="49"/>
        <v>4513312.925476145</v>
      </c>
      <c r="X55" s="64">
        <f t="shared" si="49"/>
        <v>4648712.3132404294</v>
      </c>
      <c r="Y55" s="64">
        <f t="shared" si="49"/>
        <v>4788173.6826376421</v>
      </c>
      <c r="Z55" s="64">
        <f t="shared" si="49"/>
        <v>4931818.8931167712</v>
      </c>
      <c r="AA55" s="64">
        <f t="shared" si="49"/>
        <v>5079773.4599102745</v>
      </c>
      <c r="AB55" s="64">
        <f t="shared" si="49"/>
        <v>5232166.6637075832</v>
      </c>
      <c r="AC55" s="64">
        <f t="shared" si="49"/>
        <v>5389131.6636188105</v>
      </c>
      <c r="AD55" s="64">
        <f t="shared" si="49"/>
        <v>5550805.6135273753</v>
      </c>
      <c r="AE55" s="64">
        <f t="shared" si="49"/>
        <v>5717329.7819331968</v>
      </c>
      <c r="AF55" s="64">
        <f t="shared" si="49"/>
        <v>5888849.6753911925</v>
      </c>
      <c r="AG55" s="64">
        <f t="shared" si="49"/>
        <v>6065515.1656529289</v>
      </c>
      <c r="AH55" s="64">
        <f t="shared" si="49"/>
        <v>6247480.6206225166</v>
      </c>
      <c r="AI55" s="64">
        <f t="shared" si="49"/>
        <v>6434905.0392411919</v>
      </c>
      <c r="AJ55" s="64">
        <f t="shared" si="49"/>
        <v>6627952.1904184278</v>
      </c>
      <c r="AK55" s="64">
        <f t="shared" si="49"/>
        <v>6826790.7561309813</v>
      </c>
      <c r="AL55" s="64">
        <f t="shared" si="49"/>
        <v>7031594.4788149111</v>
      </c>
      <c r="AM55" s="64">
        <f t="shared" si="49"/>
        <v>7242542.3131793588</v>
      </c>
      <c r="AN55" s="64">
        <f t="shared" si="49"/>
        <v>7459818.5825747401</v>
      </c>
      <c r="AO55" s="64">
        <f t="shared" si="49"/>
        <v>7683613.1400519824</v>
      </c>
      <c r="AP55" s="64">
        <f t="shared" si="49"/>
        <v>7914121.5342535423</v>
      </c>
      <c r="AQ55" s="64">
        <f t="shared" si="49"/>
        <v>8151545.1802811492</v>
      </c>
      <c r="AR55" s="64">
        <f t="shared" si="49"/>
        <v>8396091.535689583</v>
      </c>
      <c r="AS55" s="64">
        <f t="shared" si="49"/>
        <v>8647974.2817602716</v>
      </c>
      <c r="AT55" s="64">
        <f t="shared" si="49"/>
        <v>8907413.5102130808</v>
      </c>
      <c r="AU55" s="64">
        <f t="shared" si="49"/>
        <v>9174635.9155194741</v>
      </c>
      <c r="AV55" s="64">
        <f t="shared" si="49"/>
        <v>9449874.9929850586</v>
      </c>
      <c r="AW55" s="64">
        <f t="shared" si="49"/>
        <v>9733371.2427746113</v>
      </c>
      <c r="AX55" s="64">
        <f t="shared" si="49"/>
        <v>10025372.380057851</v>
      </c>
      <c r="AY55" s="64">
        <f t="shared" si="49"/>
        <v>10326133.551459586</v>
      </c>
      <c r="AZ55" s="64">
        <f t="shared" si="49"/>
        <v>10635917.558003373</v>
      </c>
      <c r="BA55" s="64">
        <f t="shared" si="49"/>
        <v>10954995.084743476</v>
      </c>
      <c r="BB55" s="64">
        <f t="shared" si="49"/>
        <v>11283644.937285781</v>
      </c>
      <c r="BC55" s="64">
        <f t="shared" si="49"/>
        <v>11622154.285404354</v>
      </c>
      <c r="BD55" s="64">
        <f t="shared" si="49"/>
        <v>11970818.913966484</v>
      </c>
      <c r="BE55" s="64">
        <f t="shared" si="49"/>
        <v>12329943.481385479</v>
      </c>
      <c r="BF55" s="64">
        <f t="shared" si="49"/>
        <v>12699841.785827043</v>
      </c>
      <c r="BG55" s="64">
        <f t="shared" si="49"/>
        <v>13080837.039401853</v>
      </c>
      <c r="BH55" s="64">
        <f t="shared" si="49"/>
        <v>13473262.15058391</v>
      </c>
      <c r="BI55" s="64">
        <f t="shared" si="49"/>
        <v>13877460.015101427</v>
      </c>
      <c r="BJ55" s="64">
        <f t="shared" si="49"/>
        <v>14293783.81555447</v>
      </c>
      <c r="BK55" s="64">
        <f t="shared" si="49"/>
        <v>14722597.330021104</v>
      </c>
      <c r="BL55" s="64">
        <f t="shared" si="49"/>
        <v>15164275.249921737</v>
      </c>
      <c r="BM55" s="64">
        <f t="shared" si="49"/>
        <v>15619203.507419391</v>
      </c>
      <c r="BN55" s="64">
        <f t="shared" si="49"/>
        <v>16087779.612641973</v>
      </c>
      <c r="BO55" s="64">
        <f t="shared" si="49"/>
        <v>16570413.001021232</v>
      </c>
      <c r="BP55" s="64">
        <f t="shared" si="49"/>
        <v>17067525.39105187</v>
      </c>
      <c r="BQ55" s="64">
        <f t="shared" si="49"/>
        <v>17579551.152783427</v>
      </c>
      <c r="BR55" s="64">
        <f t="shared" si="49"/>
        <v>18106937.687366929</v>
      </c>
      <c r="BS55" s="64">
        <f t="shared" si="49"/>
        <v>18650145.817987937</v>
      </c>
      <c r="BT55" s="64">
        <f t="shared" si="49"/>
        <v>19209650.192527577</v>
      </c>
      <c r="BU55" s="64">
        <f t="shared" si="49"/>
        <v>19785939.698303405</v>
      </c>
      <c r="BV55" s="64">
        <f t="shared" si="49"/>
        <v>20379517.889252506</v>
      </c>
      <c r="BW55" s="64">
        <f t="shared" si="49"/>
        <v>20990903.425930083</v>
      </c>
      <c r="BX55" s="64">
        <f t="shared" si="49"/>
        <v>21620630.528707985</v>
      </c>
      <c r="BY55" s="64">
        <f t="shared" si="49"/>
        <v>22269249.444569226</v>
      </c>
      <c r="BZ55" s="64">
        <f t="shared" si="49"/>
        <v>22937326.927906305</v>
      </c>
      <c r="CA55" s="64">
        <f t="shared" si="49"/>
        <v>23625446.735743493</v>
      </c>
      <c r="CB55" s="64">
        <f t="shared" si="49"/>
        <v>24334210.1378158</v>
      </c>
      <c r="CC55" s="64">
        <f t="shared" si="49"/>
        <v>25064236.441950273</v>
      </c>
      <c r="CD55" s="64">
        <f t="shared" si="49"/>
        <v>25816163.53520878</v>
      </c>
      <c r="CE55" s="64">
        <f t="shared" si="49"/>
        <v>26590648.441265043</v>
      </c>
      <c r="CF55" s="64">
        <f t="shared" ref="CF55:CH55" si="50">CE55*(1+$E$6)</f>
        <v>27388367.894502994</v>
      </c>
      <c r="CG55" s="64">
        <f t="shared" si="50"/>
        <v>28210018.931338083</v>
      </c>
      <c r="CH55" s="64">
        <f t="shared" si="50"/>
        <v>29056319.499278225</v>
      </c>
    </row>
    <row r="56" spans="1:86" x14ac:dyDescent="0.25">
      <c r="A56" s="1"/>
      <c r="B56" s="6"/>
      <c r="C56" s="23"/>
      <c r="D56" s="23"/>
      <c r="E56" s="23"/>
      <c r="F56" s="23"/>
      <c r="G56" s="23"/>
      <c r="H56" s="23"/>
      <c r="I56" s="13"/>
      <c r="J56" s="1"/>
      <c r="K56" s="1"/>
      <c r="L56" s="1"/>
      <c r="M56" s="1"/>
      <c r="N56" s="1"/>
      <c r="O56" s="1"/>
      <c r="P56" s="1"/>
      <c r="Q56" s="1"/>
    </row>
    <row r="57" spans="1:86" x14ac:dyDescent="0.25">
      <c r="A57" s="1"/>
      <c r="B57" s="10" t="s">
        <v>27</v>
      </c>
      <c r="C57" s="25">
        <f>C53+C44+C47-C50</f>
        <v>-1759275</v>
      </c>
      <c r="D57" s="25">
        <f t="shared" ref="D57:E57" si="51">D53+D44+D47-D50</f>
        <v>-246087</v>
      </c>
      <c r="E57" s="25">
        <f t="shared" si="51"/>
        <v>-844826</v>
      </c>
      <c r="F57" s="25">
        <f>F53+F44+F47-F50</f>
        <v>588937</v>
      </c>
      <c r="G57" s="25">
        <f>G53+G44+G47-G50</f>
        <v>746534</v>
      </c>
      <c r="H57" s="25">
        <f>H53+H44+H47-H50</f>
        <v>-1606991</v>
      </c>
      <c r="I57" s="72">
        <f t="shared" ref="I57:R57" si="52">I53+I44+I47-I50</f>
        <v>-925296.06233983196</v>
      </c>
      <c r="J57" s="12">
        <f t="shared" si="52"/>
        <v>476086.72990948916</v>
      </c>
      <c r="K57" s="12">
        <f t="shared" si="52"/>
        <v>1287426.1017552046</v>
      </c>
      <c r="L57" s="12">
        <f t="shared" si="52"/>
        <v>1410664.5181289797</v>
      </c>
      <c r="M57" s="12">
        <f t="shared" si="52"/>
        <v>1859465.6549626791</v>
      </c>
      <c r="N57" s="12">
        <f t="shared" si="52"/>
        <v>2157024.5547767342</v>
      </c>
      <c r="O57" s="12">
        <f t="shared" si="52"/>
        <v>2392706.4574665055</v>
      </c>
      <c r="P57" s="12">
        <f t="shared" si="52"/>
        <v>2655020.4151602206</v>
      </c>
      <c r="Q57" s="12">
        <f t="shared" si="52"/>
        <v>2946975.8500733254</v>
      </c>
      <c r="R57" s="12">
        <f t="shared" si="52"/>
        <v>3271922.2491316111</v>
      </c>
    </row>
    <row r="58" spans="1:86" x14ac:dyDescent="0.25">
      <c r="A58" s="1"/>
      <c r="B58" s="26" t="s">
        <v>28</v>
      </c>
      <c r="C58" s="1"/>
      <c r="D58" s="1"/>
      <c r="E58" s="1"/>
      <c r="F58" s="1"/>
      <c r="G58" s="1"/>
      <c r="H58" s="1"/>
      <c r="I58" s="70">
        <f t="shared" ref="I58:R58" si="53">I57/((1+$E$5)^I9)</f>
        <v>-828504.23979448387</v>
      </c>
      <c r="J58" s="67">
        <f t="shared" si="53"/>
        <v>381692.93279780407</v>
      </c>
      <c r="K58" s="67">
        <f t="shared" si="53"/>
        <v>924196.6151560162</v>
      </c>
      <c r="L58" s="67">
        <f t="shared" si="53"/>
        <v>906733.84730635153</v>
      </c>
      <c r="M58" s="67">
        <f t="shared" si="53"/>
        <v>1070183.5407048429</v>
      </c>
      <c r="N58" s="67">
        <f t="shared" si="53"/>
        <v>1111576.1406179427</v>
      </c>
      <c r="O58" s="67">
        <f t="shared" si="53"/>
        <v>1104047.0209372705</v>
      </c>
      <c r="P58" s="67">
        <f t="shared" si="53"/>
        <v>1096932.8299291506</v>
      </c>
      <c r="Q58" s="67">
        <f t="shared" si="53"/>
        <v>1090191.4404928365</v>
      </c>
      <c r="R58" s="67">
        <f t="shared" si="53"/>
        <v>1083785.1279125656</v>
      </c>
    </row>
    <row r="59" spans="1:86" x14ac:dyDescent="0.25">
      <c r="A59" s="1"/>
      <c r="B59" s="27"/>
      <c r="C59" s="27"/>
      <c r="D59" s="27"/>
      <c r="E59" s="27"/>
      <c r="F59" s="27"/>
      <c r="G59" s="27"/>
      <c r="H59" s="27"/>
      <c r="I59" s="16"/>
      <c r="J59" s="1"/>
      <c r="K59" s="1"/>
      <c r="L59" s="1"/>
      <c r="M59" s="1"/>
      <c r="N59" s="1"/>
      <c r="O59" s="1"/>
      <c r="P59" s="1"/>
      <c r="Q59" s="1"/>
      <c r="R59" s="1"/>
    </row>
    <row r="60" spans="1:86" x14ac:dyDescent="0.25">
      <c r="A60" s="1"/>
      <c r="B60" s="1" t="s">
        <v>29</v>
      </c>
      <c r="C60" s="28">
        <f>(R57*(1+$E$6))/($E$5-$E$6)</f>
        <v>38813646.994908832</v>
      </c>
      <c r="D60" s="1"/>
      <c r="E60" s="1" t="s">
        <v>30</v>
      </c>
      <c r="F60" s="19">
        <f>NPV($E$5,I55:CH55)</f>
        <v>27553246.152500995</v>
      </c>
      <c r="G60" s="1"/>
      <c r="H60" s="1"/>
      <c r="I60" s="16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29">
        <f>C60/((1+$E$5)^$R$9)</f>
        <v>12856556.534708282</v>
      </c>
      <c r="D61" s="17"/>
      <c r="E61" s="3"/>
      <c r="F61" s="3"/>
      <c r="G61" s="3"/>
      <c r="H61" s="17"/>
      <c r="I61" s="13"/>
      <c r="J61" s="1"/>
      <c r="L61" s="54" t="s">
        <v>52</v>
      </c>
      <c r="M61" s="55"/>
      <c r="N61" s="55"/>
      <c r="O61" s="55"/>
      <c r="P61" s="55"/>
      <c r="Q61" s="54"/>
    </row>
    <row r="62" spans="1:86" x14ac:dyDescent="0.25">
      <c r="A62" s="1"/>
      <c r="B62" s="6" t="s">
        <v>32</v>
      </c>
      <c r="C62" s="6"/>
      <c r="D62" s="1"/>
      <c r="E62" s="6"/>
      <c r="F62" s="6"/>
      <c r="G62" s="30" t="s">
        <v>33</v>
      </c>
      <c r="H62" s="30" t="s">
        <v>30</v>
      </c>
      <c r="I62" s="16"/>
      <c r="J62" s="1"/>
      <c r="K62" s="54"/>
      <c r="L62" s="56">
        <f>D68</f>
        <v>235.9006154070409</v>
      </c>
      <c r="M62" s="57">
        <v>-0.03</v>
      </c>
      <c r="N62" s="57">
        <v>-0.01</v>
      </c>
      <c r="O62" s="57">
        <v>0.03</v>
      </c>
      <c r="P62" s="57">
        <v>0.03</v>
      </c>
      <c r="Q62" s="57">
        <v>0.05</v>
      </c>
    </row>
    <row r="63" spans="1:86" x14ac:dyDescent="0.25">
      <c r="A63" s="1"/>
      <c r="B63" s="31" t="s">
        <v>34</v>
      </c>
      <c r="C63" s="1"/>
      <c r="D63" s="24">
        <f>2287.4*1000</f>
        <v>2287400</v>
      </c>
      <c r="E63" s="1"/>
      <c r="F63" s="1"/>
      <c r="G63" s="28">
        <f>C61+SUM(I58:R58)</f>
        <v>20797391.790768579</v>
      </c>
      <c r="H63" s="19">
        <f>F60</f>
        <v>27553246.152500995</v>
      </c>
      <c r="I63" s="16"/>
      <c r="J63" s="1"/>
      <c r="K63" s="54"/>
      <c r="L63" s="58">
        <f>L64-2%</f>
        <v>7.682719037063461E-2</v>
      </c>
      <c r="M63" s="59">
        <f t="dataTable" ref="M63:Q67" dt2D="1" dtr="1" r1="E6" r2="E5"/>
        <v>274.21367150371128</v>
      </c>
      <c r="N63" s="59">
        <v>310.96835646132757</v>
      </c>
      <c r="O63" s="59">
        <v>470.91123551030466</v>
      </c>
      <c r="P63" s="59">
        <v>470.91123551030466</v>
      </c>
      <c r="Q63" s="59">
        <v>692.50158306866251</v>
      </c>
    </row>
    <row r="64" spans="1:86" x14ac:dyDescent="0.25">
      <c r="A64" s="1"/>
      <c r="B64" s="32" t="s">
        <v>35</v>
      </c>
      <c r="C64" s="3"/>
      <c r="D64" s="91">
        <v>1174173</v>
      </c>
      <c r="E64" s="3"/>
      <c r="F64" s="3"/>
      <c r="G64" s="3"/>
      <c r="H64" s="3"/>
      <c r="I64" s="16"/>
      <c r="J64" s="1"/>
      <c r="K64" s="55"/>
      <c r="L64" s="58">
        <f>L65-2%</f>
        <v>9.6827190370634614E-2</v>
      </c>
      <c r="M64" s="59">
        <v>217.68730884377254</v>
      </c>
      <c r="N64" s="60">
        <v>239.11036327497811</v>
      </c>
      <c r="O64" s="60">
        <v>319.13200975440952</v>
      </c>
      <c r="P64" s="60">
        <v>319.13200975440952</v>
      </c>
      <c r="Q64" s="59">
        <v>405.33091926884447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3">
        <f>(G63+D63-D64)</f>
        <v>21910618.790768579</v>
      </c>
      <c r="H65" s="34">
        <f>(H63+D63-D64)</f>
        <v>28666473.152500995</v>
      </c>
      <c r="I65" s="16"/>
      <c r="J65"/>
      <c r="K65" s="54" t="s">
        <v>1</v>
      </c>
      <c r="L65" s="61">
        <v>0.11682719037063462</v>
      </c>
      <c r="M65" s="59">
        <v>178.0028889940053</v>
      </c>
      <c r="N65" s="60">
        <v>191.27083595083116</v>
      </c>
      <c r="O65" s="62">
        <v>235.9006154070409</v>
      </c>
      <c r="P65" s="60">
        <v>235.9006154070409</v>
      </c>
      <c r="Q65" s="59">
        <v>277.3814710556199</v>
      </c>
    </row>
    <row r="66" spans="1:17" x14ac:dyDescent="0.25">
      <c r="A66" s="1"/>
      <c r="B66" s="3" t="s">
        <v>37</v>
      </c>
      <c r="C66" s="3"/>
      <c r="D66" s="38">
        <f>107.2*1000</f>
        <v>107200</v>
      </c>
      <c r="E66" s="3"/>
      <c r="F66" s="3"/>
      <c r="G66" s="3"/>
      <c r="H66" s="3"/>
      <c r="I66" s="16"/>
      <c r="J66" s="1"/>
      <c r="K66" s="54"/>
      <c r="L66" s="63">
        <f>L65+2%</f>
        <v>0.13682719037063462</v>
      </c>
      <c r="M66" s="59">
        <v>148.93489728154765</v>
      </c>
      <c r="N66" s="60">
        <v>157.53682867546291</v>
      </c>
      <c r="O66" s="60">
        <v>184.35382409500994</v>
      </c>
      <c r="P66" s="60">
        <v>184.35382409500994</v>
      </c>
      <c r="Q66" s="59">
        <v>206.86041290197676</v>
      </c>
    </row>
    <row r="67" spans="1:17" x14ac:dyDescent="0.25">
      <c r="A67" s="1"/>
      <c r="B67" s="18" t="s">
        <v>38</v>
      </c>
      <c r="C67" s="18"/>
      <c r="D67" s="18">
        <f>D66*$J$5</f>
        <v>19145920</v>
      </c>
      <c r="E67" s="18"/>
      <c r="F67" s="18"/>
      <c r="G67" s="18"/>
      <c r="H67" s="35"/>
      <c r="I67" s="1"/>
      <c r="J67" s="1"/>
      <c r="K67" s="54"/>
      <c r="L67" s="63">
        <f>L66+2%</f>
        <v>0.15682719037063461</v>
      </c>
      <c r="M67" s="59">
        <v>126.93873738989745</v>
      </c>
      <c r="N67" s="59">
        <v>132.71796513291437</v>
      </c>
      <c r="O67" s="59">
        <v>149.733851090309</v>
      </c>
      <c r="P67" s="59">
        <v>149.733851090309</v>
      </c>
      <c r="Q67" s="59">
        <v>162.98537840672972</v>
      </c>
    </row>
    <row r="68" spans="1:17" x14ac:dyDescent="0.25">
      <c r="A68" s="1"/>
      <c r="B68" s="6" t="s">
        <v>39</v>
      </c>
      <c r="C68" s="6" t="s">
        <v>40</v>
      </c>
      <c r="D68" s="36">
        <f>(G68+H68)/2</f>
        <v>235.9006154070409</v>
      </c>
      <c r="F68" s="6"/>
      <c r="G68" s="36">
        <f>G65/D66</f>
        <v>204.39010066015464</v>
      </c>
      <c r="H68" s="36">
        <f>H65/D66</f>
        <v>267.41113015392716</v>
      </c>
      <c r="I68" s="16"/>
      <c r="J68" s="1"/>
    </row>
    <row r="69" spans="1:17" x14ac:dyDescent="0.25">
      <c r="A69"/>
      <c r="C69" s="1"/>
      <c r="D6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86CF-FE13-4469-9C0C-B877A2BCB74F}">
  <dimension ref="A1:CA52"/>
  <sheetViews>
    <sheetView topLeftCell="D35" workbookViewId="0">
      <selection activeCell="K52" sqref="K52"/>
    </sheetView>
  </sheetViews>
  <sheetFormatPr defaultRowHeight="15" x14ac:dyDescent="0.25"/>
  <sheetData>
    <row r="1" spans="1:66" x14ac:dyDescent="0.25">
      <c r="B1">
        <v>2020</v>
      </c>
      <c r="C1">
        <v>2021</v>
      </c>
      <c r="D1">
        <v>2022</v>
      </c>
    </row>
    <row r="2" spans="1:66" x14ac:dyDescent="0.25">
      <c r="B2" s="38">
        <v>2711332</v>
      </c>
      <c r="C2" s="38">
        <v>2923377</v>
      </c>
      <c r="D2" s="38">
        <v>2619319</v>
      </c>
    </row>
    <row r="3" spans="1:66" x14ac:dyDescent="0.25">
      <c r="A3" s="1" t="s">
        <v>7</v>
      </c>
    </row>
    <row r="4" spans="1:66" x14ac:dyDescent="0.25">
      <c r="A4" s="79" t="s">
        <v>8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s="38">
        <v>-16414</v>
      </c>
      <c r="BE4" s="38">
        <v>-7975</v>
      </c>
      <c r="BF4" s="38">
        <v>-4890</v>
      </c>
    </row>
    <row r="5" spans="1:66" x14ac:dyDescent="0.25">
      <c r="A5" s="6"/>
      <c r="B5" s="38">
        <v>2030659</v>
      </c>
      <c r="C5" s="38">
        <v>2193423</v>
      </c>
      <c r="D5" s="38">
        <v>2549461</v>
      </c>
      <c r="J5" t="s">
        <v>65</v>
      </c>
      <c r="K5" t="s">
        <v>66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s="38">
        <v>33284</v>
      </c>
      <c r="BK5" s="38">
        <v>6179</v>
      </c>
      <c r="BL5" s="38">
        <v>16559</v>
      </c>
    </row>
    <row r="6" spans="1:66" x14ac:dyDescent="0.25">
      <c r="A6" s="1" t="s">
        <v>9</v>
      </c>
      <c r="J6" t="s">
        <v>65</v>
      </c>
      <c r="K6" t="s">
        <v>67</v>
      </c>
      <c r="L6" t="s">
        <v>63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s="38">
        <v>-12225</v>
      </c>
      <c r="BH6" s="38">
        <v>-13107</v>
      </c>
      <c r="BI6" s="38">
        <v>-24036</v>
      </c>
    </row>
    <row r="7" spans="1:66" x14ac:dyDescent="0.25">
      <c r="A7" s="18"/>
      <c r="J7" t="s">
        <v>54</v>
      </c>
      <c r="K7" t="s">
        <v>66</v>
      </c>
      <c r="L7" t="s">
        <v>68</v>
      </c>
      <c r="M7" t="s">
        <v>63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s="38">
        <v>31189</v>
      </c>
      <c r="BC7">
        <v>314</v>
      </c>
      <c r="BD7" s="38">
        <v>-11932</v>
      </c>
    </row>
    <row r="8" spans="1:66" x14ac:dyDescent="0.25">
      <c r="A8" s="1" t="s">
        <v>10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s="38">
        <v>8598</v>
      </c>
      <c r="AT8" s="38">
        <v>572162</v>
      </c>
      <c r="AU8" s="38">
        <v>293190</v>
      </c>
    </row>
    <row r="9" spans="1:66" x14ac:dyDescent="0.25">
      <c r="A9" s="79" t="s">
        <v>11</v>
      </c>
      <c r="J9" t="s">
        <v>69</v>
      </c>
      <c r="K9" t="s">
        <v>76</v>
      </c>
      <c r="L9" t="s">
        <v>77</v>
      </c>
      <c r="M9" t="s">
        <v>78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s="38">
        <v>-52764</v>
      </c>
      <c r="BB9" s="38">
        <v>-103469</v>
      </c>
      <c r="BC9" s="38">
        <v>107294</v>
      </c>
    </row>
    <row r="10" spans="1:66" x14ac:dyDescent="0.25">
      <c r="A10" s="6"/>
      <c r="B10" s="38">
        <v>222918</v>
      </c>
      <c r="C10" s="38">
        <v>170320</v>
      </c>
      <c r="D10" s="38">
        <v>164724</v>
      </c>
      <c r="J10" t="s">
        <v>79</v>
      </c>
      <c r="K10" t="s">
        <v>74</v>
      </c>
      <c r="L10" t="s">
        <v>80</v>
      </c>
      <c r="M10" t="s">
        <v>63</v>
      </c>
      <c r="N10" t="s">
        <v>81</v>
      </c>
      <c r="O10" t="s">
        <v>76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>
        <v>0</v>
      </c>
      <c r="BD10">
        <v>0</v>
      </c>
      <c r="BE10" s="38">
        <v>-2129</v>
      </c>
    </row>
    <row r="11" spans="1:66" x14ac:dyDescent="0.25">
      <c r="A11" s="1" t="s">
        <v>55</v>
      </c>
    </row>
    <row r="12" spans="1:66" x14ac:dyDescent="0.25">
      <c r="A12" s="79" t="s">
        <v>18</v>
      </c>
    </row>
    <row r="13" spans="1:66" x14ac:dyDescent="0.25">
      <c r="A13" s="14"/>
      <c r="B13" s="38">
        <v>93738</v>
      </c>
      <c r="C13" s="38">
        <v>99115</v>
      </c>
      <c r="D13" s="38">
        <v>112804</v>
      </c>
    </row>
    <row r="14" spans="1:66" x14ac:dyDescent="0.25">
      <c r="A14" s="1" t="s">
        <v>12</v>
      </c>
      <c r="J14" s="38">
        <f>BD4+BJ5+BG6+BB7</f>
        <v>35834</v>
      </c>
      <c r="K14" s="38">
        <f t="shared" ref="K14:L14" si="0">BE4+BK5+BH6+BC7</f>
        <v>-14589</v>
      </c>
      <c r="L14" s="38">
        <f t="shared" si="0"/>
        <v>-24299</v>
      </c>
      <c r="O14" t="s">
        <v>83</v>
      </c>
      <c r="P14" t="s">
        <v>74</v>
      </c>
      <c r="Q14" t="s">
        <v>84</v>
      </c>
      <c r="R14" t="s">
        <v>85</v>
      </c>
      <c r="S14" t="s">
        <v>72</v>
      </c>
      <c r="T14" t="s">
        <v>86</v>
      </c>
    </row>
    <row r="15" spans="1:66" x14ac:dyDescent="0.25">
      <c r="A15" s="79" t="s">
        <v>18</v>
      </c>
      <c r="O15" t="s">
        <v>87</v>
      </c>
      <c r="P15" t="s">
        <v>88</v>
      </c>
      <c r="Q15" t="s">
        <v>89</v>
      </c>
      <c r="R15" t="s">
        <v>72</v>
      </c>
      <c r="S15" t="s">
        <v>90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s="38">
        <v>118724</v>
      </c>
      <c r="AT15" s="38">
        <v>-96951</v>
      </c>
      <c r="AU15" s="38">
        <v>345150</v>
      </c>
    </row>
    <row r="16" spans="1:66" x14ac:dyDescent="0.25">
      <c r="A16" s="14"/>
      <c r="B16" s="38">
        <v>46528</v>
      </c>
      <c r="C16" s="38">
        <v>21052</v>
      </c>
      <c r="D16" s="38">
        <v>73077</v>
      </c>
      <c r="J16" s="38">
        <v>269724</v>
      </c>
      <c r="K16" s="38">
        <v>259900</v>
      </c>
      <c r="L16" s="38">
        <v>232925</v>
      </c>
      <c r="O16" t="s">
        <v>91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s="38">
        <v>16693</v>
      </c>
      <c r="BM16" s="38">
        <v>-136365</v>
      </c>
      <c r="BN16" s="38">
        <v>-145396</v>
      </c>
    </row>
    <row r="17" spans="1:66" x14ac:dyDescent="0.25">
      <c r="A17" s="1" t="s">
        <v>56</v>
      </c>
      <c r="O17" t="s">
        <v>92</v>
      </c>
      <c r="P17" t="s">
        <v>85</v>
      </c>
      <c r="Q17" t="s">
        <v>72</v>
      </c>
      <c r="R17" t="s">
        <v>93</v>
      </c>
      <c r="S17" t="s">
        <v>94</v>
      </c>
      <c r="T17" t="s">
        <v>95</v>
      </c>
      <c r="U17" t="s">
        <v>96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s="38">
        <v>-14336</v>
      </c>
      <c r="AT17" s="38">
        <v>23402</v>
      </c>
      <c r="AU17" s="38">
        <v>106867</v>
      </c>
    </row>
    <row r="18" spans="1:66" x14ac:dyDescent="0.25">
      <c r="A18" s="79" t="s">
        <v>18</v>
      </c>
      <c r="O18" t="s">
        <v>54</v>
      </c>
      <c r="P18" t="s">
        <v>85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s="38">
        <v>-72602</v>
      </c>
      <c r="BM18" s="38">
        <v>-69942</v>
      </c>
      <c r="BN18" s="38">
        <v>-33065</v>
      </c>
    </row>
    <row r="19" spans="1:66" x14ac:dyDescent="0.25">
      <c r="A19" s="14"/>
      <c r="B19" s="38">
        <v>6000</v>
      </c>
      <c r="C19">
        <v>0</v>
      </c>
      <c r="D19">
        <v>0</v>
      </c>
      <c r="O19" t="s">
        <v>69</v>
      </c>
      <c r="P19" t="s">
        <v>76</v>
      </c>
      <c r="Q19" t="s">
        <v>97</v>
      </c>
      <c r="R19" t="s">
        <v>72</v>
      </c>
      <c r="S19" t="s">
        <v>98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s="38">
        <v>43592</v>
      </c>
      <c r="AX19" s="38">
        <v>-13062</v>
      </c>
      <c r="AY19" s="38">
        <v>-177431</v>
      </c>
    </row>
    <row r="20" spans="1:66" x14ac:dyDescent="0.25">
      <c r="A20" s="1" t="s">
        <v>57</v>
      </c>
      <c r="O20" t="s">
        <v>87</v>
      </c>
      <c r="P20" t="s">
        <v>98</v>
      </c>
      <c r="Q20" t="s">
        <v>72</v>
      </c>
      <c r="R20" t="s">
        <v>99</v>
      </c>
      <c r="S20" t="s">
        <v>100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s="38">
        <v>5569</v>
      </c>
      <c r="AT20" s="38">
        <v>48968</v>
      </c>
      <c r="AU20" s="38">
        <v>-109583</v>
      </c>
    </row>
    <row r="21" spans="1:66" x14ac:dyDescent="0.25">
      <c r="A21" s="1"/>
      <c r="O21" t="s">
        <v>101</v>
      </c>
      <c r="P21" t="s">
        <v>102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s="38">
        <v>912946</v>
      </c>
      <c r="BI21" s="38">
        <v>47062</v>
      </c>
      <c r="BJ21" s="38">
        <v>-157284</v>
      </c>
    </row>
    <row r="22" spans="1:66" x14ac:dyDescent="0.25">
      <c r="A22" s="1" t="s">
        <v>13</v>
      </c>
      <c r="O22" t="s">
        <v>54</v>
      </c>
      <c r="P22" t="s">
        <v>103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  <c r="BI22" s="38">
        <v>-11948</v>
      </c>
      <c r="BJ22" s="38">
        <v>-139817</v>
      </c>
      <c r="BK22" s="38">
        <v>-391710</v>
      </c>
    </row>
    <row r="23" spans="1:66" x14ac:dyDescent="0.25">
      <c r="A23" s="79" t="s">
        <v>18</v>
      </c>
      <c r="B23">
        <v>0</v>
      </c>
      <c r="C23" s="38">
        <v>147284</v>
      </c>
      <c r="D23" s="38">
        <v>253511</v>
      </c>
    </row>
    <row r="24" spans="1:66" x14ac:dyDescent="0.25">
      <c r="A24" t="s">
        <v>58</v>
      </c>
    </row>
    <row r="25" spans="1:66" x14ac:dyDescent="0.25">
      <c r="A25" s="1" t="s">
        <v>14</v>
      </c>
      <c r="O25" s="38">
        <f>AS15+BL16+AS17+AW19+BL18+AS20+BH21+BI22</f>
        <v>998638</v>
      </c>
      <c r="P25" s="38">
        <f t="shared" ref="P25:Q25" si="1">AT15+BM16+AT17+AX19+BM18+AT20+BI21+BJ22</f>
        <v>-336705</v>
      </c>
      <c r="Q25" s="38">
        <f t="shared" si="1"/>
        <v>-562452</v>
      </c>
    </row>
    <row r="26" spans="1:66" x14ac:dyDescent="0.25">
      <c r="A26" s="1" t="s">
        <v>15</v>
      </c>
    </row>
    <row r="27" spans="1:66" x14ac:dyDescent="0.25">
      <c r="A27" s="14"/>
      <c r="B27" s="38">
        <v>293190</v>
      </c>
      <c r="C27" s="38">
        <v>572162</v>
      </c>
      <c r="D27" s="38">
        <v>8598</v>
      </c>
    </row>
    <row r="28" spans="1:66" x14ac:dyDescent="0.25">
      <c r="A28" s="1" t="s">
        <v>16</v>
      </c>
    </row>
    <row r="29" spans="1:66" x14ac:dyDescent="0.25">
      <c r="A29" s="1"/>
    </row>
    <row r="30" spans="1:66" x14ac:dyDescent="0.25">
      <c r="A30" s="1" t="s">
        <v>17</v>
      </c>
      <c r="K30" t="s">
        <v>60</v>
      </c>
      <c r="L30" t="s">
        <v>61</v>
      </c>
      <c r="M30" t="s">
        <v>66</v>
      </c>
      <c r="N30" t="s">
        <v>105</v>
      </c>
      <c r="O30" t="s">
        <v>63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s="38">
        <v>2291</v>
      </c>
      <c r="AY30">
        <v>-570</v>
      </c>
      <c r="AZ30" s="38">
        <v>-9640</v>
      </c>
    </row>
    <row r="31" spans="1:66" x14ac:dyDescent="0.25">
      <c r="A31" s="79" t="s">
        <v>18</v>
      </c>
      <c r="K31" t="s">
        <v>65</v>
      </c>
      <c r="L31" t="s">
        <v>66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s="38">
        <v>48886</v>
      </c>
      <c r="BL31" s="38">
        <v>59788</v>
      </c>
      <c r="BM31" s="38">
        <v>35704</v>
      </c>
    </row>
    <row r="32" spans="1:66" x14ac:dyDescent="0.25">
      <c r="A32" s="14"/>
      <c r="B32" s="38">
        <v>107294</v>
      </c>
      <c r="C32" s="38">
        <v>-103469</v>
      </c>
      <c r="D32" s="38">
        <v>-52764</v>
      </c>
      <c r="K32" t="s">
        <v>65</v>
      </c>
      <c r="L32" t="s">
        <v>67</v>
      </c>
      <c r="M32" t="s">
        <v>63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s="38">
        <v>-27066</v>
      </c>
      <c r="BI32" s="38">
        <v>-25921</v>
      </c>
      <c r="BJ32" s="38">
        <v>-25765</v>
      </c>
    </row>
    <row r="33" spans="1:79" x14ac:dyDescent="0.25">
      <c r="A33" s="1" t="s">
        <v>19</v>
      </c>
      <c r="K33" t="s">
        <v>54</v>
      </c>
      <c r="L33" t="s">
        <v>106</v>
      </c>
      <c r="M33" t="s">
        <v>63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  <c r="BI33" t="s">
        <v>64</v>
      </c>
      <c r="BJ33" s="38">
        <v>17545</v>
      </c>
      <c r="BK33" s="38">
        <v>39737</v>
      </c>
      <c r="BL33" s="38">
        <v>23965</v>
      </c>
    </row>
    <row r="34" spans="1:79" x14ac:dyDescent="0.25">
      <c r="A34" s="79" t="s">
        <v>20</v>
      </c>
    </row>
    <row r="35" spans="1:79" x14ac:dyDescent="0.25">
      <c r="A35" s="1"/>
    </row>
    <row r="36" spans="1:79" x14ac:dyDescent="0.25">
      <c r="A36" s="10" t="s">
        <v>21</v>
      </c>
    </row>
    <row r="37" spans="1:79" x14ac:dyDescent="0.25">
      <c r="A37" s="1" t="s">
        <v>22</v>
      </c>
      <c r="K37" s="38">
        <f>AX30+BK31+BH32+BJ33</f>
        <v>41656</v>
      </c>
      <c r="L37" s="38">
        <f t="shared" ref="L37:M37" si="2">AY30+BL31+BI32+BK33</f>
        <v>73034</v>
      </c>
      <c r="M37" s="38">
        <f t="shared" si="2"/>
        <v>24264</v>
      </c>
    </row>
    <row r="38" spans="1:79" x14ac:dyDescent="0.25">
      <c r="A38" s="79" t="s">
        <v>18</v>
      </c>
    </row>
    <row r="39" spans="1:79" x14ac:dyDescent="0.25">
      <c r="A39" s="1"/>
      <c r="K39" t="s">
        <v>83</v>
      </c>
      <c r="L39" t="s">
        <v>74</v>
      </c>
      <c r="M39" t="s">
        <v>84</v>
      </c>
      <c r="N39" t="s">
        <v>85</v>
      </c>
      <c r="O39" t="s">
        <v>72</v>
      </c>
      <c r="P39" t="s">
        <v>86</v>
      </c>
    </row>
    <row r="40" spans="1:79" x14ac:dyDescent="0.25">
      <c r="A40" s="1" t="s">
        <v>23</v>
      </c>
      <c r="K40" t="s">
        <v>87</v>
      </c>
      <c r="L40" t="s">
        <v>88</v>
      </c>
      <c r="M40" t="s">
        <v>107</v>
      </c>
      <c r="N40" t="s">
        <v>90</v>
      </c>
      <c r="O40" t="s">
        <v>72</v>
      </c>
      <c r="P40" t="s">
        <v>108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s="38">
        <v>-73594</v>
      </c>
      <c r="AY40" s="38">
        <v>-202298</v>
      </c>
      <c r="AZ40" s="38">
        <v>85760</v>
      </c>
    </row>
    <row r="41" spans="1:79" x14ac:dyDescent="0.25">
      <c r="A41" s="79" t="s">
        <v>18</v>
      </c>
      <c r="K41" t="s">
        <v>109</v>
      </c>
      <c r="L41" t="s">
        <v>100</v>
      </c>
      <c r="M41" t="s">
        <v>72</v>
      </c>
      <c r="N41" t="s">
        <v>110</v>
      </c>
      <c r="O41" t="s">
        <v>111</v>
      </c>
      <c r="P41" t="s">
        <v>112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s="38">
        <v>-34528</v>
      </c>
      <c r="BF41" s="38">
        <v>-53488</v>
      </c>
      <c r="BG41" s="38">
        <v>26680</v>
      </c>
    </row>
    <row r="42" spans="1:79" x14ac:dyDescent="0.25">
      <c r="A42" s="1"/>
      <c r="K42" t="s">
        <v>91</v>
      </c>
      <c r="L42" t="s">
        <v>72</v>
      </c>
      <c r="M42" t="s">
        <v>113</v>
      </c>
      <c r="N42" t="s">
        <v>81</v>
      </c>
      <c r="O42" t="s">
        <v>96</v>
      </c>
      <c r="P42" t="s">
        <v>114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s="38">
        <v>-83528</v>
      </c>
      <c r="BG42" s="38">
        <v>-257229</v>
      </c>
      <c r="BH42" s="38">
        <v>212758</v>
      </c>
    </row>
    <row r="43" spans="1:79" x14ac:dyDescent="0.25">
      <c r="A43" s="1" t="s">
        <v>24</v>
      </c>
      <c r="K43" t="s">
        <v>92</v>
      </c>
      <c r="L43" t="s">
        <v>85</v>
      </c>
      <c r="M43" t="s">
        <v>72</v>
      </c>
      <c r="N43" t="s">
        <v>93</v>
      </c>
      <c r="O43" t="s">
        <v>94</v>
      </c>
      <c r="P43" t="s">
        <v>95</v>
      </c>
      <c r="Q43" t="s">
        <v>115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s="38">
        <v>-20773</v>
      </c>
      <c r="BF43" s="38">
        <v>49939</v>
      </c>
      <c r="BG43" s="38">
        <v>981273</v>
      </c>
    </row>
    <row r="44" spans="1:79" x14ac:dyDescent="0.25">
      <c r="K44" t="s">
        <v>54</v>
      </c>
      <c r="L44" t="s">
        <v>85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  <c r="BN44" t="s">
        <v>64</v>
      </c>
      <c r="BO44" t="s">
        <v>64</v>
      </c>
      <c r="BP44" t="s">
        <v>64</v>
      </c>
      <c r="BQ44" t="s">
        <v>64</v>
      </c>
      <c r="BR44" t="s">
        <v>64</v>
      </c>
      <c r="BS44" t="s">
        <v>64</v>
      </c>
      <c r="BT44" t="s">
        <v>64</v>
      </c>
      <c r="BU44" t="s">
        <v>64</v>
      </c>
      <c r="BV44" t="s">
        <v>64</v>
      </c>
      <c r="BW44" t="s">
        <v>64</v>
      </c>
      <c r="BX44" t="s">
        <v>64</v>
      </c>
      <c r="BY44" s="38">
        <v>28728</v>
      </c>
      <c r="BZ44" s="38">
        <v>-11920</v>
      </c>
      <c r="CA44" s="38">
        <v>-1269</v>
      </c>
    </row>
    <row r="45" spans="1:79" x14ac:dyDescent="0.25">
      <c r="K45" t="s">
        <v>69</v>
      </c>
      <c r="L45" t="s">
        <v>76</v>
      </c>
      <c r="M45" t="s">
        <v>97</v>
      </c>
      <c r="N45" t="s">
        <v>72</v>
      </c>
      <c r="O45" t="s">
        <v>98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64</v>
      </c>
      <c r="BJ45" s="38">
        <v>8035</v>
      </c>
      <c r="BK45" s="38">
        <v>-49169</v>
      </c>
      <c r="BL45" s="38">
        <v>169079</v>
      </c>
    </row>
    <row r="46" spans="1:79" x14ac:dyDescent="0.25">
      <c r="K46" t="s">
        <v>87</v>
      </c>
      <c r="L46" t="s">
        <v>98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  <c r="BN46" t="s">
        <v>64</v>
      </c>
      <c r="BO46" t="s">
        <v>64</v>
      </c>
      <c r="BP46" t="s">
        <v>64</v>
      </c>
      <c r="BQ46" t="s">
        <v>64</v>
      </c>
      <c r="BR46" t="s">
        <v>64</v>
      </c>
      <c r="BS46" t="s">
        <v>64</v>
      </c>
      <c r="BT46">
        <v>-336</v>
      </c>
      <c r="BU46" s="38">
        <v>96443</v>
      </c>
      <c r="BV46" s="38">
        <v>-47191</v>
      </c>
    </row>
    <row r="47" spans="1:79" x14ac:dyDescent="0.25">
      <c r="K47" t="s">
        <v>116</v>
      </c>
      <c r="L47" t="s">
        <v>100</v>
      </c>
      <c r="M47" t="s">
        <v>72</v>
      </c>
      <c r="N47" t="s">
        <v>110</v>
      </c>
      <c r="O47" t="s">
        <v>103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s="38">
        <v>397527</v>
      </c>
      <c r="BH47" s="38">
        <v>132382</v>
      </c>
      <c r="BI47" s="38">
        <v>-258028</v>
      </c>
    </row>
    <row r="48" spans="1:79" x14ac:dyDescent="0.25">
      <c r="K48" t="s">
        <v>116</v>
      </c>
      <c r="L48" t="s">
        <v>94</v>
      </c>
      <c r="M48" t="s">
        <v>117</v>
      </c>
      <c r="N48" t="s">
        <v>118</v>
      </c>
      <c r="O48" t="s">
        <v>72</v>
      </c>
      <c r="P48" t="s">
        <v>119</v>
      </c>
      <c r="Q48" t="s">
        <v>120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s="38">
        <v>3748</v>
      </c>
      <c r="AV48" s="38">
        <v>-31003</v>
      </c>
      <c r="AW48" s="38">
        <v>-2976</v>
      </c>
    </row>
    <row r="52" spans="11:13" x14ac:dyDescent="0.25">
      <c r="K52" s="38">
        <f>AX40+BE41+BF42+BE43+BY44+BJ45+BT46+BG47+AU48</f>
        <v>225279</v>
      </c>
      <c r="L52" s="38">
        <f t="shared" ref="L52:M52" si="3">AY40+BF41+BG42+BF43+BZ44+BK45+BU46+BH47+AV48</f>
        <v>-326343</v>
      </c>
      <c r="M52" s="38">
        <f t="shared" si="3"/>
        <v>1166086</v>
      </c>
    </row>
  </sheetData>
  <sortState xmlns:xlrd2="http://schemas.microsoft.com/office/spreadsheetml/2017/richdata2" columnSort="1" ref="B1:D43">
    <sortCondition ref="B1: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C12" sqref="C12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4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4" x14ac:dyDescent="0.25">
      <c r="A4" s="43" t="s">
        <v>42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4">
        <f>ENPH!I41</f>
        <v>6.9000000000000006E-2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4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5">
        <v>1.53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4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8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4">
        <f>ENPH!D67</f>
        <v>19145920</v>
      </c>
      <c r="D12" s="2"/>
      <c r="E12" s="2" t="s">
        <v>35</v>
      </c>
      <c r="F12" s="2"/>
      <c r="G12" s="24">
        <f>ENPH!D64</f>
        <v>1174173</v>
      </c>
      <c r="H12" s="2"/>
      <c r="I12" s="2" t="s">
        <v>47</v>
      </c>
      <c r="J12" s="2"/>
      <c r="K12" s="24">
        <f>G12+C12</f>
        <v>20320093</v>
      </c>
      <c r="L12" s="2"/>
    </row>
    <row r="13" spans="1:14" x14ac:dyDescent="0.25">
      <c r="A13" s="2" t="s">
        <v>48</v>
      </c>
      <c r="B13" s="2"/>
      <c r="C13" s="46">
        <f>C12/K12</f>
        <v>0.94221616013273168</v>
      </c>
      <c r="D13" s="2"/>
      <c r="E13" s="2" t="s">
        <v>49</v>
      </c>
      <c r="F13" s="2"/>
      <c r="G13" s="47">
        <f>G12/K12</f>
        <v>5.7783839867268323E-2</v>
      </c>
      <c r="H13" s="2"/>
      <c r="I13" s="2"/>
      <c r="J13" s="2"/>
      <c r="K13" s="2"/>
      <c r="L13" s="2"/>
      <c r="M13" s="38"/>
    </row>
    <row r="14" spans="1:14" x14ac:dyDescent="0.25">
      <c r="A14" s="2" t="s">
        <v>50</v>
      </c>
      <c r="B14" s="2"/>
      <c r="C14" s="48">
        <f>D7+D8*(D9)</f>
        <v>0.12284999999999999</v>
      </c>
      <c r="D14" s="2"/>
      <c r="E14" s="2" t="s">
        <v>51</v>
      </c>
      <c r="F14" s="2"/>
      <c r="G14" s="49">
        <v>0.02</v>
      </c>
      <c r="H14" s="2"/>
      <c r="I14" s="50" t="s">
        <v>1</v>
      </c>
      <c r="J14" s="51"/>
      <c r="K14" s="77">
        <f>C13*C14+G14*G13*(1-D6)</f>
        <v>0.11682719037063462</v>
      </c>
      <c r="L14" s="2"/>
    </row>
    <row r="15" spans="1:14" x14ac:dyDescent="0.25">
      <c r="D15" s="38"/>
      <c r="G15" s="38"/>
      <c r="J15" s="38"/>
      <c r="M15" s="38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8"/>
      <c r="G17" s="38"/>
      <c r="J17" s="38"/>
      <c r="M17" s="38"/>
    </row>
    <row r="21" spans="4:13" x14ac:dyDescent="0.25">
      <c r="D21" s="38"/>
      <c r="E21" s="38"/>
      <c r="F21" s="38"/>
      <c r="G21" s="38"/>
      <c r="H21" s="38"/>
      <c r="I21" s="38"/>
      <c r="J21" s="38"/>
      <c r="K21" s="38"/>
      <c r="L21" s="38"/>
      <c r="M21" s="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ENPH</vt:lpstr>
      <vt:lpstr>Sheet1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2023-05-08T20:44:21Z</dcterms:modified>
</cp:coreProperties>
</file>