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57C56F0E-203B-4496-8926-983D546B388C}" xr6:coauthVersionLast="47" xr6:coauthVersionMax="47" xr10:uidLastSave="{00000000-0000-0000-0000-000000000000}"/>
  <bookViews>
    <workbookView xWindow="-120" yWindow="-120" windowWidth="20730" windowHeight="11040" activeTab="2" xr2:uid="{AED10510-8238-4EDE-B018-BD7F77967871}"/>
  </bookViews>
  <sheets>
    <sheet name="NFLX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1" l="1"/>
  <c r="J56" i="1"/>
  <c r="K56" i="1"/>
  <c r="L56" i="1"/>
  <c r="M56" i="1"/>
  <c r="N56" i="1"/>
  <c r="O56" i="1"/>
  <c r="P56" i="1"/>
  <c r="Q56" i="1"/>
  <c r="R56" i="1"/>
  <c r="D67" i="1"/>
  <c r="D66" i="1"/>
  <c r="I58" i="1"/>
  <c r="J58" i="1"/>
  <c r="K58" i="1"/>
  <c r="L58" i="1"/>
  <c r="M58" i="1"/>
  <c r="N58" i="1"/>
  <c r="O58" i="1"/>
  <c r="P58" i="1"/>
  <c r="Q58" i="1"/>
  <c r="R58" i="1"/>
  <c r="I40" i="1"/>
  <c r="J40" i="1"/>
  <c r="K40" i="1"/>
  <c r="L40" i="1"/>
  <c r="M40" i="1"/>
  <c r="N40" i="1"/>
  <c r="O40" i="1"/>
  <c r="P40" i="1"/>
  <c r="Q40" i="1"/>
  <c r="R40" i="1"/>
  <c r="I34" i="1"/>
  <c r="J34" i="1"/>
  <c r="K34" i="1"/>
  <c r="L34" i="1"/>
  <c r="M34" i="1"/>
  <c r="N34" i="1"/>
  <c r="O34" i="1"/>
  <c r="P34" i="1"/>
  <c r="Q34" i="1"/>
  <c r="R34" i="1"/>
  <c r="I31" i="1"/>
  <c r="J31" i="1"/>
  <c r="K31" i="1"/>
  <c r="L31" i="1"/>
  <c r="M31" i="1"/>
  <c r="N31" i="1"/>
  <c r="O31" i="1"/>
  <c r="P31" i="1"/>
  <c r="Q31" i="1"/>
  <c r="R31" i="1"/>
  <c r="J50" i="1"/>
  <c r="K50" i="1"/>
  <c r="L50" i="1"/>
  <c r="M50" i="1"/>
  <c r="N50" i="1"/>
  <c r="O50" i="1"/>
  <c r="P50" i="1"/>
  <c r="Q50" i="1"/>
  <c r="R50" i="1"/>
  <c r="I50" i="1"/>
  <c r="J47" i="1"/>
  <c r="K47" i="1"/>
  <c r="L47" i="1"/>
  <c r="M47" i="1"/>
  <c r="N47" i="1"/>
  <c r="O47" i="1"/>
  <c r="P47" i="1"/>
  <c r="Q47" i="1"/>
  <c r="R47" i="1"/>
  <c r="I47" i="1"/>
  <c r="R17" i="1"/>
  <c r="Q17" i="1"/>
  <c r="J11" i="1"/>
  <c r="K11" i="1"/>
  <c r="L11" i="1" s="1"/>
  <c r="M11" i="1" s="1"/>
  <c r="N11" i="1" s="1"/>
  <c r="O11" i="1" s="1"/>
  <c r="P11" i="1" s="1"/>
  <c r="Q11" i="1" s="1"/>
  <c r="R11" i="1" s="1"/>
  <c r="I11" i="1"/>
  <c r="C58" i="1"/>
  <c r="C56" i="1"/>
  <c r="F56" i="1"/>
  <c r="G56" i="1"/>
  <c r="H56" i="1"/>
  <c r="G53" i="1"/>
  <c r="H53" i="1"/>
  <c r="F53" i="1"/>
  <c r="D53" i="1"/>
  <c r="E53" i="1"/>
  <c r="C53" i="1"/>
  <c r="G50" i="1"/>
  <c r="H50" i="1"/>
  <c r="F50" i="1"/>
  <c r="D50" i="1"/>
  <c r="E50" i="1"/>
  <c r="C50" i="1"/>
  <c r="G47" i="1"/>
  <c r="H47" i="1"/>
  <c r="F47" i="1"/>
  <c r="D47" i="1"/>
  <c r="E47" i="1"/>
  <c r="C47" i="1"/>
  <c r="G58" i="1"/>
  <c r="H58" i="1"/>
  <c r="F58" i="1"/>
  <c r="D58" i="1"/>
  <c r="E58" i="1"/>
  <c r="G43" i="1"/>
  <c r="H43" i="1"/>
  <c r="F43" i="1"/>
  <c r="D43" i="1"/>
  <c r="E43" i="1"/>
  <c r="C43" i="1"/>
  <c r="G35" i="1"/>
  <c r="H35" i="1"/>
  <c r="F35" i="1"/>
  <c r="D35" i="1"/>
  <c r="E35" i="1"/>
  <c r="C35" i="1"/>
  <c r="C31" i="1"/>
  <c r="H25" i="1"/>
  <c r="G25" i="1"/>
  <c r="F25" i="1"/>
  <c r="D25" i="1"/>
  <c r="E25" i="1"/>
  <c r="C25" i="1"/>
  <c r="G22" i="1"/>
  <c r="H22" i="1"/>
  <c r="F22" i="1"/>
  <c r="D22" i="1"/>
  <c r="E22" i="1"/>
  <c r="E31" i="1" s="1"/>
  <c r="C22" i="1"/>
  <c r="H19" i="1"/>
  <c r="G19" i="1"/>
  <c r="F19" i="1"/>
  <c r="D19" i="1"/>
  <c r="E19" i="1"/>
  <c r="C19" i="1"/>
  <c r="G14" i="1"/>
  <c r="H14" i="1"/>
  <c r="F14" i="1"/>
  <c r="D14" i="1"/>
  <c r="E14" i="1"/>
  <c r="C14" i="1"/>
  <c r="G11" i="1"/>
  <c r="H11" i="1"/>
  <c r="F11" i="1"/>
  <c r="D11" i="1"/>
  <c r="E11" i="1"/>
  <c r="C11" i="1"/>
  <c r="F36" i="1"/>
  <c r="D36" i="1"/>
  <c r="C36" i="1"/>
  <c r="G31" i="1"/>
  <c r="H31" i="1"/>
  <c r="F31" i="1"/>
  <c r="D31" i="1"/>
  <c r="G36" i="1"/>
  <c r="I35" i="1" l="1"/>
  <c r="E36" i="1"/>
  <c r="H36" i="1"/>
  <c r="L67" i="1"/>
  <c r="L66" i="1" s="1"/>
  <c r="L69" i="1"/>
  <c r="L70" i="1" s="1"/>
  <c r="H20" i="1"/>
  <c r="H12" i="1"/>
  <c r="C32" i="1"/>
  <c r="G12" i="2"/>
  <c r="D70" i="1"/>
  <c r="C12" i="2" s="1"/>
  <c r="G29" i="1" l="1"/>
  <c r="F29" i="1"/>
  <c r="E29" i="1"/>
  <c r="D29" i="1"/>
  <c r="C29" i="1"/>
  <c r="H29" i="1"/>
  <c r="F26" i="1"/>
  <c r="D26" i="1"/>
  <c r="H26" i="1"/>
  <c r="G23" i="1"/>
  <c r="F23" i="1"/>
  <c r="E23" i="1"/>
  <c r="D23" i="1"/>
  <c r="C23" i="1"/>
  <c r="H23" i="1"/>
  <c r="G20" i="1"/>
  <c r="F20" i="1"/>
  <c r="E20" i="1"/>
  <c r="D20" i="1"/>
  <c r="C20" i="1"/>
  <c r="C14" i="2"/>
  <c r="E51" i="1"/>
  <c r="D51" i="1"/>
  <c r="C51" i="1"/>
  <c r="F51" i="1"/>
  <c r="G51" i="1"/>
  <c r="H51" i="1"/>
  <c r="G48" i="1"/>
  <c r="H48" i="1"/>
  <c r="E48" i="1"/>
  <c r="C48" i="1"/>
  <c r="E32" i="1"/>
  <c r="G32" i="1"/>
  <c r="G26" i="1"/>
  <c r="D54" i="1"/>
  <c r="C54" i="1"/>
  <c r="D48" i="1"/>
  <c r="E26" i="1"/>
  <c r="C26" i="1"/>
  <c r="D16" i="1"/>
  <c r="D34" i="1" s="1"/>
  <c r="D38" i="1" s="1"/>
  <c r="E16" i="1"/>
  <c r="E34" i="1" s="1"/>
  <c r="E38" i="1" s="1"/>
  <c r="C16" i="1"/>
  <c r="C34" i="1" s="1"/>
  <c r="F54" i="1"/>
  <c r="G54" i="1"/>
  <c r="H54" i="1"/>
  <c r="F48" i="1"/>
  <c r="F16" i="1"/>
  <c r="F34" i="1" s="1"/>
  <c r="F38" i="1" s="1"/>
  <c r="G16" i="1"/>
  <c r="G34" i="1" s="1"/>
  <c r="G38" i="1" s="1"/>
  <c r="H16" i="1"/>
  <c r="H34" i="1" s="1"/>
  <c r="H38" i="1" s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C40" i="1" l="1"/>
  <c r="C60" i="1" s="1"/>
  <c r="C38" i="1"/>
  <c r="E40" i="1"/>
  <c r="E56" i="1" s="1"/>
  <c r="F17" i="1"/>
  <c r="D17" i="1"/>
  <c r="I28" i="1"/>
  <c r="I32" i="1" s="1"/>
  <c r="H17" i="1"/>
  <c r="I53" i="1"/>
  <c r="E54" i="1"/>
  <c r="K12" i="2"/>
  <c r="I16" i="1"/>
  <c r="G17" i="1"/>
  <c r="C17" i="1"/>
  <c r="E17" i="1"/>
  <c r="H32" i="1"/>
  <c r="F32" i="1"/>
  <c r="D32" i="1"/>
  <c r="E44" i="1" l="1"/>
  <c r="G40" i="1"/>
  <c r="I14" i="1"/>
  <c r="C13" i="2"/>
  <c r="G13" i="2"/>
  <c r="D40" i="1"/>
  <c r="D56" i="1" s="1"/>
  <c r="F40" i="1"/>
  <c r="H40" i="1"/>
  <c r="H60" i="1" l="1"/>
  <c r="F44" i="1"/>
  <c r="H44" i="1"/>
  <c r="C44" i="1"/>
  <c r="G60" i="1"/>
  <c r="G44" i="1"/>
  <c r="D60" i="1"/>
  <c r="D44" i="1"/>
  <c r="G41" i="1"/>
  <c r="F60" i="1"/>
  <c r="E60" i="1"/>
  <c r="E41" i="1"/>
  <c r="C41" i="1"/>
  <c r="K14" i="2"/>
  <c r="E5" i="1" s="1"/>
  <c r="D41" i="1"/>
  <c r="H41" i="1"/>
  <c r="F41" i="1"/>
  <c r="I41" i="1" l="1"/>
  <c r="I43" i="1"/>
  <c r="I38" i="1"/>
  <c r="I60" i="1" l="1"/>
  <c r="I61" i="1" s="1"/>
  <c r="J53" i="1" l="1"/>
  <c r="J35" i="1"/>
  <c r="J28" i="1"/>
  <c r="J16" i="1"/>
  <c r="J32" i="1" l="1"/>
  <c r="J14" i="1"/>
  <c r="J38" i="1" l="1"/>
  <c r="J43" i="1"/>
  <c r="J41" i="1"/>
  <c r="K32" i="1" l="1"/>
  <c r="K28" i="1"/>
  <c r="K35" i="1"/>
  <c r="K53" i="1"/>
  <c r="K16" i="1"/>
  <c r="K38" i="1" l="1"/>
  <c r="K14" i="1"/>
  <c r="K41" i="1" l="1"/>
  <c r="K43" i="1"/>
  <c r="L53" i="1"/>
  <c r="L28" i="1"/>
  <c r="L35" i="1"/>
  <c r="L16" i="1"/>
  <c r="L32" i="1" l="1"/>
  <c r="L38" i="1"/>
  <c r="L14" i="1"/>
  <c r="L43" i="1" l="1"/>
  <c r="L41" i="1"/>
  <c r="M32" i="1" l="1"/>
  <c r="M53" i="1"/>
  <c r="M28" i="1"/>
  <c r="M35" i="1"/>
  <c r="M16" i="1"/>
  <c r="M14" i="1" s="1"/>
  <c r="M41" i="1" l="1"/>
  <c r="M38" i="1"/>
  <c r="M43" i="1"/>
  <c r="N53" i="1"/>
  <c r="N28" i="1"/>
  <c r="N35" i="1"/>
  <c r="N16" i="1"/>
  <c r="N14" i="1" s="1"/>
  <c r="N32" i="1" l="1"/>
  <c r="N38" i="1" l="1"/>
  <c r="N41" i="1"/>
  <c r="N43" i="1"/>
  <c r="O16" i="1" l="1"/>
  <c r="O28" i="1"/>
  <c r="O14" i="1"/>
  <c r="O53" i="1"/>
  <c r="O35" i="1"/>
  <c r="O41" i="1" l="1"/>
  <c r="O43" i="1"/>
  <c r="O32" i="1"/>
  <c r="O38" i="1" l="1"/>
  <c r="P16" i="1"/>
  <c r="P53" i="1"/>
  <c r="P28" i="1"/>
  <c r="P35" i="1"/>
  <c r="P14" i="1" l="1"/>
  <c r="P32" i="1"/>
  <c r="P38" i="1" l="1"/>
  <c r="P41" i="1"/>
  <c r="P43" i="1"/>
  <c r="Q16" i="1"/>
  <c r="Q28" i="1"/>
  <c r="Q35" i="1"/>
  <c r="Q53" i="1"/>
  <c r="Q32" i="1" l="1"/>
  <c r="Q14" i="1"/>
  <c r="Q38" i="1" l="1"/>
  <c r="Q43" i="1"/>
  <c r="Q41" i="1"/>
  <c r="R53" i="1"/>
  <c r="R28" i="1"/>
  <c r="R35" i="1"/>
  <c r="R16" i="1"/>
  <c r="R32" i="1" l="1"/>
  <c r="R38" i="1"/>
  <c r="R14" i="1"/>
  <c r="R41" i="1" l="1"/>
  <c r="R43" i="1"/>
  <c r="S58" i="1" l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F63" i="1" l="1"/>
  <c r="H66" i="1" s="1"/>
  <c r="H68" i="1" s="1"/>
  <c r="H71" i="1" s="1"/>
  <c r="J60" i="1"/>
  <c r="J61" i="1" s="1"/>
  <c r="K60" i="1"/>
  <c r="K61" i="1" s="1"/>
  <c r="L60" i="1"/>
  <c r="L61" i="1" s="1"/>
  <c r="M60" i="1"/>
  <c r="M61" i="1" s="1"/>
  <c r="N60" i="1"/>
  <c r="N61" i="1" s="1"/>
  <c r="O60" i="1"/>
  <c r="O61" i="1" s="1"/>
  <c r="P60" i="1"/>
  <c r="P61" i="1" s="1"/>
  <c r="Q60" i="1"/>
  <c r="Q61" i="1" s="1"/>
  <c r="R60" i="1"/>
  <c r="C63" i="1" s="1"/>
  <c r="C64" i="1" s="1"/>
  <c r="R61" i="1" l="1"/>
  <c r="G66" i="1" s="1"/>
  <c r="G68" i="1" s="1"/>
  <c r="G71" i="1" s="1"/>
  <c r="D71" i="1" s="1"/>
  <c r="L65" i="1" l="1"/>
  <c r="J6" i="1"/>
  <c r="N5" i="1" s="1"/>
</calcChain>
</file>

<file path=xl/sharedStrings.xml><?xml version="1.0" encoding="utf-8"?>
<sst xmlns="http://schemas.openxmlformats.org/spreadsheetml/2006/main" count="233" uniqueCount="148">
  <si>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</si>
  <si>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</si>
  <si>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</si>
  <si>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</si>
  <si>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</si>
  <si>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</si>
  <si>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</si>
  <si>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</si>
  <si>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</si>
  <si>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</si>
  <si>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</si>
  <si>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</si>
  <si>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</si>
  <si>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</si>
  <si>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</si>
  <si>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</si>
  <si>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</si>
  <si>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</si>
  <si>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</si>
  <si>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</si>
  <si>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</si>
  <si>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</si>
  <si>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</si>
  <si>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</si>
  <si>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</si>
  <si>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</si>
  <si>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</si>
  <si>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</si>
  <si>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</si>
  <si>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</si>
  <si>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</si>
  <si>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</si>
  <si>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</si>
  <si>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</si>
  <si>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</si>
  <si>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</si>
  <si>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</si>
  <si>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</si>
  <si>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</si>
  <si>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</si>
  <si>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</si>
  <si>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</si>
  <si>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</si>
  <si>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</si>
  <si>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</si>
  <si>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</si>
  <si>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</si>
  <si>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</si>
  <si>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</si>
  <si>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</si>
  <si>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</si>
  <si>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</si>
  <si>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</si>
  <si>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</si>
  <si>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</si>
  <si>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</si>
  <si>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NCI</t>
  </si>
  <si>
    <t>Cash flows from operating activities:</t>
  </si>
  <si>
    <t>Stock-based compensation expense</t>
  </si>
  <si>
    <t>Other</t>
  </si>
  <si>
    <t>Changes in operating assets and liabilities:</t>
  </si>
  <si>
    <t>Accounts payable</t>
  </si>
  <si>
    <t>Accrued expenses and other liabilities</t>
  </si>
  <si>
    <t>Deferred revenue</t>
  </si>
  <si>
    <t>Net cash provided by operating activities</t>
  </si>
  <si>
    <t>Cash flows from investing activities:</t>
  </si>
  <si>
    <t>Purchases of property and equipment</t>
  </si>
  <si>
    <t>Net cash used in investing activities</t>
  </si>
  <si>
    <t>Cash flows from financing activities:</t>
  </si>
  <si>
    <t>Net cash provided by (used in) financing activities</t>
  </si>
  <si>
    <t>General and administrative</t>
  </si>
  <si>
    <t>Provision for income taxes</t>
  </si>
  <si>
    <t>Basic</t>
  </si>
  <si>
    <t>Diluted</t>
  </si>
  <si>
    <t>Provision for (benefit from) income taxes</t>
  </si>
  <si>
    <t>CONSOLIDATED STATEMENTS OF CASH FLOWS</t>
  </si>
  <si>
    <t>Deferred income taxes</t>
  </si>
  <si>
    <t/>
  </si>
  <si>
    <t>Year ended December 31,</t>
  </si>
  <si>
    <t>Revenues</t>
  </si>
  <si>
    <t>Cost of revenues</t>
  </si>
  <si>
    <t>Marketing</t>
  </si>
  <si>
    <t>Technology and development</t>
  </si>
  <si>
    <t>Other income (expense):</t>
  </si>
  <si>
    <t>Interest expense</t>
  </si>
  <si>
    <t>Interest and other income (expense)</t>
  </si>
  <si>
    <t>Income before income taxes</t>
  </si>
  <si>
    <t>Earnings per share:</t>
  </si>
  <si>
    <t>Weighted-average common shares outstanding:</t>
  </si>
  <si>
    <t>NETFLIX, INC.</t>
  </si>
  <si>
    <t>(in thousands)</t>
  </si>
  <si>
    <t>Year Ended December 31,</t>
  </si>
  <si>
    <t>Adjustments to reconcile net income to net cash provided by</t>
  </si>
  <si>
    <t>operating activities:</t>
  </si>
  <si>
    <t>Additions to content assets</t>
  </si>
  <si>
    <t>Change in content liabilities</t>
  </si>
  <si>
    <t>Amortization of content assets</t>
  </si>
  <si>
    <t>Depreciation and amortization of property, equipment and</t>
  </si>
  <si>
    <t>intangibles</t>
  </si>
  <si>
    <t>Foreign currency remeasurement loss (gain) on debt</t>
  </si>
  <si>
    <t>Other non-cash items</t>
  </si>
  <si>
    <t>Other current assets</t>
  </si>
  <si>
    <t>Other non-current assets and liabilities</t>
  </si>
  <si>
    <t>Change in other assets</t>
  </si>
  <si>
    <t>Acquisitions</t>
  </si>
  <si>
    <t>Purchases of short-term investments</t>
  </si>
  <si>
    <t>Proceeds from issuance of debt</t>
  </si>
  <si>
    <t>Debt issuance costs</t>
  </si>
  <si>
    <t>Repayments of debt</t>
  </si>
  <si>
    <t>Proceeds from issuance of common stock</t>
  </si>
  <si>
    <t>Repurchases of common stock</t>
  </si>
  <si>
    <t>Taxes paid related to net share settlement of equity awards</t>
  </si>
  <si>
    <t>Effect of exchange rate changes on cash, cash equivalents</t>
  </si>
  <si>
    <t>and restricted cash</t>
  </si>
  <si>
    <t>Net increase (decrease) in cash, cash equivalents and</t>
  </si>
  <si>
    <t>restricted cash</t>
  </si>
  <si>
    <t>Cash, cash equivalents and restricted cash, beginning of</t>
  </si>
  <si>
    <t>year</t>
  </si>
  <si>
    <t>Cash, cash equivalents and restricted cash, end of year</t>
  </si>
  <si>
    <t>Supplemental disclosure:</t>
  </si>
  <si>
    <t>Income taxes paid</t>
  </si>
  <si>
    <t>Interest paid</t>
  </si>
  <si>
    <t>Adjustments to reconcile net income to net cash</t>
  </si>
  <si>
    <t>used in operating activities:</t>
  </si>
  <si>
    <t>Additions to streaming content assets</t>
  </si>
  <si>
    <t>Change in streaming content liabilities</t>
  </si>
  <si>
    <t>Amortization of streaming content assets</t>
  </si>
  <si>
    <t>Depreciation and amortization of property,</t>
  </si>
  <si>
    <t>equipment and intangibles</t>
  </si>
  <si>
    <t>Foreign currency remeasurement loss (gain) on</t>
  </si>
  <si>
    <t>long-term debt</t>
  </si>
  <si>
    <t>Deferred taxes</t>
  </si>
  <si>
    <t>Net cash used in operating activities</t>
  </si>
  <si>
    <t>Proceeds from sale of short-term investments</t>
  </si>
  <si>
    <t>Proceeds from maturities of short-term</t>
  </si>
  <si>
    <t>investments</t>
  </si>
  <si>
    <t>Net cash provided by (used in) investing</t>
  </si>
  <si>
    <t>activities</t>
  </si>
  <si>
    <t>Other financing activities</t>
  </si>
  <si>
    <t>Net cash provided by financing activities</t>
  </si>
  <si>
    <t>Effect of exchange rate changes on cash, cash</t>
  </si>
  <si>
    <t>equivalents and restricted cash</t>
  </si>
  <si>
    <t>Net increase in cash, cash equivalents and</t>
  </si>
  <si>
    <t>Cash, cash equivalents and restricted cash,</t>
  </si>
  <si>
    <t>beginning of year</t>
  </si>
  <si>
    <t>Cash, cash equivalents and restricted cash, end</t>
  </si>
  <si>
    <t>of year</t>
  </si>
  <si>
    <t>Netflix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</si>
</sst>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%"/>
    <numFmt numFmtId="165" formatCode="0.00000%"/>
    <numFmt numFmtId="167" formatCode="_(\$* #,##0_);_(\$* \(#,##0\);_(\$* \-_);_(@_)"/>
    <numFmt numFmtId="168" formatCode="\(#,##0_);[Red]\(#,##0\)"/>
    <numFmt numFmtId="170" formatCode="_(\$* #,##0.00_);_(\$* \(#,##0.00\);_(\$* \-??_);_(@_)"/>
    <numFmt numFmtId="171" formatCode="_(&quot;$&quot;* #,##0_);_(&quot;$&quot;* \(#,##0\);_(&quot;$&quot;* &quot;-&quot;_);_(@_)"/>
    <numFmt numFmtId="172" formatCode="_(&quot;$&quot;* #,##0.00_);_(&quot;$&quot;* \(#,##0.00\);_(&quot;$&quot;* &quot;-&quot;??_);_(@_)"/>
    <numFmt numFmtId="17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2" fontId="3" fillId="2" borderId="0" xfId="0" applyNumberFormat="1" applyFont="1" applyFill="1" applyAlignment="1">
      <alignment horizontal="left"/>
    </xf>
    <xf numFmtId="0" fontId="10" fillId="0" borderId="0" xfId="0" applyFont="1"/>
    <xf numFmtId="167" fontId="10" fillId="0" borderId="0" xfId="0" applyNumberFormat="1" applyFont="1"/>
    <xf numFmtId="3" fontId="10" fillId="0" borderId="0" xfId="0" applyNumberFormat="1" applyFont="1"/>
    <xf numFmtId="168" fontId="10" fillId="0" borderId="0" xfId="0" applyNumberFormat="1" applyFont="1"/>
    <xf numFmtId="170" fontId="10" fillId="0" borderId="0" xfId="0" applyNumberFormat="1" applyFont="1"/>
    <xf numFmtId="3" fontId="3" fillId="2" borderId="0" xfId="1" applyNumberFormat="1" applyFont="1" applyFill="1"/>
    <xf numFmtId="0" fontId="0" fillId="7" borderId="0" xfId="0" applyFill="1" applyAlignment="1">
      <alignment horizontal="right"/>
    </xf>
    <xf numFmtId="0" fontId="7" fillId="5" borderId="0" xfId="0" applyFont="1" applyFill="1"/>
    <xf numFmtId="164" fontId="7" fillId="5" borderId="0" xfId="1" applyNumberFormat="1" applyFont="1" applyFill="1"/>
    <xf numFmtId="0" fontId="11" fillId="5" borderId="0" xfId="0" applyFont="1" applyFill="1"/>
    <xf numFmtId="164" fontId="11" fillId="5" borderId="0" xfId="1" applyNumberFormat="1" applyFont="1" applyFill="1"/>
    <xf numFmtId="164" fontId="11" fillId="5" borderId="4" xfId="0" applyNumberFormat="1" applyFont="1" applyFill="1" applyBorder="1"/>
    <xf numFmtId="164" fontId="3" fillId="5" borderId="0" xfId="1" applyNumberFormat="1" applyFont="1" applyFill="1"/>
    <xf numFmtId="0" fontId="2" fillId="4" borderId="4" xfId="0" applyFont="1" applyFill="1" applyBorder="1"/>
    <xf numFmtId="0" fontId="2" fillId="4" borderId="0" xfId="0" applyFont="1" applyFill="1"/>
    <xf numFmtId="1" fontId="0" fillId="2" borderId="4" xfId="0" applyNumberFormat="1" applyFill="1" applyBorder="1"/>
    <xf numFmtId="164" fontId="11" fillId="5" borderId="4" xfId="1" applyNumberFormat="1" applyFont="1" applyFill="1" applyBorder="1"/>
    <xf numFmtId="164" fontId="11" fillId="5" borderId="0" xfId="1" applyNumberFormat="1" applyFont="1" applyFill="1" applyBorder="1"/>
    <xf numFmtId="0" fontId="0" fillId="2" borderId="4" xfId="0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3" fontId="0" fillId="2" borderId="4" xfId="0" applyNumberFormat="1" applyFill="1" applyBorder="1"/>
    <xf numFmtId="164" fontId="11" fillId="2" borderId="4" xfId="1" applyNumberFormat="1" applyFont="1" applyFill="1" applyBorder="1"/>
    <xf numFmtId="164" fontId="11" fillId="2" borderId="0" xfId="1" applyNumberFormat="1" applyFont="1" applyFill="1" applyBorder="1"/>
    <xf numFmtId="1" fontId="0" fillId="2" borderId="4" xfId="1" applyNumberFormat="1" applyFont="1" applyFill="1" applyBorder="1"/>
    <xf numFmtId="1" fontId="0" fillId="2" borderId="0" xfId="1" applyNumberFormat="1" applyFont="1" applyFill="1" applyBorder="1"/>
    <xf numFmtId="10" fontId="11" fillId="5" borderId="4" xfId="0" applyNumberFormat="1" applyFont="1" applyFill="1" applyBorder="1"/>
    <xf numFmtId="0" fontId="2" fillId="3" borderId="4" xfId="0" applyFont="1" applyFill="1" applyBorder="1"/>
    <xf numFmtId="164" fontId="0" fillId="5" borderId="4" xfId="0" applyNumberFormat="1" applyFill="1" applyBorder="1"/>
    <xf numFmtId="0" fontId="12" fillId="0" borderId="0" xfId="0" applyFont="1" applyAlignment="1">
      <alignment vertical="top"/>
    </xf>
    <xf numFmtId="0" fontId="0" fillId="0" borderId="0" xfId="0" applyAlignment="1">
      <alignment vertical="top"/>
    </xf>
    <xf numFmtId="171" fontId="12" fillId="0" borderId="0" xfId="0" applyNumberFormat="1" applyFont="1" applyAlignment="1">
      <alignment vertical="top"/>
    </xf>
    <xf numFmtId="37" fontId="12" fillId="0" borderId="0" xfId="0" applyNumberFormat="1" applyFont="1" applyAlignment="1">
      <alignment vertical="top"/>
    </xf>
    <xf numFmtId="172" fontId="12" fillId="0" borderId="0" xfId="0" applyNumberFormat="1" applyFont="1" applyAlignment="1">
      <alignment vertical="top"/>
    </xf>
    <xf numFmtId="173" fontId="12" fillId="0" borderId="0" xfId="0" applyNumberFormat="1" applyFont="1" applyAlignment="1">
      <alignment vertical="top"/>
    </xf>
    <xf numFmtId="37" fontId="0" fillId="2" borderId="0" xfId="0" applyNumberFormat="1" applyFill="1"/>
    <xf numFmtId="1" fontId="0" fillId="2" borderId="0" xfId="0" applyNumberFormat="1" applyFill="1" applyBorder="1"/>
    <xf numFmtId="164" fontId="7" fillId="5" borderId="0" xfId="1" applyNumberFormat="1" applyFont="1" applyFill="1" applyBorder="1"/>
    <xf numFmtId="0" fontId="0" fillId="2" borderId="0" xfId="0" applyFill="1" applyBorder="1"/>
    <xf numFmtId="164" fontId="11" fillId="5" borderId="0" xfId="0" applyNumberFormat="1" applyFont="1" applyFill="1" applyBorder="1"/>
    <xf numFmtId="3" fontId="0" fillId="2" borderId="0" xfId="0" applyNumberFormat="1" applyFill="1" applyBorder="1"/>
    <xf numFmtId="3" fontId="3" fillId="2" borderId="0" xfId="0" applyNumberFormat="1" applyFont="1" applyFill="1" applyBorder="1"/>
    <xf numFmtId="10" fontId="11" fillId="5" borderId="0" xfId="0" applyNumberFormat="1" applyFont="1" applyFill="1" applyBorder="1"/>
    <xf numFmtId="0" fontId="2" fillId="3" borderId="0" xfId="0" applyFont="1" applyFill="1" applyBorder="1"/>
    <xf numFmtId="164" fontId="0" fillId="5" borderId="0" xfId="0" applyNumberFormat="1" applyFill="1" applyBorder="1"/>
    <xf numFmtId="164" fontId="7" fillId="5" borderId="4" xfId="1" applyNumberFormat="1" applyFont="1" applyFill="1" applyBorder="1"/>
    <xf numFmtId="3" fontId="3" fillId="2" borderId="4" xfId="0" applyNumberFormat="1" applyFont="1" applyFill="1" applyBorder="1"/>
    <xf numFmtId="0" fontId="3" fillId="2" borderId="0" xfId="0" applyFont="1" applyFill="1" applyBorder="1"/>
    <xf numFmtId="164" fontId="0" fillId="1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1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2"/>
  <sheetViews>
    <sheetView topLeftCell="A43" workbookViewId="0">
      <selection activeCell="G8" sqref="G8"/>
    </sheetView>
  </sheetViews>
  <sheetFormatPr defaultRowHeight="15" x14ac:dyDescent="0.25"/>
  <cols>
    <col min="1" max="1" width="7.7109375" style="2" customWidth="1"/>
    <col min="2" max="2" width="17.140625" style="2" customWidth="1"/>
    <col min="3" max="18" width="11.28515625" style="2" customWidth="1"/>
    <col min="19" max="16384" width="9.140625" style="47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0.11038874221537295</v>
      </c>
      <c r="G5" s="1"/>
      <c r="H5" s="1" t="s">
        <v>2</v>
      </c>
      <c r="I5" s="1"/>
      <c r="J5" s="7">
        <v>403</v>
      </c>
      <c r="K5" s="1"/>
      <c r="L5" s="1" t="s">
        <v>3</v>
      </c>
      <c r="M5" s="1"/>
      <c r="N5" s="58">
        <f>(J6/J5)-1</f>
        <v>2.2805775487164226E-2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60">
        <f>D71</f>
        <v>412.19072752132718</v>
      </c>
      <c r="K6" s="1"/>
      <c r="L6" s="1" t="s">
        <v>53</v>
      </c>
      <c r="M6" s="1"/>
      <c r="N6" s="57">
        <v>45062</v>
      </c>
      <c r="O6" s="1"/>
      <c r="P6" s="1"/>
      <c r="Q6" s="1"/>
    </row>
    <row r="7" spans="1:86" x14ac:dyDescent="0.25">
      <c r="B7" s="57"/>
      <c r="C7" s="1"/>
      <c r="D7" s="1"/>
      <c r="E7" s="9"/>
      <c r="F7" s="1"/>
      <c r="G7" s="1"/>
      <c r="H7" s="1"/>
      <c r="I7" s="1"/>
      <c r="J7" s="1"/>
      <c r="K7" s="1"/>
      <c r="L7" s="51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5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74">
        <v>2023</v>
      </c>
      <c r="J10" s="75">
        <v>2024</v>
      </c>
      <c r="K10" s="75">
        <v>2025</v>
      </c>
      <c r="L10" s="75">
        <v>2026</v>
      </c>
      <c r="M10" s="75">
        <v>2027</v>
      </c>
      <c r="N10" s="75">
        <v>2028</v>
      </c>
      <c r="O10" s="75">
        <v>2029</v>
      </c>
      <c r="P10" s="75">
        <v>2030</v>
      </c>
      <c r="Q10" s="75">
        <v>2031</v>
      </c>
      <c r="R10" s="75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f>'Raw IS'!G4</f>
        <v>11692713</v>
      </c>
      <c r="D11" s="12">
        <f>'Raw IS'!H4</f>
        <v>15794341</v>
      </c>
      <c r="E11" s="12">
        <f>'Raw IS'!I4</f>
        <v>20156447</v>
      </c>
      <c r="F11" s="12">
        <f>'Raw IS'!B3</f>
        <v>24996056</v>
      </c>
      <c r="G11" s="12">
        <f>'Raw IS'!C3</f>
        <v>29697844</v>
      </c>
      <c r="H11" s="12">
        <f>'Raw IS'!D3</f>
        <v>31615550</v>
      </c>
      <c r="I11" s="76">
        <f>H11*(1+I12)</f>
        <v>33740000</v>
      </c>
      <c r="J11" s="97">
        <f t="shared" ref="J11:R11" si="1">I11*(1+J12)</f>
        <v>38270000</v>
      </c>
      <c r="K11" s="97">
        <f t="shared" si="1"/>
        <v>42580000</v>
      </c>
      <c r="L11" s="97">
        <f t="shared" si="1"/>
        <v>45920000</v>
      </c>
      <c r="M11" s="97">
        <f t="shared" si="1"/>
        <v>49920000</v>
      </c>
      <c r="N11" s="97">
        <f t="shared" si="1"/>
        <v>55470000</v>
      </c>
      <c r="O11" s="97">
        <f t="shared" si="1"/>
        <v>61610000</v>
      </c>
      <c r="P11" s="97">
        <f t="shared" si="1"/>
        <v>64020000</v>
      </c>
      <c r="Q11" s="97">
        <f t="shared" si="1"/>
        <v>71800000</v>
      </c>
      <c r="R11" s="97">
        <f t="shared" si="1"/>
        <v>77340000</v>
      </c>
    </row>
    <row r="12" spans="1:86" x14ac:dyDescent="0.25">
      <c r="A12" s="1"/>
      <c r="B12" s="68" t="s">
        <v>8</v>
      </c>
      <c r="C12" s="69"/>
      <c r="D12" s="69">
        <f>(D11/C11)-1</f>
        <v>0.35078497180252355</v>
      </c>
      <c r="E12" s="69">
        <f>(E11/D11)-1</f>
        <v>0.27618157667990073</v>
      </c>
      <c r="F12" s="69">
        <f>(F11/E11)-1</f>
        <v>0.24010228588401517</v>
      </c>
      <c r="G12" s="69">
        <f>(G11/F11)-1</f>
        <v>0.18810119484449861</v>
      </c>
      <c r="H12" s="69">
        <f>(H11/G11)-1</f>
        <v>6.45739131769969E-2</v>
      </c>
      <c r="I12" s="106">
        <v>6.719636381464178E-2</v>
      </c>
      <c r="J12" s="98">
        <v>0.13426200355660933</v>
      </c>
      <c r="K12" s="98">
        <v>0.11262085184217407</v>
      </c>
      <c r="L12" s="98">
        <v>7.8440582433067174E-2</v>
      </c>
      <c r="M12" s="98">
        <v>8.710801393728218E-2</v>
      </c>
      <c r="N12" s="98">
        <v>0.11117788461538458</v>
      </c>
      <c r="O12" s="98">
        <v>0.11069046331350285</v>
      </c>
      <c r="P12" s="98">
        <v>3.9117026456743975E-2</v>
      </c>
      <c r="Q12" s="98">
        <v>0.12152452358637933</v>
      </c>
      <c r="R12" s="98">
        <v>7.7158774373259131E-2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79"/>
      <c r="J13" s="99"/>
      <c r="K13" s="99"/>
      <c r="L13" s="99"/>
      <c r="M13" s="99"/>
      <c r="N13" s="99"/>
      <c r="O13" s="99"/>
      <c r="P13" s="99"/>
      <c r="Q13" s="99"/>
      <c r="R13" s="99"/>
    </row>
    <row r="14" spans="1:86" x14ac:dyDescent="0.25">
      <c r="A14" s="1"/>
      <c r="B14" s="1" t="s">
        <v>9</v>
      </c>
      <c r="C14" s="12">
        <f>'Raw IS'!G5</f>
        <v>8033000</v>
      </c>
      <c r="D14" s="12">
        <f>'Raw IS'!H5</f>
        <v>9967538</v>
      </c>
      <c r="E14" s="12">
        <f>'Raw IS'!I5</f>
        <v>12440213</v>
      </c>
      <c r="F14" s="12">
        <f>'Raw IS'!B4</f>
        <v>15276319</v>
      </c>
      <c r="G14" s="12">
        <f>'Raw IS'!C4</f>
        <v>17332683</v>
      </c>
      <c r="H14" s="12">
        <f>'Raw IS'!D4</f>
        <v>19168285</v>
      </c>
      <c r="I14" s="80">
        <f>I11-I16</f>
        <v>20038186</v>
      </c>
      <c r="J14" s="81">
        <f t="shared" ref="J14:K14" si="2">J11-J16</f>
        <v>22200427</v>
      </c>
      <c r="K14" s="81">
        <f t="shared" si="2"/>
        <v>24155634</v>
      </c>
      <c r="L14" s="81">
        <f t="shared" ref="L14:R14" si="3">L11-L16</f>
        <v>25655504</v>
      </c>
      <c r="M14" s="81">
        <f t="shared" si="3"/>
        <v>27590784</v>
      </c>
      <c r="N14" s="81">
        <f t="shared" si="3"/>
        <v>28955340</v>
      </c>
      <c r="O14" s="81">
        <f t="shared" si="3"/>
        <v>32283640</v>
      </c>
      <c r="P14" s="81">
        <f t="shared" si="3"/>
        <v>32906280</v>
      </c>
      <c r="Q14" s="81">
        <f t="shared" si="3"/>
        <v>36689800</v>
      </c>
      <c r="R14" s="81">
        <f t="shared" si="3"/>
        <v>39288720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79"/>
      <c r="J15" s="99"/>
      <c r="K15" s="99"/>
      <c r="L15" s="99"/>
      <c r="M15" s="99"/>
      <c r="N15" s="99"/>
      <c r="O15" s="99"/>
      <c r="P15" s="99"/>
      <c r="Q15" s="99"/>
      <c r="R15" s="99"/>
    </row>
    <row r="16" spans="1:86" x14ac:dyDescent="0.25">
      <c r="A16" s="1"/>
      <c r="B16" s="1" t="s">
        <v>10</v>
      </c>
      <c r="C16" s="12">
        <f t="shared" ref="C16:H16" si="4">C11-C14</f>
        <v>3659713</v>
      </c>
      <c r="D16" s="12">
        <f t="shared" si="4"/>
        <v>5826803</v>
      </c>
      <c r="E16" s="12">
        <f t="shared" si="4"/>
        <v>7716234</v>
      </c>
      <c r="F16" s="12">
        <f t="shared" si="4"/>
        <v>9719737</v>
      </c>
      <c r="G16" s="12">
        <f t="shared" si="4"/>
        <v>12365161</v>
      </c>
      <c r="H16" s="12">
        <f t="shared" si="4"/>
        <v>12447265</v>
      </c>
      <c r="I16" s="76">
        <f>I11*I17</f>
        <v>13701814</v>
      </c>
      <c r="J16" s="97">
        <f t="shared" ref="J16:R16" si="5">J11*J17</f>
        <v>16069573</v>
      </c>
      <c r="K16" s="97">
        <f t="shared" si="5"/>
        <v>18424366</v>
      </c>
      <c r="L16" s="97">
        <f t="shared" si="5"/>
        <v>20264496</v>
      </c>
      <c r="M16" s="97">
        <f t="shared" si="5"/>
        <v>22329216</v>
      </c>
      <c r="N16" s="97">
        <f t="shared" si="5"/>
        <v>26514660</v>
      </c>
      <c r="O16" s="97">
        <f t="shared" si="5"/>
        <v>29326360</v>
      </c>
      <c r="P16" s="97">
        <f t="shared" si="5"/>
        <v>31113720</v>
      </c>
      <c r="Q16" s="97">
        <f t="shared" si="5"/>
        <v>35110200</v>
      </c>
      <c r="R16" s="97">
        <f t="shared" si="5"/>
        <v>38051280</v>
      </c>
    </row>
    <row r="17" spans="1:18" x14ac:dyDescent="0.25">
      <c r="A17" s="1"/>
      <c r="B17" s="70" t="s">
        <v>11</v>
      </c>
      <c r="C17" s="71">
        <f t="shared" ref="C17:H17" si="6">C16/C11</f>
        <v>0.31299092007132989</v>
      </c>
      <c r="D17" s="71">
        <f t="shared" si="6"/>
        <v>0.36891713304151152</v>
      </c>
      <c r="E17" s="71">
        <f t="shared" si="6"/>
        <v>0.38281717010939476</v>
      </c>
      <c r="F17" s="71">
        <f t="shared" si="6"/>
        <v>0.38885082510616875</v>
      </c>
      <c r="G17" s="71">
        <f t="shared" si="6"/>
        <v>0.41636561226464791</v>
      </c>
      <c r="H17" s="71">
        <f t="shared" si="6"/>
        <v>0.39370705238403253</v>
      </c>
      <c r="I17" s="72">
        <v>0.40610000000000002</v>
      </c>
      <c r="J17" s="100">
        <v>0.4199</v>
      </c>
      <c r="K17" s="100">
        <v>0.43269999999999997</v>
      </c>
      <c r="L17" s="100">
        <v>0.44130000000000003</v>
      </c>
      <c r="M17" s="100">
        <v>0.44729999999999998</v>
      </c>
      <c r="N17" s="100">
        <v>0.47799999999999998</v>
      </c>
      <c r="O17" s="100">
        <v>0.47599999999999998</v>
      </c>
      <c r="P17" s="100">
        <v>0.48599999999999999</v>
      </c>
      <c r="Q17" s="100">
        <f>P17+0.3%</f>
        <v>0.48899999999999999</v>
      </c>
      <c r="R17" s="100">
        <f>Q17+0.3%</f>
        <v>0.49199999999999999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79"/>
      <c r="J18" s="99"/>
      <c r="K18" s="99"/>
      <c r="L18" s="99"/>
      <c r="M18" s="99"/>
      <c r="N18" s="99"/>
      <c r="O18" s="99"/>
      <c r="P18" s="99"/>
      <c r="Q18" s="99"/>
      <c r="R18" s="99"/>
    </row>
    <row r="19" spans="1:18" x14ac:dyDescent="0.25">
      <c r="A19" s="1"/>
      <c r="B19" s="1" t="s">
        <v>12</v>
      </c>
      <c r="C19" s="12">
        <f>'Raw IS'!G7</f>
        <v>953710</v>
      </c>
      <c r="D19" s="12">
        <f>'Raw IS'!H7</f>
        <v>1221814</v>
      </c>
      <c r="E19" s="12">
        <f>'Raw IS'!I7</f>
        <v>1545149</v>
      </c>
      <c r="F19" s="12">
        <f>'Raw IS'!B6</f>
        <v>1829600</v>
      </c>
      <c r="G19" s="12">
        <f>'Raw IS'!C6</f>
        <v>2273885</v>
      </c>
      <c r="H19" s="12">
        <f>'Raw IS'!D6</f>
        <v>2711041</v>
      </c>
      <c r="I19" s="76">
        <v>2833263.9713806068</v>
      </c>
      <c r="J19" s="97">
        <v>2843442.3195951735</v>
      </c>
      <c r="K19" s="97">
        <v>2838124.2278587953</v>
      </c>
      <c r="L19" s="97">
        <v>2881133.5543107376</v>
      </c>
      <c r="M19" s="97">
        <v>2835381.4112070533</v>
      </c>
      <c r="N19" s="97">
        <v>2807233.6605831827</v>
      </c>
      <c r="O19" s="97">
        <v>2232567.4113947344</v>
      </c>
      <c r="P19" s="97">
        <v>2043211.8199589783</v>
      </c>
      <c r="Q19" s="97">
        <v>2311468.3547744942</v>
      </c>
      <c r="R19" s="97">
        <v>1927063.7244329902</v>
      </c>
    </row>
    <row r="20" spans="1:18" x14ac:dyDescent="0.25">
      <c r="A20" s="1"/>
      <c r="B20" s="68" t="s">
        <v>18</v>
      </c>
      <c r="C20" s="69">
        <f t="shared" ref="C20:R20" si="7">C19/C11</f>
        <v>8.1564475241973355E-2</v>
      </c>
      <c r="D20" s="69">
        <f t="shared" si="7"/>
        <v>7.7357706788779595E-2</v>
      </c>
      <c r="E20" s="69">
        <f t="shared" si="7"/>
        <v>7.6657805812701013E-2</v>
      </c>
      <c r="F20" s="69">
        <f t="shared" si="7"/>
        <v>7.3195547329546709E-2</v>
      </c>
      <c r="G20" s="69">
        <f t="shared" si="7"/>
        <v>7.6567342733701471E-2</v>
      </c>
      <c r="H20" s="69">
        <f t="shared" si="7"/>
        <v>8.5750239992661834E-2</v>
      </c>
      <c r="I20" s="106">
        <v>8.3973443135169135E-2</v>
      </c>
      <c r="J20" s="98">
        <v>7.4299511878630084E-2</v>
      </c>
      <c r="K20" s="98">
        <v>6.6653927380432021E-2</v>
      </c>
      <c r="L20" s="98">
        <v>6.2742455451017809E-2</v>
      </c>
      <c r="M20" s="98">
        <v>5.6798505833474629E-2</v>
      </c>
      <c r="N20" s="98">
        <v>5.0608142429839242E-2</v>
      </c>
      <c r="O20" s="98">
        <v>3.623709481244497E-2</v>
      </c>
      <c r="P20" s="98">
        <v>3.1915211183364232E-2</v>
      </c>
      <c r="Q20" s="98">
        <v>3.219315257346092E-2</v>
      </c>
      <c r="R20" s="98">
        <v>2.4916779472885831E-2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76"/>
      <c r="J21" s="97"/>
      <c r="K21" s="97"/>
      <c r="L21" s="97"/>
      <c r="M21" s="97"/>
      <c r="N21" s="97"/>
      <c r="O21" s="97"/>
      <c r="P21" s="97"/>
      <c r="Q21" s="97"/>
      <c r="R21" s="97"/>
    </row>
    <row r="22" spans="1:18" x14ac:dyDescent="0.25">
      <c r="A22" s="1"/>
      <c r="B22" s="1" t="s">
        <v>54</v>
      </c>
      <c r="C22" s="12">
        <f>'Raw IS'!G6</f>
        <v>1436281</v>
      </c>
      <c r="D22" s="12">
        <f>'Raw IS'!H6</f>
        <v>2369469</v>
      </c>
      <c r="E22" s="12">
        <f>'Raw IS'!I6</f>
        <v>2652462</v>
      </c>
      <c r="F22" s="12">
        <f>'Raw IS'!B5</f>
        <v>2228362</v>
      </c>
      <c r="G22" s="12">
        <f>'Raw IS'!C5</f>
        <v>2545146</v>
      </c>
      <c r="H22" s="12">
        <f>'Raw IS'!D5</f>
        <v>2530502</v>
      </c>
      <c r="I22" s="76">
        <v>2644585.6577257845</v>
      </c>
      <c r="J22" s="97">
        <v>2654086.1892609615</v>
      </c>
      <c r="K22" s="97">
        <v>2649122.2503994363</v>
      </c>
      <c r="L22" s="97">
        <v>2689267.4147865823</v>
      </c>
      <c r="M22" s="97">
        <v>2646562.0888146921</v>
      </c>
      <c r="N22" s="97">
        <v>2620288.8088277034</v>
      </c>
      <c r="O22" s="97">
        <v>2083891.8701964295</v>
      </c>
      <c r="P22" s="97">
        <v>1907146.2205218715</v>
      </c>
      <c r="Q22" s="97">
        <v>2157538.4860256878</v>
      </c>
      <c r="R22" s="97">
        <v>1798732.888512247</v>
      </c>
    </row>
    <row r="23" spans="1:18" x14ac:dyDescent="0.25">
      <c r="A23" s="1"/>
      <c r="B23" s="68" t="s">
        <v>18</v>
      </c>
      <c r="C23" s="69">
        <f t="shared" ref="C23:R23" si="8">C22/C11</f>
        <v>0.12283556433823356</v>
      </c>
      <c r="D23" s="69">
        <f t="shared" si="8"/>
        <v>0.15002012429641731</v>
      </c>
      <c r="E23" s="69">
        <f t="shared" si="8"/>
        <v>0.13159372780331771</v>
      </c>
      <c r="F23" s="69">
        <f t="shared" si="8"/>
        <v>8.9148544074313163E-2</v>
      </c>
      <c r="G23" s="69">
        <f t="shared" si="8"/>
        <v>8.5701372799991807E-2</v>
      </c>
      <c r="H23" s="69">
        <f t="shared" si="8"/>
        <v>8.0039790546107853E-2</v>
      </c>
      <c r="I23" s="106">
        <v>7.838131765636587E-2</v>
      </c>
      <c r="J23" s="98">
        <v>6.935161194828747E-2</v>
      </c>
      <c r="K23" s="98">
        <v>6.2215177322673468E-2</v>
      </c>
      <c r="L23" s="98">
        <v>5.8564185862077144E-2</v>
      </c>
      <c r="M23" s="98">
        <v>5.3016067484268674E-2</v>
      </c>
      <c r="N23" s="98">
        <v>4.7237944994189714E-2</v>
      </c>
      <c r="O23" s="98">
        <v>3.3823922580691924E-2</v>
      </c>
      <c r="P23" s="98">
        <v>2.9789850367414425E-2</v>
      </c>
      <c r="Q23" s="98">
        <v>3.0049282535176709E-2</v>
      </c>
      <c r="R23" s="98">
        <v>2.325747205213663E-2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76"/>
      <c r="J24" s="97"/>
      <c r="K24" s="97"/>
      <c r="L24" s="97"/>
      <c r="M24" s="97"/>
      <c r="N24" s="97"/>
      <c r="O24" s="97"/>
      <c r="P24" s="97"/>
      <c r="Q24" s="97"/>
      <c r="R24" s="97"/>
    </row>
    <row r="25" spans="1:18" x14ac:dyDescent="0.25">
      <c r="A25" s="1"/>
      <c r="B25" s="1" t="s">
        <v>55</v>
      </c>
      <c r="C25" s="12">
        <f>'Raw IS'!G8</f>
        <v>431043</v>
      </c>
      <c r="D25" s="12">
        <f>'Raw IS'!H8</f>
        <v>630294</v>
      </c>
      <c r="E25" s="12">
        <f>'Raw IS'!I8</f>
        <v>914369</v>
      </c>
      <c r="F25" s="12">
        <f>'Raw IS'!B7</f>
        <v>1076486</v>
      </c>
      <c r="G25" s="12">
        <f>'Raw IS'!C7</f>
        <v>1351621</v>
      </c>
      <c r="H25" s="12">
        <f>'Raw IS'!D7</f>
        <v>1572891</v>
      </c>
      <c r="I25" s="82">
        <v>1643802.2889394937</v>
      </c>
      <c r="J25" s="101">
        <v>1649707.5601255649</v>
      </c>
      <c r="K25" s="101">
        <v>1646622.1111672779</v>
      </c>
      <c r="L25" s="101">
        <v>1671575.2500140611</v>
      </c>
      <c r="M25" s="101">
        <v>1645030.7845786447</v>
      </c>
      <c r="N25" s="101">
        <v>1628700.0305891142</v>
      </c>
      <c r="O25" s="101">
        <v>1295290.3287984487</v>
      </c>
      <c r="P25" s="101">
        <v>1185430.0553577379</v>
      </c>
      <c r="Q25" s="101">
        <v>1341067.0557950281</v>
      </c>
      <c r="R25" s="101">
        <v>1118043.2861720389</v>
      </c>
    </row>
    <row r="26" spans="1:18" x14ac:dyDescent="0.25">
      <c r="A26" s="1"/>
      <c r="B26" s="68" t="s">
        <v>18</v>
      </c>
      <c r="C26" s="69">
        <f t="shared" ref="C26:R26" si="9">C25/C11</f>
        <v>3.6864241857300355E-2</v>
      </c>
      <c r="D26" s="69">
        <f t="shared" si="9"/>
        <v>3.9906318345285824E-2</v>
      </c>
      <c r="E26" s="69">
        <f t="shared" si="9"/>
        <v>4.5363600043202057E-2</v>
      </c>
      <c r="F26" s="69">
        <f t="shared" si="9"/>
        <v>4.3066234129096208E-2</v>
      </c>
      <c r="G26" s="69">
        <f t="shared" si="9"/>
        <v>4.5512428444300534E-2</v>
      </c>
      <c r="H26" s="69">
        <f t="shared" si="9"/>
        <v>4.9750549966709419E-2</v>
      </c>
      <c r="I26" s="106">
        <v>4.8719688468864659E-2</v>
      </c>
      <c r="J26" s="98">
        <v>4.3107069770722886E-2</v>
      </c>
      <c r="K26" s="98">
        <v>3.8671256720696989E-2</v>
      </c>
      <c r="L26" s="98">
        <v>3.6401900043860215E-2</v>
      </c>
      <c r="M26" s="98">
        <v>3.2953341037232464E-2</v>
      </c>
      <c r="N26" s="98">
        <v>2.936181774993896E-2</v>
      </c>
      <c r="O26" s="98">
        <v>2.1024027411109376E-2</v>
      </c>
      <c r="P26" s="98">
        <v>1.8516558190530115E-2</v>
      </c>
      <c r="Q26" s="98">
        <v>1.8677814147563067E-2</v>
      </c>
      <c r="R26" s="98">
        <v>1.445621006170208E-2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82"/>
      <c r="J27" s="101"/>
      <c r="K27" s="101"/>
      <c r="L27" s="101"/>
      <c r="M27" s="101"/>
      <c r="N27" s="101"/>
      <c r="O27" s="101"/>
      <c r="P27" s="101"/>
      <c r="Q27" s="101"/>
      <c r="R27" s="101"/>
    </row>
    <row r="28" spans="1:18" x14ac:dyDescent="0.25">
      <c r="A28" s="1"/>
      <c r="B28" s="1" t="s">
        <v>59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82">
        <f t="shared" ref="I28:R28" si="10">I29*I11</f>
        <v>0</v>
      </c>
      <c r="J28" s="101">
        <f t="shared" si="10"/>
        <v>0</v>
      </c>
      <c r="K28" s="101">
        <f t="shared" si="10"/>
        <v>0</v>
      </c>
      <c r="L28" s="101">
        <f t="shared" si="10"/>
        <v>0</v>
      </c>
      <c r="M28" s="101">
        <f t="shared" si="10"/>
        <v>0</v>
      </c>
      <c r="N28" s="101">
        <f t="shared" si="10"/>
        <v>0</v>
      </c>
      <c r="O28" s="101">
        <f t="shared" si="10"/>
        <v>0</v>
      </c>
      <c r="P28" s="101">
        <f t="shared" si="10"/>
        <v>0</v>
      </c>
      <c r="Q28" s="101">
        <f t="shared" si="10"/>
        <v>0</v>
      </c>
      <c r="R28" s="101">
        <f t="shared" si="10"/>
        <v>0</v>
      </c>
    </row>
    <row r="29" spans="1:18" x14ac:dyDescent="0.25">
      <c r="A29" s="1"/>
      <c r="B29" s="68" t="s">
        <v>18</v>
      </c>
      <c r="C29" s="69">
        <f t="shared" ref="C29:H29" si="11">C28/C11</f>
        <v>0</v>
      </c>
      <c r="D29" s="69">
        <f t="shared" si="11"/>
        <v>0</v>
      </c>
      <c r="E29" s="69">
        <f t="shared" si="11"/>
        <v>0</v>
      </c>
      <c r="F29" s="69">
        <f t="shared" si="11"/>
        <v>0</v>
      </c>
      <c r="G29" s="69">
        <f t="shared" si="11"/>
        <v>0</v>
      </c>
      <c r="H29" s="69">
        <f t="shared" si="11"/>
        <v>0</v>
      </c>
      <c r="I29" s="77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</row>
    <row r="30" spans="1:18" x14ac:dyDescent="0.25">
      <c r="A30" s="1"/>
      <c r="B30" s="1"/>
      <c r="C30" s="12"/>
      <c r="D30" s="12"/>
      <c r="E30" s="12"/>
      <c r="F30" s="1"/>
      <c r="G30" s="1"/>
      <c r="H30" s="1"/>
      <c r="I30" s="82"/>
      <c r="J30" s="101"/>
      <c r="K30" s="101"/>
      <c r="L30" s="101"/>
      <c r="M30" s="101"/>
      <c r="N30" s="101"/>
      <c r="O30" s="101"/>
      <c r="P30" s="101"/>
      <c r="Q30" s="101"/>
      <c r="R30" s="101"/>
    </row>
    <row r="31" spans="1:18" x14ac:dyDescent="0.25">
      <c r="A31" s="1"/>
      <c r="B31" s="1" t="s">
        <v>13</v>
      </c>
      <c r="C31" s="12">
        <f>C19+C22+C25+C28</f>
        <v>2821034</v>
      </c>
      <c r="D31" s="12">
        <f t="shared" ref="D31:R31" si="12">D19+D22+D25+D28</f>
        <v>4221577</v>
      </c>
      <c r="E31" s="12">
        <f t="shared" si="12"/>
        <v>5111980</v>
      </c>
      <c r="F31" s="12">
        <f t="shared" si="12"/>
        <v>5134448</v>
      </c>
      <c r="G31" s="12">
        <f t="shared" si="12"/>
        <v>6170652</v>
      </c>
      <c r="H31" s="12">
        <f t="shared" si="12"/>
        <v>6814434</v>
      </c>
      <c r="I31" s="107">
        <f t="shared" si="12"/>
        <v>7121651.9180458849</v>
      </c>
      <c r="J31" s="102">
        <f t="shared" si="12"/>
        <v>7147236.0689816996</v>
      </c>
      <c r="K31" s="102">
        <f t="shared" si="12"/>
        <v>7133868.5894255098</v>
      </c>
      <c r="L31" s="102">
        <f t="shared" si="12"/>
        <v>7241976.2191113811</v>
      </c>
      <c r="M31" s="102">
        <f t="shared" si="12"/>
        <v>7126974.2846003901</v>
      </c>
      <c r="N31" s="102">
        <f t="shared" si="12"/>
        <v>7056222.5</v>
      </c>
      <c r="O31" s="102">
        <f t="shared" si="12"/>
        <v>5611749.6103896126</v>
      </c>
      <c r="P31" s="102">
        <f t="shared" si="12"/>
        <v>5135788.0958385877</v>
      </c>
      <c r="Q31" s="102">
        <f t="shared" si="12"/>
        <v>5810073.8965952098</v>
      </c>
      <c r="R31" s="102">
        <f t="shared" si="12"/>
        <v>4843839.8991172761</v>
      </c>
    </row>
    <row r="32" spans="1:18" x14ac:dyDescent="0.25">
      <c r="A32" s="1"/>
      <c r="B32" s="68" t="s">
        <v>18</v>
      </c>
      <c r="C32" s="69">
        <f t="shared" ref="C32:R32" si="13">C31/C11</f>
        <v>0.24126428143750728</v>
      </c>
      <c r="D32" s="69">
        <f t="shared" si="13"/>
        <v>0.26728414943048273</v>
      </c>
      <c r="E32" s="69">
        <f t="shared" si="13"/>
        <v>0.25361513365922078</v>
      </c>
      <c r="F32" s="69">
        <f t="shared" si="13"/>
        <v>0.20541032553295607</v>
      </c>
      <c r="G32" s="69">
        <f t="shared" si="13"/>
        <v>0.20778114397799383</v>
      </c>
      <c r="H32" s="69">
        <f t="shared" si="13"/>
        <v>0.21554058050547911</v>
      </c>
      <c r="I32" s="77">
        <f t="shared" si="13"/>
        <v>0.21107444926039967</v>
      </c>
      <c r="J32" s="78">
        <f t="shared" si="13"/>
        <v>0.18675819359764045</v>
      </c>
      <c r="K32" s="78">
        <f t="shared" si="13"/>
        <v>0.16754036142380249</v>
      </c>
      <c r="L32" s="78">
        <f t="shared" si="13"/>
        <v>0.15770854135695517</v>
      </c>
      <c r="M32" s="78">
        <f t="shared" si="13"/>
        <v>0.14276791435497577</v>
      </c>
      <c r="N32" s="78">
        <f t="shared" si="13"/>
        <v>0.12720790517396791</v>
      </c>
      <c r="O32" s="78">
        <f t="shared" si="13"/>
        <v>9.1085044804246271E-2</v>
      </c>
      <c r="P32" s="78">
        <f t="shared" si="13"/>
        <v>8.0221619741308772E-2</v>
      </c>
      <c r="Q32" s="78">
        <f t="shared" si="13"/>
        <v>8.0920249256200699E-2</v>
      </c>
      <c r="R32" s="78">
        <f t="shared" si="13"/>
        <v>6.2630461586724542E-2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83"/>
      <c r="J33" s="84"/>
      <c r="K33" s="84"/>
      <c r="L33" s="84"/>
      <c r="M33" s="84"/>
      <c r="N33" s="84"/>
      <c r="O33" s="84"/>
      <c r="P33" s="84"/>
      <c r="Q33" s="84"/>
      <c r="R33" s="84"/>
    </row>
    <row r="34" spans="1:86" x14ac:dyDescent="0.25">
      <c r="A34" s="1"/>
      <c r="B34" s="1" t="s">
        <v>14</v>
      </c>
      <c r="C34" s="12">
        <f>C16-C31</f>
        <v>838679</v>
      </c>
      <c r="D34" s="12">
        <f t="shared" ref="D34:R34" si="14">D16-D31</f>
        <v>1605226</v>
      </c>
      <c r="E34" s="12">
        <f t="shared" si="14"/>
        <v>2604254</v>
      </c>
      <c r="F34" s="12">
        <f t="shared" si="14"/>
        <v>4585289</v>
      </c>
      <c r="G34" s="12">
        <f t="shared" si="14"/>
        <v>6194509</v>
      </c>
      <c r="H34" s="12">
        <f t="shared" si="14"/>
        <v>5632831</v>
      </c>
      <c r="I34" s="107">
        <f t="shared" si="14"/>
        <v>6580162.0819541151</v>
      </c>
      <c r="J34" s="102">
        <f t="shared" si="14"/>
        <v>8922336.9310183004</v>
      </c>
      <c r="K34" s="102">
        <f t="shared" si="14"/>
        <v>11290497.41057449</v>
      </c>
      <c r="L34" s="102">
        <f t="shared" si="14"/>
        <v>13022519.780888619</v>
      </c>
      <c r="M34" s="102">
        <f t="shared" si="14"/>
        <v>15202241.71539961</v>
      </c>
      <c r="N34" s="102">
        <f t="shared" si="14"/>
        <v>19458437.5</v>
      </c>
      <c r="O34" s="102">
        <f t="shared" si="14"/>
        <v>23714610.389610387</v>
      </c>
      <c r="P34" s="102">
        <f t="shared" si="14"/>
        <v>25977931.904161412</v>
      </c>
      <c r="Q34" s="102">
        <f t="shared" si="14"/>
        <v>29300126.10340479</v>
      </c>
      <c r="R34" s="102">
        <f t="shared" si="14"/>
        <v>33207440.100882724</v>
      </c>
    </row>
    <row r="35" spans="1:86" x14ac:dyDescent="0.25">
      <c r="A35" s="1"/>
      <c r="B35" s="1" t="s">
        <v>15</v>
      </c>
      <c r="C35" s="66">
        <f>SUM('Raw IS'!G11:G12)</f>
        <v>-353358</v>
      </c>
      <c r="D35" s="66">
        <f>SUM('Raw IS'!H11:H12)</f>
        <v>-378768</v>
      </c>
      <c r="E35" s="66">
        <f>SUM('Raw IS'!I11:I12)</f>
        <v>-542023</v>
      </c>
      <c r="F35" s="66">
        <f>SUM('Raw IS'!B10:B11)</f>
        <v>-1385940</v>
      </c>
      <c r="G35" s="66">
        <f>SUM('Raw IS'!C10:C11)</f>
        <v>-354406</v>
      </c>
      <c r="H35" s="66">
        <f>SUM('Raw IS'!D10:D11)</f>
        <v>-368902</v>
      </c>
      <c r="I35" s="85">
        <f>I36*I11</f>
        <v>-404880</v>
      </c>
      <c r="J35" s="86">
        <f t="shared" ref="J35:R35" si="15">J36*J11</f>
        <v>-765400</v>
      </c>
      <c r="K35" s="86">
        <f t="shared" si="15"/>
        <v>-1064500</v>
      </c>
      <c r="L35" s="86">
        <f t="shared" si="15"/>
        <v>-1148000</v>
      </c>
      <c r="M35" s="86">
        <f t="shared" si="15"/>
        <v>-1248000</v>
      </c>
      <c r="N35" s="86">
        <f t="shared" si="15"/>
        <v>-1386750</v>
      </c>
      <c r="O35" s="86">
        <f t="shared" si="15"/>
        <v>-1540250</v>
      </c>
      <c r="P35" s="86">
        <f t="shared" si="15"/>
        <v>-1600500</v>
      </c>
      <c r="Q35" s="86">
        <f t="shared" si="15"/>
        <v>-1795000</v>
      </c>
      <c r="R35" s="86">
        <f t="shared" si="15"/>
        <v>-1933500</v>
      </c>
    </row>
    <row r="36" spans="1:86" x14ac:dyDescent="0.25">
      <c r="A36" s="1"/>
      <c r="B36" s="68" t="s">
        <v>18</v>
      </c>
      <c r="C36" s="69">
        <f>C35/C11</f>
        <v>-3.0220360321851738E-2</v>
      </c>
      <c r="D36" s="69">
        <f t="shared" ref="D36:H36" si="16">D35/D11</f>
        <v>-2.3981247460720268E-2</v>
      </c>
      <c r="E36" s="69">
        <f t="shared" si="16"/>
        <v>-2.6890800744793962E-2</v>
      </c>
      <c r="F36" s="69">
        <f t="shared" si="16"/>
        <v>-5.5446347215736755E-2</v>
      </c>
      <c r="G36" s="69">
        <f t="shared" si="16"/>
        <v>-1.1933728253135144E-2</v>
      </c>
      <c r="H36" s="69">
        <f t="shared" si="16"/>
        <v>-1.1668372051095111E-2</v>
      </c>
      <c r="I36" s="77">
        <v>-1.2E-2</v>
      </c>
      <c r="J36" s="78">
        <v>-0.02</v>
      </c>
      <c r="K36" s="78">
        <v>-2.5000000000000001E-2</v>
      </c>
      <c r="L36" s="78">
        <v>-2.5000000000000001E-2</v>
      </c>
      <c r="M36" s="78">
        <v>-2.5000000000000001E-2</v>
      </c>
      <c r="N36" s="78">
        <v>-2.5000000000000001E-2</v>
      </c>
      <c r="O36" s="78">
        <v>-2.5000000000000001E-2</v>
      </c>
      <c r="P36" s="78">
        <v>-2.5000000000000001E-2</v>
      </c>
      <c r="Q36" s="78">
        <v>-2.5000000000000001E-2</v>
      </c>
      <c r="R36" s="78">
        <v>-2.5000000000000001E-2</v>
      </c>
    </row>
    <row r="37" spans="1:86" x14ac:dyDescent="0.25">
      <c r="A37" s="1"/>
      <c r="B37" s="1"/>
      <c r="C37" s="20"/>
      <c r="D37" s="20"/>
      <c r="E37" s="20"/>
      <c r="F37" s="20"/>
      <c r="G37" s="20"/>
      <c r="H37" s="20"/>
      <c r="I37" s="79"/>
      <c r="J37" s="99"/>
      <c r="K37" s="99"/>
      <c r="L37" s="99"/>
      <c r="M37" s="99"/>
      <c r="N37" s="99"/>
      <c r="O37" s="99"/>
      <c r="P37" s="99"/>
      <c r="Q37" s="99"/>
      <c r="R37" s="99"/>
    </row>
    <row r="38" spans="1:86" x14ac:dyDescent="0.25">
      <c r="A38" s="1"/>
      <c r="B38" s="1" t="s">
        <v>16</v>
      </c>
      <c r="C38" s="12">
        <f>C34+C35</f>
        <v>485321</v>
      </c>
      <c r="D38" s="12">
        <f t="shared" ref="D38:H38" si="17">D34+D35</f>
        <v>1226458</v>
      </c>
      <c r="E38" s="12">
        <f t="shared" si="17"/>
        <v>2062231</v>
      </c>
      <c r="F38" s="12">
        <f t="shared" si="17"/>
        <v>3199349</v>
      </c>
      <c r="G38" s="12">
        <f t="shared" si="17"/>
        <v>5840103</v>
      </c>
      <c r="H38" s="12">
        <f t="shared" si="17"/>
        <v>5263929</v>
      </c>
      <c r="I38" s="82">
        <f t="shared" ref="I38:R38" si="18">I16-I31+I35</f>
        <v>6175282.0819541151</v>
      </c>
      <c r="J38" s="101">
        <f t="shared" si="18"/>
        <v>8156936.9310183004</v>
      </c>
      <c r="K38" s="101">
        <f t="shared" si="18"/>
        <v>10225997.41057449</v>
      </c>
      <c r="L38" s="101">
        <f t="shared" si="18"/>
        <v>11874519.780888619</v>
      </c>
      <c r="M38" s="101">
        <f t="shared" si="18"/>
        <v>13954241.71539961</v>
      </c>
      <c r="N38" s="101">
        <f t="shared" si="18"/>
        <v>18071687.5</v>
      </c>
      <c r="O38" s="101">
        <f t="shared" si="18"/>
        <v>22174360.389610387</v>
      </c>
      <c r="P38" s="101">
        <f t="shared" si="18"/>
        <v>24377431.904161412</v>
      </c>
      <c r="Q38" s="101">
        <f t="shared" si="18"/>
        <v>27505126.10340479</v>
      </c>
      <c r="R38" s="101">
        <f t="shared" si="18"/>
        <v>31273940.100882724</v>
      </c>
    </row>
    <row r="39" spans="1:86" x14ac:dyDescent="0.25">
      <c r="A39" s="1"/>
      <c r="B39" s="1"/>
      <c r="C39" s="20"/>
      <c r="D39" s="20"/>
      <c r="E39" s="20"/>
      <c r="F39" s="20"/>
      <c r="G39" s="20"/>
      <c r="H39" s="20"/>
      <c r="I39" s="79"/>
      <c r="J39" s="99"/>
      <c r="K39" s="99"/>
      <c r="L39" s="99"/>
      <c r="M39" s="99"/>
      <c r="N39" s="99"/>
      <c r="O39" s="99"/>
      <c r="P39" s="99"/>
      <c r="Q39" s="99"/>
      <c r="R39" s="99"/>
    </row>
    <row r="40" spans="1:86" x14ac:dyDescent="0.25">
      <c r="A40" s="1"/>
      <c r="B40" s="1" t="s">
        <v>17</v>
      </c>
      <c r="C40" s="12">
        <f t="shared" ref="C40:R40" si="19">C34</f>
        <v>838679</v>
      </c>
      <c r="D40" s="12">
        <f t="shared" si="19"/>
        <v>1605226</v>
      </c>
      <c r="E40" s="12">
        <f t="shared" si="19"/>
        <v>2604254</v>
      </c>
      <c r="F40" s="12">
        <f t="shared" si="19"/>
        <v>4585289</v>
      </c>
      <c r="G40" s="12">
        <f t="shared" si="19"/>
        <v>6194509</v>
      </c>
      <c r="H40" s="12">
        <f t="shared" si="19"/>
        <v>5632831</v>
      </c>
      <c r="I40" s="107">
        <f t="shared" si="19"/>
        <v>6580162.0819541151</v>
      </c>
      <c r="J40" s="102">
        <f t="shared" si="19"/>
        <v>8922336.9310183004</v>
      </c>
      <c r="K40" s="102">
        <f t="shared" si="19"/>
        <v>11290497.41057449</v>
      </c>
      <c r="L40" s="102">
        <f t="shared" si="19"/>
        <v>13022519.780888619</v>
      </c>
      <c r="M40" s="102">
        <f t="shared" si="19"/>
        <v>15202241.71539961</v>
      </c>
      <c r="N40" s="102">
        <f t="shared" si="19"/>
        <v>19458437.5</v>
      </c>
      <c r="O40" s="102">
        <f t="shared" si="19"/>
        <v>23714610.389610387</v>
      </c>
      <c r="P40" s="102">
        <f t="shared" si="19"/>
        <v>25977931.904161412</v>
      </c>
      <c r="Q40" s="102">
        <f t="shared" si="19"/>
        <v>29300126.10340479</v>
      </c>
      <c r="R40" s="102">
        <f t="shared" si="19"/>
        <v>33207440.100882724</v>
      </c>
    </row>
    <row r="41" spans="1:86" x14ac:dyDescent="0.25">
      <c r="A41" s="1"/>
      <c r="B41" s="68" t="s">
        <v>18</v>
      </c>
      <c r="C41" s="69">
        <f t="shared" ref="C41:H41" si="20">C40/C11</f>
        <v>7.1726638633822615E-2</v>
      </c>
      <c r="D41" s="69">
        <f t="shared" si="20"/>
        <v>0.10163298361102878</v>
      </c>
      <c r="E41" s="69">
        <f t="shared" si="20"/>
        <v>0.12920203645017397</v>
      </c>
      <c r="F41" s="69">
        <f t="shared" si="20"/>
        <v>0.18344049957321268</v>
      </c>
      <c r="G41" s="69">
        <f t="shared" si="20"/>
        <v>0.20858446828665408</v>
      </c>
      <c r="H41" s="69">
        <f t="shared" si="20"/>
        <v>0.17816647187855345</v>
      </c>
      <c r="I41" s="77">
        <f t="shared" ref="I41:R41" si="21">I40/I11</f>
        <v>0.19502555073960032</v>
      </c>
      <c r="J41" s="78">
        <f t="shared" si="21"/>
        <v>0.23314180640235957</v>
      </c>
      <c r="K41" s="78">
        <f t="shared" si="21"/>
        <v>0.26515963857619751</v>
      </c>
      <c r="L41" s="78">
        <f t="shared" si="21"/>
        <v>0.28359145864304486</v>
      </c>
      <c r="M41" s="78">
        <f t="shared" si="21"/>
        <v>0.30453208564502421</v>
      </c>
      <c r="N41" s="78">
        <f t="shared" si="21"/>
        <v>0.35079209482603207</v>
      </c>
      <c r="O41" s="78">
        <f t="shared" si="21"/>
        <v>0.38491495519575375</v>
      </c>
      <c r="P41" s="78">
        <f t="shared" si="21"/>
        <v>0.40577838025869123</v>
      </c>
      <c r="Q41" s="78">
        <f t="shared" si="21"/>
        <v>0.40807975074379932</v>
      </c>
      <c r="R41" s="78">
        <f t="shared" si="21"/>
        <v>0.42936953841327546</v>
      </c>
    </row>
    <row r="42" spans="1:86" x14ac:dyDescent="0.25">
      <c r="A42" s="1"/>
      <c r="B42" s="14"/>
      <c r="C42" s="1"/>
      <c r="D42" s="1"/>
      <c r="E42" s="1"/>
      <c r="G42" s="1"/>
      <c r="H42" s="1"/>
      <c r="I42" s="79"/>
      <c r="J42" s="99"/>
      <c r="K42" s="99"/>
      <c r="L42" s="99"/>
      <c r="M42" s="99"/>
      <c r="N42" s="99"/>
      <c r="O42" s="99"/>
      <c r="P42" s="99"/>
      <c r="Q42" s="99"/>
      <c r="R42" s="99"/>
    </row>
    <row r="43" spans="1:86" x14ac:dyDescent="0.25">
      <c r="A43" s="1"/>
      <c r="B43" s="1" t="s">
        <v>19</v>
      </c>
      <c r="C43" s="19">
        <f>'Raw IS'!G14</f>
        <v>-73608</v>
      </c>
      <c r="D43" s="19">
        <f>'Raw IS'!H14</f>
        <v>15216</v>
      </c>
      <c r="E43" s="19">
        <f>'Raw IS'!I14</f>
        <v>195315</v>
      </c>
      <c r="F43" s="21">
        <f>'Raw IS'!B13</f>
        <v>-437954</v>
      </c>
      <c r="G43" s="21">
        <f>'Raw IS'!C13</f>
        <v>-723875</v>
      </c>
      <c r="H43" s="21">
        <f>'Raw IS'!D13</f>
        <v>-772005</v>
      </c>
      <c r="I43" s="76">
        <f>I44*I40</f>
        <v>-815282.08195411484</v>
      </c>
      <c r="J43" s="97">
        <f t="shared" ref="J43:R43" si="22">J44*J40</f>
        <v>-1316936.9310183013</v>
      </c>
      <c r="K43" s="97">
        <f t="shared" si="22"/>
        <v>-1915997.4105744909</v>
      </c>
      <c r="L43" s="97">
        <f t="shared" si="22"/>
        <v>-2324519.7808886184</v>
      </c>
      <c r="M43" s="97">
        <f t="shared" si="22"/>
        <v>-2724241.7153996099</v>
      </c>
      <c r="N43" s="97">
        <f t="shared" si="22"/>
        <v>-3891687.5</v>
      </c>
      <c r="O43" s="97">
        <f t="shared" si="22"/>
        <v>-5454360.3896103892</v>
      </c>
      <c r="P43" s="97">
        <f t="shared" si="22"/>
        <v>-5377431.9041614123</v>
      </c>
      <c r="Q43" s="97">
        <f t="shared" si="22"/>
        <v>-6065126.1034047911</v>
      </c>
      <c r="R43" s="97">
        <f t="shared" si="22"/>
        <v>-6873940.1008827239</v>
      </c>
    </row>
    <row r="44" spans="1:86" x14ac:dyDescent="0.25">
      <c r="A44" s="1"/>
      <c r="B44" s="68" t="s">
        <v>20</v>
      </c>
      <c r="C44" s="73">
        <f t="shared" ref="C44:H44" si="23">C43/C40</f>
        <v>-8.7766594847373078E-2</v>
      </c>
      <c r="D44" s="73">
        <f t="shared" si="23"/>
        <v>9.4790390885769356E-3</v>
      </c>
      <c r="E44" s="73">
        <f t="shared" si="23"/>
        <v>7.4998444852153442E-2</v>
      </c>
      <c r="F44" s="73">
        <f t="shared" si="23"/>
        <v>-9.5512845537107913E-2</v>
      </c>
      <c r="G44" s="73">
        <f t="shared" si="23"/>
        <v>-0.11685752656102365</v>
      </c>
      <c r="H44" s="73">
        <f t="shared" si="23"/>
        <v>-0.13705452906362714</v>
      </c>
      <c r="I44" s="87">
        <v>-0.1239</v>
      </c>
      <c r="J44" s="103">
        <v>-0.14760000000000001</v>
      </c>
      <c r="K44" s="103">
        <v>-0.16969999999999999</v>
      </c>
      <c r="L44" s="103">
        <v>-0.17849999999999999</v>
      </c>
      <c r="M44" s="103">
        <v>-0.1792</v>
      </c>
      <c r="N44" s="103">
        <v>-0.2</v>
      </c>
      <c r="O44" s="103">
        <v>-0.23</v>
      </c>
      <c r="P44" s="103">
        <v>-0.20699999999999999</v>
      </c>
      <c r="Q44" s="103">
        <v>-0.20699999999999999</v>
      </c>
      <c r="R44" s="103">
        <v>-0.20699999999999999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79"/>
      <c r="J45" s="99"/>
      <c r="K45" s="99"/>
      <c r="L45" s="99"/>
      <c r="M45" s="99"/>
      <c r="N45" s="99"/>
      <c r="O45" s="99"/>
      <c r="P45" s="99"/>
      <c r="Q45" s="99"/>
      <c r="R45" s="99"/>
    </row>
    <row r="46" spans="1:86" x14ac:dyDescent="0.25">
      <c r="A46" s="1"/>
      <c r="B46" s="10" t="s">
        <v>21</v>
      </c>
      <c r="C46" s="10">
        <v>2017</v>
      </c>
      <c r="D46" s="10">
        <v>2018</v>
      </c>
      <c r="E46" s="10">
        <v>2019</v>
      </c>
      <c r="F46" s="10">
        <v>2020</v>
      </c>
      <c r="G46" s="10">
        <v>2021</v>
      </c>
      <c r="H46" s="10">
        <v>2022</v>
      </c>
      <c r="I46" s="88">
        <v>2023</v>
      </c>
      <c r="J46" s="104">
        <v>2024</v>
      </c>
      <c r="K46" s="104">
        <v>2025</v>
      </c>
      <c r="L46" s="104">
        <v>2026</v>
      </c>
      <c r="M46" s="104">
        <v>2027</v>
      </c>
      <c r="N46" s="104">
        <v>2028</v>
      </c>
      <c r="O46" s="104">
        <v>2029</v>
      </c>
      <c r="P46" s="104">
        <v>2030</v>
      </c>
      <c r="Q46" s="104">
        <v>2031</v>
      </c>
      <c r="R46" s="104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22</v>
      </c>
      <c r="C47" s="12">
        <f>'Raw CF'!G11</f>
        <v>71911</v>
      </c>
      <c r="D47" s="12">
        <f>'Raw CF'!H11</f>
        <v>83157</v>
      </c>
      <c r="E47" s="12">
        <f>'Raw CF'!I11</f>
        <v>103579</v>
      </c>
      <c r="F47" s="21">
        <f>'Raw CF'!B16</f>
        <v>115710</v>
      </c>
      <c r="G47" s="21">
        <f>'Raw CF'!C16</f>
        <v>208412</v>
      </c>
      <c r="H47" s="21">
        <f>'Raw CF'!D16</f>
        <v>336682</v>
      </c>
      <c r="I47" s="76">
        <f>I48*I11</f>
        <v>368200</v>
      </c>
      <c r="J47" s="97">
        <f t="shared" ref="J47:R47" si="24">J48*J11</f>
        <v>403040</v>
      </c>
      <c r="K47" s="97">
        <f t="shared" si="24"/>
        <v>440479.99999999994</v>
      </c>
      <c r="L47" s="97">
        <f t="shared" si="24"/>
        <v>524710</v>
      </c>
      <c r="M47" s="97">
        <f t="shared" si="24"/>
        <v>566710</v>
      </c>
      <c r="N47" s="97">
        <f t="shared" si="24"/>
        <v>728050</v>
      </c>
      <c r="O47" s="97">
        <f t="shared" si="24"/>
        <v>969400.00000000012</v>
      </c>
      <c r="P47" s="97">
        <f t="shared" si="24"/>
        <v>1120000</v>
      </c>
      <c r="Q47" s="97">
        <f t="shared" si="24"/>
        <v>1300000</v>
      </c>
      <c r="R47" s="97">
        <f t="shared" si="24"/>
        <v>1480000</v>
      </c>
    </row>
    <row r="48" spans="1:86" x14ac:dyDescent="0.25">
      <c r="A48" s="1"/>
      <c r="B48" s="68" t="s">
        <v>18</v>
      </c>
      <c r="C48" s="69">
        <f t="shared" ref="C48:R48" si="25">C47/C11</f>
        <v>6.1500697058073693E-3</v>
      </c>
      <c r="D48" s="69">
        <f t="shared" si="25"/>
        <v>5.264986997558176E-3</v>
      </c>
      <c r="E48" s="69">
        <f t="shared" si="25"/>
        <v>5.1387528764370027E-3</v>
      </c>
      <c r="F48" s="69">
        <f t="shared" si="25"/>
        <v>4.6291302915948017E-3</v>
      </c>
      <c r="G48" s="69">
        <f t="shared" si="25"/>
        <v>7.0177484937963847E-3</v>
      </c>
      <c r="H48" s="69">
        <f t="shared" si="25"/>
        <v>1.064925329466038E-2</v>
      </c>
      <c r="I48" s="106">
        <v>1.091286307053942E-2</v>
      </c>
      <c r="J48" s="98">
        <v>1.0531486804285341E-2</v>
      </c>
      <c r="K48" s="98">
        <v>1.0344762799436354E-2</v>
      </c>
      <c r="L48" s="98">
        <v>1.1426611498257839E-2</v>
      </c>
      <c r="M48" s="98">
        <v>1.1352363782051282E-2</v>
      </c>
      <c r="N48" s="98">
        <v>1.3125112673517217E-2</v>
      </c>
      <c r="O48" s="98">
        <v>1.5734458691770817E-2</v>
      </c>
      <c r="P48" s="98">
        <v>1.7494532958450486E-2</v>
      </c>
      <c r="Q48" s="98">
        <v>1.8105849582172703E-2</v>
      </c>
      <c r="R48" s="98">
        <v>1.9136281355055598E-2</v>
      </c>
    </row>
    <row r="49" spans="1:86" x14ac:dyDescent="0.25">
      <c r="A49" s="1"/>
      <c r="B49" s="1"/>
      <c r="C49" s="1"/>
      <c r="D49" s="1"/>
      <c r="E49" s="1"/>
      <c r="G49" s="1"/>
      <c r="H49" s="1"/>
      <c r="I49" s="79"/>
      <c r="J49" s="99"/>
      <c r="K49" s="99"/>
      <c r="L49" s="99"/>
      <c r="M49" s="99"/>
      <c r="N49" s="99"/>
      <c r="O49" s="99"/>
      <c r="P49" s="99"/>
      <c r="Q49" s="99"/>
      <c r="R49" s="99"/>
    </row>
    <row r="50" spans="1:86" x14ac:dyDescent="0.25">
      <c r="A50" s="1"/>
      <c r="B50" s="1" t="s">
        <v>23</v>
      </c>
      <c r="C50" s="12">
        <f>'Raw CF'!G25</f>
        <v>-173302</v>
      </c>
      <c r="D50" s="12">
        <f>'Raw CF'!H25</f>
        <v>-173946</v>
      </c>
      <c r="E50" s="12">
        <f>'Raw CF'!I25</f>
        <v>-253035</v>
      </c>
      <c r="F50" s="21">
        <f>'Raw CF'!B29</f>
        <v>-497923</v>
      </c>
      <c r="G50" s="21">
        <f>'Raw CF'!C29</f>
        <v>-524585</v>
      </c>
      <c r="H50" s="21">
        <f>'Raw CF'!D29</f>
        <v>-407729</v>
      </c>
      <c r="I50" s="76">
        <f>I51*I11</f>
        <v>-419170</v>
      </c>
      <c r="J50" s="97">
        <f t="shared" ref="J50:R50" si="26">J51*J11</f>
        <v>-475810</v>
      </c>
      <c r="K50" s="97">
        <f t="shared" si="26"/>
        <v>-484989.99999999994</v>
      </c>
      <c r="L50" s="97">
        <f t="shared" si="26"/>
        <v>-513410</v>
      </c>
      <c r="M50" s="97">
        <f t="shared" si="26"/>
        <v>-539430</v>
      </c>
      <c r="N50" s="97">
        <f t="shared" si="26"/>
        <v>-560680</v>
      </c>
      <c r="O50" s="97">
        <f t="shared" si="26"/>
        <v>-579470</v>
      </c>
      <c r="P50" s="97">
        <f t="shared" si="26"/>
        <v>-688840</v>
      </c>
      <c r="Q50" s="97">
        <f t="shared" si="26"/>
        <v>-653100</v>
      </c>
      <c r="R50" s="97">
        <f t="shared" si="26"/>
        <v>-691200</v>
      </c>
    </row>
    <row r="51" spans="1:86" x14ac:dyDescent="0.25">
      <c r="A51" s="1"/>
      <c r="B51" s="68" t="s">
        <v>18</v>
      </c>
      <c r="C51" s="69">
        <f t="shared" ref="C51:R51" si="27">C50/C11</f>
        <v>-1.4821367804033161E-2</v>
      </c>
      <c r="D51" s="69">
        <f t="shared" si="27"/>
        <v>-1.1013185038869302E-2</v>
      </c>
      <c r="E51" s="69">
        <f t="shared" si="27"/>
        <v>-1.2553551724666554E-2</v>
      </c>
      <c r="F51" s="69">
        <f t="shared" si="27"/>
        <v>-1.9920062589074052E-2</v>
      </c>
      <c r="G51" s="69">
        <f t="shared" si="27"/>
        <v>-1.7664076893932099E-2</v>
      </c>
      <c r="H51" s="69">
        <f t="shared" si="27"/>
        <v>-1.2896470249608183E-2</v>
      </c>
      <c r="I51" s="106">
        <v>-1.2423532898636633E-2</v>
      </c>
      <c r="J51" s="98">
        <v>-1.2432976221583486E-2</v>
      </c>
      <c r="K51" s="98">
        <v>-1.139008924377642E-2</v>
      </c>
      <c r="L51" s="98">
        <v>-1.1180531358885018E-2</v>
      </c>
      <c r="M51" s="98">
        <v>-1.0805889423076923E-2</v>
      </c>
      <c r="N51" s="98">
        <v>-1.010780602127276E-2</v>
      </c>
      <c r="O51" s="98">
        <v>-9.4054536601201107E-3</v>
      </c>
      <c r="P51" s="98">
        <v>-1.0759762574195563E-2</v>
      </c>
      <c r="Q51" s="98">
        <v>-9.0961002785515319E-3</v>
      </c>
      <c r="R51" s="98">
        <v>-8.9371605896043441E-3</v>
      </c>
    </row>
    <row r="52" spans="1:86" x14ac:dyDescent="0.25">
      <c r="A52" s="1"/>
      <c r="B52" s="1"/>
      <c r="C52" s="1"/>
      <c r="D52" s="1"/>
      <c r="E52" s="1"/>
      <c r="G52" s="1"/>
      <c r="H52" s="1"/>
      <c r="I52" s="79"/>
      <c r="J52" s="99"/>
      <c r="K52" s="99"/>
      <c r="L52" s="99"/>
      <c r="M52" s="99"/>
      <c r="N52" s="99"/>
      <c r="O52" s="99"/>
      <c r="P52" s="99"/>
      <c r="Q52" s="99"/>
      <c r="R52" s="99"/>
    </row>
    <row r="53" spans="1:86" x14ac:dyDescent="0.25">
      <c r="A53" s="1"/>
      <c r="B53" s="1" t="s">
        <v>24</v>
      </c>
      <c r="C53" s="21">
        <f>SUM('Raw CF'!G18:G22)</f>
        <v>58977</v>
      </c>
      <c r="D53" s="21">
        <f>SUM('Raw CF'!H18:H22)</f>
        <v>293767</v>
      </c>
      <c r="E53" s="21">
        <f>SUM('Raw CF'!I18:I22)</f>
        <v>43043</v>
      </c>
      <c r="F53" s="96">
        <f>SUM('Raw CF'!B22:B26)</f>
        <v>-31873</v>
      </c>
      <c r="G53" s="96">
        <f>SUM('Raw CF'!C22:C26)</f>
        <v>-241977</v>
      </c>
      <c r="H53" s="96">
        <f>SUM('Raw CF'!D22:D26)</f>
        <v>-758087</v>
      </c>
      <c r="I53" s="76">
        <f t="shared" ref="I53:R53" si="28">I54*I11</f>
        <v>404880</v>
      </c>
      <c r="J53" s="97">
        <f t="shared" si="28"/>
        <v>459240</v>
      </c>
      <c r="K53" s="97">
        <f t="shared" si="28"/>
        <v>510960</v>
      </c>
      <c r="L53" s="97">
        <f t="shared" si="28"/>
        <v>551040</v>
      </c>
      <c r="M53" s="97">
        <f t="shared" si="28"/>
        <v>599040</v>
      </c>
      <c r="N53" s="97">
        <f t="shared" si="28"/>
        <v>665640</v>
      </c>
      <c r="O53" s="97">
        <f t="shared" si="28"/>
        <v>739320</v>
      </c>
      <c r="P53" s="97">
        <f t="shared" si="28"/>
        <v>768240</v>
      </c>
      <c r="Q53" s="97">
        <f t="shared" si="28"/>
        <v>861600</v>
      </c>
      <c r="R53" s="97">
        <f t="shared" si="28"/>
        <v>928080</v>
      </c>
    </row>
    <row r="54" spans="1:86" x14ac:dyDescent="0.25">
      <c r="A54" s="1"/>
      <c r="B54" s="68" t="s">
        <v>18</v>
      </c>
      <c r="C54" s="69">
        <f t="shared" ref="C54:H54" si="29">C53/C11</f>
        <v>5.0439106818066948E-3</v>
      </c>
      <c r="D54" s="69">
        <f t="shared" si="29"/>
        <v>1.8599509786448198E-2</v>
      </c>
      <c r="E54" s="69">
        <f t="shared" si="29"/>
        <v>2.1354457955809376E-3</v>
      </c>
      <c r="F54" s="69">
        <f t="shared" si="29"/>
        <v>-1.2751211631146929E-3</v>
      </c>
      <c r="G54" s="69">
        <f t="shared" si="29"/>
        <v>-8.1479652192933596E-3</v>
      </c>
      <c r="H54" s="69">
        <f t="shared" si="29"/>
        <v>-2.3978295490668357E-2</v>
      </c>
      <c r="I54" s="89">
        <v>1.2E-2</v>
      </c>
      <c r="J54" s="105">
        <v>1.2E-2</v>
      </c>
      <c r="K54" s="105">
        <v>1.2E-2</v>
      </c>
      <c r="L54" s="105">
        <v>1.2E-2</v>
      </c>
      <c r="M54" s="105">
        <v>1.2E-2</v>
      </c>
      <c r="N54" s="105">
        <v>1.2E-2</v>
      </c>
      <c r="O54" s="105">
        <v>1.2E-2</v>
      </c>
      <c r="P54" s="105">
        <v>1.2E-2</v>
      </c>
      <c r="Q54" s="105">
        <v>1.2E-2</v>
      </c>
      <c r="R54" s="105">
        <v>1.2E-2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79"/>
      <c r="J55" s="99"/>
      <c r="K55" s="99"/>
      <c r="L55" s="99"/>
      <c r="M55" s="99"/>
      <c r="N55" s="99"/>
      <c r="O55" s="99"/>
      <c r="P55" s="99"/>
      <c r="Q55" s="99"/>
      <c r="R55" s="99"/>
    </row>
    <row r="56" spans="1:86" x14ac:dyDescent="0.25">
      <c r="A56" s="1"/>
      <c r="B56" s="10" t="s">
        <v>25</v>
      </c>
      <c r="C56" s="12">
        <f>C40-C43</f>
        <v>912287</v>
      </c>
      <c r="D56" s="12">
        <f t="shared" ref="D56:G56" si="30">D40-D43</f>
        <v>1590010</v>
      </c>
      <c r="E56" s="12">
        <f t="shared" si="30"/>
        <v>2408939</v>
      </c>
      <c r="F56" s="12">
        <f t="shared" ref="F56:G56" si="31">F40+F43</f>
        <v>4147335</v>
      </c>
      <c r="G56" s="12">
        <f t="shared" si="31"/>
        <v>5470634</v>
      </c>
      <c r="H56" s="12">
        <f>H40+H43</f>
        <v>4860826</v>
      </c>
      <c r="I56" s="107">
        <f t="shared" ref="I56:R56" si="32">I40+I43</f>
        <v>5764880</v>
      </c>
      <c r="J56" s="102">
        <f t="shared" si="32"/>
        <v>7605399.9999999991</v>
      </c>
      <c r="K56" s="102">
        <f t="shared" si="32"/>
        <v>9374500</v>
      </c>
      <c r="L56" s="102">
        <f t="shared" si="32"/>
        <v>10698000</v>
      </c>
      <c r="M56" s="102">
        <f t="shared" si="32"/>
        <v>12478000</v>
      </c>
      <c r="N56" s="102">
        <f t="shared" si="32"/>
        <v>15566750</v>
      </c>
      <c r="O56" s="102">
        <f t="shared" si="32"/>
        <v>18260250</v>
      </c>
      <c r="P56" s="102">
        <f t="shared" si="32"/>
        <v>20600500</v>
      </c>
      <c r="Q56" s="102">
        <f t="shared" si="32"/>
        <v>23235000</v>
      </c>
      <c r="R56" s="102">
        <f t="shared" si="32"/>
        <v>26333500</v>
      </c>
    </row>
    <row r="57" spans="1:86" x14ac:dyDescent="0.25">
      <c r="A57" s="1"/>
      <c r="B57" s="10" t="s">
        <v>56</v>
      </c>
      <c r="C57" s="12"/>
      <c r="D57" s="12"/>
      <c r="E57" s="12"/>
      <c r="F57" s="12"/>
      <c r="G57" s="12"/>
      <c r="H57" s="12"/>
      <c r="I57" s="82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1">
        <v>0</v>
      </c>
    </row>
    <row r="58" spans="1:86" x14ac:dyDescent="0.25">
      <c r="A58" s="1"/>
      <c r="B58" s="10" t="s">
        <v>26</v>
      </c>
      <c r="C58" s="12">
        <f>C38-C43+C57</f>
        <v>558929</v>
      </c>
      <c r="D58" s="12">
        <f t="shared" ref="D58:H58" si="33">D38-D43+D57</f>
        <v>1211242</v>
      </c>
      <c r="E58" s="12">
        <f t="shared" si="33"/>
        <v>1866916</v>
      </c>
      <c r="F58" s="12">
        <f>F38+F43+F57</f>
        <v>2761395</v>
      </c>
      <c r="G58" s="12">
        <f t="shared" ref="G58:H58" si="34">G38+G43+G57</f>
        <v>5116228</v>
      </c>
      <c r="H58" s="12">
        <f t="shared" si="34"/>
        <v>4491924</v>
      </c>
      <c r="I58" s="107">
        <f t="shared" ref="I58" si="35">I38+I43+I57</f>
        <v>5360000</v>
      </c>
      <c r="J58" s="102">
        <f t="shared" ref="J58" si="36">J38+J43+J57</f>
        <v>6839999.9999999991</v>
      </c>
      <c r="K58" s="102">
        <f t="shared" ref="K58" si="37">K38+K43+K57</f>
        <v>8309999.9999999991</v>
      </c>
      <c r="L58" s="102">
        <f t="shared" ref="L58" si="38">L38+L43+L57</f>
        <v>9550000</v>
      </c>
      <c r="M58" s="102">
        <f t="shared" ref="M58" si="39">M38+M43+M57</f>
        <v>11230000</v>
      </c>
      <c r="N58" s="102">
        <f t="shared" ref="N58" si="40">N38+N43+N57</f>
        <v>14180000</v>
      </c>
      <c r="O58" s="102">
        <f t="shared" ref="O58" si="41">O38+O43+O57</f>
        <v>16719999.999999998</v>
      </c>
      <c r="P58" s="102">
        <f t="shared" ref="P58" si="42">P38+P43+P57</f>
        <v>19000000</v>
      </c>
      <c r="Q58" s="102">
        <f t="shared" ref="Q58" si="43">Q38+Q43+Q57</f>
        <v>21440000</v>
      </c>
      <c r="R58" s="102">
        <f t="shared" ref="R58" si="44">R38+R43+R57</f>
        <v>24400000</v>
      </c>
      <c r="S58" s="54">
        <f>R58*(1+$E$6)</f>
        <v>25132000</v>
      </c>
      <c r="T58" s="54">
        <f t="shared" ref="T58:CE58" si="45">S58*(1+$E$6)</f>
        <v>25885960</v>
      </c>
      <c r="U58" s="54">
        <f t="shared" si="45"/>
        <v>26662538.800000001</v>
      </c>
      <c r="V58" s="54">
        <f t="shared" si="45"/>
        <v>27462414.964000002</v>
      </c>
      <c r="W58" s="54">
        <f t="shared" si="45"/>
        <v>28286287.412920002</v>
      </c>
      <c r="X58" s="54">
        <f t="shared" si="45"/>
        <v>29134876.035307601</v>
      </c>
      <c r="Y58" s="54">
        <f t="shared" si="45"/>
        <v>30008922.316366829</v>
      </c>
      <c r="Z58" s="54">
        <f t="shared" si="45"/>
        <v>30909189.985857833</v>
      </c>
      <c r="AA58" s="54">
        <f t="shared" si="45"/>
        <v>31836465.68543357</v>
      </c>
      <c r="AB58" s="54">
        <f t="shared" si="45"/>
        <v>32791559.65599658</v>
      </c>
      <c r="AC58" s="54">
        <f t="shared" si="45"/>
        <v>33775306.445676476</v>
      </c>
      <c r="AD58" s="54">
        <f t="shared" si="45"/>
        <v>34788565.639046773</v>
      </c>
      <c r="AE58" s="54">
        <f t="shared" si="45"/>
        <v>35832222.608218178</v>
      </c>
      <c r="AF58" s="54">
        <f t="shared" si="45"/>
        <v>36907189.286464721</v>
      </c>
      <c r="AG58" s="54">
        <f t="shared" si="45"/>
        <v>38014404.965058662</v>
      </c>
      <c r="AH58" s="54">
        <f t="shared" si="45"/>
        <v>39154837.114010423</v>
      </c>
      <c r="AI58" s="54">
        <f t="shared" si="45"/>
        <v>40329482.227430739</v>
      </c>
      <c r="AJ58" s="54">
        <f t="shared" si="45"/>
        <v>41539366.694253661</v>
      </c>
      <c r="AK58" s="54">
        <f t="shared" si="45"/>
        <v>42785547.695081271</v>
      </c>
      <c r="AL58" s="54">
        <f t="shared" si="45"/>
        <v>44069114.125933714</v>
      </c>
      <c r="AM58" s="54">
        <f t="shared" si="45"/>
        <v>45391187.549711727</v>
      </c>
      <c r="AN58" s="54">
        <f t="shared" si="45"/>
        <v>46752923.17620308</v>
      </c>
      <c r="AO58" s="54">
        <f t="shared" si="45"/>
        <v>48155510.871489175</v>
      </c>
      <c r="AP58" s="54">
        <f t="shared" si="45"/>
        <v>49600176.197633848</v>
      </c>
      <c r="AQ58" s="54">
        <f t="shared" si="45"/>
        <v>51088181.483562864</v>
      </c>
      <c r="AR58" s="54">
        <f t="shared" si="45"/>
        <v>52620826.928069748</v>
      </c>
      <c r="AS58" s="54">
        <f t="shared" si="45"/>
        <v>54199451.735911839</v>
      </c>
      <c r="AT58" s="54">
        <f t="shared" si="45"/>
        <v>55825435.287989192</v>
      </c>
      <c r="AU58" s="54">
        <f t="shared" si="45"/>
        <v>57500198.346628867</v>
      </c>
      <c r="AV58" s="54">
        <f t="shared" si="45"/>
        <v>59225204.297027737</v>
      </c>
      <c r="AW58" s="54">
        <f t="shared" si="45"/>
        <v>61001960.425938569</v>
      </c>
      <c r="AX58" s="54">
        <f t="shared" si="45"/>
        <v>62832019.238716729</v>
      </c>
      <c r="AY58" s="54">
        <f t="shared" si="45"/>
        <v>64716979.815878235</v>
      </c>
      <c r="AZ58" s="54">
        <f t="shared" si="45"/>
        <v>66658489.210354581</v>
      </c>
      <c r="BA58" s="54">
        <f t="shared" si="45"/>
        <v>68658243.886665225</v>
      </c>
      <c r="BB58" s="54">
        <f t="shared" si="45"/>
        <v>70717991.20326519</v>
      </c>
      <c r="BC58" s="54">
        <f t="shared" si="45"/>
        <v>72839530.939363152</v>
      </c>
      <c r="BD58" s="54">
        <f t="shared" si="45"/>
        <v>75024716.867544055</v>
      </c>
      <c r="BE58" s="54">
        <f t="shared" si="45"/>
        <v>77275458.373570383</v>
      </c>
      <c r="BF58" s="54">
        <f t="shared" si="45"/>
        <v>79593722.124777496</v>
      </c>
      <c r="BG58" s="54">
        <f t="shared" si="45"/>
        <v>81981533.788520828</v>
      </c>
      <c r="BH58" s="54">
        <f t="shared" si="45"/>
        <v>84440979.802176461</v>
      </c>
      <c r="BI58" s="54">
        <f t="shared" si="45"/>
        <v>86974209.196241751</v>
      </c>
      <c r="BJ58" s="54">
        <f t="shared" si="45"/>
        <v>89583435.472129002</v>
      </c>
      <c r="BK58" s="54">
        <f t="shared" si="45"/>
        <v>92270938.536292881</v>
      </c>
      <c r="BL58" s="54">
        <f t="shared" si="45"/>
        <v>95039066.692381665</v>
      </c>
      <c r="BM58" s="54">
        <f t="shared" si="45"/>
        <v>97890238.693153113</v>
      </c>
      <c r="BN58" s="54">
        <f t="shared" si="45"/>
        <v>100826945.85394771</v>
      </c>
      <c r="BO58" s="54">
        <f t="shared" si="45"/>
        <v>103851754.22956614</v>
      </c>
      <c r="BP58" s="54">
        <f t="shared" si="45"/>
        <v>106967306.85645314</v>
      </c>
      <c r="BQ58" s="54">
        <f t="shared" si="45"/>
        <v>110176326.06214674</v>
      </c>
      <c r="BR58" s="54">
        <f t="shared" si="45"/>
        <v>113481615.84401114</v>
      </c>
      <c r="BS58" s="54">
        <f t="shared" si="45"/>
        <v>116886064.31933148</v>
      </c>
      <c r="BT58" s="54">
        <f t="shared" si="45"/>
        <v>120392646.24891143</v>
      </c>
      <c r="BU58" s="54">
        <f t="shared" si="45"/>
        <v>124004425.63637877</v>
      </c>
      <c r="BV58" s="54">
        <f t="shared" si="45"/>
        <v>127724558.40547013</v>
      </c>
      <c r="BW58" s="54">
        <f t="shared" si="45"/>
        <v>131556295.15763424</v>
      </c>
      <c r="BX58" s="54">
        <f t="shared" si="45"/>
        <v>135502984.01236328</v>
      </c>
      <c r="BY58" s="54">
        <f t="shared" si="45"/>
        <v>139568073.53273419</v>
      </c>
      <c r="BZ58" s="54">
        <f t="shared" si="45"/>
        <v>143755115.73871621</v>
      </c>
      <c r="CA58" s="54">
        <f t="shared" si="45"/>
        <v>148067769.21087772</v>
      </c>
      <c r="CB58" s="54">
        <f t="shared" si="45"/>
        <v>152509802.28720406</v>
      </c>
      <c r="CC58" s="54">
        <f t="shared" si="45"/>
        <v>157085096.35582018</v>
      </c>
      <c r="CD58" s="54">
        <f t="shared" si="45"/>
        <v>161797649.2464948</v>
      </c>
      <c r="CE58" s="54">
        <f t="shared" si="45"/>
        <v>166651578.72388965</v>
      </c>
      <c r="CF58" s="54">
        <f t="shared" ref="CF58:CH58" si="46">CE58*(1+$E$6)</f>
        <v>171651126.08560634</v>
      </c>
      <c r="CG58" s="54">
        <f t="shared" si="46"/>
        <v>176800659.86817452</v>
      </c>
      <c r="CH58" s="54">
        <f t="shared" si="46"/>
        <v>182104679.66421977</v>
      </c>
    </row>
    <row r="59" spans="1:86" x14ac:dyDescent="0.25">
      <c r="A59" s="1"/>
      <c r="B59" s="6"/>
      <c r="C59" s="20"/>
      <c r="D59" s="20"/>
      <c r="E59" s="20"/>
      <c r="F59" s="20"/>
      <c r="G59" s="20"/>
      <c r="H59" s="20"/>
      <c r="I59" s="79"/>
      <c r="J59" s="99"/>
      <c r="K59" s="99"/>
      <c r="L59" s="99"/>
      <c r="M59" s="99"/>
      <c r="N59" s="99"/>
      <c r="O59" s="99"/>
      <c r="P59" s="99"/>
      <c r="Q59" s="99"/>
      <c r="R59" s="99"/>
    </row>
    <row r="60" spans="1:86" x14ac:dyDescent="0.25">
      <c r="A60" s="1"/>
      <c r="B60" s="10" t="s">
        <v>27</v>
      </c>
      <c r="C60" s="12">
        <f>C56+C47+C50-C53</f>
        <v>751919</v>
      </c>
      <c r="D60" s="12">
        <f t="shared" ref="D60:R60" si="47">D56+D47+D50-D53</f>
        <v>1205454</v>
      </c>
      <c r="E60" s="12">
        <f t="shared" si="47"/>
        <v>2216440</v>
      </c>
      <c r="F60" s="12">
        <f t="shared" si="47"/>
        <v>3796995</v>
      </c>
      <c r="G60" s="12">
        <f t="shared" si="47"/>
        <v>5396438</v>
      </c>
      <c r="H60" s="12">
        <f t="shared" si="47"/>
        <v>5547866</v>
      </c>
      <c r="I60" s="82">
        <f t="shared" si="47"/>
        <v>5309030</v>
      </c>
      <c r="J60" s="101">
        <f t="shared" si="47"/>
        <v>7073389.9999999991</v>
      </c>
      <c r="K60" s="101">
        <f t="shared" si="47"/>
        <v>8819030</v>
      </c>
      <c r="L60" s="101">
        <f t="shared" si="47"/>
        <v>10158260</v>
      </c>
      <c r="M60" s="101">
        <f t="shared" si="47"/>
        <v>11906240</v>
      </c>
      <c r="N60" s="101">
        <f t="shared" si="47"/>
        <v>15068480</v>
      </c>
      <c r="O60" s="101">
        <f t="shared" si="47"/>
        <v>17910860</v>
      </c>
      <c r="P60" s="101">
        <f t="shared" si="47"/>
        <v>20263420</v>
      </c>
      <c r="Q60" s="101">
        <f t="shared" si="47"/>
        <v>23020300</v>
      </c>
      <c r="R60" s="101">
        <f t="shared" si="47"/>
        <v>26194220</v>
      </c>
    </row>
    <row r="61" spans="1:86" x14ac:dyDescent="0.25">
      <c r="A61" s="1"/>
      <c r="B61" s="22" t="s">
        <v>28</v>
      </c>
      <c r="C61" s="1"/>
      <c r="D61" s="1"/>
      <c r="E61" s="1"/>
      <c r="F61" s="1"/>
      <c r="G61" s="1"/>
      <c r="H61" s="1"/>
      <c r="I61" s="56">
        <f t="shared" ref="I61:R61" si="48">I60/((1+$E$5)^I9)</f>
        <v>4781235.434184771</v>
      </c>
      <c r="J61" s="55">
        <f t="shared" si="48"/>
        <v>5736902.9636397418</v>
      </c>
      <c r="K61" s="55">
        <f t="shared" si="48"/>
        <v>6441628.4301321758</v>
      </c>
      <c r="L61" s="55">
        <f t="shared" si="48"/>
        <v>6682194.6816349542</v>
      </c>
      <c r="M61" s="55">
        <f t="shared" si="48"/>
        <v>7053414.1155420803</v>
      </c>
      <c r="N61" s="55">
        <f t="shared" si="48"/>
        <v>8039316.8571536615</v>
      </c>
      <c r="O61" s="55">
        <f t="shared" si="48"/>
        <v>8605796.8388439268</v>
      </c>
      <c r="P61" s="55">
        <f t="shared" si="48"/>
        <v>8768238.3359210044</v>
      </c>
      <c r="Q61" s="55">
        <f t="shared" si="48"/>
        <v>8970889.9512628876</v>
      </c>
      <c r="R61" s="55">
        <f t="shared" si="48"/>
        <v>9192951.5403150506</v>
      </c>
    </row>
    <row r="62" spans="1:86" x14ac:dyDescent="0.25">
      <c r="A62" s="1"/>
      <c r="B62" s="23"/>
      <c r="C62" s="23"/>
      <c r="D62" s="23"/>
      <c r="E62" s="23"/>
      <c r="F62" s="23"/>
      <c r="G62" s="23"/>
      <c r="H62" s="23"/>
      <c r="I62" s="13"/>
      <c r="J62" s="108"/>
      <c r="K62" s="108"/>
      <c r="L62" s="108"/>
      <c r="M62" s="108"/>
      <c r="N62" s="108"/>
      <c r="O62" s="108"/>
      <c r="P62" s="108"/>
      <c r="Q62" s="108"/>
      <c r="R62" s="108"/>
    </row>
    <row r="63" spans="1:86" x14ac:dyDescent="0.25">
      <c r="A63" s="1"/>
      <c r="B63" s="1" t="s">
        <v>29</v>
      </c>
      <c r="C63" s="24">
        <f>(R60*(1+$E$6))/($E$5-$E$6)</f>
        <v>335619713.11501044</v>
      </c>
      <c r="D63" s="1"/>
      <c r="E63" s="1" t="s">
        <v>30</v>
      </c>
      <c r="F63" s="19">
        <f>NPV($E$5,I58:CH58)</f>
        <v>179175005.40240604</v>
      </c>
      <c r="G63" s="1"/>
      <c r="H63" s="1"/>
      <c r="I63" s="16"/>
      <c r="J63" s="1"/>
      <c r="K63" s="1"/>
      <c r="L63" s="1"/>
      <c r="M63" s="1"/>
      <c r="N63" s="1"/>
      <c r="O63" s="1"/>
      <c r="P63" s="1"/>
      <c r="Q63" s="1"/>
    </row>
    <row r="64" spans="1:86" x14ac:dyDescent="0.25">
      <c r="A64" s="1"/>
      <c r="B64" s="3" t="s">
        <v>31</v>
      </c>
      <c r="C64" s="25">
        <f>C63/((1+$E$5)^$R$9)</f>
        <v>117786891.86548522</v>
      </c>
      <c r="D64" s="17"/>
      <c r="E64" s="3"/>
      <c r="F64" s="3"/>
      <c r="G64" s="3"/>
      <c r="H64" s="17"/>
      <c r="I64" s="13"/>
      <c r="J64" s="1"/>
      <c r="L64" s="48" t="s">
        <v>52</v>
      </c>
      <c r="M64" s="49"/>
      <c r="N64" s="49"/>
      <c r="O64" s="49"/>
      <c r="P64" s="49"/>
      <c r="Q64" s="48"/>
    </row>
    <row r="65" spans="1:17" x14ac:dyDescent="0.25">
      <c r="A65" s="1"/>
      <c r="B65" s="6" t="s">
        <v>32</v>
      </c>
      <c r="C65" s="6"/>
      <c r="D65" s="1"/>
      <c r="E65" s="6"/>
      <c r="F65" s="6"/>
      <c r="G65" s="26" t="s">
        <v>33</v>
      </c>
      <c r="H65" s="26" t="s">
        <v>30</v>
      </c>
      <c r="I65" s="16"/>
      <c r="J65" s="1"/>
      <c r="K65" s="48"/>
      <c r="L65" s="60">
        <f>D71</f>
        <v>412.19072752132718</v>
      </c>
      <c r="M65" s="109">
        <v>-0.01</v>
      </c>
      <c r="N65" s="109">
        <v>0.01</v>
      </c>
      <c r="O65" s="109">
        <v>0.03</v>
      </c>
      <c r="P65" s="109">
        <v>0.03</v>
      </c>
      <c r="Q65" s="109">
        <v>0.04</v>
      </c>
    </row>
    <row r="66" spans="1:17" x14ac:dyDescent="0.25">
      <c r="A66" s="1"/>
      <c r="B66" s="27" t="s">
        <v>34</v>
      </c>
      <c r="C66" s="1"/>
      <c r="D66" s="34">
        <f>7662788+914201</f>
        <v>8576989</v>
      </c>
      <c r="E66" s="1"/>
      <c r="F66" s="1"/>
      <c r="G66" s="24">
        <f>C64+SUM(I61:R61)</f>
        <v>192059461.01411545</v>
      </c>
      <c r="H66" s="19">
        <f>F63</f>
        <v>179175005.40240604</v>
      </c>
      <c r="I66" s="16"/>
      <c r="J66" s="1"/>
      <c r="K66" s="48"/>
      <c r="L66" s="50">
        <f>L67-1%</f>
        <v>9.0388742215372964E-2</v>
      </c>
      <c r="M66" s="110">
        <f t="dataTable" ref="M66:Q70" dt2D="1" dtr="1" r1="E6" r2="E5"/>
        <v>412.1163494807173</v>
      </c>
      <c r="N66" s="110">
        <v>475.20969175536254</v>
      </c>
      <c r="O66" s="110">
        <v>577.88675100421449</v>
      </c>
      <c r="P66" s="110">
        <v>577.88675100421449</v>
      </c>
      <c r="Q66" s="110">
        <v>657.00539832025765</v>
      </c>
    </row>
    <row r="67" spans="1:17" x14ac:dyDescent="0.25">
      <c r="A67" s="1"/>
      <c r="B67" s="28" t="s">
        <v>35</v>
      </c>
      <c r="C67" s="3"/>
      <c r="D67" s="29">
        <f>8675805-615374</f>
        <v>8060431</v>
      </c>
      <c r="E67" s="3"/>
      <c r="F67" s="3"/>
      <c r="G67" s="3"/>
      <c r="H67" s="3"/>
      <c r="I67" s="16"/>
      <c r="J67" s="1"/>
      <c r="K67" s="49"/>
      <c r="L67" s="50">
        <f>L68-1%</f>
        <v>0.10038874221537296</v>
      </c>
      <c r="M67" s="110">
        <v>362.97130391251847</v>
      </c>
      <c r="N67" s="111">
        <v>410.17036588043277</v>
      </c>
      <c r="O67" s="111">
        <v>483.26208186901908</v>
      </c>
      <c r="P67" s="111">
        <v>483.26208186901908</v>
      </c>
      <c r="Q67" s="110">
        <v>536.8229750216841</v>
      </c>
    </row>
    <row r="68" spans="1:17" x14ac:dyDescent="0.25">
      <c r="A68" s="1"/>
      <c r="B68" s="6" t="s">
        <v>36</v>
      </c>
      <c r="C68" s="6"/>
      <c r="D68" s="6"/>
      <c r="E68" s="6"/>
      <c r="F68" s="6"/>
      <c r="G68" s="30">
        <f>(G66+D66-D67)</f>
        <v>192576019.01411545</v>
      </c>
      <c r="H68" s="31">
        <f>(H66+D66-D67)</f>
        <v>179691563.40240604</v>
      </c>
      <c r="I68" s="16"/>
      <c r="J68"/>
      <c r="K68" s="48" t="s">
        <v>1</v>
      </c>
      <c r="L68" s="52">
        <v>0.11038874221537295</v>
      </c>
      <c r="M68" s="110">
        <v>322.66273272693252</v>
      </c>
      <c r="N68" s="111">
        <v>358.66947158807471</v>
      </c>
      <c r="O68" s="112">
        <v>412.19072752132718</v>
      </c>
      <c r="P68" s="111">
        <v>412.19072752132718</v>
      </c>
      <c r="Q68" s="110">
        <v>449.87379338355379</v>
      </c>
    </row>
    <row r="69" spans="1:17" x14ac:dyDescent="0.25">
      <c r="A69" s="1"/>
      <c r="B69" s="3" t="s">
        <v>37</v>
      </c>
      <c r="C69" s="3"/>
      <c r="D69" s="34">
        <v>451572</v>
      </c>
      <c r="E69" s="3"/>
      <c r="F69" s="3"/>
      <c r="G69" s="3"/>
      <c r="H69" s="3"/>
      <c r="I69" s="16"/>
      <c r="J69" s="1"/>
      <c r="K69" s="48"/>
      <c r="L69" s="53">
        <f>L68+1%</f>
        <v>0.12038874221537295</v>
      </c>
      <c r="M69" s="110">
        <v>289.12321921200237</v>
      </c>
      <c r="N69" s="111">
        <v>317.05200475817844</v>
      </c>
      <c r="O69" s="111">
        <v>357.16262708961222</v>
      </c>
      <c r="P69" s="111">
        <v>357.16262708961222</v>
      </c>
      <c r="Q69" s="110">
        <v>384.49212523411177</v>
      </c>
    </row>
    <row r="70" spans="1:17" x14ac:dyDescent="0.25">
      <c r="A70" s="1"/>
      <c r="B70" s="18" t="s">
        <v>38</v>
      </c>
      <c r="C70" s="18"/>
      <c r="D70" s="18">
        <f>D69*$J$5</f>
        <v>181983516</v>
      </c>
      <c r="E70" s="18"/>
      <c r="F70" s="18"/>
      <c r="G70" s="18"/>
      <c r="H70" s="32"/>
      <c r="I70" s="1"/>
      <c r="J70" s="1"/>
      <c r="K70" s="48"/>
      <c r="L70" s="53">
        <f>L69+1%</f>
        <v>0.13038874221537294</v>
      </c>
      <c r="M70" s="110">
        <v>260.87071575689293</v>
      </c>
      <c r="N70" s="110">
        <v>282.84518092724602</v>
      </c>
      <c r="O70" s="110">
        <v>313.49544915678604</v>
      </c>
      <c r="P70" s="110">
        <v>313.49544915678604</v>
      </c>
      <c r="Q70" s="110">
        <v>333.81352048556198</v>
      </c>
    </row>
    <row r="71" spans="1:17" x14ac:dyDescent="0.25">
      <c r="A71" s="1"/>
      <c r="B71" s="6" t="s">
        <v>39</v>
      </c>
      <c r="C71" s="6" t="s">
        <v>40</v>
      </c>
      <c r="D71" s="33">
        <f>(G71+H71)/2</f>
        <v>412.19072752132718</v>
      </c>
      <c r="F71" s="6"/>
      <c r="G71" s="33">
        <f>G68/D69</f>
        <v>426.45695263239406</v>
      </c>
      <c r="H71" s="33">
        <f>H68/D69</f>
        <v>397.92450241026023</v>
      </c>
      <c r="I71" s="16"/>
      <c r="J71" s="1"/>
    </row>
    <row r="72" spans="1:17" x14ac:dyDescent="0.25">
      <c r="A72"/>
      <c r="C72" s="1"/>
      <c r="D72" s="1"/>
    </row>
  </sheetData>
  <sortState xmlns:xlrd2="http://schemas.microsoft.com/office/spreadsheetml/2017/richdata2" columnSort="1" ref="C10:H61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D251-847D-49EB-A1B7-0EBCA935B3CF}">
  <dimension ref="A1:K28"/>
  <sheetViews>
    <sheetView topLeftCell="A4" workbookViewId="0">
      <selection activeCell="B8" sqref="B8"/>
    </sheetView>
  </sheetViews>
  <sheetFormatPr defaultRowHeight="15" x14ac:dyDescent="0.25"/>
  <cols>
    <col min="1" max="1" width="36.140625" customWidth="1"/>
    <col min="2" max="4" width="13.140625" customWidth="1"/>
    <col min="6" max="6" width="27.42578125" customWidth="1"/>
    <col min="7" max="9" width="13.85546875" customWidth="1"/>
  </cols>
  <sheetData>
    <row r="1" spans="1:11" x14ac:dyDescent="0.25">
      <c r="A1" s="90" t="s">
        <v>77</v>
      </c>
      <c r="B1" s="90" t="s">
        <v>77</v>
      </c>
      <c r="C1" s="90" t="s">
        <v>78</v>
      </c>
      <c r="D1" s="91"/>
      <c r="F1" s="91"/>
      <c r="G1" s="91"/>
      <c r="H1" s="91"/>
      <c r="I1" s="91"/>
    </row>
    <row r="2" spans="1:11" x14ac:dyDescent="0.25">
      <c r="A2" s="90" t="s">
        <v>77</v>
      </c>
      <c r="B2" s="90">
        <v>2020</v>
      </c>
      <c r="C2" s="90">
        <v>2021</v>
      </c>
      <c r="D2" s="90">
        <v>2022</v>
      </c>
      <c r="F2" s="90" t="s">
        <v>77</v>
      </c>
      <c r="G2" s="90" t="s">
        <v>77</v>
      </c>
      <c r="H2" s="90" t="s">
        <v>78</v>
      </c>
      <c r="I2" s="91"/>
    </row>
    <row r="3" spans="1:11" x14ac:dyDescent="0.25">
      <c r="A3" s="90" t="s">
        <v>79</v>
      </c>
      <c r="B3" s="92">
        <v>24996056</v>
      </c>
      <c r="C3" s="92">
        <v>29697844</v>
      </c>
      <c r="D3" s="92">
        <v>31615550</v>
      </c>
      <c r="F3" s="90" t="s">
        <v>77</v>
      </c>
      <c r="G3" s="90">
        <v>2017</v>
      </c>
      <c r="H3" s="90">
        <v>2018</v>
      </c>
      <c r="I3" s="90">
        <v>2019</v>
      </c>
    </row>
    <row r="4" spans="1:11" x14ac:dyDescent="0.25">
      <c r="A4" s="90" t="s">
        <v>80</v>
      </c>
      <c r="B4" s="93">
        <v>15276319</v>
      </c>
      <c r="C4" s="93">
        <v>17332683</v>
      </c>
      <c r="D4" s="93">
        <v>19168285</v>
      </c>
      <c r="E4" s="61"/>
      <c r="F4" s="90" t="s">
        <v>79</v>
      </c>
      <c r="G4" s="92">
        <v>11692713</v>
      </c>
      <c r="H4" s="92">
        <v>15794341</v>
      </c>
      <c r="I4" s="92">
        <v>20156447</v>
      </c>
      <c r="J4" s="61"/>
      <c r="K4" s="61"/>
    </row>
    <row r="5" spans="1:11" x14ac:dyDescent="0.25">
      <c r="A5" s="90" t="s">
        <v>81</v>
      </c>
      <c r="B5" s="93">
        <v>2228362</v>
      </c>
      <c r="C5" s="93">
        <v>2545146</v>
      </c>
      <c r="D5" s="93">
        <v>2530502</v>
      </c>
      <c r="E5" s="61"/>
      <c r="F5" s="90" t="s">
        <v>80</v>
      </c>
      <c r="G5" s="93">
        <v>8033000</v>
      </c>
      <c r="H5" s="93">
        <v>9967538</v>
      </c>
      <c r="I5" s="93">
        <v>12440213</v>
      </c>
      <c r="J5" s="61"/>
      <c r="K5" s="61"/>
    </row>
    <row r="6" spans="1:11" x14ac:dyDescent="0.25">
      <c r="A6" s="90" t="s">
        <v>82</v>
      </c>
      <c r="B6" s="93">
        <v>1829600</v>
      </c>
      <c r="C6" s="93">
        <v>2273885</v>
      </c>
      <c r="D6" s="93">
        <v>2711041</v>
      </c>
      <c r="E6" s="62"/>
      <c r="F6" s="90" t="s">
        <v>81</v>
      </c>
      <c r="G6" s="93">
        <v>1436281</v>
      </c>
      <c r="H6" s="93">
        <v>2369469</v>
      </c>
      <c r="I6" s="93">
        <v>2652462</v>
      </c>
      <c r="J6" s="62"/>
    </row>
    <row r="7" spans="1:11" x14ac:dyDescent="0.25">
      <c r="A7" s="90" t="s">
        <v>70</v>
      </c>
      <c r="B7" s="93">
        <v>1076486</v>
      </c>
      <c r="C7" s="93">
        <v>1351621</v>
      </c>
      <c r="D7" s="93">
        <v>1572891</v>
      </c>
      <c r="E7" s="63"/>
      <c r="F7" s="90" t="s">
        <v>82</v>
      </c>
      <c r="G7" s="93">
        <v>953710</v>
      </c>
      <c r="H7" s="93">
        <v>1221814</v>
      </c>
      <c r="I7" s="93">
        <v>1545149</v>
      </c>
      <c r="J7" s="63"/>
    </row>
    <row r="8" spans="1:11" x14ac:dyDescent="0.25">
      <c r="A8" s="90" t="s">
        <v>14</v>
      </c>
      <c r="B8" s="93">
        <v>4585289</v>
      </c>
      <c r="C8" s="93">
        <v>6194509</v>
      </c>
      <c r="D8" s="93">
        <v>5632831</v>
      </c>
      <c r="E8" s="63"/>
      <c r="F8" s="90" t="s">
        <v>70</v>
      </c>
      <c r="G8" s="93">
        <v>431043</v>
      </c>
      <c r="H8" s="93">
        <v>630294</v>
      </c>
      <c r="I8" s="93">
        <v>914369</v>
      </c>
      <c r="J8" s="63"/>
    </row>
    <row r="9" spans="1:11" x14ac:dyDescent="0.25">
      <c r="A9" s="90" t="s">
        <v>83</v>
      </c>
      <c r="B9" s="91"/>
      <c r="C9" s="91"/>
      <c r="D9" s="91"/>
      <c r="F9" s="90" t="s">
        <v>14</v>
      </c>
      <c r="G9" s="93">
        <v>838679</v>
      </c>
      <c r="H9" s="93">
        <v>1605226</v>
      </c>
      <c r="I9" s="93">
        <v>2604254</v>
      </c>
    </row>
    <row r="10" spans="1:11" x14ac:dyDescent="0.25">
      <c r="A10" s="90" t="s">
        <v>84</v>
      </c>
      <c r="B10" s="93">
        <v>-767499</v>
      </c>
      <c r="C10" s="93">
        <v>-765620</v>
      </c>
      <c r="D10" s="93">
        <v>-706212</v>
      </c>
      <c r="E10" s="63"/>
      <c r="F10" s="90" t="s">
        <v>83</v>
      </c>
      <c r="G10" s="91"/>
      <c r="H10" s="91"/>
      <c r="I10" s="91"/>
      <c r="J10" s="63"/>
    </row>
    <row r="11" spans="1:11" x14ac:dyDescent="0.25">
      <c r="A11" s="90" t="s">
        <v>85</v>
      </c>
      <c r="B11" s="93">
        <v>-618441</v>
      </c>
      <c r="C11" s="93">
        <v>411214</v>
      </c>
      <c r="D11" s="93">
        <v>337310</v>
      </c>
      <c r="E11" s="63"/>
      <c r="F11" s="90" t="s">
        <v>84</v>
      </c>
      <c r="G11" s="93">
        <v>-238204</v>
      </c>
      <c r="H11" s="93">
        <v>-420493</v>
      </c>
      <c r="I11" s="93">
        <v>-626023</v>
      </c>
      <c r="J11" s="63"/>
    </row>
    <row r="12" spans="1:11" x14ac:dyDescent="0.25">
      <c r="A12" s="90" t="s">
        <v>86</v>
      </c>
      <c r="B12" s="93">
        <v>3199349</v>
      </c>
      <c r="C12" s="93">
        <v>5840103</v>
      </c>
      <c r="D12" s="93">
        <v>5263929</v>
      </c>
      <c r="E12" s="63"/>
      <c r="F12" s="90" t="s">
        <v>85</v>
      </c>
      <c r="G12" s="93">
        <v>-115154</v>
      </c>
      <c r="H12" s="93">
        <v>41725</v>
      </c>
      <c r="I12" s="93">
        <v>84000</v>
      </c>
      <c r="J12" s="63"/>
    </row>
    <row r="13" spans="1:11" x14ac:dyDescent="0.25">
      <c r="A13" s="90" t="s">
        <v>71</v>
      </c>
      <c r="B13" s="93">
        <v>-437954</v>
      </c>
      <c r="C13" s="93">
        <v>-723875</v>
      </c>
      <c r="D13" s="93">
        <v>-772005</v>
      </c>
      <c r="E13" s="63"/>
      <c r="F13" s="90" t="s">
        <v>86</v>
      </c>
      <c r="G13" s="93">
        <v>485321</v>
      </c>
      <c r="H13" s="93">
        <v>1226458</v>
      </c>
      <c r="I13" s="93">
        <v>2062231</v>
      </c>
      <c r="J13" s="63"/>
    </row>
    <row r="14" spans="1:11" x14ac:dyDescent="0.25">
      <c r="A14" s="90" t="s">
        <v>26</v>
      </c>
      <c r="B14" s="92">
        <v>2761395</v>
      </c>
      <c r="C14" s="92">
        <v>5116228</v>
      </c>
      <c r="D14" s="92">
        <v>4491924</v>
      </c>
      <c r="E14" s="63"/>
      <c r="F14" s="90" t="s">
        <v>74</v>
      </c>
      <c r="G14" s="93">
        <v>-73608</v>
      </c>
      <c r="H14" s="93">
        <v>15216</v>
      </c>
      <c r="I14" s="93">
        <v>195315</v>
      </c>
      <c r="J14" s="63"/>
    </row>
    <row r="15" spans="1:11" x14ac:dyDescent="0.25">
      <c r="A15" s="91"/>
      <c r="B15" s="91"/>
      <c r="C15" s="91"/>
      <c r="D15" s="91"/>
      <c r="E15" s="63"/>
      <c r="F15" s="90" t="s">
        <v>26</v>
      </c>
      <c r="G15" s="92">
        <v>558929</v>
      </c>
      <c r="H15" s="92">
        <v>1211242</v>
      </c>
      <c r="I15" s="92">
        <v>1866916</v>
      </c>
      <c r="J15" s="63"/>
    </row>
    <row r="16" spans="1:11" x14ac:dyDescent="0.25">
      <c r="A16" s="90" t="s">
        <v>87</v>
      </c>
      <c r="B16" s="91"/>
      <c r="C16" s="91"/>
      <c r="D16" s="91"/>
      <c r="E16" s="64"/>
      <c r="F16" s="90" t="s">
        <v>87</v>
      </c>
      <c r="G16" s="91"/>
      <c r="H16" s="91"/>
      <c r="I16" s="91"/>
      <c r="J16" s="63"/>
    </row>
    <row r="17" spans="1:10" x14ac:dyDescent="0.25">
      <c r="A17" s="90" t="s">
        <v>72</v>
      </c>
      <c r="B17" s="94">
        <v>6.26</v>
      </c>
      <c r="C17" s="94">
        <v>11.55</v>
      </c>
      <c r="D17" s="94">
        <v>10.1</v>
      </c>
      <c r="E17" s="63"/>
      <c r="F17" s="90" t="s">
        <v>72</v>
      </c>
      <c r="G17" s="94">
        <v>1.29</v>
      </c>
      <c r="H17" s="94">
        <v>2.78</v>
      </c>
      <c r="I17" s="94">
        <v>4.26</v>
      </c>
      <c r="J17" s="63"/>
    </row>
    <row r="18" spans="1:10" x14ac:dyDescent="0.25">
      <c r="A18" s="90" t="s">
        <v>73</v>
      </c>
      <c r="B18" s="94">
        <v>6.08</v>
      </c>
      <c r="C18" s="94">
        <v>11.24</v>
      </c>
      <c r="D18" s="94">
        <v>9.9499999999999993</v>
      </c>
      <c r="E18" s="64"/>
      <c r="F18" s="90" t="s">
        <v>73</v>
      </c>
      <c r="G18" s="94">
        <v>1.25</v>
      </c>
      <c r="H18" s="94">
        <v>2.68</v>
      </c>
      <c r="I18" s="94">
        <v>4.13</v>
      </c>
      <c r="J18" s="63"/>
    </row>
    <row r="19" spans="1:10" x14ac:dyDescent="0.25">
      <c r="A19" s="90" t="s">
        <v>88</v>
      </c>
      <c r="B19" s="91"/>
      <c r="C19" s="91"/>
      <c r="D19" s="91"/>
      <c r="E19" s="63"/>
      <c r="F19" s="90" t="s">
        <v>88</v>
      </c>
      <c r="G19" s="91"/>
      <c r="H19" s="91"/>
      <c r="I19" s="91"/>
      <c r="J19" s="63"/>
    </row>
    <row r="20" spans="1:10" x14ac:dyDescent="0.25">
      <c r="A20" s="90" t="s">
        <v>72</v>
      </c>
      <c r="B20" s="93">
        <v>440922</v>
      </c>
      <c r="C20" s="93">
        <v>443155</v>
      </c>
      <c r="D20" s="93">
        <v>444698</v>
      </c>
      <c r="F20" s="90" t="s">
        <v>72</v>
      </c>
      <c r="G20" s="93">
        <v>431885</v>
      </c>
      <c r="H20" s="93">
        <v>435374</v>
      </c>
      <c r="I20" s="93">
        <v>437799</v>
      </c>
    </row>
    <row r="21" spans="1:10" x14ac:dyDescent="0.25">
      <c r="A21" s="90" t="s">
        <v>73</v>
      </c>
      <c r="B21" s="93">
        <v>454208</v>
      </c>
      <c r="C21" s="93">
        <v>455372</v>
      </c>
      <c r="D21" s="93">
        <v>451290</v>
      </c>
      <c r="E21" s="64"/>
      <c r="F21" s="90" t="s">
        <v>73</v>
      </c>
      <c r="G21" s="93">
        <v>446814</v>
      </c>
      <c r="H21" s="93">
        <v>451244</v>
      </c>
      <c r="I21" s="93">
        <v>451765</v>
      </c>
      <c r="J21" s="64"/>
    </row>
    <row r="22" spans="1:10" x14ac:dyDescent="0.25">
      <c r="E22" s="62"/>
      <c r="J22" s="62"/>
    </row>
    <row r="24" spans="1:10" x14ac:dyDescent="0.25">
      <c r="E24" s="65"/>
      <c r="J24" s="65"/>
    </row>
    <row r="25" spans="1:10" x14ac:dyDescent="0.25">
      <c r="E25" s="65"/>
      <c r="J25" s="65"/>
    </row>
    <row r="27" spans="1:10" x14ac:dyDescent="0.25">
      <c r="E27" s="63"/>
      <c r="J27" s="63"/>
    </row>
    <row r="28" spans="1:10" x14ac:dyDescent="0.25">
      <c r="E28" s="63"/>
      <c r="J28" s="63"/>
    </row>
  </sheetData>
  <sortState xmlns:xlrd2="http://schemas.microsoft.com/office/spreadsheetml/2017/richdata2" columnSort="1" ref="G3:I21">
    <sortCondition ref="G3:I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558C-AFF4-464E-87EC-D45A817926A9}">
  <dimension ref="A1:J54"/>
  <sheetViews>
    <sheetView tabSelected="1" topLeftCell="A13" workbookViewId="0">
      <selection activeCell="B23" sqref="B23"/>
    </sheetView>
  </sheetViews>
  <sheetFormatPr defaultRowHeight="15" x14ac:dyDescent="0.25"/>
  <cols>
    <col min="1" max="1" width="38.85546875" customWidth="1"/>
    <col min="2" max="4" width="16.5703125" customWidth="1"/>
    <col min="6" max="6" width="57.85546875" customWidth="1"/>
    <col min="7" max="9" width="14.5703125" customWidth="1"/>
  </cols>
  <sheetData>
    <row r="1" spans="1:10" x14ac:dyDescent="0.25">
      <c r="A1" s="90" t="s">
        <v>89</v>
      </c>
      <c r="B1" s="91"/>
      <c r="C1" s="91"/>
      <c r="D1" s="91"/>
      <c r="F1" s="90" t="s">
        <v>77</v>
      </c>
      <c r="G1" s="90" t="s">
        <v>77</v>
      </c>
      <c r="H1" s="90" t="s">
        <v>91</v>
      </c>
      <c r="I1" s="91"/>
    </row>
    <row r="2" spans="1:10" x14ac:dyDescent="0.25">
      <c r="A2" s="91"/>
      <c r="B2" s="91"/>
      <c r="C2" s="91"/>
      <c r="D2" s="91"/>
      <c r="F2" s="90" t="s">
        <v>77</v>
      </c>
      <c r="G2" s="90">
        <v>2017</v>
      </c>
      <c r="H2" s="90">
        <v>2018</v>
      </c>
      <c r="I2" s="90">
        <v>2019</v>
      </c>
    </row>
    <row r="3" spans="1:10" x14ac:dyDescent="0.25">
      <c r="A3" s="90" t="s">
        <v>75</v>
      </c>
      <c r="B3" s="91"/>
      <c r="C3" s="91"/>
      <c r="D3" s="91"/>
      <c r="F3" s="90" t="s">
        <v>57</v>
      </c>
      <c r="G3" s="91"/>
      <c r="H3" s="91"/>
      <c r="I3" s="91"/>
    </row>
    <row r="4" spans="1:10" x14ac:dyDescent="0.25">
      <c r="A4" s="90" t="s">
        <v>90</v>
      </c>
      <c r="B4" s="91"/>
      <c r="C4" s="91"/>
      <c r="D4" s="91"/>
      <c r="E4" s="61"/>
      <c r="F4" s="90" t="s">
        <v>26</v>
      </c>
      <c r="G4" s="92">
        <v>558929</v>
      </c>
      <c r="H4" s="92">
        <v>1211242</v>
      </c>
      <c r="I4" s="92">
        <v>1866916</v>
      </c>
      <c r="J4" s="61"/>
    </row>
    <row r="5" spans="1:10" x14ac:dyDescent="0.25">
      <c r="A5" s="91"/>
      <c r="B5" s="91"/>
      <c r="C5" s="91"/>
      <c r="D5" s="91"/>
      <c r="E5" s="61"/>
      <c r="F5" s="90" t="s">
        <v>122</v>
      </c>
      <c r="G5" s="91"/>
      <c r="H5" s="91"/>
      <c r="I5" s="91"/>
      <c r="J5" s="61"/>
    </row>
    <row r="6" spans="1:10" x14ac:dyDescent="0.25">
      <c r="A6" s="90" t="s">
        <v>77</v>
      </c>
      <c r="B6" s="91"/>
      <c r="C6" s="90" t="s">
        <v>91</v>
      </c>
      <c r="D6" s="90" t="s">
        <v>77</v>
      </c>
      <c r="F6" s="90" t="s">
        <v>123</v>
      </c>
      <c r="G6" s="91"/>
      <c r="H6" s="91"/>
      <c r="I6" s="91"/>
    </row>
    <row r="7" spans="1:10" x14ac:dyDescent="0.25">
      <c r="A7" s="90" t="s">
        <v>77</v>
      </c>
      <c r="B7" s="90">
        <v>2020</v>
      </c>
      <c r="C7" s="90">
        <v>2021</v>
      </c>
      <c r="D7" s="90">
        <v>2022</v>
      </c>
      <c r="F7" s="90" t="s">
        <v>124</v>
      </c>
      <c r="G7" s="93">
        <v>-9805763</v>
      </c>
      <c r="H7" s="93">
        <v>-13043437</v>
      </c>
      <c r="I7" s="93">
        <v>-13916683</v>
      </c>
    </row>
    <row r="8" spans="1:10" x14ac:dyDescent="0.25">
      <c r="A8" s="90" t="s">
        <v>57</v>
      </c>
      <c r="B8" s="91"/>
      <c r="C8" s="91"/>
      <c r="D8" s="91"/>
      <c r="F8" s="90" t="s">
        <v>125</v>
      </c>
      <c r="G8" s="93">
        <v>900006</v>
      </c>
      <c r="H8" s="93">
        <v>999880</v>
      </c>
      <c r="I8" s="93">
        <v>-694011</v>
      </c>
    </row>
    <row r="9" spans="1:10" x14ac:dyDescent="0.25">
      <c r="A9" s="90" t="s">
        <v>26</v>
      </c>
      <c r="B9" s="92">
        <v>2761395</v>
      </c>
      <c r="C9" s="92">
        <v>5116228</v>
      </c>
      <c r="D9" s="92">
        <v>4491924</v>
      </c>
      <c r="F9" s="90" t="s">
        <v>126</v>
      </c>
      <c r="G9" s="93">
        <v>6197817</v>
      </c>
      <c r="H9" s="93">
        <v>7532088</v>
      </c>
      <c r="I9" s="93">
        <v>9216247</v>
      </c>
    </row>
    <row r="10" spans="1:10" x14ac:dyDescent="0.25">
      <c r="A10" s="90" t="s">
        <v>92</v>
      </c>
      <c r="B10" s="91"/>
      <c r="C10" s="91"/>
      <c r="D10" s="91"/>
      <c r="F10" s="90" t="s">
        <v>127</v>
      </c>
      <c r="G10" s="91"/>
      <c r="H10" s="91"/>
      <c r="I10" s="91"/>
    </row>
    <row r="11" spans="1:10" x14ac:dyDescent="0.25">
      <c r="A11" s="90" t="s">
        <v>93</v>
      </c>
      <c r="B11" s="91"/>
      <c r="C11" s="91"/>
      <c r="D11" s="91"/>
      <c r="F11" s="90" t="s">
        <v>128</v>
      </c>
      <c r="G11" s="93">
        <v>71911</v>
      </c>
      <c r="H11" s="93">
        <v>83157</v>
      </c>
      <c r="I11" s="93">
        <v>103579</v>
      </c>
    </row>
    <row r="12" spans="1:10" x14ac:dyDescent="0.25">
      <c r="A12" s="90" t="s">
        <v>94</v>
      </c>
      <c r="B12" s="93">
        <v>-11779284</v>
      </c>
      <c r="C12" s="93">
        <v>-17702202</v>
      </c>
      <c r="D12" s="93">
        <v>-16839038</v>
      </c>
      <c r="F12" s="90" t="s">
        <v>58</v>
      </c>
      <c r="G12" s="93">
        <v>182209</v>
      </c>
      <c r="H12" s="93">
        <v>320657</v>
      </c>
      <c r="I12" s="93">
        <v>405376</v>
      </c>
    </row>
    <row r="13" spans="1:10" x14ac:dyDescent="0.25">
      <c r="A13" s="90" t="s">
        <v>95</v>
      </c>
      <c r="B13" s="93">
        <v>-757433</v>
      </c>
      <c r="C13" s="93">
        <v>232898</v>
      </c>
      <c r="D13" s="93">
        <v>179310</v>
      </c>
      <c r="F13" s="90" t="s">
        <v>100</v>
      </c>
      <c r="G13" s="93">
        <v>117864</v>
      </c>
      <c r="H13" s="93">
        <v>81640</v>
      </c>
      <c r="I13" s="93">
        <v>228230</v>
      </c>
    </row>
    <row r="14" spans="1:10" x14ac:dyDescent="0.25">
      <c r="A14" s="90" t="s">
        <v>96</v>
      </c>
      <c r="B14" s="93">
        <v>10806912</v>
      </c>
      <c r="C14" s="93">
        <v>12230367</v>
      </c>
      <c r="D14" s="93">
        <v>14026132</v>
      </c>
      <c r="F14" s="90" t="s">
        <v>129</v>
      </c>
      <c r="G14" s="91"/>
      <c r="H14" s="91"/>
      <c r="I14" s="91"/>
    </row>
    <row r="15" spans="1:10" x14ac:dyDescent="0.25">
      <c r="A15" s="90" t="s">
        <v>97</v>
      </c>
      <c r="B15" s="91"/>
      <c r="C15" s="91"/>
      <c r="D15" s="91"/>
      <c r="F15" s="90" t="s">
        <v>130</v>
      </c>
      <c r="G15" s="93">
        <v>140790</v>
      </c>
      <c r="H15" s="93">
        <v>-73953</v>
      </c>
      <c r="I15" s="93">
        <v>-45576</v>
      </c>
    </row>
    <row r="16" spans="1:10" x14ac:dyDescent="0.25">
      <c r="A16" s="90" t="s">
        <v>98</v>
      </c>
      <c r="B16" s="93">
        <v>115710</v>
      </c>
      <c r="C16" s="93">
        <v>208412</v>
      </c>
      <c r="D16" s="93">
        <v>336682</v>
      </c>
      <c r="F16" s="90" t="s">
        <v>131</v>
      </c>
      <c r="G16" s="93">
        <v>-208688</v>
      </c>
      <c r="H16" s="93">
        <v>-85520</v>
      </c>
      <c r="I16" s="93">
        <v>-94443</v>
      </c>
    </row>
    <row r="17" spans="1:9" x14ac:dyDescent="0.25">
      <c r="A17" s="90" t="s">
        <v>58</v>
      </c>
      <c r="B17" s="93">
        <v>415180</v>
      </c>
      <c r="C17" s="93">
        <v>403220</v>
      </c>
      <c r="D17" s="93">
        <v>575452</v>
      </c>
      <c r="F17" s="90" t="s">
        <v>60</v>
      </c>
      <c r="G17" s="91"/>
      <c r="H17" s="91"/>
      <c r="I17" s="91"/>
    </row>
    <row r="18" spans="1:9" x14ac:dyDescent="0.25">
      <c r="A18" s="90" t="s">
        <v>99</v>
      </c>
      <c r="B18" s="93">
        <v>533278</v>
      </c>
      <c r="C18" s="93">
        <v>-430661</v>
      </c>
      <c r="D18" s="93">
        <v>-353111</v>
      </c>
      <c r="F18" s="90" t="s">
        <v>101</v>
      </c>
      <c r="G18" s="93">
        <v>-234090</v>
      </c>
      <c r="H18" s="93">
        <v>-200192</v>
      </c>
      <c r="I18" s="93">
        <v>-252113</v>
      </c>
    </row>
    <row r="19" spans="1:9" x14ac:dyDescent="0.25">
      <c r="A19" s="90" t="s">
        <v>100</v>
      </c>
      <c r="B19" s="93">
        <v>293126</v>
      </c>
      <c r="C19" s="93">
        <v>376777</v>
      </c>
      <c r="D19" s="93">
        <v>533543</v>
      </c>
      <c r="F19" s="90" t="s">
        <v>61</v>
      </c>
      <c r="G19" s="93">
        <v>74559</v>
      </c>
      <c r="H19" s="93">
        <v>199198</v>
      </c>
      <c r="I19" s="93">
        <v>96063</v>
      </c>
    </row>
    <row r="20" spans="1:9" x14ac:dyDescent="0.25">
      <c r="A20" s="90" t="s">
        <v>76</v>
      </c>
      <c r="B20" s="93">
        <v>70066</v>
      </c>
      <c r="C20" s="93">
        <v>199548</v>
      </c>
      <c r="D20" s="93">
        <v>-166550</v>
      </c>
      <c r="F20" s="90" t="s">
        <v>62</v>
      </c>
      <c r="G20" s="93">
        <v>114337</v>
      </c>
      <c r="H20" s="93">
        <v>150422</v>
      </c>
      <c r="I20" s="93">
        <v>157778</v>
      </c>
    </row>
    <row r="21" spans="1:9" x14ac:dyDescent="0.25">
      <c r="A21" s="90" t="s">
        <v>60</v>
      </c>
      <c r="B21" s="91"/>
      <c r="C21" s="91"/>
      <c r="D21" s="91"/>
      <c r="F21" s="90" t="s">
        <v>63</v>
      </c>
      <c r="G21" s="93">
        <v>177974</v>
      </c>
      <c r="H21" s="93">
        <v>142277</v>
      </c>
      <c r="I21" s="93">
        <v>163846</v>
      </c>
    </row>
    <row r="22" spans="1:9" x14ac:dyDescent="0.25">
      <c r="A22" s="90" t="s">
        <v>101</v>
      </c>
      <c r="B22" s="93">
        <v>-187623</v>
      </c>
      <c r="C22" s="93">
        <v>-369681</v>
      </c>
      <c r="D22" s="93">
        <v>-353834</v>
      </c>
      <c r="F22" s="90" t="s">
        <v>102</v>
      </c>
      <c r="G22" s="93">
        <v>-73803</v>
      </c>
      <c r="H22" s="93">
        <v>2062</v>
      </c>
      <c r="I22" s="93">
        <v>-122531</v>
      </c>
    </row>
    <row r="23" spans="1:9" x14ac:dyDescent="0.25">
      <c r="A23" s="90" t="s">
        <v>61</v>
      </c>
      <c r="B23" s="93">
        <v>-41605</v>
      </c>
      <c r="C23" s="93">
        <v>145115</v>
      </c>
      <c r="D23" s="93">
        <v>-158543</v>
      </c>
      <c r="F23" s="90" t="s">
        <v>132</v>
      </c>
      <c r="G23" s="93">
        <v>-1785948</v>
      </c>
      <c r="H23" s="93">
        <v>-2680479</v>
      </c>
      <c r="I23" s="93">
        <v>-2887322</v>
      </c>
    </row>
    <row r="24" spans="1:9" x14ac:dyDescent="0.25">
      <c r="A24" s="90" t="s">
        <v>62</v>
      </c>
      <c r="B24" s="93">
        <v>198183</v>
      </c>
      <c r="C24" s="93">
        <v>180338</v>
      </c>
      <c r="D24" s="93">
        <v>-55513</v>
      </c>
      <c r="F24" s="90" t="s">
        <v>65</v>
      </c>
      <c r="G24" s="91"/>
      <c r="H24" s="91"/>
      <c r="I24" s="91"/>
    </row>
    <row r="25" spans="1:9" x14ac:dyDescent="0.25">
      <c r="A25" s="90" t="s">
        <v>63</v>
      </c>
      <c r="B25" s="93">
        <v>193247</v>
      </c>
      <c r="C25" s="93">
        <v>91350</v>
      </c>
      <c r="D25" s="93">
        <v>27356</v>
      </c>
      <c r="F25" s="90" t="s">
        <v>66</v>
      </c>
      <c r="G25" s="93">
        <v>-173302</v>
      </c>
      <c r="H25" s="93">
        <v>-173946</v>
      </c>
      <c r="I25" s="93">
        <v>-253035</v>
      </c>
    </row>
    <row r="26" spans="1:9" x14ac:dyDescent="0.25">
      <c r="A26" s="90" t="s">
        <v>102</v>
      </c>
      <c r="B26" s="93">
        <v>-194075</v>
      </c>
      <c r="C26" s="93">
        <v>-289099</v>
      </c>
      <c r="D26" s="93">
        <v>-217553</v>
      </c>
      <c r="F26" s="90" t="s">
        <v>103</v>
      </c>
      <c r="G26" s="93">
        <v>-60409</v>
      </c>
      <c r="H26" s="93">
        <v>-165174</v>
      </c>
      <c r="I26" s="93">
        <v>-134029</v>
      </c>
    </row>
    <row r="27" spans="1:9" x14ac:dyDescent="0.25">
      <c r="A27" s="90" t="s">
        <v>64</v>
      </c>
      <c r="B27" s="93">
        <v>2427077</v>
      </c>
      <c r="C27" s="93">
        <v>392610</v>
      </c>
      <c r="D27" s="93">
        <v>2026257</v>
      </c>
      <c r="F27" s="90" t="s">
        <v>105</v>
      </c>
      <c r="G27" s="93">
        <v>-74819</v>
      </c>
      <c r="H27" s="95">
        <v>0</v>
      </c>
      <c r="I27" s="95">
        <v>0</v>
      </c>
    </row>
    <row r="28" spans="1:9" x14ac:dyDescent="0.25">
      <c r="A28" s="90" t="s">
        <v>65</v>
      </c>
      <c r="B28" s="91"/>
      <c r="C28" s="91"/>
      <c r="D28" s="91"/>
      <c r="F28" s="90" t="s">
        <v>133</v>
      </c>
      <c r="G28" s="93">
        <v>320154</v>
      </c>
      <c r="H28" s="95">
        <v>0</v>
      </c>
      <c r="I28" s="95">
        <v>0</v>
      </c>
    </row>
    <row r="29" spans="1:9" x14ac:dyDescent="0.25">
      <c r="A29" s="90" t="s">
        <v>66</v>
      </c>
      <c r="B29" s="93">
        <v>-497923</v>
      </c>
      <c r="C29" s="93">
        <v>-524585</v>
      </c>
      <c r="D29" s="93">
        <v>-407729</v>
      </c>
      <c r="F29" s="90" t="s">
        <v>134</v>
      </c>
      <c r="G29" s="91"/>
      <c r="H29" s="91"/>
      <c r="I29" s="91"/>
    </row>
    <row r="30" spans="1:9" x14ac:dyDescent="0.25">
      <c r="A30" s="90" t="s">
        <v>103</v>
      </c>
      <c r="B30" s="93">
        <v>-7431</v>
      </c>
      <c r="C30" s="93">
        <v>-26919</v>
      </c>
      <c r="D30" s="95">
        <v>0</v>
      </c>
      <c r="F30" s="90" t="s">
        <v>135</v>
      </c>
      <c r="G30" s="93">
        <v>22705</v>
      </c>
      <c r="H30" s="95">
        <v>0</v>
      </c>
      <c r="I30" s="95">
        <v>0</v>
      </c>
    </row>
    <row r="31" spans="1:9" x14ac:dyDescent="0.25">
      <c r="A31" s="90" t="s">
        <v>104</v>
      </c>
      <c r="B31" s="95">
        <v>0</v>
      </c>
      <c r="C31" s="93">
        <v>-788349</v>
      </c>
      <c r="D31" s="93">
        <v>-757387</v>
      </c>
      <c r="F31" s="90" t="s">
        <v>136</v>
      </c>
      <c r="G31" s="91"/>
      <c r="H31" s="91"/>
      <c r="I31" s="91"/>
    </row>
    <row r="32" spans="1:9" x14ac:dyDescent="0.25">
      <c r="A32" s="90" t="s">
        <v>105</v>
      </c>
      <c r="B32" s="95">
        <v>0</v>
      </c>
      <c r="C32" s="95">
        <v>0</v>
      </c>
      <c r="D32" s="93">
        <v>-911276</v>
      </c>
      <c r="F32" s="90" t="s">
        <v>137</v>
      </c>
      <c r="G32" s="93">
        <v>34329</v>
      </c>
      <c r="H32" s="93">
        <v>-339120</v>
      </c>
      <c r="I32" s="93">
        <v>-387064</v>
      </c>
    </row>
    <row r="33" spans="1:9" x14ac:dyDescent="0.25">
      <c r="A33" s="91"/>
      <c r="B33" s="91"/>
      <c r="C33" s="91"/>
      <c r="D33" s="91"/>
      <c r="F33" s="90" t="s">
        <v>68</v>
      </c>
      <c r="G33" s="91"/>
      <c r="H33" s="91"/>
      <c r="I33" s="91"/>
    </row>
    <row r="34" spans="1:9" x14ac:dyDescent="0.25">
      <c r="A34" s="90" t="s">
        <v>67</v>
      </c>
      <c r="B34" s="93">
        <v>-505354</v>
      </c>
      <c r="C34" s="93">
        <v>-1339853</v>
      </c>
      <c r="D34" s="93">
        <v>-2076392</v>
      </c>
      <c r="F34" s="90" t="s">
        <v>106</v>
      </c>
      <c r="G34" s="93">
        <v>3020510</v>
      </c>
      <c r="H34" s="93">
        <v>3961852</v>
      </c>
      <c r="I34" s="93">
        <v>4469306</v>
      </c>
    </row>
    <row r="35" spans="1:9" x14ac:dyDescent="0.25">
      <c r="A35" s="90" t="s">
        <v>68</v>
      </c>
      <c r="B35" s="91"/>
      <c r="C35" s="91"/>
      <c r="D35" s="91"/>
      <c r="F35" s="90" t="s">
        <v>107</v>
      </c>
      <c r="G35" s="93">
        <v>-32153</v>
      </c>
      <c r="H35" s="93">
        <v>-35871</v>
      </c>
      <c r="I35" s="93">
        <v>-36134</v>
      </c>
    </row>
    <row r="36" spans="1:9" x14ac:dyDescent="0.25">
      <c r="A36" s="90" t="s">
        <v>106</v>
      </c>
      <c r="B36" s="93">
        <v>1009464</v>
      </c>
      <c r="C36" s="95">
        <v>0</v>
      </c>
      <c r="D36" s="95">
        <v>0</v>
      </c>
      <c r="F36" s="90" t="s">
        <v>109</v>
      </c>
      <c r="G36" s="93">
        <v>88378</v>
      </c>
      <c r="H36" s="93">
        <v>124502</v>
      </c>
      <c r="I36" s="93">
        <v>72490</v>
      </c>
    </row>
    <row r="37" spans="1:9" x14ac:dyDescent="0.25">
      <c r="A37" s="90" t="s">
        <v>107</v>
      </c>
      <c r="B37" s="93">
        <v>-7559</v>
      </c>
      <c r="C37" s="95">
        <v>0</v>
      </c>
      <c r="D37" s="95">
        <v>0</v>
      </c>
      <c r="F37" s="90" t="s">
        <v>138</v>
      </c>
      <c r="G37" s="93">
        <v>255</v>
      </c>
      <c r="H37" s="93">
        <v>-1956</v>
      </c>
      <c r="I37" s="95">
        <v>0</v>
      </c>
    </row>
    <row r="38" spans="1:9" x14ac:dyDescent="0.25">
      <c r="A38" s="90" t="s">
        <v>108</v>
      </c>
      <c r="B38" s="95">
        <v>0</v>
      </c>
      <c r="C38" s="93">
        <v>-500000</v>
      </c>
      <c r="D38" s="93">
        <v>-700000</v>
      </c>
      <c r="F38" s="90" t="s">
        <v>139</v>
      </c>
      <c r="G38" s="93">
        <v>3076990</v>
      </c>
      <c r="H38" s="93">
        <v>4048527</v>
      </c>
      <c r="I38" s="93">
        <v>4505662</v>
      </c>
    </row>
    <row r="39" spans="1:9" x14ac:dyDescent="0.25">
      <c r="A39" s="90" t="s">
        <v>109</v>
      </c>
      <c r="B39" s="93">
        <v>235406</v>
      </c>
      <c r="C39" s="93">
        <v>174414</v>
      </c>
      <c r="D39" s="93">
        <v>35746</v>
      </c>
      <c r="F39" s="90" t="s">
        <v>140</v>
      </c>
      <c r="G39" s="91"/>
      <c r="H39" s="91"/>
      <c r="I39" s="91"/>
    </row>
    <row r="40" spans="1:9" x14ac:dyDescent="0.25">
      <c r="A40" s="90" t="s">
        <v>110</v>
      </c>
      <c r="B40" s="95">
        <v>0</v>
      </c>
      <c r="C40" s="93">
        <v>-600022</v>
      </c>
      <c r="D40" s="95">
        <v>0</v>
      </c>
      <c r="F40" s="90" t="s">
        <v>141</v>
      </c>
      <c r="G40" s="93">
        <v>29848</v>
      </c>
      <c r="H40" s="93">
        <v>-39682</v>
      </c>
      <c r="I40" s="93">
        <v>469</v>
      </c>
    </row>
    <row r="41" spans="1:9" x14ac:dyDescent="0.25">
      <c r="A41" s="90" t="s">
        <v>111</v>
      </c>
      <c r="B41" s="95">
        <v>0</v>
      </c>
      <c r="C41" s="93">
        <v>-224168</v>
      </c>
      <c r="D41" s="95">
        <v>0</v>
      </c>
      <c r="F41" s="90" t="s">
        <v>142</v>
      </c>
      <c r="G41" s="91"/>
      <c r="H41" s="91"/>
      <c r="I41" s="91"/>
    </row>
    <row r="42" spans="1:9" x14ac:dyDescent="0.25">
      <c r="A42" s="90" t="s">
        <v>69</v>
      </c>
      <c r="B42" s="93">
        <v>1237311</v>
      </c>
      <c r="C42" s="93">
        <v>-1149776</v>
      </c>
      <c r="D42" s="93">
        <v>-664254</v>
      </c>
      <c r="F42" s="90" t="s">
        <v>115</v>
      </c>
      <c r="G42" s="93">
        <v>1355219</v>
      </c>
      <c r="H42" s="93">
        <v>989246</v>
      </c>
      <c r="I42" s="93">
        <v>1231745</v>
      </c>
    </row>
    <row r="43" spans="1:9" x14ac:dyDescent="0.25">
      <c r="A43" s="90" t="s">
        <v>112</v>
      </c>
      <c r="B43" s="91"/>
      <c r="C43" s="91"/>
      <c r="D43" s="91"/>
      <c r="F43" s="90" t="s">
        <v>143</v>
      </c>
      <c r="G43" s="91"/>
      <c r="H43" s="91"/>
      <c r="I43" s="91"/>
    </row>
    <row r="44" spans="1:9" x14ac:dyDescent="0.25">
      <c r="A44" s="90" t="s">
        <v>113</v>
      </c>
      <c r="B44" s="93">
        <v>36050</v>
      </c>
      <c r="C44" s="93">
        <v>-86740</v>
      </c>
      <c r="D44" s="93">
        <v>-170140</v>
      </c>
      <c r="F44" s="90" t="s">
        <v>144</v>
      </c>
      <c r="G44" s="93">
        <v>1467576</v>
      </c>
      <c r="H44" s="93">
        <v>2822795</v>
      </c>
      <c r="I44" s="93">
        <v>3812041</v>
      </c>
    </row>
    <row r="45" spans="1:9" x14ac:dyDescent="0.25">
      <c r="A45" s="90" t="s">
        <v>114</v>
      </c>
      <c r="B45" s="91"/>
      <c r="C45" s="91"/>
      <c r="D45" s="91"/>
      <c r="F45" s="90" t="s">
        <v>145</v>
      </c>
      <c r="G45" s="91"/>
      <c r="H45" s="91"/>
      <c r="I45" s="91"/>
    </row>
    <row r="46" spans="1:9" x14ac:dyDescent="0.25">
      <c r="A46" s="90" t="s">
        <v>115</v>
      </c>
      <c r="B46" s="93">
        <v>3195084</v>
      </c>
      <c r="C46" s="93">
        <v>-2183759</v>
      </c>
      <c r="D46" s="93">
        <v>-884529</v>
      </c>
      <c r="F46" s="90" t="s">
        <v>146</v>
      </c>
      <c r="G46" s="92">
        <v>2822795</v>
      </c>
      <c r="H46" s="92">
        <v>3812041</v>
      </c>
      <c r="I46" s="92">
        <v>5043786</v>
      </c>
    </row>
    <row r="47" spans="1:9" x14ac:dyDescent="0.25">
      <c r="A47" s="90" t="s">
        <v>116</v>
      </c>
      <c r="B47" s="91"/>
      <c r="C47" s="91"/>
      <c r="D47" s="91"/>
      <c r="F47" s="90" t="s">
        <v>119</v>
      </c>
      <c r="G47" s="91"/>
      <c r="H47" s="91"/>
      <c r="I47" s="91"/>
    </row>
    <row r="48" spans="1:9" x14ac:dyDescent="0.25">
      <c r="A48" s="90" t="s">
        <v>117</v>
      </c>
      <c r="B48" s="93">
        <v>5043786</v>
      </c>
      <c r="C48" s="93">
        <v>8238870</v>
      </c>
      <c r="D48" s="93">
        <v>6055111</v>
      </c>
      <c r="F48" s="90" t="s">
        <v>120</v>
      </c>
      <c r="G48" s="92">
        <v>113591</v>
      </c>
      <c r="H48" s="92">
        <v>131069</v>
      </c>
      <c r="I48" s="92">
        <v>400658</v>
      </c>
    </row>
    <row r="49" spans="1:9" x14ac:dyDescent="0.25">
      <c r="A49" s="90" t="s">
        <v>118</v>
      </c>
      <c r="B49" s="92">
        <v>8238870</v>
      </c>
      <c r="C49" s="92">
        <v>6055111</v>
      </c>
      <c r="D49" s="92">
        <v>5170582</v>
      </c>
      <c r="F49" s="90" t="s">
        <v>121</v>
      </c>
      <c r="G49" s="93">
        <v>213313</v>
      </c>
      <c r="H49" s="93">
        <v>375831</v>
      </c>
      <c r="I49" s="93">
        <v>599132</v>
      </c>
    </row>
    <row r="50" spans="1:9" x14ac:dyDescent="0.25">
      <c r="A50" s="90" t="s">
        <v>119</v>
      </c>
      <c r="B50" s="91"/>
      <c r="C50" s="91"/>
      <c r="D50" s="91"/>
      <c r="I50" s="63"/>
    </row>
    <row r="51" spans="1:9" x14ac:dyDescent="0.25">
      <c r="A51" s="90" t="s">
        <v>120</v>
      </c>
      <c r="B51" s="92">
        <v>291582</v>
      </c>
      <c r="C51" s="92">
        <v>509265</v>
      </c>
      <c r="D51" s="92">
        <v>811720</v>
      </c>
      <c r="I51" s="61"/>
    </row>
    <row r="52" spans="1:9" x14ac:dyDescent="0.25">
      <c r="A52" s="90" t="s">
        <v>121</v>
      </c>
      <c r="B52" s="93">
        <v>762904</v>
      </c>
      <c r="C52" s="93">
        <v>763432</v>
      </c>
      <c r="D52" s="93">
        <v>701693</v>
      </c>
      <c r="I52" s="63"/>
    </row>
    <row r="53" spans="1:9" x14ac:dyDescent="0.25">
      <c r="D53" s="63"/>
      <c r="I53" s="63"/>
    </row>
    <row r="54" spans="1:9" x14ac:dyDescent="0.25">
      <c r="D54" s="62"/>
      <c r="I54" s="62"/>
    </row>
  </sheetData>
  <sortState xmlns:xlrd2="http://schemas.microsoft.com/office/spreadsheetml/2017/richdata2" columnSort="1" ref="G2:I49">
    <sortCondition ref="G2: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K17" sqref="K17"/>
    </sheetView>
  </sheetViews>
  <sheetFormatPr defaultRowHeight="15" x14ac:dyDescent="0.25"/>
  <cols>
    <col min="3" max="3" width="12.42578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0">
        <v>0.20699999999999999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67">
        <v>1.29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'NFLX DCF'!D70</f>
        <v>181983516</v>
      </c>
      <c r="D12" s="2"/>
      <c r="E12" s="2" t="s">
        <v>35</v>
      </c>
      <c r="F12" s="2"/>
      <c r="G12" s="21">
        <f>'NFLX DCF'!D67</f>
        <v>8060431</v>
      </c>
      <c r="H12" s="2"/>
      <c r="I12" s="2" t="s">
        <v>47</v>
      </c>
      <c r="J12" s="2"/>
      <c r="K12" s="21">
        <f>G12+C12</f>
        <v>190043947</v>
      </c>
      <c r="L12" s="2"/>
    </row>
    <row r="13" spans="1:14" x14ac:dyDescent="0.25">
      <c r="A13" s="2" t="s">
        <v>48</v>
      </c>
      <c r="B13" s="2"/>
      <c r="C13" s="41">
        <f>C12/K12</f>
        <v>0.95758648919241818</v>
      </c>
      <c r="D13" s="2"/>
      <c r="E13" s="2" t="s">
        <v>49</v>
      </c>
      <c r="F13" s="2"/>
      <c r="G13" s="42">
        <f>G12/K12</f>
        <v>4.2413510807581788E-2</v>
      </c>
      <c r="H13" s="2"/>
      <c r="I13" s="2"/>
      <c r="J13" s="2"/>
      <c r="K13" s="2"/>
      <c r="L13" s="2"/>
      <c r="M13" s="34"/>
    </row>
    <row r="14" spans="1:14" x14ac:dyDescent="0.25">
      <c r="A14" s="2" t="s">
        <v>50</v>
      </c>
      <c r="B14" s="2"/>
      <c r="C14" s="43">
        <f>D7+D8*(D9)</f>
        <v>0.1144</v>
      </c>
      <c r="D14" s="2"/>
      <c r="E14" s="2" t="s">
        <v>51</v>
      </c>
      <c r="F14" s="2"/>
      <c r="G14" s="44">
        <v>2.5000000000000001E-2</v>
      </c>
      <c r="H14" s="2"/>
      <c r="I14" s="45" t="s">
        <v>1</v>
      </c>
      <c r="J14" s="46"/>
      <c r="K14" s="59">
        <f>C13*C14+G14*G13*(1-D6)</f>
        <v>0.11038874221537295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NFLX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2023-08-18T10:47:30Z</dcterms:modified>
</cp:coreProperties>
</file>