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8_{D86C9A99-7A8F-405E-8675-EDD287965BD5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DELL DCF" sheetId="1" r:id="rId1"/>
    <sheet name="WACC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1" l="1"/>
  <c r="L63" i="1"/>
  <c r="L66" i="1"/>
  <c r="L65" i="1"/>
  <c r="H54" i="1"/>
  <c r="J43" i="1"/>
  <c r="I43" i="1"/>
  <c r="J20" i="1"/>
  <c r="K20" i="1" s="1"/>
  <c r="L20" i="1" s="1"/>
  <c r="J11" i="1"/>
  <c r="K11" i="1"/>
  <c r="L11" i="1" s="1"/>
  <c r="M11" i="1" s="1"/>
  <c r="N11" i="1" s="1"/>
  <c r="O11" i="1" s="1"/>
  <c r="P11" i="1" s="1"/>
  <c r="Q11" i="1" s="1"/>
  <c r="R11" i="1" s="1"/>
  <c r="R43" i="1" s="1"/>
  <c r="I11" i="1"/>
  <c r="D65" i="1"/>
  <c r="C56" i="1"/>
  <c r="C54" i="1"/>
  <c r="C52" i="1"/>
  <c r="D52" i="1"/>
  <c r="E52" i="1"/>
  <c r="F52" i="1"/>
  <c r="H52" i="1"/>
  <c r="F34" i="1"/>
  <c r="G34" i="1"/>
  <c r="C29" i="1"/>
  <c r="D26" i="1"/>
  <c r="E26" i="1"/>
  <c r="F26" i="1"/>
  <c r="G26" i="1"/>
  <c r="H26" i="1"/>
  <c r="D23" i="1"/>
  <c r="E23" i="1"/>
  <c r="F23" i="1"/>
  <c r="G23" i="1"/>
  <c r="H23" i="1"/>
  <c r="D20" i="1"/>
  <c r="E20" i="1"/>
  <c r="F20" i="1"/>
  <c r="G20" i="1"/>
  <c r="H20" i="1"/>
  <c r="C28" i="1"/>
  <c r="D28" i="1"/>
  <c r="E28" i="1"/>
  <c r="F28" i="1"/>
  <c r="G28" i="1"/>
  <c r="C23" i="1"/>
  <c r="H28" i="1"/>
  <c r="P43" i="1" l="1"/>
  <c r="N43" i="1"/>
  <c r="L43" i="1"/>
  <c r="Q43" i="1"/>
  <c r="O43" i="1"/>
  <c r="M43" i="1"/>
  <c r="K43" i="1"/>
  <c r="F54" i="1"/>
  <c r="C26" i="1"/>
  <c r="G12" i="2"/>
  <c r="D66" i="1"/>
  <c r="C12" i="2" s="1"/>
  <c r="C16" i="1"/>
  <c r="C31" i="1" s="1"/>
  <c r="C36" i="1" s="1"/>
  <c r="D16" i="1"/>
  <c r="D17" i="1" s="1"/>
  <c r="E16" i="1"/>
  <c r="E17" i="1" s="1"/>
  <c r="D6" i="2"/>
  <c r="D31" i="1" l="1"/>
  <c r="D34" i="1" s="1"/>
  <c r="D54" i="1" s="1"/>
  <c r="E31" i="1"/>
  <c r="E34" i="1" s="1"/>
  <c r="E54" i="1" s="1"/>
  <c r="C34" i="1"/>
  <c r="H29" i="1"/>
  <c r="C20" i="1"/>
  <c r="C14" i="2"/>
  <c r="F47" i="1"/>
  <c r="G47" i="1"/>
  <c r="H47" i="1"/>
  <c r="E47" i="1"/>
  <c r="D47" i="1"/>
  <c r="C47" i="1"/>
  <c r="D44" i="1"/>
  <c r="C44" i="1"/>
  <c r="F44" i="1"/>
  <c r="H44" i="1"/>
  <c r="F29" i="1"/>
  <c r="D29" i="1"/>
  <c r="G50" i="1"/>
  <c r="H50" i="1"/>
  <c r="G44" i="1"/>
  <c r="G16" i="1"/>
  <c r="F16" i="1"/>
  <c r="H16" i="1"/>
  <c r="E50" i="1"/>
  <c r="D50" i="1"/>
  <c r="C50" i="1"/>
  <c r="E44" i="1"/>
  <c r="D42" i="1"/>
  <c r="E42" i="1" s="1"/>
  <c r="H12" i="1"/>
  <c r="G12" i="1"/>
  <c r="F12" i="1"/>
  <c r="E12" i="1"/>
  <c r="D12" i="1"/>
  <c r="J9" i="1"/>
  <c r="K9" i="1" s="1"/>
  <c r="L9" i="1" s="1"/>
  <c r="M9" i="1" s="1"/>
  <c r="N9" i="1" s="1"/>
  <c r="O9" i="1" s="1"/>
  <c r="P9" i="1" s="1"/>
  <c r="Q9" i="1" s="1"/>
  <c r="R9" i="1" s="1"/>
  <c r="F31" i="1" l="1"/>
  <c r="F17" i="1"/>
  <c r="H31" i="1"/>
  <c r="H34" i="1" s="1"/>
  <c r="H17" i="1"/>
  <c r="G17" i="1"/>
  <c r="G31" i="1"/>
  <c r="G54" i="1" s="1"/>
  <c r="C17" i="1"/>
  <c r="F50" i="1"/>
  <c r="K12" i="2"/>
  <c r="E29" i="1"/>
  <c r="G29" i="1"/>
  <c r="G36" i="1" l="1"/>
  <c r="G52" i="1"/>
  <c r="G56" i="1" s="1"/>
  <c r="G37" i="1"/>
  <c r="H36" i="1"/>
  <c r="F36" i="1"/>
  <c r="F56" i="1" s="1"/>
  <c r="D36" i="1"/>
  <c r="C13" i="2"/>
  <c r="G13" i="2"/>
  <c r="E36" i="1"/>
  <c r="E40" i="1" s="1"/>
  <c r="C40" i="1"/>
  <c r="H56" i="1" l="1"/>
  <c r="F40" i="1"/>
  <c r="H40" i="1"/>
  <c r="D56" i="1"/>
  <c r="D40" i="1"/>
  <c r="G40" i="1"/>
  <c r="D37" i="1"/>
  <c r="E56" i="1"/>
  <c r="F37" i="1"/>
  <c r="H37" i="1"/>
  <c r="K14" i="2"/>
  <c r="E5" i="1" s="1"/>
  <c r="C37" i="1"/>
  <c r="E37" i="1"/>
  <c r="I46" i="1" l="1"/>
  <c r="I49" i="1"/>
  <c r="I19" i="1"/>
  <c r="I22" i="1"/>
  <c r="I16" i="1"/>
  <c r="I28" i="1" l="1"/>
  <c r="I31" i="1" s="1"/>
  <c r="I34" i="1" s="1"/>
  <c r="J19" i="1"/>
  <c r="J49" i="1"/>
  <c r="J46" i="1"/>
  <c r="J16" i="1"/>
  <c r="J22" i="1"/>
  <c r="I14" i="1"/>
  <c r="J14" i="1" l="1"/>
  <c r="I36" i="1"/>
  <c r="I37" i="1" s="1"/>
  <c r="J28" i="1"/>
  <c r="J31" i="1" s="1"/>
  <c r="J34" i="1" s="1"/>
  <c r="I29" i="1"/>
  <c r="J29" i="1"/>
  <c r="K19" i="1"/>
  <c r="K16" i="1"/>
  <c r="K46" i="1"/>
  <c r="K49" i="1"/>
  <c r="K22" i="1"/>
  <c r="J36" i="1" l="1"/>
  <c r="K28" i="1"/>
  <c r="K31" i="1" s="1"/>
  <c r="K34" i="1" s="1"/>
  <c r="L19" i="1"/>
  <c r="L22" i="1"/>
  <c r="L49" i="1"/>
  <c r="L46" i="1"/>
  <c r="L16" i="1"/>
  <c r="K14" i="1"/>
  <c r="K29" i="1" l="1"/>
  <c r="K36" i="1"/>
  <c r="L28" i="1"/>
  <c r="L31" i="1" s="1"/>
  <c r="L34" i="1" s="1"/>
  <c r="I39" i="1"/>
  <c r="I54" i="1" s="1"/>
  <c r="M49" i="1"/>
  <c r="M19" i="1"/>
  <c r="M22" i="1"/>
  <c r="M46" i="1"/>
  <c r="M16" i="1"/>
  <c r="L14" i="1"/>
  <c r="L29" i="1" l="1"/>
  <c r="L36" i="1"/>
  <c r="M28" i="1"/>
  <c r="M31" i="1" s="1"/>
  <c r="M34" i="1" s="1"/>
  <c r="I52" i="1"/>
  <c r="I56" i="1" s="1"/>
  <c r="I57" i="1" s="1"/>
  <c r="J39" i="1"/>
  <c r="J54" i="1" s="1"/>
  <c r="J37" i="1"/>
  <c r="N19" i="1"/>
  <c r="N46" i="1"/>
  <c r="N22" i="1"/>
  <c r="N16" i="1"/>
  <c r="N49" i="1"/>
  <c r="M14" i="1"/>
  <c r="N14" i="1" l="1"/>
  <c r="M36" i="1"/>
  <c r="N28" i="1"/>
  <c r="M29" i="1"/>
  <c r="J52" i="1"/>
  <c r="J56" i="1" s="1"/>
  <c r="J57" i="1" s="1"/>
  <c r="K37" i="1"/>
  <c r="K39" i="1"/>
  <c r="K54" i="1" s="1"/>
  <c r="O19" i="1"/>
  <c r="O22" i="1"/>
  <c r="O16" i="1"/>
  <c r="O46" i="1"/>
  <c r="O49" i="1"/>
  <c r="N29" i="1" l="1"/>
  <c r="N31" i="1"/>
  <c r="N34" i="1" s="1"/>
  <c r="O28" i="1"/>
  <c r="O31" i="1" s="1"/>
  <c r="O34" i="1" s="1"/>
  <c r="K52" i="1"/>
  <c r="K56" i="1" s="1"/>
  <c r="K57" i="1" s="1"/>
  <c r="L37" i="1"/>
  <c r="L39" i="1"/>
  <c r="L54" i="1" s="1"/>
  <c r="M37" i="1"/>
  <c r="M39" i="1"/>
  <c r="M54" i="1" s="1"/>
  <c r="O14" i="1"/>
  <c r="P19" i="1"/>
  <c r="P49" i="1"/>
  <c r="P22" i="1"/>
  <c r="P46" i="1"/>
  <c r="P16" i="1"/>
  <c r="N36" i="1" l="1"/>
  <c r="O36" i="1"/>
  <c r="O29" i="1"/>
  <c r="P28" i="1"/>
  <c r="M52" i="1"/>
  <c r="M56" i="1" s="1"/>
  <c r="M57" i="1" s="1"/>
  <c r="P14" i="1"/>
  <c r="L52" i="1"/>
  <c r="L56" i="1" s="1"/>
  <c r="L57" i="1" s="1"/>
  <c r="Q19" i="1"/>
  <c r="Q49" i="1"/>
  <c r="Q46" i="1"/>
  <c r="Q22" i="1"/>
  <c r="Q16" i="1"/>
  <c r="P29" i="1" l="1"/>
  <c r="P31" i="1"/>
  <c r="P34" i="1" s="1"/>
  <c r="Q28" i="1"/>
  <c r="Q14" i="1"/>
  <c r="N37" i="1"/>
  <c r="N39" i="1"/>
  <c r="N54" i="1" s="1"/>
  <c r="R46" i="1"/>
  <c r="R49" i="1"/>
  <c r="R19" i="1"/>
  <c r="R22" i="1"/>
  <c r="R16" i="1"/>
  <c r="O39" i="1"/>
  <c r="O54" i="1" s="1"/>
  <c r="O37" i="1"/>
  <c r="Q29" i="1" l="1"/>
  <c r="Q31" i="1"/>
  <c r="Q34" i="1" s="1"/>
  <c r="P36" i="1"/>
  <c r="R28" i="1"/>
  <c r="R14" i="1"/>
  <c r="O52" i="1"/>
  <c r="O56" i="1" s="1"/>
  <c r="O57" i="1" s="1"/>
  <c r="N52" i="1"/>
  <c r="N56" i="1" s="1"/>
  <c r="N57" i="1" s="1"/>
  <c r="Q36" i="1" l="1"/>
  <c r="Q37" i="1" s="1"/>
  <c r="R29" i="1"/>
  <c r="R31" i="1"/>
  <c r="R34" i="1" s="1"/>
  <c r="P37" i="1"/>
  <c r="P39" i="1"/>
  <c r="P54" i="1" s="1"/>
  <c r="Q39" i="1" l="1"/>
  <c r="Q54" i="1" s="1"/>
  <c r="R36" i="1"/>
  <c r="R39" i="1" s="1"/>
  <c r="Q52" i="1"/>
  <c r="Q56" i="1" s="1"/>
  <c r="Q57" i="1" s="1"/>
  <c r="P52" i="1"/>
  <c r="P56" i="1" s="1"/>
  <c r="P57" i="1" s="1"/>
  <c r="R52" i="1" l="1"/>
  <c r="R56" i="1" s="1"/>
  <c r="C59" i="1" s="1"/>
  <c r="C60" i="1" s="1"/>
  <c r="R54" i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R37" i="1"/>
  <c r="R57" i="1" l="1"/>
  <c r="G62" i="1" s="1"/>
  <c r="G64" i="1" s="1"/>
  <c r="G67" i="1" s="1"/>
  <c r="F59" i="1"/>
  <c r="H62" i="1" s="1"/>
  <c r="H64" i="1" s="1"/>
  <c r="H67" i="1" s="1"/>
  <c r="D67" i="1" l="1"/>
  <c r="L61" i="1" s="1"/>
  <c r="J6" i="1" l="1"/>
  <c r="N5" i="1" s="1"/>
</calcChain>
</file>

<file path=xl/sharedStrings.xml><?xml version="1.0" encoding="utf-8"?>
<sst xmlns="http://schemas.openxmlformats.org/spreadsheetml/2006/main" count="84" uniqueCount="58">
  <si>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</si>
  <si>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</si>
  <si>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</si>
  <si>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</si>
  <si>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</si>
  <si>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</si>
  <si>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</si>
  <si>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</si>
  <si>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</si>
  <si>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</si>
  <si>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</si>
  <si>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</si>
  <si>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</si>
  <si>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</si>
  <si>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</si>
  <si>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</si>
  <si>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</si>
  <si>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</si>
  <si>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</si>
  <si>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</si>
  <si>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</si>
  <si>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</si>
  <si>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</si>
  <si>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</si>
  <si>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</si>
  <si>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</si>
  <si>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</si>
  <si>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</si>
  <si>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</si>
  <si>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</si>
  <si>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</si>
  <si>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</si>
  <si>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</si>
  <si>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</si>
  <si>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</si>
  <si>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</si>
  <si>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</si>
  <si>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</si>
  <si>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</si>
  <si>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</si>
  <si>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</si>
  <si>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</si>
  <si>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</si>
  <si>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</si>
  <si>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</si>
  <si>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</si>
  <si>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</si>
  <si>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</si>
  <si>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</si>
  <si>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</si>
  <si>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</si>
  <si>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</si>
  <si>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</si>
  <si>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</si>
  <si>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</si>
  <si>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</si>
  <si>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Last update :</t>
  </si>
  <si>
    <t>Dell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</si>
</sst>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3" fillId="2" borderId="4" xfId="0" applyNumberFormat="1" applyFont="1" applyFill="1" applyBorder="1"/>
    <xf numFmtId="0" fontId="3" fillId="12" borderId="0" xfId="0" applyFont="1" applyFill="1"/>
    <xf numFmtId="10" fontId="7" fillId="12" borderId="0" xfId="1" applyNumberFormat="1" applyFont="1" applyFill="1"/>
    <xf numFmtId="3" fontId="0" fillId="2" borderId="1" xfId="0" applyNumberFormat="1" applyFill="1" applyBorder="1"/>
    <xf numFmtId="14" fontId="3" fillId="2" borderId="0" xfId="0" applyNumberFormat="1" applyFont="1" applyFill="1" applyAlignment="1">
      <alignment horizontal="left"/>
    </xf>
    <xf numFmtId="1" fontId="3" fillId="2" borderId="0" xfId="1" applyNumberFormat="1" applyFont="1" applyFill="1" applyBorder="1"/>
    <xf numFmtId="1" fontId="3" fillId="2" borderId="4" xfId="1" applyNumberFormat="1" applyFont="1" applyFill="1" applyBorder="1"/>
    <xf numFmtId="164" fontId="3" fillId="2" borderId="0" xfId="1" applyNumberFormat="1" applyFont="1" applyFill="1"/>
    <xf numFmtId="164" fontId="8" fillId="8" borderId="4" xfId="0" applyNumberFormat="1" applyFont="1" applyFill="1" applyBorder="1"/>
    <xf numFmtId="164" fontId="8" fillId="8" borderId="4" xfId="1" applyNumberFormat="1" applyFont="1" applyFill="1" applyBorder="1"/>
    <xf numFmtId="164" fontId="8" fillId="8" borderId="0" xfId="1" applyNumberFormat="1" applyFont="1" applyFill="1" applyBorder="1"/>
    <xf numFmtId="164" fontId="9" fillId="8" borderId="4" xfId="1" applyNumberFormat="1" applyFont="1" applyFill="1" applyBorder="1"/>
    <xf numFmtId="164" fontId="9" fillId="8" borderId="0" xfId="1" applyNumberFormat="1" applyFont="1" applyFill="1" applyBorder="1"/>
    <xf numFmtId="10" fontId="9" fillId="8" borderId="4" xfId="0" applyNumberFormat="1" applyFont="1" applyFill="1" applyBorder="1"/>
    <xf numFmtId="10" fontId="8" fillId="8" borderId="4" xfId="0" applyNumberFormat="1" applyFont="1" applyFill="1" applyBorder="1"/>
    <xf numFmtId="164" fontId="7" fillId="8" borderId="4" xfId="1" applyNumberFormat="1" applyFont="1" applyFill="1" applyBorder="1"/>
    <xf numFmtId="164" fontId="7" fillId="8" borderId="0" xfId="1" applyNumberFormat="1" applyFont="1" applyFill="1" applyBorder="1"/>
    <xf numFmtId="164" fontId="3" fillId="8" borderId="4" xfId="0" applyNumberFormat="1" applyFont="1" applyFill="1" applyBorder="1"/>
    <xf numFmtId="10" fontId="0" fillId="2" borderId="4" xfId="0" applyNumberFormat="1" applyFill="1" applyBorder="1"/>
    <xf numFmtId="1" fontId="3" fillId="2" borderId="0" xfId="0" applyNumberFormat="1" applyFont="1" applyFill="1" applyBorder="1"/>
    <xf numFmtId="164" fontId="7" fillId="12" borderId="0" xfId="1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8" borderId="0" xfId="0" applyNumberFormat="1" applyFont="1" applyFill="1" applyBorder="1"/>
    <xf numFmtId="3" fontId="3" fillId="2" borderId="0" xfId="0" applyNumberFormat="1" applyFont="1" applyFill="1" applyBorder="1"/>
    <xf numFmtId="10" fontId="9" fillId="8" borderId="0" xfId="0" applyNumberFormat="1" applyFont="1" applyFill="1" applyBorder="1"/>
    <xf numFmtId="10" fontId="3" fillId="2" borderId="0" xfId="0" applyNumberFormat="1" applyFont="1" applyFill="1" applyBorder="1"/>
    <xf numFmtId="10" fontId="8" fillId="8" borderId="0" xfId="0" applyNumberFormat="1" applyFont="1" applyFill="1" applyBorder="1"/>
    <xf numFmtId="0" fontId="6" fillId="3" borderId="0" xfId="0" applyFont="1" applyFill="1" applyBorder="1"/>
    <xf numFmtId="164" fontId="3" fillId="8" borderId="0" xfId="0" applyNumberFormat="1" applyFont="1" applyFill="1" applyBorder="1"/>
    <xf numFmtId="164" fontId="7" fillId="12" borderId="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8"/>
  <sheetViews>
    <sheetView tabSelected="1" workbookViewId="0">
      <selection activeCell="G8" sqref="G8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51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6.1152564344197954E-2</v>
      </c>
      <c r="G5" s="1"/>
      <c r="H5" s="1" t="s">
        <v>2</v>
      </c>
      <c r="I5" s="1"/>
      <c r="J5" s="7">
        <v>47</v>
      </c>
      <c r="K5" s="1"/>
      <c r="L5" s="1" t="s">
        <v>3</v>
      </c>
      <c r="M5" s="1"/>
      <c r="N5" s="69">
        <f>(J6/J5)-1</f>
        <v>-0.14388783749469602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0.02</v>
      </c>
      <c r="G6" s="1"/>
      <c r="H6" s="1" t="s">
        <v>5</v>
      </c>
      <c r="I6" s="1"/>
      <c r="J6" s="7">
        <f>D67</f>
        <v>40.237271637749288</v>
      </c>
      <c r="K6" s="1"/>
      <c r="L6" s="1" t="s">
        <v>56</v>
      </c>
      <c r="M6" s="1"/>
      <c r="N6" s="79">
        <v>45057</v>
      </c>
      <c r="O6" s="1"/>
      <c r="P6" s="1"/>
      <c r="Q6" s="1"/>
    </row>
    <row r="7" spans="1:86" x14ac:dyDescent="0.25">
      <c r="B7" s="68"/>
      <c r="C7" s="1"/>
      <c r="D7" s="1"/>
      <c r="E7" s="8"/>
      <c r="F7" s="1"/>
      <c r="G7" s="1"/>
      <c r="H7" s="1"/>
      <c r="I7" s="1"/>
      <c r="J7" s="1"/>
      <c r="K7" s="1"/>
      <c r="L7" s="57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7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>
        <v>2017</v>
      </c>
      <c r="D10" s="9">
        <v>2018</v>
      </c>
      <c r="E10" s="10">
        <v>2019</v>
      </c>
      <c r="F10" s="9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79040</v>
      </c>
      <c r="D11" s="11">
        <v>90621</v>
      </c>
      <c r="E11" s="11">
        <v>92154</v>
      </c>
      <c r="F11" s="11">
        <v>86670</v>
      </c>
      <c r="G11" s="11">
        <v>101197</v>
      </c>
      <c r="H11" s="11">
        <v>102301</v>
      </c>
      <c r="I11" s="20">
        <f>H11*(1+I12)</f>
        <v>87030</v>
      </c>
      <c r="J11" s="94">
        <f t="shared" ref="J11:R11" si="1">I11*(1+J12)</f>
        <v>91310</v>
      </c>
      <c r="K11" s="94">
        <f t="shared" si="1"/>
        <v>93060</v>
      </c>
      <c r="L11" s="94">
        <f t="shared" si="1"/>
        <v>93525.299999999988</v>
      </c>
      <c r="M11" s="94">
        <f t="shared" si="1"/>
        <v>94928.179499999984</v>
      </c>
      <c r="N11" s="94">
        <f t="shared" si="1"/>
        <v>97111.527628499971</v>
      </c>
      <c r="O11" s="94">
        <f t="shared" si="1"/>
        <v>99539.315819212468</v>
      </c>
      <c r="P11" s="94">
        <f t="shared" si="1"/>
        <v>102027.79871469278</v>
      </c>
      <c r="Q11" s="94">
        <f t="shared" si="1"/>
        <v>104578.49368256009</v>
      </c>
      <c r="R11" s="94">
        <f t="shared" si="1"/>
        <v>107192.95602462409</v>
      </c>
    </row>
    <row r="12" spans="1:86" x14ac:dyDescent="0.25">
      <c r="A12" s="1"/>
      <c r="B12" s="71" t="s">
        <v>8</v>
      </c>
      <c r="C12" s="72"/>
      <c r="D12" s="72">
        <f>(D11/C11)-1</f>
        <v>0.14652074898785417</v>
      </c>
      <c r="E12" s="72">
        <f t="shared" ref="E12:H12" si="2">(E11/D11)-1</f>
        <v>1.6916608733075211E-2</v>
      </c>
      <c r="F12" s="72">
        <f t="shared" si="2"/>
        <v>-5.95090826225666E-2</v>
      </c>
      <c r="G12" s="72">
        <f t="shared" si="2"/>
        <v>0.16761278412368763</v>
      </c>
      <c r="H12" s="72">
        <f t="shared" si="2"/>
        <v>1.0909414310700916E-2</v>
      </c>
      <c r="I12" s="105">
        <v>-0.1492751781507512</v>
      </c>
      <c r="J12" s="95">
        <v>4.9178444214638573E-2</v>
      </c>
      <c r="K12" s="95">
        <v>1.9165480232176124E-2</v>
      </c>
      <c r="L12" s="95">
        <v>5.0000000000000001E-3</v>
      </c>
      <c r="M12" s="95">
        <v>1.4999999999999999E-2</v>
      </c>
      <c r="N12" s="95">
        <v>2.3E-2</v>
      </c>
      <c r="O12" s="95">
        <v>2.5000000000000001E-2</v>
      </c>
      <c r="P12" s="95">
        <v>2.5000000000000001E-2</v>
      </c>
      <c r="Q12" s="95">
        <v>2.5000000000000001E-2</v>
      </c>
      <c r="R12" s="95">
        <v>2.5000000000000001E-2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2"/>
      <c r="J13" s="96"/>
      <c r="K13" s="96"/>
      <c r="L13" s="96"/>
      <c r="M13" s="96"/>
      <c r="N13" s="96"/>
      <c r="O13" s="96"/>
      <c r="P13" s="96"/>
      <c r="Q13" s="96"/>
      <c r="R13" s="97"/>
    </row>
    <row r="14" spans="1:86" x14ac:dyDescent="0.25">
      <c r="A14" s="1"/>
      <c r="B14" s="1" t="s">
        <v>9</v>
      </c>
      <c r="C14" s="11">
        <v>58503</v>
      </c>
      <c r="D14" s="11">
        <v>65568</v>
      </c>
      <c r="E14" s="11">
        <v>63221</v>
      </c>
      <c r="F14" s="11">
        <v>66530</v>
      </c>
      <c r="G14" s="11">
        <v>79306</v>
      </c>
      <c r="H14" s="35">
        <v>79615</v>
      </c>
      <c r="I14" s="65">
        <f>I11-I16</f>
        <v>66525.732000000004</v>
      </c>
      <c r="J14" s="63">
        <f t="shared" ref="J14:K14" si="3">J11-J16</f>
        <v>69897.804999999993</v>
      </c>
      <c r="K14" s="63">
        <f t="shared" si="3"/>
        <v>70790.741999999998</v>
      </c>
      <c r="L14" s="63">
        <f t="shared" ref="L14:R14" si="4">L11-L16</f>
        <v>71144.695709999985</v>
      </c>
      <c r="M14" s="63">
        <f t="shared" si="4"/>
        <v>72211.866145649983</v>
      </c>
      <c r="N14" s="63">
        <f t="shared" si="4"/>
        <v>73872.739066999929</v>
      </c>
      <c r="O14" s="63">
        <f t="shared" si="4"/>
        <v>75719.55754367492</v>
      </c>
      <c r="P14" s="63">
        <f t="shared" si="4"/>
        <v>77612.5464822668</v>
      </c>
      <c r="Q14" s="63">
        <f t="shared" si="4"/>
        <v>79552.860144323466</v>
      </c>
      <c r="R14" s="63">
        <f t="shared" si="4"/>
        <v>81541.681647931546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6"/>
      <c r="K15" s="96"/>
      <c r="L15" s="96"/>
      <c r="M15" s="96"/>
      <c r="N15" s="96"/>
      <c r="O15" s="96"/>
      <c r="P15" s="96"/>
      <c r="Q15" s="96"/>
      <c r="R15" s="97"/>
    </row>
    <row r="16" spans="1:86" x14ac:dyDescent="0.25">
      <c r="A16" s="1"/>
      <c r="B16" s="1" t="s">
        <v>10</v>
      </c>
      <c r="C16" s="11">
        <f t="shared" ref="C16:E16" si="5">C11-C14</f>
        <v>20537</v>
      </c>
      <c r="D16" s="11">
        <f t="shared" si="5"/>
        <v>25053</v>
      </c>
      <c r="E16" s="11">
        <f t="shared" si="5"/>
        <v>28933</v>
      </c>
      <c r="F16" s="11">
        <f t="shared" ref="F16" si="6">F11-F14</f>
        <v>20140</v>
      </c>
      <c r="G16" s="11">
        <f>G11-G14</f>
        <v>21891</v>
      </c>
      <c r="H16" s="11">
        <f>H11-H14</f>
        <v>22686</v>
      </c>
      <c r="I16" s="20">
        <f>I11*I17</f>
        <v>20504.268</v>
      </c>
      <c r="J16" s="94">
        <f t="shared" ref="J16:R16" si="7">J11*J17</f>
        <v>21412.195</v>
      </c>
      <c r="K16" s="94">
        <f t="shared" si="7"/>
        <v>22269.258000000002</v>
      </c>
      <c r="L16" s="94">
        <f t="shared" si="7"/>
        <v>22380.604289999999</v>
      </c>
      <c r="M16" s="94">
        <f t="shared" si="7"/>
        <v>22716.313354349997</v>
      </c>
      <c r="N16" s="94">
        <f t="shared" si="7"/>
        <v>23238.788561500045</v>
      </c>
      <c r="O16" s="94">
        <f t="shared" si="7"/>
        <v>23819.758275537544</v>
      </c>
      <c r="P16" s="94">
        <f t="shared" si="7"/>
        <v>24415.252232425984</v>
      </c>
      <c r="Q16" s="94">
        <f t="shared" si="7"/>
        <v>25025.633538236631</v>
      </c>
      <c r="R16" s="94">
        <f t="shared" si="7"/>
        <v>25651.274376692545</v>
      </c>
    </row>
    <row r="17" spans="1:18" x14ac:dyDescent="0.25">
      <c r="A17" s="1"/>
      <c r="B17" s="71" t="s">
        <v>11</v>
      </c>
      <c r="C17" s="72">
        <f>C16/C11</f>
        <v>0.25983046558704453</v>
      </c>
      <c r="D17" s="72">
        <f t="shared" ref="D17:H17" si="8">D16/D11</f>
        <v>0.27645909888436454</v>
      </c>
      <c r="E17" s="72">
        <f t="shared" si="8"/>
        <v>0.31396358269852637</v>
      </c>
      <c r="F17" s="72">
        <f t="shared" si="8"/>
        <v>0.23237567785854391</v>
      </c>
      <c r="G17" s="72">
        <f t="shared" si="8"/>
        <v>0.21632064191626235</v>
      </c>
      <c r="H17" s="72">
        <f t="shared" si="8"/>
        <v>0.22175736307562977</v>
      </c>
      <c r="I17" s="83">
        <v>0.2356</v>
      </c>
      <c r="J17" s="98">
        <v>0.23449999999999999</v>
      </c>
      <c r="K17" s="98">
        <v>0.23930000000000001</v>
      </c>
      <c r="L17" s="98">
        <v>0.23930000000000001</v>
      </c>
      <c r="M17" s="98">
        <v>0.23930000000000001</v>
      </c>
      <c r="N17" s="98">
        <v>0.23930000000000001</v>
      </c>
      <c r="O17" s="98">
        <v>0.23930000000000001</v>
      </c>
      <c r="P17" s="98">
        <v>0.23930000000000001</v>
      </c>
      <c r="Q17" s="98">
        <v>0.23930000000000001</v>
      </c>
      <c r="R17" s="98">
        <v>0.23930000000000001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96"/>
      <c r="K18" s="96"/>
      <c r="L18" s="96"/>
      <c r="M18" s="96"/>
      <c r="N18" s="96"/>
      <c r="O18" s="96"/>
      <c r="P18" s="96"/>
      <c r="Q18" s="96"/>
      <c r="R18" s="97"/>
    </row>
    <row r="19" spans="1:18" x14ac:dyDescent="0.25">
      <c r="A19" s="1"/>
      <c r="B19" s="1" t="s">
        <v>54</v>
      </c>
      <c r="C19" s="11">
        <v>18569</v>
      </c>
      <c r="D19" s="11">
        <v>20640</v>
      </c>
      <c r="E19" s="11">
        <v>21319</v>
      </c>
      <c r="F19" s="11">
        <v>14000</v>
      </c>
      <c r="G19" s="11">
        <v>14655</v>
      </c>
      <c r="H19" s="11">
        <v>14136</v>
      </c>
      <c r="I19" s="20">
        <f>I20*I11</f>
        <v>12706.38</v>
      </c>
      <c r="J19" s="94">
        <f t="shared" ref="J19:R19" si="9">J20*J11</f>
        <v>13559.535</v>
      </c>
      <c r="K19" s="94">
        <f t="shared" si="9"/>
        <v>14052.06</v>
      </c>
      <c r="L19" s="94">
        <f t="shared" si="9"/>
        <v>14356.133549999999</v>
      </c>
      <c r="M19" s="94">
        <f t="shared" si="9"/>
        <v>14049.370565999998</v>
      </c>
      <c r="N19" s="94">
        <f t="shared" si="9"/>
        <v>14372.506089017996</v>
      </c>
      <c r="O19" s="94">
        <f t="shared" si="9"/>
        <v>14731.818741243445</v>
      </c>
      <c r="P19" s="94">
        <f t="shared" si="9"/>
        <v>15100.114209774531</v>
      </c>
      <c r="Q19" s="94">
        <f t="shared" si="9"/>
        <v>15477.617065018892</v>
      </c>
      <c r="R19" s="94">
        <f t="shared" si="9"/>
        <v>15864.557491644364</v>
      </c>
    </row>
    <row r="20" spans="1:18" x14ac:dyDescent="0.25">
      <c r="A20" s="1"/>
      <c r="B20" s="71" t="s">
        <v>18</v>
      </c>
      <c r="C20" s="72">
        <f>C19/C11</f>
        <v>0.23493168016194332</v>
      </c>
      <c r="D20" s="72">
        <f t="shared" ref="D20:H20" si="10">D19/D11</f>
        <v>0.22776177707153972</v>
      </c>
      <c r="E20" s="72">
        <f t="shared" si="10"/>
        <v>0.23134101612518176</v>
      </c>
      <c r="F20" s="72">
        <f t="shared" si="10"/>
        <v>0.1615322487596631</v>
      </c>
      <c r="G20" s="72">
        <f t="shared" si="10"/>
        <v>0.1448165459450379</v>
      </c>
      <c r="H20" s="72">
        <f t="shared" si="10"/>
        <v>0.138180467444111</v>
      </c>
      <c r="I20" s="86">
        <v>0.14599999999999999</v>
      </c>
      <c r="J20" s="87">
        <f t="shared" ref="J20:R20" si="11">I20+0.25%</f>
        <v>0.14849999999999999</v>
      </c>
      <c r="K20" s="87">
        <f t="shared" si="11"/>
        <v>0.151</v>
      </c>
      <c r="L20" s="87">
        <f t="shared" si="11"/>
        <v>0.1535</v>
      </c>
      <c r="M20" s="87">
        <v>0.14799999999999999</v>
      </c>
      <c r="N20" s="87">
        <v>0.14799999999999999</v>
      </c>
      <c r="O20" s="87">
        <v>0.14799999999999999</v>
      </c>
      <c r="P20" s="87">
        <v>0.14799999999999999</v>
      </c>
      <c r="Q20" s="87">
        <v>0.14799999999999999</v>
      </c>
      <c r="R20" s="87">
        <v>0.14799999999999999</v>
      </c>
    </row>
    <row r="21" spans="1:18" x14ac:dyDescent="0.25">
      <c r="A21" s="1"/>
      <c r="B21" s="13"/>
      <c r="C21" s="82"/>
      <c r="D21" s="82"/>
      <c r="E21" s="82"/>
      <c r="F21" s="82"/>
      <c r="G21" s="82"/>
      <c r="H21" s="82"/>
      <c r="I21" s="20"/>
      <c r="J21" s="94"/>
      <c r="K21" s="94"/>
      <c r="L21" s="94"/>
      <c r="M21" s="94"/>
      <c r="N21" s="94"/>
      <c r="O21" s="94"/>
      <c r="P21" s="94"/>
      <c r="Q21" s="94"/>
      <c r="R21" s="94"/>
    </row>
    <row r="22" spans="1:18" x14ac:dyDescent="0.25">
      <c r="A22" s="1"/>
      <c r="B22" s="1" t="s">
        <v>12</v>
      </c>
      <c r="C22" s="11">
        <v>4384</v>
      </c>
      <c r="D22" s="11">
        <v>4604</v>
      </c>
      <c r="E22" s="11">
        <v>4992</v>
      </c>
      <c r="F22" s="11">
        <v>2455</v>
      </c>
      <c r="G22" s="11">
        <v>2577</v>
      </c>
      <c r="H22" s="11">
        <v>2779</v>
      </c>
      <c r="I22" s="20">
        <f>I23*I11</f>
        <v>2610.9</v>
      </c>
      <c r="J22" s="94">
        <f t="shared" ref="J22:R22" si="12">J23*J11</f>
        <v>2556.6799999999998</v>
      </c>
      <c r="K22" s="94">
        <f t="shared" si="12"/>
        <v>2698.7400000000002</v>
      </c>
      <c r="L22" s="94">
        <f t="shared" si="12"/>
        <v>2712.2336999999998</v>
      </c>
      <c r="M22" s="94">
        <f t="shared" si="12"/>
        <v>2752.9172054999995</v>
      </c>
      <c r="N22" s="94">
        <f t="shared" si="12"/>
        <v>2816.2343012264992</v>
      </c>
      <c r="O22" s="94">
        <f t="shared" si="12"/>
        <v>2886.6401587571618</v>
      </c>
      <c r="P22" s="94">
        <f t="shared" si="12"/>
        <v>2958.8061627260909</v>
      </c>
      <c r="Q22" s="94">
        <f t="shared" si="12"/>
        <v>3032.7763167942426</v>
      </c>
      <c r="R22" s="94">
        <f t="shared" si="12"/>
        <v>3108.5957247140987</v>
      </c>
    </row>
    <row r="23" spans="1:18" x14ac:dyDescent="0.25">
      <c r="A23" s="1"/>
      <c r="B23" s="71" t="s">
        <v>18</v>
      </c>
      <c r="C23" s="72">
        <f>C22/C11</f>
        <v>5.5465587044534415E-2</v>
      </c>
      <c r="D23" s="72">
        <f t="shared" ref="D23:H23" si="13">D22/D11</f>
        <v>5.0805001048322133E-2</v>
      </c>
      <c r="E23" s="72">
        <f t="shared" si="13"/>
        <v>5.4170193371964319E-2</v>
      </c>
      <c r="F23" s="72">
        <f t="shared" si="13"/>
        <v>2.8325833621783779E-2</v>
      </c>
      <c r="G23" s="72">
        <f t="shared" si="13"/>
        <v>2.5465181774163265E-2</v>
      </c>
      <c r="H23" s="72">
        <f t="shared" si="13"/>
        <v>2.7164934849121709E-2</v>
      </c>
      <c r="I23" s="86">
        <v>0.03</v>
      </c>
      <c r="J23" s="87">
        <v>2.8000000000000001E-2</v>
      </c>
      <c r="K23" s="87">
        <v>2.9000000000000001E-2</v>
      </c>
      <c r="L23" s="87">
        <v>2.9000000000000001E-2</v>
      </c>
      <c r="M23" s="87">
        <v>2.9000000000000001E-2</v>
      </c>
      <c r="N23" s="87">
        <v>2.9000000000000001E-2</v>
      </c>
      <c r="O23" s="87">
        <v>2.9000000000000001E-2</v>
      </c>
      <c r="P23" s="87">
        <v>2.9000000000000001E-2</v>
      </c>
      <c r="Q23" s="87">
        <v>2.9000000000000001E-2</v>
      </c>
      <c r="R23" s="87">
        <v>2.9000000000000001E-2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66"/>
      <c r="J24" s="99"/>
      <c r="K24" s="99"/>
      <c r="L24" s="99"/>
      <c r="M24" s="99"/>
      <c r="N24" s="99"/>
      <c r="O24" s="99"/>
      <c r="P24" s="99"/>
      <c r="Q24" s="99"/>
      <c r="R24" s="99"/>
    </row>
    <row r="25" spans="1:18" x14ac:dyDescent="0.25">
      <c r="A25" s="1"/>
      <c r="B25" s="1" t="s">
        <v>53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66">
        <v>0</v>
      </c>
      <c r="J25" s="99">
        <v>0</v>
      </c>
      <c r="K25" s="99">
        <v>0</v>
      </c>
      <c r="L25" s="99">
        <v>0</v>
      </c>
      <c r="M25" s="99">
        <v>0</v>
      </c>
      <c r="N25" s="99">
        <v>0</v>
      </c>
      <c r="O25" s="99">
        <v>0</v>
      </c>
      <c r="P25" s="99">
        <v>0</v>
      </c>
      <c r="Q25" s="99">
        <v>0</v>
      </c>
      <c r="R25" s="99">
        <v>0</v>
      </c>
    </row>
    <row r="26" spans="1:18" x14ac:dyDescent="0.25">
      <c r="A26" s="1"/>
      <c r="B26" s="76" t="s">
        <v>18</v>
      </c>
      <c r="C26" s="77">
        <f>C25/C11</f>
        <v>0</v>
      </c>
      <c r="D26" s="77">
        <f t="shared" ref="D26:H26" si="14">D25/D11</f>
        <v>0</v>
      </c>
      <c r="E26" s="77">
        <f t="shared" si="14"/>
        <v>0</v>
      </c>
      <c r="F26" s="77">
        <f t="shared" si="14"/>
        <v>0</v>
      </c>
      <c r="G26" s="77">
        <f t="shared" si="14"/>
        <v>0</v>
      </c>
      <c r="H26" s="77">
        <f t="shared" si="14"/>
        <v>0</v>
      </c>
      <c r="I26" s="88">
        <v>0</v>
      </c>
      <c r="J26" s="100">
        <v>0</v>
      </c>
      <c r="K26" s="100">
        <v>0</v>
      </c>
      <c r="L26" s="100">
        <v>0</v>
      </c>
      <c r="M26" s="100">
        <v>0</v>
      </c>
      <c r="N26" s="100">
        <v>0</v>
      </c>
      <c r="O26" s="100">
        <v>0</v>
      </c>
      <c r="P26" s="100">
        <v>0</v>
      </c>
      <c r="Q26" s="100">
        <v>0</v>
      </c>
      <c r="R26" s="100">
        <v>0</v>
      </c>
    </row>
    <row r="27" spans="1:18" x14ac:dyDescent="0.25">
      <c r="A27" s="1"/>
      <c r="B27" s="1"/>
      <c r="C27" s="21"/>
      <c r="D27" s="21"/>
      <c r="E27" s="21"/>
      <c r="F27" s="21"/>
      <c r="G27" s="21"/>
      <c r="H27" s="21"/>
      <c r="I27" s="75"/>
      <c r="J27" s="101"/>
      <c r="K27" s="101"/>
      <c r="L27" s="101"/>
      <c r="M27" s="101"/>
      <c r="N27" s="101"/>
      <c r="O27" s="101"/>
      <c r="P27" s="101"/>
      <c r="Q27" s="101"/>
      <c r="R27" s="101"/>
    </row>
    <row r="28" spans="1:18" x14ac:dyDescent="0.25">
      <c r="A28" s="1"/>
      <c r="B28" s="1" t="s">
        <v>13</v>
      </c>
      <c r="C28" s="11">
        <f t="shared" ref="C28:G28" si="15">C19+C22+C25</f>
        <v>22953</v>
      </c>
      <c r="D28" s="11">
        <f t="shared" si="15"/>
        <v>25244</v>
      </c>
      <c r="E28" s="11">
        <f t="shared" si="15"/>
        <v>26311</v>
      </c>
      <c r="F28" s="11">
        <f t="shared" si="15"/>
        <v>16455</v>
      </c>
      <c r="G28" s="11">
        <f t="shared" si="15"/>
        <v>17232</v>
      </c>
      <c r="H28" s="11">
        <f>H19+H22+H25</f>
        <v>16915</v>
      </c>
      <c r="I28" s="66">
        <f t="shared" ref="I28:R28" si="16">I19+I22+I25</f>
        <v>15317.279999999999</v>
      </c>
      <c r="J28" s="99">
        <f t="shared" si="16"/>
        <v>16116.215</v>
      </c>
      <c r="K28" s="99">
        <f t="shared" si="16"/>
        <v>16750.8</v>
      </c>
      <c r="L28" s="99">
        <f t="shared" si="16"/>
        <v>17068.367249999999</v>
      </c>
      <c r="M28" s="99">
        <f t="shared" si="16"/>
        <v>16802.287771499996</v>
      </c>
      <c r="N28" s="99">
        <f t="shared" si="16"/>
        <v>17188.740390244493</v>
      </c>
      <c r="O28" s="99">
        <f t="shared" si="16"/>
        <v>17618.458900000609</v>
      </c>
      <c r="P28" s="99">
        <f t="shared" si="16"/>
        <v>18058.920372500623</v>
      </c>
      <c r="Q28" s="99">
        <f t="shared" si="16"/>
        <v>18510.393381813134</v>
      </c>
      <c r="R28" s="99">
        <f t="shared" si="16"/>
        <v>18973.153216358463</v>
      </c>
    </row>
    <row r="29" spans="1:18" x14ac:dyDescent="0.25">
      <c r="A29" s="1"/>
      <c r="B29" s="71" t="s">
        <v>18</v>
      </c>
      <c r="C29" s="72">
        <f>C28/C11</f>
        <v>0.29039726720647774</v>
      </c>
      <c r="D29" s="72">
        <f t="shared" ref="D29:R29" si="17">D28/D11</f>
        <v>0.27856677811986186</v>
      </c>
      <c r="E29" s="72">
        <f t="shared" si="17"/>
        <v>0.28551120949714609</v>
      </c>
      <c r="F29" s="72">
        <f t="shared" si="17"/>
        <v>0.18985808238144686</v>
      </c>
      <c r="G29" s="72">
        <f t="shared" si="17"/>
        <v>0.17028172771920116</v>
      </c>
      <c r="H29" s="72">
        <f t="shared" si="17"/>
        <v>0.16534540229323272</v>
      </c>
      <c r="I29" s="86">
        <f t="shared" si="17"/>
        <v>0.17599999999999999</v>
      </c>
      <c r="J29" s="87">
        <f t="shared" si="17"/>
        <v>0.17649999999999999</v>
      </c>
      <c r="K29" s="87">
        <f t="shared" si="17"/>
        <v>0.18</v>
      </c>
      <c r="L29" s="87">
        <f t="shared" si="17"/>
        <v>0.18250000000000002</v>
      </c>
      <c r="M29" s="87">
        <f t="shared" si="17"/>
        <v>0.17699999999999999</v>
      </c>
      <c r="N29" s="87">
        <f t="shared" si="17"/>
        <v>0.17699999999999999</v>
      </c>
      <c r="O29" s="87">
        <f t="shared" si="17"/>
        <v>0.17700000000000002</v>
      </c>
      <c r="P29" s="87">
        <f t="shared" si="17"/>
        <v>0.17700000000000002</v>
      </c>
      <c r="Q29" s="87">
        <f t="shared" si="17"/>
        <v>0.17699999999999999</v>
      </c>
      <c r="R29" s="87">
        <f t="shared" si="17"/>
        <v>0.17699999999999999</v>
      </c>
    </row>
    <row r="30" spans="1:18" x14ac:dyDescent="0.25">
      <c r="A30" s="1"/>
      <c r="B30" s="1"/>
      <c r="C30" s="14"/>
      <c r="D30" s="14"/>
      <c r="E30" s="14"/>
      <c r="F30" s="74"/>
      <c r="G30" s="74"/>
      <c r="H30" s="74"/>
      <c r="I30" s="19"/>
      <c r="J30" s="50"/>
      <c r="K30" s="50"/>
      <c r="L30" s="50"/>
      <c r="M30" s="50"/>
      <c r="N30" s="50"/>
      <c r="O30" s="50"/>
      <c r="P30" s="50"/>
      <c r="Q30" s="50"/>
      <c r="R30" s="50"/>
    </row>
    <row r="31" spans="1:18" x14ac:dyDescent="0.25">
      <c r="A31" s="1"/>
      <c r="B31" s="1" t="s">
        <v>14</v>
      </c>
      <c r="C31" s="11">
        <f>C16-C28</f>
        <v>-2416</v>
      </c>
      <c r="D31" s="11">
        <f t="shared" ref="D31:G31" si="18">D16-D28</f>
        <v>-191</v>
      </c>
      <c r="E31" s="11">
        <f t="shared" si="18"/>
        <v>2622</v>
      </c>
      <c r="F31" s="11">
        <f t="shared" si="18"/>
        <v>3685</v>
      </c>
      <c r="G31" s="11">
        <f t="shared" si="18"/>
        <v>4659</v>
      </c>
      <c r="H31" s="11">
        <f>H16-H28</f>
        <v>5771</v>
      </c>
      <c r="I31" s="66">
        <f t="shared" ref="I31:R31" si="19">I16-I28</f>
        <v>5186.9880000000012</v>
      </c>
      <c r="J31" s="99">
        <f t="shared" si="19"/>
        <v>5295.98</v>
      </c>
      <c r="K31" s="99">
        <f t="shared" si="19"/>
        <v>5518.4580000000024</v>
      </c>
      <c r="L31" s="99">
        <f t="shared" si="19"/>
        <v>5312.23704</v>
      </c>
      <c r="M31" s="99">
        <f t="shared" si="19"/>
        <v>5914.0255828500012</v>
      </c>
      <c r="N31" s="99">
        <f t="shared" si="19"/>
        <v>6050.048171255552</v>
      </c>
      <c r="O31" s="99">
        <f t="shared" si="19"/>
        <v>6201.2993755369353</v>
      </c>
      <c r="P31" s="99">
        <f t="shared" si="19"/>
        <v>6356.3318599253616</v>
      </c>
      <c r="Q31" s="99">
        <f t="shared" si="19"/>
        <v>6515.240156423497</v>
      </c>
      <c r="R31" s="99">
        <f t="shared" si="19"/>
        <v>6678.1211603340817</v>
      </c>
    </row>
    <row r="32" spans="1:18" x14ac:dyDescent="0.25">
      <c r="A32" s="1"/>
      <c r="B32" s="1" t="s">
        <v>15</v>
      </c>
      <c r="C32" s="74">
        <v>-2353</v>
      </c>
      <c r="D32" s="74">
        <v>-2170</v>
      </c>
      <c r="E32" s="74">
        <v>-2626</v>
      </c>
      <c r="F32" s="74">
        <v>-1339</v>
      </c>
      <c r="G32" s="74">
        <v>1264</v>
      </c>
      <c r="H32" s="74">
        <v>-2546</v>
      </c>
      <c r="I32" s="81">
        <v>-3050</v>
      </c>
      <c r="J32" s="80">
        <v>-1800</v>
      </c>
      <c r="K32" s="80">
        <v>-1800</v>
      </c>
      <c r="L32" s="80">
        <v>-1500</v>
      </c>
      <c r="M32" s="80">
        <v>-1700</v>
      </c>
      <c r="N32" s="80">
        <v>-1700</v>
      </c>
      <c r="O32" s="80">
        <v>-1700</v>
      </c>
      <c r="P32" s="80">
        <v>-1700</v>
      </c>
      <c r="Q32" s="80">
        <v>-1700</v>
      </c>
      <c r="R32" s="80">
        <v>-1700</v>
      </c>
    </row>
    <row r="33" spans="1:86" x14ac:dyDescent="0.25">
      <c r="A33" s="1"/>
      <c r="B33" s="13"/>
      <c r="C33" s="21"/>
      <c r="D33" s="21"/>
      <c r="E33" s="21"/>
      <c r="F33" s="21"/>
      <c r="G33" s="21"/>
      <c r="H33" s="21"/>
      <c r="I33" s="93"/>
      <c r="J33" s="97"/>
      <c r="K33" s="97"/>
      <c r="L33" s="97"/>
      <c r="M33" s="97"/>
      <c r="N33" s="97"/>
      <c r="O33" s="97"/>
      <c r="P33" s="97"/>
      <c r="Q33" s="97"/>
      <c r="R33" s="97"/>
    </row>
    <row r="34" spans="1:86" x14ac:dyDescent="0.25">
      <c r="A34" s="1"/>
      <c r="B34" s="1" t="s">
        <v>16</v>
      </c>
      <c r="C34" s="11">
        <f t="shared" ref="C34:G34" si="20">C31+C32</f>
        <v>-4769</v>
      </c>
      <c r="D34" s="11">
        <f t="shared" si="20"/>
        <v>-2361</v>
      </c>
      <c r="E34" s="11">
        <f t="shared" si="20"/>
        <v>-4</v>
      </c>
      <c r="F34" s="11">
        <f t="shared" si="20"/>
        <v>2346</v>
      </c>
      <c r="G34" s="11">
        <f>G31+G32</f>
        <v>5923</v>
      </c>
      <c r="H34" s="11">
        <f>H31+H32</f>
        <v>3225</v>
      </c>
      <c r="I34" s="66">
        <f t="shared" ref="I34:R34" si="21">I31+I32</f>
        <v>2136.9880000000012</v>
      </c>
      <c r="J34" s="99">
        <f t="shared" si="21"/>
        <v>3495.9799999999996</v>
      </c>
      <c r="K34" s="99">
        <f t="shared" si="21"/>
        <v>3718.4580000000024</v>
      </c>
      <c r="L34" s="99">
        <f t="shared" si="21"/>
        <v>3812.23704</v>
      </c>
      <c r="M34" s="99">
        <f t="shared" si="21"/>
        <v>4214.0255828500012</v>
      </c>
      <c r="N34" s="99">
        <f t="shared" si="21"/>
        <v>4350.048171255552</v>
      </c>
      <c r="O34" s="99">
        <f t="shared" si="21"/>
        <v>4501.2993755369353</v>
      </c>
      <c r="P34" s="99">
        <f t="shared" si="21"/>
        <v>4656.3318599253616</v>
      </c>
      <c r="Q34" s="99">
        <f t="shared" si="21"/>
        <v>4815.240156423497</v>
      </c>
      <c r="R34" s="99">
        <f t="shared" si="21"/>
        <v>4978.1211603340817</v>
      </c>
    </row>
    <row r="35" spans="1:86" x14ac:dyDescent="0.25">
      <c r="A35" s="1"/>
      <c r="B35" s="1"/>
      <c r="C35" s="21"/>
      <c r="D35" s="21"/>
      <c r="E35" s="21"/>
      <c r="F35" s="21"/>
      <c r="G35" s="21"/>
      <c r="H35" s="21"/>
      <c r="I35" s="12"/>
      <c r="J35" s="96"/>
      <c r="K35" s="96"/>
      <c r="L35" s="96"/>
      <c r="M35" s="96"/>
      <c r="N35" s="96"/>
      <c r="O35" s="96"/>
      <c r="P35" s="96"/>
      <c r="Q35" s="96"/>
      <c r="R35" s="97"/>
    </row>
    <row r="36" spans="1:86" x14ac:dyDescent="0.25">
      <c r="A36" s="1"/>
      <c r="B36" s="1" t="s">
        <v>17</v>
      </c>
      <c r="C36" s="11">
        <f>C31</f>
        <v>-2416</v>
      </c>
      <c r="D36" s="11">
        <f t="shared" ref="D36:F36" si="22">D31</f>
        <v>-191</v>
      </c>
      <c r="E36" s="11">
        <f t="shared" si="22"/>
        <v>2622</v>
      </c>
      <c r="F36" s="11">
        <f t="shared" si="22"/>
        <v>3685</v>
      </c>
      <c r="G36" s="11">
        <f>G31</f>
        <v>4659</v>
      </c>
      <c r="H36" s="11">
        <f>H31</f>
        <v>5771</v>
      </c>
      <c r="I36" s="66">
        <f>I31</f>
        <v>5186.9880000000012</v>
      </c>
      <c r="J36" s="99">
        <f t="shared" ref="J36:R36" si="23">J31</f>
        <v>5295.98</v>
      </c>
      <c r="K36" s="99">
        <f t="shared" si="23"/>
        <v>5518.4580000000024</v>
      </c>
      <c r="L36" s="99">
        <f t="shared" si="23"/>
        <v>5312.23704</v>
      </c>
      <c r="M36" s="99">
        <f t="shared" si="23"/>
        <v>5914.0255828500012</v>
      </c>
      <c r="N36" s="99">
        <f t="shared" si="23"/>
        <v>6050.048171255552</v>
      </c>
      <c r="O36" s="99">
        <f t="shared" si="23"/>
        <v>6201.2993755369353</v>
      </c>
      <c r="P36" s="99">
        <f t="shared" si="23"/>
        <v>6356.3318599253616</v>
      </c>
      <c r="Q36" s="99">
        <f t="shared" si="23"/>
        <v>6515.240156423497</v>
      </c>
      <c r="R36" s="99">
        <f t="shared" si="23"/>
        <v>6678.1211603340817</v>
      </c>
    </row>
    <row r="37" spans="1:86" x14ac:dyDescent="0.25">
      <c r="A37" s="1"/>
      <c r="B37" s="71" t="s">
        <v>18</v>
      </c>
      <c r="C37" s="72">
        <f t="shared" ref="C37:R37" si="24">C36/C11</f>
        <v>-3.0566801619433197E-2</v>
      </c>
      <c r="D37" s="72">
        <f t="shared" si="24"/>
        <v>-2.1076792354972908E-3</v>
      </c>
      <c r="E37" s="72">
        <f t="shared" si="24"/>
        <v>2.8452373201380297E-2</v>
      </c>
      <c r="F37" s="72">
        <f t="shared" si="24"/>
        <v>4.2517595477097034E-2</v>
      </c>
      <c r="G37" s="72">
        <f t="shared" si="24"/>
        <v>4.603891419706118E-2</v>
      </c>
      <c r="H37" s="72">
        <f t="shared" si="24"/>
        <v>5.6411960782397047E-2</v>
      </c>
      <c r="I37" s="84">
        <f t="shared" si="24"/>
        <v>5.9600000000000014E-2</v>
      </c>
      <c r="J37" s="85">
        <f t="shared" si="24"/>
        <v>5.7999999999999996E-2</v>
      </c>
      <c r="K37" s="85">
        <f t="shared" si="24"/>
        <v>5.9300000000000026E-2</v>
      </c>
      <c r="L37" s="85">
        <f t="shared" si="24"/>
        <v>5.680000000000001E-2</v>
      </c>
      <c r="M37" s="85">
        <f t="shared" si="24"/>
        <v>6.2300000000000022E-2</v>
      </c>
      <c r="N37" s="85">
        <f t="shared" si="24"/>
        <v>6.2300000000000036E-2</v>
      </c>
      <c r="O37" s="85">
        <f t="shared" si="24"/>
        <v>6.2299999999999987E-2</v>
      </c>
      <c r="P37" s="85">
        <f t="shared" si="24"/>
        <v>6.2300000000000015E-2</v>
      </c>
      <c r="Q37" s="85">
        <f t="shared" si="24"/>
        <v>6.2300000000000036E-2</v>
      </c>
      <c r="R37" s="85">
        <f t="shared" si="24"/>
        <v>6.2300000000000008E-2</v>
      </c>
    </row>
    <row r="38" spans="1:86" x14ac:dyDescent="0.25">
      <c r="A38" s="1"/>
      <c r="B38" s="13"/>
      <c r="C38" s="1"/>
      <c r="D38" s="1"/>
      <c r="F38" s="1"/>
      <c r="G38" s="1"/>
      <c r="H38" s="1"/>
      <c r="I38" s="12"/>
      <c r="J38" s="96"/>
      <c r="K38" s="96"/>
      <c r="L38" s="96"/>
      <c r="M38" s="96"/>
      <c r="N38" s="96"/>
      <c r="O38" s="97"/>
      <c r="P38" s="97"/>
      <c r="Q38" s="97"/>
      <c r="R38" s="97"/>
    </row>
    <row r="39" spans="1:86" x14ac:dyDescent="0.25">
      <c r="A39" s="1"/>
      <c r="B39" s="1" t="s">
        <v>19</v>
      </c>
      <c r="C39" s="11">
        <v>-1843</v>
      </c>
      <c r="D39" s="11">
        <v>-180</v>
      </c>
      <c r="E39" s="22">
        <v>-5533</v>
      </c>
      <c r="F39" s="11">
        <v>101</v>
      </c>
      <c r="G39" s="11">
        <v>981</v>
      </c>
      <c r="H39" s="18">
        <v>803</v>
      </c>
      <c r="I39" s="20">
        <f>I40*I36</f>
        <v>1193.0072400000004</v>
      </c>
      <c r="J39" s="94">
        <f t="shared" ref="J39:R39" si="25">J40*J36</f>
        <v>1218.0753999999999</v>
      </c>
      <c r="K39" s="94">
        <f t="shared" si="25"/>
        <v>1269.2453400000006</v>
      </c>
      <c r="L39" s="94">
        <f t="shared" si="25"/>
        <v>1221.8145191999999</v>
      </c>
      <c r="M39" s="94">
        <f t="shared" si="25"/>
        <v>1360.2258840555003</v>
      </c>
      <c r="N39" s="94">
        <f t="shared" si="25"/>
        <v>1391.511079388777</v>
      </c>
      <c r="O39" s="94">
        <f t="shared" si="25"/>
        <v>1426.2988563734953</v>
      </c>
      <c r="P39" s="94">
        <f t="shared" si="25"/>
        <v>1461.9563277828333</v>
      </c>
      <c r="Q39" s="94">
        <f t="shared" si="25"/>
        <v>1498.5052359774043</v>
      </c>
      <c r="R39" s="94">
        <f t="shared" si="25"/>
        <v>1535.9678668768388</v>
      </c>
    </row>
    <row r="40" spans="1:86" x14ac:dyDescent="0.25">
      <c r="A40" s="1"/>
      <c r="B40" s="71" t="s">
        <v>20</v>
      </c>
      <c r="C40" s="73">
        <f>C39/C36</f>
        <v>0.76283112582781454</v>
      </c>
      <c r="D40" s="73">
        <f t="shared" ref="D40:G40" si="26">D39/D36</f>
        <v>0.94240837696335078</v>
      </c>
      <c r="E40" s="73">
        <f>E39/E36</f>
        <v>-2.1102212051868801</v>
      </c>
      <c r="F40" s="73">
        <f>F39/F36</f>
        <v>2.7408412483039348E-2</v>
      </c>
      <c r="G40" s="73">
        <f t="shared" si="26"/>
        <v>0.21056020605280104</v>
      </c>
      <c r="H40" s="73">
        <f>H39/H36</f>
        <v>0.13914399584127535</v>
      </c>
      <c r="I40" s="89">
        <v>0.23</v>
      </c>
      <c r="J40" s="102">
        <v>0.23</v>
      </c>
      <c r="K40" s="102">
        <v>0.23</v>
      </c>
      <c r="L40" s="102">
        <v>0.23</v>
      </c>
      <c r="M40" s="102">
        <v>0.23</v>
      </c>
      <c r="N40" s="102">
        <v>0.23</v>
      </c>
      <c r="O40" s="102">
        <v>0.23</v>
      </c>
      <c r="P40" s="102">
        <v>0.23</v>
      </c>
      <c r="Q40" s="102">
        <v>0.23</v>
      </c>
      <c r="R40" s="102">
        <v>0.23</v>
      </c>
    </row>
    <row r="41" spans="1:86" x14ac:dyDescent="0.25">
      <c r="A41" s="1"/>
      <c r="B41" s="1"/>
      <c r="C41" s="1"/>
      <c r="D41" s="1"/>
      <c r="E41" s="1"/>
      <c r="F41" s="1"/>
      <c r="G41" s="1"/>
      <c r="H41" s="1"/>
      <c r="I41" s="12"/>
      <c r="J41" s="96"/>
      <c r="K41" s="96"/>
      <c r="L41" s="96"/>
      <c r="M41" s="96"/>
      <c r="N41" s="96"/>
      <c r="O41" s="96"/>
      <c r="P41" s="96"/>
      <c r="Q41" s="96"/>
      <c r="R41" s="97"/>
    </row>
    <row r="42" spans="1:86" x14ac:dyDescent="0.25">
      <c r="A42" s="1"/>
      <c r="B42" s="9" t="s">
        <v>21</v>
      </c>
      <c r="C42" s="9">
        <v>2017</v>
      </c>
      <c r="D42" s="9">
        <f>C42+1</f>
        <v>2018</v>
      </c>
      <c r="E42" s="9">
        <f>D42+1</f>
        <v>2019</v>
      </c>
      <c r="F42" s="9">
        <v>2020</v>
      </c>
      <c r="G42" s="9">
        <v>2021</v>
      </c>
      <c r="H42" s="9">
        <v>2022</v>
      </c>
      <c r="I42" s="67">
        <v>2023</v>
      </c>
      <c r="J42" s="103">
        <v>2024</v>
      </c>
      <c r="K42" s="103">
        <v>2025</v>
      </c>
      <c r="L42" s="103">
        <v>2026</v>
      </c>
      <c r="M42" s="103">
        <v>2027</v>
      </c>
      <c r="N42" s="103">
        <v>2028</v>
      </c>
      <c r="O42" s="103">
        <v>2029</v>
      </c>
      <c r="P42" s="103">
        <v>2030</v>
      </c>
      <c r="Q42" s="103">
        <v>2031</v>
      </c>
      <c r="R42" s="103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x14ac:dyDescent="0.25">
      <c r="A43" s="1"/>
      <c r="B43" s="1" t="s">
        <v>22</v>
      </c>
      <c r="C43" s="11">
        <v>8634</v>
      </c>
      <c r="D43" s="11">
        <v>7746</v>
      </c>
      <c r="E43" s="22">
        <v>6143</v>
      </c>
      <c r="F43" s="11">
        <v>5390</v>
      </c>
      <c r="G43" s="11">
        <v>4551</v>
      </c>
      <c r="H43" s="11">
        <v>3156</v>
      </c>
      <c r="I43" s="20">
        <f>I44*I11</f>
        <v>2550</v>
      </c>
      <c r="J43" s="94">
        <f t="shared" ref="J43:R43" si="27">J44*J11</f>
        <v>2470</v>
      </c>
      <c r="K43" s="94">
        <f t="shared" si="27"/>
        <v>3000</v>
      </c>
      <c r="L43" s="94">
        <f t="shared" si="27"/>
        <v>3015</v>
      </c>
      <c r="M43" s="94">
        <f t="shared" si="27"/>
        <v>3060.2249999999999</v>
      </c>
      <c r="N43" s="94">
        <f t="shared" si="27"/>
        <v>3130.6101749999993</v>
      </c>
      <c r="O43" s="94">
        <f t="shared" si="27"/>
        <v>3208.8754293749994</v>
      </c>
      <c r="P43" s="94">
        <f t="shared" si="27"/>
        <v>3289.097315109374</v>
      </c>
      <c r="Q43" s="94">
        <f t="shared" si="27"/>
        <v>3371.3247479871084</v>
      </c>
      <c r="R43" s="94">
        <f t="shared" si="27"/>
        <v>3455.6078666867857</v>
      </c>
    </row>
    <row r="44" spans="1:86" x14ac:dyDescent="0.25">
      <c r="A44" s="1"/>
      <c r="B44" s="71" t="s">
        <v>18</v>
      </c>
      <c r="C44" s="72">
        <f t="shared" ref="C44:H44" si="28">C43/C11</f>
        <v>0.10923582995951417</v>
      </c>
      <c r="D44" s="72">
        <f t="shared" si="28"/>
        <v>8.5476876220743542E-2</v>
      </c>
      <c r="E44" s="72">
        <f t="shared" si="28"/>
        <v>6.6660155826117146E-2</v>
      </c>
      <c r="F44" s="72">
        <f t="shared" si="28"/>
        <v>6.2189915772470288E-2</v>
      </c>
      <c r="G44" s="72">
        <f t="shared" si="28"/>
        <v>4.497168888405783E-2</v>
      </c>
      <c r="H44" s="72">
        <f t="shared" si="28"/>
        <v>3.0850138317318501E-2</v>
      </c>
      <c r="I44" s="90">
        <v>2.9300241296104791E-2</v>
      </c>
      <c r="J44" s="91">
        <v>2.7050706384842842E-2</v>
      </c>
      <c r="K44" s="91">
        <v>3.2237266279819474E-2</v>
      </c>
      <c r="L44" s="91">
        <v>3.2237266279819474E-2</v>
      </c>
      <c r="M44" s="91">
        <v>3.2237266279819474E-2</v>
      </c>
      <c r="N44" s="91">
        <v>3.2237266279819474E-2</v>
      </c>
      <c r="O44" s="91">
        <v>3.2237266279819474E-2</v>
      </c>
      <c r="P44" s="91">
        <v>3.2237266279819474E-2</v>
      </c>
      <c r="Q44" s="91">
        <v>3.2237266279819474E-2</v>
      </c>
      <c r="R44" s="91">
        <v>3.2237266279819474E-2</v>
      </c>
    </row>
    <row r="45" spans="1:86" x14ac:dyDescent="0.25">
      <c r="A45" s="1"/>
      <c r="B45" s="1"/>
      <c r="C45" s="1"/>
      <c r="D45" s="1"/>
      <c r="F45" s="1"/>
      <c r="G45" s="1"/>
      <c r="H45" s="1"/>
      <c r="I45" s="12"/>
      <c r="J45" s="96"/>
      <c r="K45" s="96"/>
      <c r="L45" s="96"/>
      <c r="M45" s="96"/>
      <c r="N45" s="96"/>
      <c r="O45" s="97"/>
      <c r="P45" s="97"/>
      <c r="Q45" s="97"/>
      <c r="R45" s="97"/>
    </row>
    <row r="46" spans="1:86" x14ac:dyDescent="0.25">
      <c r="A46" s="1"/>
      <c r="B46" s="1" t="s">
        <v>23</v>
      </c>
      <c r="C46" s="11">
        <v>-1212</v>
      </c>
      <c r="D46" s="11">
        <v>-1158</v>
      </c>
      <c r="E46" s="22">
        <v>-2241</v>
      </c>
      <c r="F46" s="11">
        <v>-2082</v>
      </c>
      <c r="G46" s="11">
        <v>-2796</v>
      </c>
      <c r="H46" s="11">
        <v>-3003</v>
      </c>
      <c r="I46" s="20">
        <f t="shared" ref="I46:R46" si="29">I47*I11</f>
        <v>-2349.81</v>
      </c>
      <c r="J46" s="94">
        <f t="shared" si="29"/>
        <v>-2465.37</v>
      </c>
      <c r="K46" s="94">
        <f t="shared" si="29"/>
        <v>-2698.7400000000002</v>
      </c>
      <c r="L46" s="94">
        <f t="shared" si="29"/>
        <v>-2712.2336999999998</v>
      </c>
      <c r="M46" s="94">
        <f t="shared" si="29"/>
        <v>-2752.9172054999995</v>
      </c>
      <c r="N46" s="94">
        <f t="shared" si="29"/>
        <v>-2816.2343012264992</v>
      </c>
      <c r="O46" s="94">
        <f t="shared" si="29"/>
        <v>-2886.6401587571618</v>
      </c>
      <c r="P46" s="94">
        <f t="shared" si="29"/>
        <v>-2958.8061627260909</v>
      </c>
      <c r="Q46" s="94">
        <f t="shared" si="29"/>
        <v>-3032.7763167942426</v>
      </c>
      <c r="R46" s="94">
        <f t="shared" si="29"/>
        <v>-3108.5957247140987</v>
      </c>
    </row>
    <row r="47" spans="1:86" x14ac:dyDescent="0.25">
      <c r="A47" s="1"/>
      <c r="B47" s="71" t="s">
        <v>18</v>
      </c>
      <c r="C47" s="72">
        <f t="shared" ref="C47:H47" si="30">C46/C11</f>
        <v>-1.5334008097165992E-2</v>
      </c>
      <c r="D47" s="72">
        <f t="shared" si="30"/>
        <v>-1.2778495050816036E-2</v>
      </c>
      <c r="E47" s="72">
        <f t="shared" si="30"/>
        <v>-2.4317989452438311E-2</v>
      </c>
      <c r="F47" s="72">
        <f t="shared" si="30"/>
        <v>-2.4022152994115611E-2</v>
      </c>
      <c r="G47" s="72">
        <f t="shared" si="30"/>
        <v>-2.7629277547753392E-2</v>
      </c>
      <c r="H47" s="72">
        <f t="shared" si="30"/>
        <v>-2.9354551763912377E-2</v>
      </c>
      <c r="I47" s="90">
        <v>-2.7E-2</v>
      </c>
      <c r="J47" s="91">
        <v>-2.7E-2</v>
      </c>
      <c r="K47" s="91">
        <v>-2.9000000000000001E-2</v>
      </c>
      <c r="L47" s="91">
        <v>-2.9000000000000001E-2</v>
      </c>
      <c r="M47" s="91">
        <v>-2.9000000000000001E-2</v>
      </c>
      <c r="N47" s="91">
        <v>-2.9000000000000001E-2</v>
      </c>
      <c r="O47" s="91">
        <v>-2.9000000000000001E-2</v>
      </c>
      <c r="P47" s="91">
        <v>-2.9000000000000001E-2</v>
      </c>
      <c r="Q47" s="91">
        <v>-2.9000000000000001E-2</v>
      </c>
      <c r="R47" s="91">
        <v>-2.9000000000000001E-2</v>
      </c>
    </row>
    <row r="48" spans="1:86" x14ac:dyDescent="0.25">
      <c r="A48" s="1"/>
      <c r="B48" s="1"/>
      <c r="C48" s="1"/>
      <c r="D48" s="1"/>
      <c r="F48" s="1"/>
      <c r="G48" s="1"/>
      <c r="H48" s="1"/>
      <c r="I48" s="12"/>
      <c r="J48" s="96"/>
      <c r="K48" s="96"/>
      <c r="L48" s="96"/>
      <c r="M48" s="96"/>
      <c r="N48" s="96"/>
      <c r="O48" s="97"/>
      <c r="P48" s="97"/>
      <c r="Q48" s="97"/>
      <c r="R48" s="97"/>
    </row>
    <row r="49" spans="1:86" x14ac:dyDescent="0.25">
      <c r="A49" s="1"/>
      <c r="B49" s="1" t="s">
        <v>24</v>
      </c>
      <c r="C49" s="1">
        <v>2151</v>
      </c>
      <c r="D49" s="1">
        <v>1083</v>
      </c>
      <c r="E49" s="2">
        <v>1758</v>
      </c>
      <c r="F49" s="36">
        <v>1390</v>
      </c>
      <c r="G49" s="36">
        <v>1922</v>
      </c>
      <c r="H49" s="36">
        <v>-3188</v>
      </c>
      <c r="I49" s="20">
        <f t="shared" ref="I49:R49" si="31">I50*I11</f>
        <v>-1740.6000000000001</v>
      </c>
      <c r="J49" s="94">
        <f t="shared" si="31"/>
        <v>1826.2</v>
      </c>
      <c r="K49" s="94">
        <f t="shared" si="31"/>
        <v>1861.2</v>
      </c>
      <c r="L49" s="94">
        <f t="shared" si="31"/>
        <v>1870.5059999999999</v>
      </c>
      <c r="M49" s="94">
        <f t="shared" si="31"/>
        <v>1898.5635899999997</v>
      </c>
      <c r="N49" s="94">
        <f t="shared" si="31"/>
        <v>1942.2305525699994</v>
      </c>
      <c r="O49" s="94">
        <f t="shared" si="31"/>
        <v>1990.7863163842494</v>
      </c>
      <c r="P49" s="94">
        <f t="shared" si="31"/>
        <v>2040.5559742938556</v>
      </c>
      <c r="Q49" s="94">
        <f t="shared" si="31"/>
        <v>2091.5698736512018</v>
      </c>
      <c r="R49" s="94">
        <f t="shared" si="31"/>
        <v>2143.8591204924819</v>
      </c>
    </row>
    <row r="50" spans="1:86" x14ac:dyDescent="0.25">
      <c r="A50" s="1"/>
      <c r="B50" s="71" t="s">
        <v>18</v>
      </c>
      <c r="C50" s="72">
        <f t="shared" ref="C50:H50" si="32">C49/C11</f>
        <v>2.7214068825910931E-2</v>
      </c>
      <c r="D50" s="72">
        <f t="shared" si="32"/>
        <v>1.195087231436422E-2</v>
      </c>
      <c r="E50" s="72">
        <f t="shared" si="32"/>
        <v>1.9076762810078782E-2</v>
      </c>
      <c r="F50" s="72">
        <f t="shared" si="32"/>
        <v>1.6037844698280835E-2</v>
      </c>
      <c r="G50" s="72">
        <f t="shared" si="32"/>
        <v>1.8992657885115172E-2</v>
      </c>
      <c r="H50" s="72">
        <f t="shared" si="32"/>
        <v>-3.1162940733717167E-2</v>
      </c>
      <c r="I50" s="92">
        <v>-0.02</v>
      </c>
      <c r="J50" s="104">
        <v>0.02</v>
      </c>
      <c r="K50" s="104">
        <v>0.02</v>
      </c>
      <c r="L50" s="104">
        <v>0.02</v>
      </c>
      <c r="M50" s="104">
        <v>0.02</v>
      </c>
      <c r="N50" s="104">
        <v>0.02</v>
      </c>
      <c r="O50" s="104">
        <v>0.02</v>
      </c>
      <c r="P50" s="104">
        <v>0.02</v>
      </c>
      <c r="Q50" s="104">
        <v>0.02</v>
      </c>
      <c r="R50" s="104">
        <v>0.02</v>
      </c>
    </row>
    <row r="51" spans="1:86" x14ac:dyDescent="0.25">
      <c r="A51" s="1"/>
      <c r="B51" s="1"/>
      <c r="C51" s="1"/>
      <c r="D51" s="1"/>
      <c r="E51" s="1"/>
      <c r="F51" s="1"/>
      <c r="G51" s="1"/>
      <c r="H51" s="1"/>
      <c r="I51" s="12"/>
      <c r="J51" s="96"/>
      <c r="K51" s="96"/>
      <c r="L51" s="96"/>
      <c r="M51" s="96"/>
      <c r="N51" s="96"/>
      <c r="O51" s="96"/>
      <c r="P51" s="96"/>
      <c r="Q51" s="96"/>
      <c r="R51" s="97"/>
    </row>
    <row r="52" spans="1:86" x14ac:dyDescent="0.25">
      <c r="A52" s="1"/>
      <c r="B52" s="9" t="s">
        <v>25</v>
      </c>
      <c r="C52" s="11">
        <f t="shared" ref="C52:E52" si="33">C36-C39</f>
        <v>-573</v>
      </c>
      <c r="D52" s="11">
        <f t="shared" si="33"/>
        <v>-11</v>
      </c>
      <c r="E52" s="11">
        <f t="shared" si="33"/>
        <v>8155</v>
      </c>
      <c r="F52" s="11">
        <f>F36-F39</f>
        <v>3584</v>
      </c>
      <c r="G52" s="11">
        <f t="shared" ref="G52" si="34">G36-G39</f>
        <v>3678</v>
      </c>
      <c r="H52" s="11">
        <f>H36-H39</f>
        <v>4968</v>
      </c>
      <c r="I52" s="66">
        <f t="shared" ref="I52:R52" si="35">I36-I39</f>
        <v>3993.9807600000008</v>
      </c>
      <c r="J52" s="99">
        <f t="shared" si="35"/>
        <v>4077.9045999999998</v>
      </c>
      <c r="K52" s="99">
        <f t="shared" si="35"/>
        <v>4249.212660000002</v>
      </c>
      <c r="L52" s="99">
        <f t="shared" si="35"/>
        <v>4090.4225207999998</v>
      </c>
      <c r="M52" s="99">
        <f t="shared" si="35"/>
        <v>4553.7996987945007</v>
      </c>
      <c r="N52" s="99">
        <f t="shared" si="35"/>
        <v>4658.537091866775</v>
      </c>
      <c r="O52" s="99">
        <f t="shared" si="35"/>
        <v>4775.00051916344</v>
      </c>
      <c r="P52" s="99">
        <f t="shared" si="35"/>
        <v>4894.3755321425288</v>
      </c>
      <c r="Q52" s="99">
        <f t="shared" si="35"/>
        <v>5016.7349204460925</v>
      </c>
      <c r="R52" s="99">
        <f t="shared" si="35"/>
        <v>5142.1532934572424</v>
      </c>
    </row>
    <row r="53" spans="1:86" x14ac:dyDescent="0.25">
      <c r="A53" s="1"/>
      <c r="B53" s="9" t="s">
        <v>55</v>
      </c>
      <c r="C53" s="11">
        <v>-77</v>
      </c>
      <c r="D53" s="11">
        <v>129</v>
      </c>
      <c r="E53" s="11">
        <v>913</v>
      </c>
      <c r="F53" s="11">
        <v>-1005</v>
      </c>
      <c r="G53" s="11">
        <v>-621</v>
      </c>
      <c r="H53" s="11">
        <v>-20</v>
      </c>
      <c r="I53" s="66">
        <v>-501.8</v>
      </c>
      <c r="J53" s="99">
        <v>-612.74285714285702</v>
      </c>
      <c r="K53" s="99">
        <v>-612.74285714285702</v>
      </c>
      <c r="L53" s="99">
        <v>-612.74285714285702</v>
      </c>
      <c r="M53" s="99">
        <v>-612.74285714285702</v>
      </c>
      <c r="N53" s="99">
        <v>-612.74285714285702</v>
      </c>
      <c r="O53" s="99">
        <v>-612.74285714285702</v>
      </c>
      <c r="P53" s="99">
        <v>-612.74285714285702</v>
      </c>
      <c r="Q53" s="99">
        <v>-612.74285714285702</v>
      </c>
      <c r="R53" s="99">
        <v>-612.74285714285702</v>
      </c>
    </row>
    <row r="54" spans="1:86" x14ac:dyDescent="0.25">
      <c r="A54" s="1"/>
      <c r="B54" s="9" t="s">
        <v>26</v>
      </c>
      <c r="C54" s="11">
        <f>C34-C39-C53</f>
        <v>-2849</v>
      </c>
      <c r="D54" s="11">
        <f t="shared" ref="C54:G54" si="36">D34-D39-D53</f>
        <v>-2310</v>
      </c>
      <c r="E54" s="11">
        <f t="shared" si="36"/>
        <v>4616</v>
      </c>
      <c r="F54" s="11">
        <f t="shared" si="36"/>
        <v>3250</v>
      </c>
      <c r="G54" s="11">
        <f t="shared" si="36"/>
        <v>5563</v>
      </c>
      <c r="H54" s="11">
        <f>H34-H39-H53</f>
        <v>2442</v>
      </c>
      <c r="I54" s="66">
        <f>I34-I39-I53</f>
        <v>1445.7807600000008</v>
      </c>
      <c r="J54" s="99">
        <f t="shared" ref="J54:R54" si="37">J34-J39-J53</f>
        <v>2890.6474571428571</v>
      </c>
      <c r="K54" s="99">
        <f t="shared" si="37"/>
        <v>3061.9555171428592</v>
      </c>
      <c r="L54" s="99">
        <f t="shared" si="37"/>
        <v>3203.165377942857</v>
      </c>
      <c r="M54" s="99">
        <f t="shared" si="37"/>
        <v>3466.542555937358</v>
      </c>
      <c r="N54" s="99">
        <f t="shared" si="37"/>
        <v>3571.2799490096322</v>
      </c>
      <c r="O54" s="99">
        <f t="shared" si="37"/>
        <v>3687.7433763062973</v>
      </c>
      <c r="P54" s="99">
        <f t="shared" si="37"/>
        <v>3807.1183892853851</v>
      </c>
      <c r="Q54" s="99">
        <f t="shared" si="37"/>
        <v>3929.4777775889497</v>
      </c>
      <c r="R54" s="99">
        <f t="shared" si="37"/>
        <v>4054.8961506000996</v>
      </c>
      <c r="S54" s="62">
        <f>R54*(1+$E$6)</f>
        <v>4135.9940736121016</v>
      </c>
      <c r="T54" s="62">
        <f t="shared" ref="T54:CE54" si="38">S54*(1+$E$6)</f>
        <v>4218.713955084344</v>
      </c>
      <c r="U54" s="62">
        <f t="shared" si="38"/>
        <v>4303.0882341860306</v>
      </c>
      <c r="V54" s="62">
        <f t="shared" si="38"/>
        <v>4389.1499988697515</v>
      </c>
      <c r="W54" s="62">
        <f t="shared" si="38"/>
        <v>4476.9329988471463</v>
      </c>
      <c r="X54" s="62">
        <f t="shared" si="38"/>
        <v>4566.471658824089</v>
      </c>
      <c r="Y54" s="62">
        <f t="shared" si="38"/>
        <v>4657.8010920005709</v>
      </c>
      <c r="Z54" s="62">
        <f t="shared" si="38"/>
        <v>4750.9571138405827</v>
      </c>
      <c r="AA54" s="62">
        <f t="shared" si="38"/>
        <v>4845.9762561173948</v>
      </c>
      <c r="AB54" s="62">
        <f t="shared" si="38"/>
        <v>4942.895781239743</v>
      </c>
      <c r="AC54" s="62">
        <f t="shared" si="38"/>
        <v>5041.7536968645381</v>
      </c>
      <c r="AD54" s="62">
        <f t="shared" si="38"/>
        <v>5142.588770801829</v>
      </c>
      <c r="AE54" s="62">
        <f t="shared" si="38"/>
        <v>5245.4405462178656</v>
      </c>
      <c r="AF54" s="62">
        <f t="shared" si="38"/>
        <v>5350.3493571422232</v>
      </c>
      <c r="AG54" s="62">
        <f t="shared" si="38"/>
        <v>5457.3563442850682</v>
      </c>
      <c r="AH54" s="62">
        <f t="shared" si="38"/>
        <v>5566.5034711707694</v>
      </c>
      <c r="AI54" s="62">
        <f t="shared" si="38"/>
        <v>5677.8335405941853</v>
      </c>
      <c r="AJ54" s="62">
        <f t="shared" si="38"/>
        <v>5791.3902114060693</v>
      </c>
      <c r="AK54" s="62">
        <f t="shared" si="38"/>
        <v>5907.218015634191</v>
      </c>
      <c r="AL54" s="62">
        <f t="shared" si="38"/>
        <v>6025.3623759468746</v>
      </c>
      <c r="AM54" s="62">
        <f t="shared" si="38"/>
        <v>6145.8696234658119</v>
      </c>
      <c r="AN54" s="62">
        <f t="shared" si="38"/>
        <v>6268.7870159351278</v>
      </c>
      <c r="AO54" s="62">
        <f t="shared" si="38"/>
        <v>6394.1627562538306</v>
      </c>
      <c r="AP54" s="62">
        <f t="shared" si="38"/>
        <v>6522.0460113789077</v>
      </c>
      <c r="AQ54" s="62">
        <f t="shared" si="38"/>
        <v>6652.486931606486</v>
      </c>
      <c r="AR54" s="62">
        <f t="shared" si="38"/>
        <v>6785.5366702386154</v>
      </c>
      <c r="AS54" s="62">
        <f t="shared" si="38"/>
        <v>6921.2474036433878</v>
      </c>
      <c r="AT54" s="62">
        <f t="shared" si="38"/>
        <v>7059.6723517162554</v>
      </c>
      <c r="AU54" s="62">
        <f t="shared" si="38"/>
        <v>7200.8657987505803</v>
      </c>
      <c r="AV54" s="62">
        <f t="shared" si="38"/>
        <v>7344.8831147255923</v>
      </c>
      <c r="AW54" s="62">
        <f t="shared" si="38"/>
        <v>7491.7807770201043</v>
      </c>
      <c r="AX54" s="62">
        <f t="shared" si="38"/>
        <v>7641.6163925605069</v>
      </c>
      <c r="AY54" s="62">
        <f t="shared" si="38"/>
        <v>7794.4487204117177</v>
      </c>
      <c r="AZ54" s="62">
        <f t="shared" si="38"/>
        <v>7950.337694819952</v>
      </c>
      <c r="BA54" s="62">
        <f t="shared" si="38"/>
        <v>8109.3444487163515</v>
      </c>
      <c r="BB54" s="62">
        <f t="shared" si="38"/>
        <v>8271.5313376906779</v>
      </c>
      <c r="BC54" s="62">
        <f t="shared" si="38"/>
        <v>8436.961964444492</v>
      </c>
      <c r="BD54" s="62">
        <f t="shared" si="38"/>
        <v>8605.7012037333825</v>
      </c>
      <c r="BE54" s="62">
        <f t="shared" si="38"/>
        <v>8777.8152278080506</v>
      </c>
      <c r="BF54" s="62">
        <f t="shared" si="38"/>
        <v>8953.3715323642118</v>
      </c>
      <c r="BG54" s="62">
        <f t="shared" si="38"/>
        <v>9132.4389630114965</v>
      </c>
      <c r="BH54" s="62">
        <f t="shared" si="38"/>
        <v>9315.0877422717258</v>
      </c>
      <c r="BI54" s="62">
        <f t="shared" si="38"/>
        <v>9501.3894971171612</v>
      </c>
      <c r="BJ54" s="62">
        <f t="shared" si="38"/>
        <v>9691.4172870595048</v>
      </c>
      <c r="BK54" s="62">
        <f t="shared" si="38"/>
        <v>9885.2456328006956</v>
      </c>
      <c r="BL54" s="62">
        <f t="shared" si="38"/>
        <v>10082.95054545671</v>
      </c>
      <c r="BM54" s="62">
        <f t="shared" si="38"/>
        <v>10284.609556365844</v>
      </c>
      <c r="BN54" s="62">
        <f t="shared" si="38"/>
        <v>10490.30174749316</v>
      </c>
      <c r="BO54" s="62">
        <f t="shared" si="38"/>
        <v>10700.107782443023</v>
      </c>
      <c r="BP54" s="62">
        <f t="shared" si="38"/>
        <v>10914.109938091884</v>
      </c>
      <c r="BQ54" s="62">
        <f t="shared" si="38"/>
        <v>11132.392136853721</v>
      </c>
      <c r="BR54" s="62">
        <f t="shared" si="38"/>
        <v>11355.039979590796</v>
      </c>
      <c r="BS54" s="62">
        <f t="shared" si="38"/>
        <v>11582.140779182611</v>
      </c>
      <c r="BT54" s="62">
        <f t="shared" si="38"/>
        <v>11813.783594766264</v>
      </c>
      <c r="BU54" s="62">
        <f t="shared" si="38"/>
        <v>12050.05926666159</v>
      </c>
      <c r="BV54" s="62">
        <f t="shared" si="38"/>
        <v>12291.060451994823</v>
      </c>
      <c r="BW54" s="62">
        <f t="shared" si="38"/>
        <v>12536.88166103472</v>
      </c>
      <c r="BX54" s="62">
        <f t="shared" si="38"/>
        <v>12787.619294255415</v>
      </c>
      <c r="BY54" s="62">
        <f t="shared" si="38"/>
        <v>13043.371680140524</v>
      </c>
      <c r="BZ54" s="62">
        <f t="shared" si="38"/>
        <v>13304.239113743335</v>
      </c>
      <c r="CA54" s="62">
        <f t="shared" si="38"/>
        <v>13570.323896018203</v>
      </c>
      <c r="CB54" s="62">
        <f t="shared" si="38"/>
        <v>13841.730373938566</v>
      </c>
      <c r="CC54" s="62">
        <f t="shared" si="38"/>
        <v>14118.564981417338</v>
      </c>
      <c r="CD54" s="62">
        <f t="shared" si="38"/>
        <v>14400.936281045684</v>
      </c>
      <c r="CE54" s="62">
        <f t="shared" si="38"/>
        <v>14688.955006666598</v>
      </c>
      <c r="CF54" s="62">
        <f t="shared" ref="CF54:CH54" si="39">CE54*(1+$E$6)</f>
        <v>14982.73410679993</v>
      </c>
      <c r="CG54" s="62">
        <f t="shared" si="39"/>
        <v>15282.388788935928</v>
      </c>
      <c r="CH54" s="62">
        <f t="shared" si="39"/>
        <v>15588.036564714648</v>
      </c>
    </row>
    <row r="55" spans="1:86" x14ac:dyDescent="0.25">
      <c r="A55" s="1"/>
      <c r="B55" s="6"/>
      <c r="C55" s="21"/>
      <c r="D55" s="21"/>
      <c r="E55" s="21"/>
      <c r="F55" s="74"/>
      <c r="G55" s="74"/>
      <c r="H55" s="74"/>
      <c r="I55" s="12"/>
      <c r="J55" s="96"/>
      <c r="K55" s="96"/>
      <c r="L55" s="96"/>
      <c r="M55" s="96"/>
      <c r="N55" s="96"/>
      <c r="O55" s="96"/>
      <c r="P55" s="96"/>
      <c r="Q55" s="96"/>
      <c r="R55" s="97"/>
    </row>
    <row r="56" spans="1:86" x14ac:dyDescent="0.25">
      <c r="A56" s="1"/>
      <c r="B56" s="9" t="s">
        <v>27</v>
      </c>
      <c r="C56" s="23">
        <f>C52+C43+C46-C49</f>
        <v>4698</v>
      </c>
      <c r="D56" s="23">
        <f t="shared" ref="D56:E56" si="40">D52+D43+D46-D49</f>
        <v>5494</v>
      </c>
      <c r="E56" s="23">
        <f t="shared" si="40"/>
        <v>10299</v>
      </c>
      <c r="F56" s="23">
        <f>F52+F43+F46-F49</f>
        <v>5502</v>
      </c>
      <c r="G56" s="23">
        <f>G52+G43+G46-G49</f>
        <v>3511</v>
      </c>
      <c r="H56" s="23">
        <f>H52+H43+H46-H49</f>
        <v>8309</v>
      </c>
      <c r="I56" s="66">
        <f t="shared" ref="I56:R56" si="41">I52+I43+I46-I49</f>
        <v>5934.7707600000012</v>
      </c>
      <c r="J56" s="11">
        <f t="shared" si="41"/>
        <v>2256.3346000000001</v>
      </c>
      <c r="K56" s="11">
        <f t="shared" si="41"/>
        <v>2689.2726600000015</v>
      </c>
      <c r="L56" s="11">
        <f t="shared" si="41"/>
        <v>2522.6828208000002</v>
      </c>
      <c r="M56" s="11">
        <f t="shared" si="41"/>
        <v>2962.5439032945014</v>
      </c>
      <c r="N56" s="11">
        <f t="shared" si="41"/>
        <v>3030.6824130702753</v>
      </c>
      <c r="O56" s="11">
        <f t="shared" si="41"/>
        <v>3106.4494733970287</v>
      </c>
      <c r="P56" s="11">
        <f t="shared" si="41"/>
        <v>3184.1107102319556</v>
      </c>
      <c r="Q56" s="11">
        <f t="shared" si="41"/>
        <v>3263.7134779877565</v>
      </c>
      <c r="R56" s="11">
        <f t="shared" si="41"/>
        <v>3345.306314937447</v>
      </c>
    </row>
    <row r="57" spans="1:86" x14ac:dyDescent="0.25">
      <c r="A57" s="1"/>
      <c r="B57" s="24" t="s">
        <v>28</v>
      </c>
      <c r="C57" s="1"/>
      <c r="D57" s="1"/>
      <c r="E57" s="1"/>
      <c r="F57" s="1"/>
      <c r="G57" s="1"/>
      <c r="H57" s="1"/>
      <c r="I57" s="65">
        <f t="shared" ref="I57:R57" si="42">I56/((1+$E$5)^I9)</f>
        <v>5592.7591935545524</v>
      </c>
      <c r="J57" s="63">
        <f t="shared" si="42"/>
        <v>2003.7698948604109</v>
      </c>
      <c r="K57" s="63">
        <f t="shared" si="42"/>
        <v>2250.6157459264941</v>
      </c>
      <c r="L57" s="63">
        <f t="shared" si="42"/>
        <v>1989.533874908582</v>
      </c>
      <c r="M57" s="63">
        <f t="shared" si="42"/>
        <v>2201.7887863433612</v>
      </c>
      <c r="N57" s="63">
        <f t="shared" si="42"/>
        <v>2122.6259108380718</v>
      </c>
      <c r="O57" s="63">
        <f t="shared" si="42"/>
        <v>2050.3098533749658</v>
      </c>
      <c r="P57" s="63">
        <f t="shared" si="42"/>
        <v>1980.4575424158061</v>
      </c>
      <c r="Q57" s="63">
        <f t="shared" si="42"/>
        <v>1912.9850402149684</v>
      </c>
      <c r="R57" s="63">
        <f t="shared" si="42"/>
        <v>1847.8112687143523</v>
      </c>
    </row>
    <row r="58" spans="1:86" x14ac:dyDescent="0.25">
      <c r="A58" s="1"/>
      <c r="B58" s="25"/>
      <c r="C58" s="25"/>
      <c r="D58" s="25"/>
      <c r="E58" s="25"/>
      <c r="F58" s="25"/>
      <c r="G58" s="25"/>
      <c r="H58" s="25"/>
      <c r="I58" s="15"/>
      <c r="J58" s="1"/>
      <c r="K58" s="1"/>
      <c r="L58" s="1"/>
      <c r="M58" s="1"/>
      <c r="N58" s="1"/>
      <c r="O58" s="1"/>
      <c r="P58" s="1"/>
      <c r="Q58" s="1"/>
      <c r="R58" s="1"/>
    </row>
    <row r="59" spans="1:86" x14ac:dyDescent="0.25">
      <c r="A59" s="1"/>
      <c r="B59" s="1" t="s">
        <v>29</v>
      </c>
      <c r="C59" s="26">
        <f>(R56*(1+$E$6))/($E$5-$E$6)</f>
        <v>82916.155909425841</v>
      </c>
      <c r="D59" s="1"/>
      <c r="E59" s="1" t="s">
        <v>30</v>
      </c>
      <c r="F59" s="18">
        <f>NPV($E$5,I54:CH54)</f>
        <v>75185.204326183244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</row>
    <row r="60" spans="1:86" x14ac:dyDescent="0.25">
      <c r="A60" s="1"/>
      <c r="B60" s="3" t="s">
        <v>31</v>
      </c>
      <c r="C60" s="27">
        <f>C59/((1+$E$5)^$R$9)</f>
        <v>45799.515148668266</v>
      </c>
      <c r="D60" s="16"/>
      <c r="E60" s="3"/>
      <c r="F60" s="3"/>
      <c r="G60" s="3"/>
      <c r="H60" s="16"/>
      <c r="I60" s="12"/>
      <c r="J60" s="1"/>
      <c r="L60" s="52" t="s">
        <v>52</v>
      </c>
      <c r="M60" s="53"/>
      <c r="N60" s="53"/>
      <c r="O60" s="53"/>
      <c r="P60" s="53"/>
      <c r="Q60" s="52"/>
    </row>
    <row r="61" spans="1:86" x14ac:dyDescent="0.25">
      <c r="A61" s="1"/>
      <c r="B61" s="6" t="s">
        <v>32</v>
      </c>
      <c r="C61" s="6"/>
      <c r="D61" s="1"/>
      <c r="E61" s="6"/>
      <c r="F61" s="6"/>
      <c r="G61" s="28" t="s">
        <v>33</v>
      </c>
      <c r="H61" s="28" t="s">
        <v>30</v>
      </c>
      <c r="I61" s="15"/>
      <c r="J61" s="1"/>
      <c r="K61" s="52"/>
      <c r="L61" s="54">
        <f>D67</f>
        <v>40.237271637749288</v>
      </c>
      <c r="M61" s="55">
        <v>-0.01</v>
      </c>
      <c r="N61" s="55">
        <v>0.01</v>
      </c>
      <c r="O61" s="55">
        <v>0.02</v>
      </c>
      <c r="P61" s="55">
        <v>0.03</v>
      </c>
      <c r="Q61" s="55">
        <v>0.04</v>
      </c>
    </row>
    <row r="62" spans="1:86" x14ac:dyDescent="0.25">
      <c r="A62" s="1"/>
      <c r="B62" s="29" t="s">
        <v>34</v>
      </c>
      <c r="C62" s="1"/>
      <c r="D62" s="22">
        <v>8607</v>
      </c>
      <c r="E62" s="1"/>
      <c r="F62" s="1"/>
      <c r="G62" s="26">
        <f>C60+SUM(I57:R57)</f>
        <v>69752.172259819825</v>
      </c>
      <c r="H62" s="18">
        <f>F59</f>
        <v>75185.204326183244</v>
      </c>
      <c r="I62" s="15"/>
      <c r="J62" s="1"/>
      <c r="K62" s="52"/>
      <c r="L62" s="56">
        <f>L63-1%</f>
        <v>4.1152564344197951E-2</v>
      </c>
      <c r="M62" s="57">
        <f t="dataTable" ref="M62:Q66" dt2D="1" dtr="1" r1="E6" r2="E5"/>
        <v>41.212206271476063</v>
      </c>
      <c r="N62" s="57">
        <v>78.945645803568468</v>
      </c>
      <c r="O62" s="57">
        <v>117.85252767841565</v>
      </c>
      <c r="P62" s="57">
        <v>206.92951839193196</v>
      </c>
      <c r="Q62" s="57">
        <v>1477.3090085515491</v>
      </c>
    </row>
    <row r="63" spans="1:86" x14ac:dyDescent="0.25">
      <c r="A63" s="1"/>
      <c r="B63" s="30" t="s">
        <v>35</v>
      </c>
      <c r="C63" s="3"/>
      <c r="D63" s="78">
        <v>51654</v>
      </c>
      <c r="E63" s="3"/>
      <c r="F63" s="3"/>
      <c r="G63" s="3"/>
      <c r="H63" s="3"/>
      <c r="I63" s="15"/>
      <c r="J63" s="1"/>
      <c r="K63" s="53"/>
      <c r="L63" s="56">
        <f>L64-1%</f>
        <v>5.1152564344197952E-2</v>
      </c>
      <c r="M63" s="57">
        <v>24.457653885449268</v>
      </c>
      <c r="N63" s="58">
        <v>47.855240729094923</v>
      </c>
      <c r="O63" s="58">
        <v>68.655814759225549</v>
      </c>
      <c r="P63" s="58">
        <v>104.22010474546194</v>
      </c>
      <c r="Q63" s="57">
        <v>185.69401076577219</v>
      </c>
    </row>
    <row r="64" spans="1:86" x14ac:dyDescent="0.25">
      <c r="A64" s="1"/>
      <c r="B64" s="6" t="s">
        <v>36</v>
      </c>
      <c r="C64" s="6"/>
      <c r="D64" s="6"/>
      <c r="E64" s="6"/>
      <c r="F64" s="6"/>
      <c r="G64" s="31">
        <f>(G62+D62-D63)</f>
        <v>26705.172259819825</v>
      </c>
      <c r="H64" s="32">
        <f>(H62+D62-D63)</f>
        <v>32138.204326183244</v>
      </c>
      <c r="I64" s="15"/>
      <c r="J64"/>
      <c r="K64" s="52" t="s">
        <v>1</v>
      </c>
      <c r="L64" s="59">
        <v>6.1152564344197954E-2</v>
      </c>
      <c r="M64" s="57">
        <v>12.236648243953523</v>
      </c>
      <c r="N64" s="58">
        <v>27.674279350932082</v>
      </c>
      <c r="O64" s="60">
        <v>40.237271637749288</v>
      </c>
      <c r="P64" s="58">
        <v>59.27486919772155</v>
      </c>
      <c r="Q64" s="57">
        <v>91.81131688439055</v>
      </c>
    </row>
    <row r="65" spans="1:17" x14ac:dyDescent="0.25">
      <c r="A65" s="1"/>
      <c r="B65" s="3" t="s">
        <v>37</v>
      </c>
      <c r="C65" s="3"/>
      <c r="D65" s="36">
        <f>731204853/1000000</f>
        <v>731.20485299999996</v>
      </c>
      <c r="E65" s="3"/>
      <c r="F65" s="3"/>
      <c r="G65" s="3"/>
      <c r="H65" s="3"/>
      <c r="I65" s="15"/>
      <c r="J65" s="1"/>
      <c r="K65" s="52"/>
      <c r="L65" s="61">
        <f>L64+1%</f>
        <v>7.1152564344197949E-2</v>
      </c>
      <c r="M65" s="57">
        <v>2.9777618268607995</v>
      </c>
      <c r="N65" s="58">
        <v>13.620653996940305</v>
      </c>
      <c r="O65" s="58">
        <v>21.760023835748655</v>
      </c>
      <c r="P65" s="58">
        <v>33.27567665710545</v>
      </c>
      <c r="Q65" s="57">
        <v>50.713828058200569</v>
      </c>
    </row>
    <row r="66" spans="1:17" x14ac:dyDescent="0.25">
      <c r="A66" s="1"/>
      <c r="B66" s="17" t="s">
        <v>38</v>
      </c>
      <c r="C66" s="17"/>
      <c r="D66" s="17">
        <f>D65*$J$5</f>
        <v>34366.628090999999</v>
      </c>
      <c r="E66" s="17"/>
      <c r="F66" s="17"/>
      <c r="G66" s="17"/>
      <c r="H66" s="33"/>
      <c r="I66" s="1"/>
      <c r="J66" s="1"/>
      <c r="K66" s="52"/>
      <c r="L66" s="61">
        <f>L65+1%</f>
        <v>8.1152564344197944E-2</v>
      </c>
      <c r="M66" s="57">
        <v>-4.2521780286551047</v>
      </c>
      <c r="N66" s="57">
        <v>3.3377917569631532</v>
      </c>
      <c r="O66" s="57">
        <v>8.8717290341165143</v>
      </c>
      <c r="P66" s="57">
        <v>16.343554968996639</v>
      </c>
      <c r="Q66" s="57">
        <v>26.907397112919476</v>
      </c>
    </row>
    <row r="67" spans="1:17" x14ac:dyDescent="0.25">
      <c r="A67" s="1"/>
      <c r="B67" s="6" t="s">
        <v>39</v>
      </c>
      <c r="C67" s="6" t="s">
        <v>40</v>
      </c>
      <c r="D67" s="34">
        <f>(G67+H67)/2</f>
        <v>40.237271637749288</v>
      </c>
      <c r="F67" s="6"/>
      <c r="G67" s="34">
        <f>G64/D65</f>
        <v>36.522148547364502</v>
      </c>
      <c r="H67" s="34">
        <f>H64/D65</f>
        <v>43.952394728134067</v>
      </c>
      <c r="I67" s="15"/>
      <c r="J67" s="1"/>
    </row>
    <row r="68" spans="1:17" x14ac:dyDescent="0.25">
      <c r="A68"/>
      <c r="C68" s="1"/>
      <c r="D6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F9" sqref="F9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2">
        <f>'DELL DCF'!I40</f>
        <v>0.23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2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3">
        <v>0.97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2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6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2">
        <f>'DELL DCF'!D66</f>
        <v>34366.628090999999</v>
      </c>
      <c r="D12" s="2"/>
      <c r="E12" s="2" t="s">
        <v>35</v>
      </c>
      <c r="F12" s="2"/>
      <c r="G12" s="22">
        <f>'DELL DCF'!D63</f>
        <v>51654</v>
      </c>
      <c r="H12" s="2"/>
      <c r="I12" s="2" t="s">
        <v>47</v>
      </c>
      <c r="J12" s="2"/>
      <c r="K12" s="22">
        <f>G12+C12</f>
        <v>86020.628090999991</v>
      </c>
      <c r="L12" s="2"/>
    </row>
    <row r="13" spans="1:14" x14ac:dyDescent="0.25">
      <c r="A13" s="2" t="s">
        <v>48</v>
      </c>
      <c r="B13" s="2"/>
      <c r="C13" s="44">
        <f>C12/K12</f>
        <v>0.39951612599996406</v>
      </c>
      <c r="D13" s="2"/>
      <c r="E13" s="2" t="s">
        <v>49</v>
      </c>
      <c r="F13" s="2"/>
      <c r="G13" s="45">
        <f>G12/K12</f>
        <v>0.600483874000036</v>
      </c>
      <c r="H13" s="2"/>
      <c r="I13" s="2"/>
      <c r="J13" s="2"/>
      <c r="K13" s="2"/>
      <c r="L13" s="2"/>
      <c r="M13" s="36"/>
    </row>
    <row r="14" spans="1:14" x14ac:dyDescent="0.25">
      <c r="A14" s="2" t="s">
        <v>50</v>
      </c>
      <c r="B14" s="2"/>
      <c r="C14" s="46">
        <f>D7+D8*(D9)</f>
        <v>9.5199999999999993E-2</v>
      </c>
      <c r="D14" s="2"/>
      <c r="E14" s="2" t="s">
        <v>51</v>
      </c>
      <c r="F14" s="2"/>
      <c r="G14" s="47">
        <v>0.05</v>
      </c>
      <c r="H14" s="2"/>
      <c r="I14" s="48" t="s">
        <v>1</v>
      </c>
      <c r="J14" s="49"/>
      <c r="K14" s="70">
        <f>C13*C14+G14*G13*(1-D6)</f>
        <v>6.1152564344197954E-2</v>
      </c>
      <c r="L14" s="2"/>
    </row>
    <row r="15" spans="1:14" x14ac:dyDescent="0.25">
      <c r="D15" s="36"/>
      <c r="G15" s="36"/>
      <c r="J15" s="36"/>
      <c r="M15" s="36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6"/>
      <c r="G17" s="36"/>
      <c r="J17" s="36"/>
      <c r="M17" s="36"/>
    </row>
    <row r="21" spans="4:13" x14ac:dyDescent="0.25">
      <c r="D21" s="36"/>
      <c r="E21" s="36"/>
      <c r="F21" s="36"/>
      <c r="G21" s="36"/>
      <c r="H21" s="36"/>
      <c r="I21" s="36"/>
      <c r="J21" s="36"/>
      <c r="K21" s="36"/>
      <c r="L21" s="36"/>
      <c r="M21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DELL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2023-05-25T16:02:14Z</dcterms:modified>
</cp:coreProperties>
</file>