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2C8DB84F-DC5B-4063-BEC5-8D61E33975EA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PEP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1" i="1" l="1"/>
  <c r="L62" i="1"/>
  <c r="I48" i="1"/>
  <c r="D61" i="1"/>
  <c r="J45" i="1"/>
  <c r="K45" i="1"/>
  <c r="L45" i="1"/>
  <c r="M45" i="1"/>
  <c r="N45" i="1"/>
  <c r="O45" i="1"/>
  <c r="P45" i="1"/>
  <c r="Q45" i="1"/>
  <c r="R45" i="1"/>
  <c r="I45" i="1"/>
  <c r="I42" i="1"/>
  <c r="J42" i="1"/>
  <c r="K42" i="1"/>
  <c r="L42" i="1"/>
  <c r="M42" i="1"/>
  <c r="N42" i="1"/>
  <c r="O42" i="1"/>
  <c r="P42" i="1"/>
  <c r="Q42" i="1"/>
  <c r="I26" i="1"/>
  <c r="I25" i="1"/>
  <c r="J25" i="1"/>
  <c r="K25" i="1"/>
  <c r="L25" i="1"/>
  <c r="M25" i="1"/>
  <c r="N25" i="1"/>
  <c r="O25" i="1"/>
  <c r="P25" i="1"/>
  <c r="Q25" i="1"/>
  <c r="R25" i="1"/>
  <c r="I19" i="1"/>
  <c r="I22" i="1"/>
  <c r="J22" i="1"/>
  <c r="K22" i="1"/>
  <c r="L22" i="1"/>
  <c r="M22" i="1"/>
  <c r="N22" i="1"/>
  <c r="O22" i="1"/>
  <c r="P22" i="1"/>
  <c r="Q22" i="1"/>
  <c r="R22" i="1"/>
  <c r="I28" i="1"/>
  <c r="H25" i="1"/>
  <c r="D33" i="1"/>
  <c r="E33" i="1"/>
  <c r="F33" i="1"/>
  <c r="G33" i="1"/>
  <c r="H33" i="1"/>
  <c r="C33" i="1"/>
  <c r="I11" i="1"/>
  <c r="J11" i="1"/>
  <c r="K11" i="1" s="1"/>
  <c r="L11" i="1" s="1"/>
  <c r="M11" i="1" s="1"/>
  <c r="N11" i="1" s="1"/>
  <c r="O11" i="1" s="1"/>
  <c r="P11" i="1" s="1"/>
  <c r="Q11" i="1" s="1"/>
  <c r="C55" i="1"/>
  <c r="K52" i="1"/>
  <c r="L52" i="1"/>
  <c r="M52" i="1" s="1"/>
  <c r="N52" i="1" s="1"/>
  <c r="O52" i="1" s="1"/>
  <c r="P52" i="1" s="1"/>
  <c r="Q52" i="1" s="1"/>
  <c r="R52" i="1" s="1"/>
  <c r="J52" i="1"/>
  <c r="G52" i="1"/>
  <c r="H52" i="1"/>
  <c r="F52" i="1"/>
  <c r="D52" i="1"/>
  <c r="E52" i="1"/>
  <c r="C52" i="1"/>
  <c r="D51" i="1"/>
  <c r="E51" i="1"/>
  <c r="F51" i="1"/>
  <c r="G51" i="1"/>
  <c r="H51" i="1"/>
  <c r="C51" i="1"/>
  <c r="H48" i="1"/>
  <c r="G48" i="1"/>
  <c r="F48" i="1"/>
  <c r="F49" i="1" s="1"/>
  <c r="D48" i="1"/>
  <c r="E48" i="1"/>
  <c r="C48" i="1"/>
  <c r="C49" i="1" s="1"/>
  <c r="G45" i="1"/>
  <c r="H45" i="1"/>
  <c r="F45" i="1"/>
  <c r="D45" i="1"/>
  <c r="E45" i="1"/>
  <c r="E46" i="1" s="1"/>
  <c r="C45" i="1"/>
  <c r="C46" i="1" s="1"/>
  <c r="G42" i="1"/>
  <c r="H42" i="1"/>
  <c r="H43" i="1" s="1"/>
  <c r="F42" i="1"/>
  <c r="D42" i="1"/>
  <c r="E42" i="1"/>
  <c r="C42" i="1"/>
  <c r="G38" i="1"/>
  <c r="H38" i="1"/>
  <c r="F38" i="1"/>
  <c r="D38" i="1"/>
  <c r="E38" i="1"/>
  <c r="C38" i="1"/>
  <c r="G30" i="1"/>
  <c r="H30" i="1"/>
  <c r="F30" i="1"/>
  <c r="D30" i="1"/>
  <c r="E30" i="1"/>
  <c r="C30" i="1"/>
  <c r="G22" i="1"/>
  <c r="H22" i="1"/>
  <c r="F22" i="1"/>
  <c r="F23" i="1" s="1"/>
  <c r="G19" i="1"/>
  <c r="H19" i="1"/>
  <c r="F19" i="1"/>
  <c r="D19" i="1"/>
  <c r="E19" i="1"/>
  <c r="C19" i="1"/>
  <c r="G14" i="1"/>
  <c r="H14" i="1"/>
  <c r="F14" i="1"/>
  <c r="D14" i="1"/>
  <c r="E14" i="1"/>
  <c r="E16" i="1" s="1"/>
  <c r="C14" i="1"/>
  <c r="G11" i="1"/>
  <c r="H11" i="1"/>
  <c r="H31" i="1" s="1"/>
  <c r="F11" i="1"/>
  <c r="E11" i="1"/>
  <c r="D11" i="1"/>
  <c r="C11" i="1"/>
  <c r="L64" i="1"/>
  <c r="L65" i="1" s="1"/>
  <c r="D31" i="1"/>
  <c r="E31" i="1"/>
  <c r="G31" i="1"/>
  <c r="C31" i="1"/>
  <c r="C25" i="1"/>
  <c r="G25" i="1"/>
  <c r="C16" i="1"/>
  <c r="C17" i="1" s="1"/>
  <c r="D16" i="1"/>
  <c r="F16" i="1"/>
  <c r="G16" i="1"/>
  <c r="D23" i="1"/>
  <c r="G23" i="1"/>
  <c r="C23" i="1"/>
  <c r="E25" i="1"/>
  <c r="D25" i="1"/>
  <c r="D65" i="1"/>
  <c r="C12" i="2" s="1"/>
  <c r="G12" i="2"/>
  <c r="D6" i="2"/>
  <c r="G20" i="1"/>
  <c r="F20" i="1"/>
  <c r="E20" i="1"/>
  <c r="D20" i="1"/>
  <c r="C20" i="1"/>
  <c r="G43" i="1"/>
  <c r="F43" i="1"/>
  <c r="C14" i="2"/>
  <c r="D12" i="1"/>
  <c r="D49" i="1"/>
  <c r="G49" i="1"/>
  <c r="D46" i="1"/>
  <c r="F46" i="1"/>
  <c r="G46" i="1"/>
  <c r="C43" i="1"/>
  <c r="D43" i="1"/>
  <c r="E12" i="1"/>
  <c r="G12" i="1"/>
  <c r="J9" i="1"/>
  <c r="K9" i="1" s="1"/>
  <c r="L9" i="1" s="1"/>
  <c r="M9" i="1" s="1"/>
  <c r="N9" i="1" s="1"/>
  <c r="O9" i="1" s="1"/>
  <c r="P9" i="1" s="1"/>
  <c r="Q9" i="1" s="1"/>
  <c r="R9" i="1" s="1"/>
  <c r="F31" i="1" l="1"/>
  <c r="F25" i="1"/>
  <c r="H46" i="1"/>
  <c r="H49" i="1"/>
  <c r="H20" i="1"/>
  <c r="H12" i="1"/>
  <c r="H23" i="1"/>
  <c r="H16" i="1"/>
  <c r="H17" i="1" s="1"/>
  <c r="G28" i="1"/>
  <c r="G35" i="1" s="1"/>
  <c r="F28" i="1"/>
  <c r="F53" i="1" s="1"/>
  <c r="F12" i="1"/>
  <c r="E49" i="1"/>
  <c r="E43" i="1"/>
  <c r="E23" i="1"/>
  <c r="E28" i="1"/>
  <c r="E53" i="1" s="1"/>
  <c r="C28" i="1"/>
  <c r="C53" i="1" s="1"/>
  <c r="D28" i="1"/>
  <c r="D53" i="1" s="1"/>
  <c r="G17" i="1"/>
  <c r="E17" i="1"/>
  <c r="H26" i="1"/>
  <c r="F26" i="1"/>
  <c r="D26" i="1"/>
  <c r="K12" i="2"/>
  <c r="G13" i="2" s="1"/>
  <c r="F17" i="1"/>
  <c r="D17" i="1"/>
  <c r="G26" i="1"/>
  <c r="E26" i="1"/>
  <c r="C26" i="1"/>
  <c r="G53" i="1" l="1"/>
  <c r="I16" i="1"/>
  <c r="I30" i="1"/>
  <c r="I33" i="1" s="1"/>
  <c r="I14" i="1"/>
  <c r="H28" i="1"/>
  <c r="H53" i="1" s="1"/>
  <c r="F35" i="1"/>
  <c r="F39" i="1" s="1"/>
  <c r="D35" i="1"/>
  <c r="C13" i="2"/>
  <c r="K14" i="2" s="1"/>
  <c r="E5" i="1" s="1"/>
  <c r="E35" i="1"/>
  <c r="C35" i="1"/>
  <c r="H35" i="1" l="1"/>
  <c r="J30" i="1"/>
  <c r="F36" i="1"/>
  <c r="H36" i="1"/>
  <c r="F55" i="1"/>
  <c r="D55" i="1"/>
  <c r="D36" i="1"/>
  <c r="D39" i="1"/>
  <c r="H39" i="1"/>
  <c r="G55" i="1"/>
  <c r="H55" i="1"/>
  <c r="E39" i="1"/>
  <c r="E55" i="1"/>
  <c r="G36" i="1"/>
  <c r="G39" i="1"/>
  <c r="E36" i="1"/>
  <c r="C39" i="1"/>
  <c r="C36" i="1"/>
  <c r="K30" i="1" l="1"/>
  <c r="L30" i="1" l="1"/>
  <c r="J48" i="1"/>
  <c r="J19" i="1"/>
  <c r="J16" i="1"/>
  <c r="J14" i="1" s="1"/>
  <c r="M30" i="1" l="1"/>
  <c r="K19" i="1"/>
  <c r="K48" i="1"/>
  <c r="K16" i="1"/>
  <c r="K14" i="1" s="1"/>
  <c r="N30" i="1" l="1"/>
  <c r="J26" i="1"/>
  <c r="J28" i="1"/>
  <c r="J33" i="1" s="1"/>
  <c r="K28" i="1"/>
  <c r="K33" i="1" s="1"/>
  <c r="L19" i="1"/>
  <c r="L48" i="1"/>
  <c r="L16" i="1"/>
  <c r="L14" i="1" s="1"/>
  <c r="O30" i="1" l="1"/>
  <c r="J35" i="1"/>
  <c r="I35" i="1"/>
  <c r="K26" i="1"/>
  <c r="K35" i="1"/>
  <c r="L28" i="1"/>
  <c r="L33" i="1" s="1"/>
  <c r="M19" i="1"/>
  <c r="M48" i="1"/>
  <c r="M16" i="1"/>
  <c r="M14" i="1" s="1"/>
  <c r="P30" i="1" l="1"/>
  <c r="J38" i="1"/>
  <c r="K38" i="1"/>
  <c r="J36" i="1"/>
  <c r="I38" i="1"/>
  <c r="K36" i="1"/>
  <c r="I36" i="1"/>
  <c r="L26" i="1"/>
  <c r="L35" i="1"/>
  <c r="N19" i="1"/>
  <c r="N48" i="1"/>
  <c r="N16" i="1"/>
  <c r="N14" i="1" s="1"/>
  <c r="I53" i="1" l="1"/>
  <c r="K53" i="1"/>
  <c r="J53" i="1"/>
  <c r="K51" i="1"/>
  <c r="K55" i="1" s="1"/>
  <c r="K56" i="1" s="1"/>
  <c r="Q30" i="1"/>
  <c r="R11" i="1"/>
  <c r="L38" i="1"/>
  <c r="M26" i="1"/>
  <c r="M28" i="1"/>
  <c r="M33" i="1" s="1"/>
  <c r="J51" i="1"/>
  <c r="J55" i="1" s="1"/>
  <c r="J56" i="1" s="1"/>
  <c r="I51" i="1"/>
  <c r="I55" i="1" s="1"/>
  <c r="I56" i="1" s="1"/>
  <c r="L36" i="1"/>
  <c r="O19" i="1"/>
  <c r="O16" i="1"/>
  <c r="O14" i="1" s="1"/>
  <c r="O48" i="1"/>
  <c r="L53" i="1" l="1"/>
  <c r="M35" i="1"/>
  <c r="M36" i="1" s="1"/>
  <c r="R30" i="1"/>
  <c r="R42" i="1"/>
  <c r="N26" i="1"/>
  <c r="N28" i="1"/>
  <c r="N33" i="1" s="1"/>
  <c r="L51" i="1"/>
  <c r="L55" i="1" s="1"/>
  <c r="L56" i="1" s="1"/>
  <c r="P19" i="1"/>
  <c r="P48" i="1"/>
  <c r="P16" i="1"/>
  <c r="P14" i="1" s="1"/>
  <c r="M38" i="1" l="1"/>
  <c r="N35" i="1"/>
  <c r="N36" i="1" s="1"/>
  <c r="O26" i="1"/>
  <c r="O28" i="1"/>
  <c r="O33" i="1" s="1"/>
  <c r="Q19" i="1"/>
  <c r="Q48" i="1"/>
  <c r="Q16" i="1"/>
  <c r="Q14" i="1" s="1"/>
  <c r="M51" i="1" l="1"/>
  <c r="M55" i="1" s="1"/>
  <c r="M56" i="1" s="1"/>
  <c r="M53" i="1"/>
  <c r="N38" i="1"/>
  <c r="O35" i="1"/>
  <c r="O36" i="1" s="1"/>
  <c r="P26" i="1"/>
  <c r="P28" i="1"/>
  <c r="P33" i="1" s="1"/>
  <c r="N51" i="1"/>
  <c r="N55" i="1" s="1"/>
  <c r="N56" i="1" s="1"/>
  <c r="N53" i="1" l="1"/>
  <c r="O38" i="1"/>
  <c r="P35" i="1"/>
  <c r="P38" i="1" s="1"/>
  <c r="O53" i="1"/>
  <c r="Q26" i="1"/>
  <c r="Q28" i="1"/>
  <c r="Q33" i="1" s="1"/>
  <c r="P36" i="1"/>
  <c r="Q35" i="1"/>
  <c r="P51" i="1" l="1"/>
  <c r="O51" i="1"/>
  <c r="O55" i="1" s="1"/>
  <c r="O56" i="1" s="1"/>
  <c r="P53" i="1"/>
  <c r="P55" i="1"/>
  <c r="P56" i="1" s="1"/>
  <c r="Q36" i="1"/>
  <c r="Q38" i="1"/>
  <c r="Q51" i="1" l="1"/>
  <c r="Q55" i="1" s="1"/>
  <c r="Q56" i="1" s="1"/>
  <c r="Q53" i="1"/>
  <c r="R16" i="1" l="1"/>
  <c r="R14" i="1" s="1"/>
  <c r="R19" i="1"/>
  <c r="R48" i="1" l="1"/>
  <c r="R26" i="1" l="1"/>
  <c r="R28" i="1"/>
  <c r="R33" i="1" s="1"/>
  <c r="R35" i="1" l="1"/>
  <c r="R36" i="1" s="1"/>
  <c r="R38" i="1" l="1"/>
  <c r="R53" i="1" l="1"/>
  <c r="S53" i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R51" i="1"/>
  <c r="R55" i="1" s="1"/>
  <c r="F58" i="1" l="1"/>
  <c r="H61" i="1" s="1"/>
  <c r="H63" i="1" s="1"/>
  <c r="H66" i="1" s="1"/>
  <c r="C58" i="1"/>
  <c r="C59" i="1" s="1"/>
  <c r="R56" i="1"/>
  <c r="G61" i="1" l="1"/>
  <c r="G63" i="1" s="1"/>
  <c r="G66" i="1" s="1"/>
  <c r="E66" i="1" s="1"/>
  <c r="J6" i="1" l="1"/>
  <c r="N5" i="1" s="1"/>
  <c r="L60" i="1"/>
</calcChain>
</file>

<file path=xl/sharedStrings.xml><?xml version="1.0" encoding="utf-8"?>
<sst xmlns="http://schemas.openxmlformats.org/spreadsheetml/2006/main" count="231" uniqueCount="146">
  <si>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</si>
  <si>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</si>
  <si>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</si>
  <si>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</si>
  <si>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</si>
  <si>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</si>
  <si>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</si>
  <si>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</si>
  <si>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</si>
  <si>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</si>
  <si>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</si>
  <si>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</si>
  <si>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</si>
  <si>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</si>
  <si>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</si>
  <si>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</si>
  <si>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</si>
  <si>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</si>
  <si>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</si>
  <si>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</si>
  <si>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</si>
  <si>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</si>
  <si>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</si>
  <si>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</si>
  <si>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</si>
  <si>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</si>
  <si>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</si>
  <si>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</si>
  <si>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</si>
  <si>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</si>
  <si>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</si>
  <si>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</si>
  <si>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</si>
  <si>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</si>
  <si>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</si>
  <si>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</si>
  <si>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</si>
  <si>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</si>
  <si>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</si>
  <si>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</si>
  <si>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</si>
  <si>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</si>
  <si>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</si>
  <si>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</si>
  <si>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</si>
  <si>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</si>
  <si>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</si>
  <si>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</si>
  <si>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</si>
  <si>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</si>
  <si>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</si>
  <si>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Date</t>
  </si>
  <si>
    <t>SG&amp;A</t>
  </si>
  <si>
    <t>NCI</t>
  </si>
  <si>
    <t>Consolidated Statement of Income</t>
  </si>
  <si>
    <t>2022</t>
  </si>
  <si>
    <t>2021</t>
  </si>
  <si>
    <t>2020</t>
  </si>
  <si>
    <t>Net Revenue</t>
  </si>
  <si>
    <t>Cost of sales</t>
  </si>
  <si>
    <t>Gross profit</t>
  </si>
  <si>
    <t>Selling, general and administrative expenses</t>
  </si>
  <si>
    <t>Gain associated with the Juice Transaction (see Note 13)</t>
  </si>
  <si>
    <t>—</t>
  </si>
  <si>
    <t>Impairment of intangible assets (see Notes 1 and 4)</t>
  </si>
  <si>
    <t>Operating Profit</t>
  </si>
  <si>
    <t>Other pension and retiree medical benefits income</t>
  </si>
  <si>
    <t>Net interest expense and other</t>
  </si>
  <si>
    <t>Income before income taxes</t>
  </si>
  <si>
    <t>Provision for income taxes</t>
  </si>
  <si>
    <t>Less: Net income attributable to noncontrolling interests</t>
  </si>
  <si>
    <t>Net Income Attributable to PepsiCo</t>
  </si>
  <si>
    <t>Net Income Attributable to PepsiCo per Common Share</t>
  </si>
  <si>
    <t>Basic</t>
  </si>
  <si>
    <t>Diluted</t>
  </si>
  <si>
    <t>Weighted-average common shares outstanding</t>
  </si>
  <si>
    <t>Consolidated Statement of Cash Flows</t>
  </si>
  <si>
    <t>Operating Activities</t>
  </si>
  <si>
    <t>Depreciation and amortization</t>
  </si>
  <si>
    <t>Gain associated with the Juice Transaction</t>
  </si>
  <si>
    <t>Impairment and other charges</t>
  </si>
  <si>
    <t>Operating lease right-of-use asset amortization</t>
  </si>
  <si>
    <t>Share-based compensation expense</t>
  </si>
  <si>
    <t>Restructuring and impairment charges</t>
  </si>
  <si>
    <t>Cash payments for restructuring charges</t>
  </si>
  <si>
    <t>Acquisition and divestiture-related charges</t>
  </si>
  <si>
    <t>Cash payments for acquisition and divestiture-related charges</t>
  </si>
  <si>
    <t>Pension and retiree medical plan expenses</t>
  </si>
  <si>
    <t>Pension and retiree medical plan contributions</t>
  </si>
  <si>
    <t>Deferred income taxes and other tax charges and credits</t>
  </si>
  <si>
    <t>Tax expense related to the TCJ Act</t>
  </si>
  <si>
    <t>Tax payments related to the TCJ Act</t>
  </si>
  <si>
    <t>Change in assets and liabilities:</t>
  </si>
  <si>
    <t>Accounts and notes receivable</t>
  </si>
  <si>
    <t>Inventories</t>
  </si>
  <si>
    <t>Prepaid expenses and other current assets</t>
  </si>
  <si>
    <t>Accounts payable and other current liabilities</t>
  </si>
  <si>
    <t>Income taxes payable</t>
  </si>
  <si>
    <t>Other, net</t>
  </si>
  <si>
    <t>Net Cash Provided by Operating Activities</t>
  </si>
  <si>
    <t>Investing Activities</t>
  </si>
  <si>
    <t>Capital spending</t>
  </si>
  <si>
    <t>Sales of property, plant and equipment</t>
  </si>
  <si>
    <t>Acquisitions, net of cash acquired, investments in noncontrolled affiliates and purchases of intangible and other assets</t>
  </si>
  <si>
    <t>Proceeds associated with the Juice Transaction</t>
  </si>
  <si>
    <t>Other divestitures, sales of investments in noncontrolled affiliates and other assets</t>
  </si>
  <si>
    <t>Short-term investments, by original maturity:</t>
  </si>
  <si>
    <t>More than three months - purchases</t>
  </si>
  <si>
    <t>More than three months - maturities</t>
  </si>
  <si>
    <t>Three months or less, net</t>
  </si>
  <si>
    <t>Other investing, net</t>
  </si>
  <si>
    <t>Net Cash Used for Investing Activities</t>
  </si>
  <si>
    <t>2019</t>
  </si>
  <si>
    <t>2018</t>
  </si>
  <si>
    <t>2017</t>
  </si>
  <si>
    <t>Other pension and retiree medical benefits (expense)/income</t>
  </si>
  <si>
    <t>Interest expense</t>
  </si>
  <si>
    <t>Interest income and other</t>
  </si>
  <si>
    <t>Provision for/(benefit from) income taxes (See Note 5)</t>
  </si>
  <si>
    <t>Net tax related to the TCJ Act</t>
  </si>
  <si>
    <t>Other net tax benefits related to international reorganizations</t>
  </si>
  <si>
    <t>Acquisition of SodaStream, net of cash and cash equivalents acquired</t>
  </si>
  <si>
    <t>Other acquisitions and investments in noncontrolled affiliates</t>
  </si>
  <si>
    <t>Divestitures</t>
  </si>
  <si>
    <t>More than three months - sales</t>
  </si>
  <si>
    <t>Net Cash (Used for)/Provided by Investing Activities</t>
  </si>
  <si>
    <t>Financing Activities</t>
  </si>
  <si>
    <t>Proceeds from issuances of long-term debt</t>
  </si>
  <si>
    <t>Payments of long-term debt</t>
  </si>
  <si>
    <t>Debt redemption/cash tender and exchange offers</t>
  </si>
  <si>
    <t>Short-term borrowings, by original maturity:</t>
  </si>
  <si>
    <t>More than three months - proceeds</t>
  </si>
  <si>
    <t>More than three months - payments</t>
  </si>
  <si>
    <t>Cash dividends paid</t>
  </si>
  <si>
    <t>Share repurchases - common</t>
  </si>
  <si>
    <t>Share repurchases - preferred</t>
  </si>
  <si>
    <t>Proceeds from exercises of stock options</t>
  </si>
  <si>
    <t>Withholding tax payments on restricted stock units (RSUs), performance stock units (PSUs) and PepsiCo equity performance units (PEPunits) converted</t>
  </si>
  <si>
    <t>Other financing</t>
  </si>
  <si>
    <t>Net Cash Used for Financing Activities</t>
  </si>
  <si>
    <t>Effect of exchange rate changes on cash and cash equivalents and restricted cash</t>
  </si>
  <si>
    <t>Net (Decrease)/Increase in Cash and Cash Equivalents and Restricted Cash</t>
  </si>
  <si>
    <t>Cash and Cash Equivalents and Restricted Cash, Beginning of Year</t>
  </si>
  <si>
    <t>Cash and Cash Equivalents and Restricted Cash, End of Year</t>
  </si>
  <si>
    <t>Other income</t>
  </si>
  <si>
    <t>PepsiCo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</si>
</sst>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3" fillId="2" borderId="3" xfId="0" applyFont="1" applyFill="1" applyBorder="1"/>
    <xf numFmtId="0" fontId="7" fillId="2" borderId="0" xfId="0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" fontId="3" fillId="2" borderId="3" xfId="0" applyNumberFormat="1" applyFont="1" applyFill="1" applyBorder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14" fontId="3" fillId="2" borderId="0" xfId="0" applyNumberFormat="1" applyFont="1" applyFill="1"/>
    <xf numFmtId="3" fontId="3" fillId="2" borderId="1" xfId="0" applyNumberFormat="1" applyFont="1" applyFill="1" applyBorder="1"/>
    <xf numFmtId="164" fontId="0" fillId="8" borderId="0" xfId="0" applyNumberFormat="1" applyFill="1" applyAlignment="1">
      <alignment horizontal="center"/>
    </xf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10" fillId="0" borderId="0" xfId="0" applyFont="1"/>
    <xf numFmtId="0" fontId="0" fillId="0" borderId="0" xfId="0"/>
    <xf numFmtId="0" fontId="10" fillId="0" borderId="0" xfId="0" applyFont="1"/>
    <xf numFmtId="3" fontId="10" fillId="0" borderId="0" xfId="0" applyNumberFormat="1" applyFont="1" applyAlignment="1"/>
    <xf numFmtId="0" fontId="0" fillId="0" borderId="0" xfId="0" applyAlignment="1"/>
    <xf numFmtId="167" fontId="10" fillId="0" borderId="0" xfId="0" applyNumberFormat="1" applyFont="1" applyAlignment="1"/>
    <xf numFmtId="165" fontId="10" fillId="0" borderId="0" xfId="0" applyNumberFormat="1" applyFont="1" applyAlignment="1"/>
    <xf numFmtId="166" fontId="10" fillId="0" borderId="0" xfId="0" applyNumberFormat="1" applyFont="1" applyAlignment="1"/>
    <xf numFmtId="0" fontId="10" fillId="0" borderId="0" xfId="0" applyFont="1" applyAlignment="1"/>
    <xf numFmtId="3" fontId="0" fillId="0" borderId="0" xfId="0" applyNumberFormat="1" applyAlignment="1"/>
    <xf numFmtId="167" fontId="0" fillId="0" borderId="0" xfId="0" applyNumberFormat="1" applyAlignment="1"/>
    <xf numFmtId="165" fontId="0" fillId="0" borderId="0" xfId="0" applyNumberFormat="1" applyAlignment="1"/>
    <xf numFmtId="166" fontId="0" fillId="0" borderId="0" xfId="0" applyNumberFormat="1" applyAlignment="1"/>
    <xf numFmtId="0" fontId="3" fillId="2" borderId="0" xfId="0" applyFont="1" applyFill="1" applyBorder="1"/>
    <xf numFmtId="3" fontId="3" fillId="2" borderId="0" xfId="0" applyNumberFormat="1" applyFont="1" applyFill="1" applyBorder="1"/>
    <xf numFmtId="1" fontId="3" fillId="2" borderId="0" xfId="0" applyNumberFormat="1" applyFont="1" applyFill="1" applyBorder="1"/>
    <xf numFmtId="3" fontId="0" fillId="2" borderId="0" xfId="0" applyNumberFormat="1" applyFont="1" applyFill="1"/>
    <xf numFmtId="0" fontId="0" fillId="2" borderId="0" xfId="0" applyFont="1" applyFill="1"/>
    <xf numFmtId="0" fontId="0" fillId="2" borderId="3" xfId="0" applyFont="1" applyFill="1" applyBorder="1"/>
    <xf numFmtId="1" fontId="0" fillId="2" borderId="12" xfId="0" applyNumberFormat="1" applyFont="1" applyFill="1" applyBorder="1"/>
    <xf numFmtId="1" fontId="0" fillId="2" borderId="1" xfId="0" applyNumberFormat="1" applyFont="1" applyFill="1" applyBorder="1"/>
    <xf numFmtId="0" fontId="0" fillId="2" borderId="5" xfId="0" applyFont="1" applyFill="1" applyBorder="1"/>
    <xf numFmtId="1" fontId="0" fillId="2" borderId="3" xfId="0" applyNumberFormat="1" applyFont="1" applyFill="1" applyBorder="1"/>
    <xf numFmtId="3" fontId="0" fillId="2" borderId="3" xfId="0" applyNumberFormat="1" applyFont="1" applyFill="1" applyBorder="1"/>
    <xf numFmtId="164" fontId="11" fillId="2" borderId="0" xfId="1" applyNumberFormat="1" applyFont="1" applyFill="1"/>
    <xf numFmtId="164" fontId="11" fillId="2" borderId="3" xfId="1" applyNumberFormat="1" applyFont="1" applyFill="1" applyBorder="1"/>
    <xf numFmtId="164" fontId="11" fillId="2" borderId="0" xfId="1" applyNumberFormat="1" applyFont="1" applyFill="1" applyBorder="1"/>
    <xf numFmtId="10" fontId="0" fillId="2" borderId="0" xfId="1" applyNumberFormat="1" applyFont="1" applyFill="1"/>
    <xf numFmtId="0" fontId="2" fillId="3" borderId="0" xfId="0" applyFont="1" applyFill="1"/>
    <xf numFmtId="0" fontId="2" fillId="3" borderId="3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10" fontId="0" fillId="2" borderId="0" xfId="0" applyNumberFormat="1" applyFont="1" applyFill="1" applyBorder="1"/>
    <xf numFmtId="3" fontId="0" fillId="2" borderId="0" xfId="0" applyNumberFormat="1" applyFont="1" applyFill="1" applyBorder="1"/>
    <xf numFmtId="0" fontId="2" fillId="3" borderId="0" xfId="0" applyFont="1" applyFill="1" applyBorder="1"/>
    <xf numFmtId="164" fontId="11" fillId="5" borderId="0" xfId="1" applyNumberFormat="1" applyFont="1" applyFill="1"/>
    <xf numFmtId="164" fontId="11" fillId="5" borderId="3" xfId="1" applyNumberFormat="1" applyFont="1" applyFill="1" applyBorder="1"/>
    <xf numFmtId="164" fontId="11" fillId="5" borderId="0" xfId="1" applyNumberFormat="1" applyFont="1" applyFill="1" applyBorder="1"/>
    <xf numFmtId="10" fontId="11" fillId="5" borderId="3" xfId="0" applyNumberFormat="1" applyFont="1" applyFill="1" applyBorder="1"/>
    <xf numFmtId="10" fontId="11" fillId="5" borderId="0" xfId="0" applyNumberFormat="1" applyFont="1" applyFill="1" applyBorder="1"/>
    <xf numFmtId="164" fontId="0" fillId="5" borderId="0" xfId="1" applyNumberFormat="1" applyFont="1" applyFill="1"/>
    <xf numFmtId="164" fontId="11" fillId="5" borderId="3" xfId="0" applyNumberFormat="1" applyFont="1" applyFill="1" applyBorder="1"/>
    <xf numFmtId="164" fontId="11" fillId="5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7"/>
  <sheetViews>
    <sheetView tabSelected="1" topLeftCell="B1" zoomScaleNormal="100" workbookViewId="0">
      <selection activeCell="E12" sqref="E12"/>
    </sheetView>
  </sheetViews>
  <sheetFormatPr defaultRowHeight="15" x14ac:dyDescent="0.25"/>
  <cols>
    <col min="1" max="1" width="9.140625" style="2"/>
    <col min="2" max="2" width="17.28515625" style="2" customWidth="1"/>
    <col min="3" max="6" width="9.140625" style="2"/>
    <col min="7" max="7" width="10.140625" style="2" bestFit="1" customWidth="1"/>
    <col min="8" max="8" width="9.140625" style="2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48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48" customFormat="1" ht="23.25" x14ac:dyDescent="0.35">
      <c r="A2" s="3"/>
      <c r="B2" s="4" t="s">
        <v>145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18" s="48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48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48" customFormat="1" x14ac:dyDescent="0.25">
      <c r="A5" s="1"/>
      <c r="B5" s="1"/>
      <c r="C5" s="7" t="s">
        <v>1</v>
      </c>
      <c r="D5" s="1"/>
      <c r="E5" s="8">
        <f>WACC!K14</f>
        <v>6.9436470409227027E-2</v>
      </c>
      <c r="F5" s="2"/>
      <c r="G5" s="1"/>
      <c r="H5" s="1" t="s">
        <v>2</v>
      </c>
      <c r="I5" s="1"/>
      <c r="J5" s="7">
        <v>186.07</v>
      </c>
      <c r="K5" s="1"/>
      <c r="L5" s="1" t="s">
        <v>3</v>
      </c>
      <c r="M5" s="1"/>
      <c r="N5" s="7">
        <f>(J6/J5)-1</f>
        <v>7.7022426326045057E-2</v>
      </c>
      <c r="O5" s="1"/>
      <c r="P5" s="1" t="s">
        <v>51</v>
      </c>
      <c r="Q5" s="61">
        <v>45101</v>
      </c>
      <c r="R5" s="2"/>
    </row>
    <row r="6" spans="1:18" s="48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54">
        <f>E66</f>
        <v>200.40156286648721</v>
      </c>
      <c r="K6" s="1"/>
      <c r="L6" s="1"/>
      <c r="M6" s="1"/>
      <c r="N6" s="1"/>
      <c r="O6" s="1"/>
      <c r="P6" s="1"/>
      <c r="Q6" s="1"/>
      <c r="R6" s="2"/>
    </row>
    <row r="7" spans="1:18" s="48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6"/>
      <c r="L7" s="55"/>
      <c r="M7" s="2"/>
      <c r="N7" s="2"/>
      <c r="O7" s="1"/>
      <c r="P7" s="1"/>
      <c r="Q7" s="1"/>
      <c r="R7" s="2"/>
    </row>
    <row r="8" spans="1:18" s="48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6"/>
      <c r="L8" s="1"/>
      <c r="M8" s="1"/>
      <c r="N8" s="1"/>
      <c r="O8" s="1"/>
      <c r="P8" s="1"/>
      <c r="Q8" s="1"/>
      <c r="R8" s="2"/>
    </row>
    <row r="9" spans="1:18" s="48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48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0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48" customFormat="1" x14ac:dyDescent="0.25">
      <c r="A11" s="1"/>
      <c r="B11" s="1" t="s">
        <v>7</v>
      </c>
      <c r="C11" s="82">
        <f>'Raw IS'!I6</f>
        <v>63525</v>
      </c>
      <c r="D11" s="82">
        <f>'Raw IS'!J6</f>
        <v>64661</v>
      </c>
      <c r="E11" s="82">
        <f>'Raw IS'!K6</f>
        <v>67161</v>
      </c>
      <c r="F11" s="82">
        <f>'Raw IS'!D5</f>
        <v>70372</v>
      </c>
      <c r="G11" s="82">
        <f>'Raw IS'!E5</f>
        <v>79474</v>
      </c>
      <c r="H11" s="82">
        <f>'Raw IS'!F5</f>
        <v>86392</v>
      </c>
      <c r="I11" s="88">
        <f t="shared" ref="I11" si="1">H11*(1+I12)</f>
        <v>90970</v>
      </c>
      <c r="J11" s="96">
        <f t="shared" ref="J11" si="2">I11*(1+J12)</f>
        <v>95520</v>
      </c>
      <c r="K11" s="96">
        <f t="shared" ref="K11" si="3">J11*(1+K12)</f>
        <v>99670</v>
      </c>
      <c r="L11" s="96">
        <f t="shared" ref="L11" si="4">K11*(1+L12)</f>
        <v>104650.00000000001</v>
      </c>
      <c r="M11" s="96">
        <f t="shared" ref="M11" si="5">L11*(1+M12)</f>
        <v>109400</v>
      </c>
      <c r="N11" s="96">
        <f t="shared" ref="N11" si="6">M11*(1+N12)</f>
        <v>115759.99999999999</v>
      </c>
      <c r="O11" s="96">
        <f t="shared" ref="O11" si="7">N11*(1+O12)</f>
        <v>119669.99999999999</v>
      </c>
      <c r="P11" s="96">
        <f t="shared" ref="P11" si="8">O11*(1+P12)</f>
        <v>124909.99999999999</v>
      </c>
      <c r="Q11" s="96">
        <f t="shared" ref="Q11" si="9">P11*(1+Q12)</f>
        <v>130420</v>
      </c>
      <c r="R11" s="96">
        <f t="shared" ref="J11:R11" si="10">Q11*(1+R12)</f>
        <v>136158.48000000001</v>
      </c>
    </row>
    <row r="12" spans="1:18" s="48" customFormat="1" x14ac:dyDescent="0.25">
      <c r="A12" s="1"/>
      <c r="B12" s="12" t="s">
        <v>8</v>
      </c>
      <c r="C12" s="101"/>
      <c r="D12" s="101">
        <f>(D11/C11)-1</f>
        <v>1.7882723337268702E-2</v>
      </c>
      <c r="E12" s="101">
        <f>(E11/D11)-1</f>
        <v>3.8663181825211446E-2</v>
      </c>
      <c r="F12" s="101">
        <f>(F11/E11)-1</f>
        <v>4.7810485251857493E-2</v>
      </c>
      <c r="G12" s="101">
        <f>(G11/F11)-1</f>
        <v>0.12934121525606779</v>
      </c>
      <c r="H12" s="101">
        <f>(H11/G11)-1</f>
        <v>8.7047336235750006E-2</v>
      </c>
      <c r="I12" s="102">
        <v>5.2991017686822905E-2</v>
      </c>
      <c r="J12" s="103">
        <v>5.0016488952401961E-2</v>
      </c>
      <c r="K12" s="103">
        <v>4.3446398659966468E-2</v>
      </c>
      <c r="L12" s="103">
        <v>4.9964884117588149E-2</v>
      </c>
      <c r="M12" s="103">
        <v>4.5389393215480078E-2</v>
      </c>
      <c r="N12" s="103">
        <v>5.813528336380247E-2</v>
      </c>
      <c r="O12" s="103">
        <v>3.3776779543883917E-2</v>
      </c>
      <c r="P12" s="103">
        <v>4.3787081139801121E-2</v>
      </c>
      <c r="Q12" s="103">
        <v>4.4111760467536731E-2</v>
      </c>
      <c r="R12" s="103">
        <v>4.3999999999999997E-2</v>
      </c>
    </row>
    <row r="13" spans="1:18" s="48" customFormat="1" x14ac:dyDescent="0.25">
      <c r="A13" s="1"/>
      <c r="B13" s="6"/>
      <c r="C13" s="83"/>
      <c r="D13" s="83"/>
      <c r="E13" s="83"/>
      <c r="F13" s="83"/>
      <c r="G13" s="83"/>
      <c r="H13" s="83"/>
      <c r="I13" s="84"/>
      <c r="J13" s="98"/>
      <c r="K13" s="98"/>
      <c r="L13" s="98"/>
      <c r="M13" s="98"/>
      <c r="N13" s="98"/>
      <c r="O13" s="98"/>
      <c r="P13" s="98"/>
      <c r="Q13" s="98"/>
      <c r="R13" s="98"/>
    </row>
    <row r="14" spans="1:18" s="48" customFormat="1" x14ac:dyDescent="0.25">
      <c r="A14" s="1"/>
      <c r="B14" s="1" t="s">
        <v>9</v>
      </c>
      <c r="C14" s="82">
        <f>'Raw IS'!I7</f>
        <v>28796</v>
      </c>
      <c r="D14" s="82">
        <f>'Raw IS'!J7</f>
        <v>29381</v>
      </c>
      <c r="E14" s="82">
        <f>'Raw IS'!K7</f>
        <v>30132</v>
      </c>
      <c r="F14" s="82">
        <f>'Raw IS'!D6</f>
        <v>31797</v>
      </c>
      <c r="G14" s="82">
        <f>'Raw IS'!E6</f>
        <v>37075</v>
      </c>
      <c r="H14" s="82">
        <f>'Raw IS'!F6</f>
        <v>40576</v>
      </c>
      <c r="I14" s="85">
        <f>I11-I16</f>
        <v>42073.625</v>
      </c>
      <c r="J14" s="86">
        <f t="shared" ref="J14:R14" si="11">J11-J16</f>
        <v>43920.095999999998</v>
      </c>
      <c r="K14" s="86">
        <f t="shared" si="11"/>
        <v>45519.288999999997</v>
      </c>
      <c r="L14" s="86">
        <f t="shared" si="11"/>
        <v>48348.3</v>
      </c>
      <c r="M14" s="86">
        <f t="shared" si="11"/>
        <v>50433.399999999994</v>
      </c>
      <c r="N14" s="86">
        <f t="shared" si="11"/>
        <v>53249.599999999991</v>
      </c>
      <c r="O14" s="86">
        <f t="shared" si="11"/>
        <v>54928.529999999992</v>
      </c>
      <c r="P14" s="86">
        <f t="shared" si="11"/>
        <v>57208.779999999984</v>
      </c>
      <c r="Q14" s="86">
        <f t="shared" si="11"/>
        <v>59732.36</v>
      </c>
      <c r="R14" s="86">
        <f t="shared" si="11"/>
        <v>62360.583840000007</v>
      </c>
    </row>
    <row r="15" spans="1:18" s="48" customFormat="1" x14ac:dyDescent="0.25">
      <c r="A15" s="1"/>
      <c r="B15" s="15"/>
      <c r="C15" s="87"/>
      <c r="D15" s="87"/>
      <c r="E15" s="87"/>
      <c r="F15" s="87"/>
      <c r="G15" s="87"/>
      <c r="H15" s="87"/>
      <c r="I15" s="84"/>
      <c r="J15" s="97"/>
      <c r="K15" s="97"/>
      <c r="L15" s="97"/>
      <c r="M15" s="97"/>
      <c r="N15" s="97"/>
      <c r="O15" s="97"/>
      <c r="P15" s="97"/>
      <c r="Q15" s="97"/>
      <c r="R15" s="97"/>
    </row>
    <row r="16" spans="1:18" s="48" customFormat="1" x14ac:dyDescent="0.25">
      <c r="A16" s="1"/>
      <c r="B16" s="1" t="s">
        <v>10</v>
      </c>
      <c r="C16" s="82">
        <f t="shared" ref="C16:F16" si="12">C11-C14</f>
        <v>34729</v>
      </c>
      <c r="D16" s="82">
        <f>D11-D14</f>
        <v>35280</v>
      </c>
      <c r="E16" s="82">
        <f>E11-E14</f>
        <v>37029</v>
      </c>
      <c r="F16" s="82">
        <f t="shared" si="12"/>
        <v>38575</v>
      </c>
      <c r="G16" s="82">
        <f>G11-G14</f>
        <v>42399</v>
      </c>
      <c r="H16" s="82">
        <f>H11-H14</f>
        <v>45816</v>
      </c>
      <c r="I16" s="88">
        <f>I11*I17</f>
        <v>48896.375</v>
      </c>
      <c r="J16" s="96">
        <f t="shared" ref="J16:R16" si="13">J11*J17</f>
        <v>51599.904000000002</v>
      </c>
      <c r="K16" s="96">
        <f>K11*K17</f>
        <v>54150.711000000003</v>
      </c>
      <c r="L16" s="96">
        <f t="shared" si="13"/>
        <v>56301.700000000012</v>
      </c>
      <c r="M16" s="96">
        <f t="shared" si="13"/>
        <v>58966.600000000006</v>
      </c>
      <c r="N16" s="96">
        <f t="shared" si="13"/>
        <v>62510.399999999994</v>
      </c>
      <c r="O16" s="96">
        <f t="shared" si="13"/>
        <v>64741.469999999994</v>
      </c>
      <c r="P16" s="96">
        <f t="shared" si="13"/>
        <v>67701.22</v>
      </c>
      <c r="Q16" s="96">
        <f t="shared" si="13"/>
        <v>70687.64</v>
      </c>
      <c r="R16" s="96">
        <f t="shared" si="13"/>
        <v>73797.896160000004</v>
      </c>
    </row>
    <row r="17" spans="1:18" s="48" customFormat="1" x14ac:dyDescent="0.25">
      <c r="A17" s="1"/>
      <c r="B17" s="12" t="s">
        <v>11</v>
      </c>
      <c r="C17" s="101">
        <f t="shared" ref="C17:H17" si="14">C16/C11</f>
        <v>0.54669815033451397</v>
      </c>
      <c r="D17" s="101">
        <f>D16/D11</f>
        <v>0.54561482191738453</v>
      </c>
      <c r="E17" s="101">
        <f>E16/E11</f>
        <v>0.55134676374681735</v>
      </c>
      <c r="F17" s="101">
        <f t="shared" si="14"/>
        <v>0.54815835843801508</v>
      </c>
      <c r="G17" s="101">
        <f t="shared" si="14"/>
        <v>0.53349523114477693</v>
      </c>
      <c r="H17" s="101">
        <f t="shared" si="14"/>
        <v>0.5303268821187147</v>
      </c>
      <c r="I17" s="104">
        <v>0.53749999999999998</v>
      </c>
      <c r="J17" s="105">
        <v>0.54020000000000001</v>
      </c>
      <c r="K17" s="105">
        <v>0.54330000000000001</v>
      </c>
      <c r="L17" s="105">
        <v>0.53800000000000003</v>
      </c>
      <c r="M17" s="105">
        <v>0.53900000000000003</v>
      </c>
      <c r="N17" s="105">
        <v>0.54</v>
      </c>
      <c r="O17" s="105">
        <v>0.54100000000000004</v>
      </c>
      <c r="P17" s="105">
        <v>0.54200000000000004</v>
      </c>
      <c r="Q17" s="105">
        <v>0.54200000000000004</v>
      </c>
      <c r="R17" s="105">
        <v>0.54200000000000004</v>
      </c>
    </row>
    <row r="18" spans="1:18" s="48" customFormat="1" x14ac:dyDescent="0.25">
      <c r="A18" s="1"/>
      <c r="B18" s="1"/>
      <c r="C18" s="82"/>
      <c r="D18" s="82"/>
      <c r="E18" s="82"/>
      <c r="F18" s="82"/>
      <c r="G18" s="82"/>
      <c r="H18" s="82"/>
      <c r="I18" s="88"/>
      <c r="J18" s="96"/>
      <c r="K18" s="96"/>
      <c r="L18" s="96"/>
      <c r="M18" s="96"/>
      <c r="N18" s="96"/>
      <c r="O18" s="96"/>
      <c r="P18" s="96"/>
      <c r="Q18" s="96"/>
      <c r="R18" s="96"/>
    </row>
    <row r="19" spans="1:18" s="48" customFormat="1" x14ac:dyDescent="0.25">
      <c r="A19" s="1"/>
      <c r="B19" s="1" t="s">
        <v>52</v>
      </c>
      <c r="C19" s="82">
        <f>'Raw IS'!I9</f>
        <v>24453</v>
      </c>
      <c r="D19" s="82">
        <f>'Raw IS'!J9</f>
        <v>25170</v>
      </c>
      <c r="E19" s="82">
        <f>'Raw IS'!K9</f>
        <v>26738</v>
      </c>
      <c r="F19" s="82">
        <f>'Raw IS'!D8</f>
        <v>28453</v>
      </c>
      <c r="G19" s="82">
        <f>'Raw IS'!E8</f>
        <v>31237</v>
      </c>
      <c r="H19" s="82">
        <f>'Raw IS'!F8</f>
        <v>34459</v>
      </c>
      <c r="I19" s="88">
        <f>I20*I11</f>
        <v>34891.186331076598</v>
      </c>
      <c r="J19" s="96">
        <f t="shared" ref="I19:R19" si="15">J20*J11</f>
        <v>36346.12414943616</v>
      </c>
      <c r="K19" s="96">
        <f t="shared" si="15"/>
        <v>37771.178765097764</v>
      </c>
      <c r="L19" s="96">
        <f t="shared" si="15"/>
        <v>38804.19200000001</v>
      </c>
      <c r="M19" s="96">
        <f t="shared" si="15"/>
        <v>39982.33600000001</v>
      </c>
      <c r="N19" s="96">
        <f t="shared" si="15"/>
        <v>42320.943999999996</v>
      </c>
      <c r="O19" s="96">
        <f t="shared" si="15"/>
        <v>43601.131199999989</v>
      </c>
      <c r="P19" s="96">
        <f t="shared" si="15"/>
        <v>45323.531200000005</v>
      </c>
      <c r="Q19" s="96">
        <f t="shared" si="15"/>
        <v>47154.454400000002</v>
      </c>
      <c r="R19" s="96">
        <f t="shared" si="15"/>
        <v>49163.346393600004</v>
      </c>
    </row>
    <row r="20" spans="1:18" s="48" customFormat="1" x14ac:dyDescent="0.25">
      <c r="A20" s="1"/>
      <c r="B20" s="12" t="s">
        <v>17</v>
      </c>
      <c r="C20" s="101">
        <f t="shared" ref="C20:H20" si="16">C19/C11</f>
        <v>0.38493506493506491</v>
      </c>
      <c r="D20" s="101">
        <f>D19/D11</f>
        <v>0.38926091461622925</v>
      </c>
      <c r="E20" s="101">
        <f>E19/E11</f>
        <v>0.3981179553609982</v>
      </c>
      <c r="F20" s="101">
        <f t="shared" si="16"/>
        <v>0.40432274199965895</v>
      </c>
      <c r="G20" s="101">
        <f t="shared" si="16"/>
        <v>0.39304678259556586</v>
      </c>
      <c r="H20" s="101">
        <f t="shared" si="16"/>
        <v>0.39886795073617926</v>
      </c>
      <c r="I20" s="102">
        <v>0.38354607377241506</v>
      </c>
      <c r="J20" s="103">
        <v>0.38050799988940703</v>
      </c>
      <c r="K20" s="103">
        <v>0.37896236345036383</v>
      </c>
      <c r="L20" s="103">
        <v>0.37079973244147163</v>
      </c>
      <c r="M20" s="103">
        <v>0.36546925045703849</v>
      </c>
      <c r="N20" s="103">
        <v>0.36559212163096061</v>
      </c>
      <c r="O20" s="103">
        <v>0.36434470794685381</v>
      </c>
      <c r="P20" s="103">
        <v>0.36284950124089355</v>
      </c>
      <c r="Q20" s="103">
        <v>0.36155846035884071</v>
      </c>
      <c r="R20" s="103">
        <v>0.36107443615410512</v>
      </c>
    </row>
    <row r="21" spans="1:18" s="48" customFormat="1" x14ac:dyDescent="0.25">
      <c r="A21" s="1"/>
      <c r="B21" s="1"/>
      <c r="C21" s="82"/>
      <c r="D21" s="82"/>
      <c r="E21" s="82"/>
      <c r="F21" s="82"/>
      <c r="G21" s="82"/>
      <c r="H21" s="82"/>
      <c r="I21" s="88"/>
      <c r="J21" s="96"/>
      <c r="K21" s="96"/>
      <c r="L21" s="96"/>
      <c r="M21" s="96"/>
      <c r="N21" s="96"/>
      <c r="O21" s="96"/>
      <c r="P21" s="96"/>
      <c r="Q21" s="96"/>
      <c r="R21" s="96"/>
    </row>
    <row r="22" spans="1:18" s="48" customFormat="1" x14ac:dyDescent="0.25">
      <c r="A22" s="1"/>
      <c r="B22" s="1" t="s">
        <v>12</v>
      </c>
      <c r="C22" s="82">
        <v>0</v>
      </c>
      <c r="D22" s="82">
        <v>0</v>
      </c>
      <c r="E22" s="82">
        <v>0</v>
      </c>
      <c r="F22" s="82">
        <f>SUM('Raw IS'!D9:D10)</f>
        <v>42</v>
      </c>
      <c r="G22" s="82">
        <f>SUM('Raw IS'!E9:E10)</f>
        <v>0</v>
      </c>
      <c r="H22" s="82">
        <f>SUM('Raw IS'!F9:F10)</f>
        <v>-155</v>
      </c>
      <c r="I22" s="89">
        <f>I23*I11</f>
        <v>0</v>
      </c>
      <c r="J22" s="99">
        <f t="shared" ref="J22:R22" si="17">J23*J11</f>
        <v>0</v>
      </c>
      <c r="K22" s="99">
        <f t="shared" si="17"/>
        <v>0</v>
      </c>
      <c r="L22" s="99">
        <f t="shared" si="17"/>
        <v>0</v>
      </c>
      <c r="M22" s="99">
        <f t="shared" si="17"/>
        <v>0</v>
      </c>
      <c r="N22" s="99">
        <f t="shared" si="17"/>
        <v>0</v>
      </c>
      <c r="O22" s="99">
        <f t="shared" si="17"/>
        <v>0</v>
      </c>
      <c r="P22" s="99">
        <f t="shared" si="17"/>
        <v>0</v>
      </c>
      <c r="Q22" s="99">
        <f t="shared" si="17"/>
        <v>0</v>
      </c>
      <c r="R22" s="99">
        <f t="shared" si="17"/>
        <v>0</v>
      </c>
    </row>
    <row r="23" spans="1:18" s="48" customFormat="1" x14ac:dyDescent="0.25">
      <c r="A23" s="1"/>
      <c r="B23" s="1" t="s">
        <v>17</v>
      </c>
      <c r="C23" s="101">
        <f>C22/C11</f>
        <v>0</v>
      </c>
      <c r="D23" s="101">
        <f>D22/D11</f>
        <v>0</v>
      </c>
      <c r="E23" s="101">
        <f>E22/E11</f>
        <v>0</v>
      </c>
      <c r="F23" s="101">
        <f t="shared" ref="F23:H23" si="18">F22/F11</f>
        <v>5.968282839765816E-4</v>
      </c>
      <c r="G23" s="101">
        <f t="shared" si="18"/>
        <v>0</v>
      </c>
      <c r="H23" s="101">
        <f t="shared" si="18"/>
        <v>-1.7941476062598388E-3</v>
      </c>
      <c r="I23" s="102">
        <v>0</v>
      </c>
      <c r="J23" s="103">
        <v>0</v>
      </c>
      <c r="K23" s="103">
        <v>0</v>
      </c>
      <c r="L23" s="103">
        <v>0</v>
      </c>
      <c r="M23" s="103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</row>
    <row r="24" spans="1:18" s="48" customFormat="1" x14ac:dyDescent="0.25">
      <c r="A24" s="1"/>
      <c r="B24" s="1"/>
      <c r="C24" s="83"/>
      <c r="D24" s="83"/>
      <c r="E24" s="83"/>
      <c r="F24" s="83"/>
      <c r="G24" s="83"/>
      <c r="H24" s="83"/>
      <c r="I24" s="84"/>
      <c r="J24" s="97"/>
      <c r="K24" s="97"/>
      <c r="L24" s="97"/>
      <c r="M24" s="97"/>
      <c r="N24" s="97"/>
      <c r="O24" s="97"/>
      <c r="P24" s="97"/>
      <c r="Q24" s="97"/>
      <c r="R24" s="97"/>
    </row>
    <row r="25" spans="1:18" s="48" customFormat="1" x14ac:dyDescent="0.25">
      <c r="A25" s="1"/>
      <c r="B25" s="1" t="s">
        <v>13</v>
      </c>
      <c r="C25" s="82">
        <f>C19+C22</f>
        <v>24453</v>
      </c>
      <c r="D25" s="82">
        <f t="shared" ref="D25:H25" si="19">D19+D22</f>
        <v>25170</v>
      </c>
      <c r="E25" s="82">
        <f t="shared" si="19"/>
        <v>26738</v>
      </c>
      <c r="F25" s="82">
        <f t="shared" si="19"/>
        <v>28495</v>
      </c>
      <c r="G25" s="82">
        <f>G19+G22</f>
        <v>31237</v>
      </c>
      <c r="H25" s="82">
        <f>H19+H22</f>
        <v>34304</v>
      </c>
      <c r="I25" s="89">
        <f t="shared" ref="I25:R25" si="20">I19+I22</f>
        <v>34891.186331076598</v>
      </c>
      <c r="J25" s="99">
        <f t="shared" si="20"/>
        <v>36346.12414943616</v>
      </c>
      <c r="K25" s="99">
        <f t="shared" si="20"/>
        <v>37771.178765097764</v>
      </c>
      <c r="L25" s="99">
        <f t="shared" si="20"/>
        <v>38804.19200000001</v>
      </c>
      <c r="M25" s="99">
        <f t="shared" si="20"/>
        <v>39982.33600000001</v>
      </c>
      <c r="N25" s="99">
        <f t="shared" si="20"/>
        <v>42320.943999999996</v>
      </c>
      <c r="O25" s="99">
        <f t="shared" si="20"/>
        <v>43601.131199999989</v>
      </c>
      <c r="P25" s="99">
        <f t="shared" si="20"/>
        <v>45323.531200000005</v>
      </c>
      <c r="Q25" s="99">
        <f t="shared" si="20"/>
        <v>47154.454400000002</v>
      </c>
      <c r="R25" s="99">
        <f t="shared" si="20"/>
        <v>49163.346393600004</v>
      </c>
    </row>
    <row r="26" spans="1:18" s="48" customFormat="1" x14ac:dyDescent="0.25">
      <c r="A26" s="1"/>
      <c r="B26" s="12" t="s">
        <v>17</v>
      </c>
      <c r="C26" s="101">
        <f t="shared" ref="C26:R26" si="21">C25/C11</f>
        <v>0.38493506493506491</v>
      </c>
      <c r="D26" s="101">
        <f>D25/D11</f>
        <v>0.38926091461622925</v>
      </c>
      <c r="E26" s="101">
        <f>E25/E11</f>
        <v>0.3981179553609982</v>
      </c>
      <c r="F26" s="101">
        <f t="shared" si="21"/>
        <v>0.40491957028363551</v>
      </c>
      <c r="G26" s="101">
        <f t="shared" si="21"/>
        <v>0.39304678259556586</v>
      </c>
      <c r="H26" s="101">
        <f t="shared" si="21"/>
        <v>0.39707380312991941</v>
      </c>
      <c r="I26" s="102">
        <f>I25/I11</f>
        <v>0.38354607377241506</v>
      </c>
      <c r="J26" s="103">
        <f t="shared" si="21"/>
        <v>0.38050799988940703</v>
      </c>
      <c r="K26" s="103">
        <f t="shared" si="21"/>
        <v>0.37896236345036383</v>
      </c>
      <c r="L26" s="103">
        <f t="shared" si="21"/>
        <v>0.37079973244147163</v>
      </c>
      <c r="M26" s="103">
        <f t="shared" si="21"/>
        <v>0.36546925045703849</v>
      </c>
      <c r="N26" s="103">
        <f t="shared" si="21"/>
        <v>0.36559212163096061</v>
      </c>
      <c r="O26" s="103">
        <f t="shared" si="21"/>
        <v>0.36434470794685381</v>
      </c>
      <c r="P26" s="103">
        <f t="shared" si="21"/>
        <v>0.36284950124089355</v>
      </c>
      <c r="Q26" s="103">
        <f t="shared" si="21"/>
        <v>0.36155846035884071</v>
      </c>
      <c r="R26" s="103">
        <f t="shared" si="21"/>
        <v>0.36107443615410512</v>
      </c>
    </row>
    <row r="27" spans="1:18" s="48" customFormat="1" x14ac:dyDescent="0.25">
      <c r="A27" s="1"/>
      <c r="B27" s="1"/>
      <c r="C27" s="90"/>
      <c r="D27" s="90"/>
      <c r="E27" s="90"/>
      <c r="F27" s="90"/>
      <c r="G27" s="90"/>
      <c r="H27" s="90"/>
      <c r="I27" s="91"/>
      <c r="J27" s="92"/>
      <c r="K27" s="92"/>
      <c r="L27" s="92"/>
      <c r="M27" s="92"/>
      <c r="N27" s="92"/>
      <c r="O27" s="92"/>
      <c r="P27" s="92"/>
      <c r="Q27" s="92"/>
      <c r="R27" s="92"/>
    </row>
    <row r="28" spans="1:18" s="48" customFormat="1" x14ac:dyDescent="0.25">
      <c r="A28" s="1"/>
      <c r="B28" s="1" t="s">
        <v>14</v>
      </c>
      <c r="C28" s="82">
        <f t="shared" ref="C28:F28" si="22">C16-C25</f>
        <v>10276</v>
      </c>
      <c r="D28" s="82">
        <f t="shared" si="22"/>
        <v>10110</v>
      </c>
      <c r="E28" s="82">
        <f t="shared" si="22"/>
        <v>10291</v>
      </c>
      <c r="F28" s="82">
        <f t="shared" si="22"/>
        <v>10080</v>
      </c>
      <c r="G28" s="82">
        <f>G16-G25</f>
        <v>11162</v>
      </c>
      <c r="H28" s="82">
        <f>H16-H25</f>
        <v>11512</v>
      </c>
      <c r="I28" s="89">
        <f>I16-I25</f>
        <v>14005.188668923402</v>
      </c>
      <c r="J28" s="99">
        <f t="shared" ref="I28:R28" si="23">J16-J25</f>
        <v>15253.779850563842</v>
      </c>
      <c r="K28" s="99">
        <f t="shared" si="23"/>
        <v>16379.532234902239</v>
      </c>
      <c r="L28" s="99">
        <f t="shared" si="23"/>
        <v>17497.508000000002</v>
      </c>
      <c r="M28" s="99">
        <f t="shared" si="23"/>
        <v>18984.263999999996</v>
      </c>
      <c r="N28" s="99">
        <f t="shared" si="23"/>
        <v>20189.455999999998</v>
      </c>
      <c r="O28" s="99">
        <f t="shared" si="23"/>
        <v>21140.338800000005</v>
      </c>
      <c r="P28" s="99">
        <f t="shared" si="23"/>
        <v>22377.688799999996</v>
      </c>
      <c r="Q28" s="99">
        <f t="shared" si="23"/>
        <v>23533.185599999997</v>
      </c>
      <c r="R28" s="99">
        <f t="shared" si="23"/>
        <v>24634.549766399999</v>
      </c>
    </row>
    <row r="29" spans="1:18" s="48" customFormat="1" x14ac:dyDescent="0.25">
      <c r="A29" s="1"/>
      <c r="B29" s="1"/>
      <c r="C29" s="82"/>
      <c r="D29" s="82"/>
      <c r="E29" s="82"/>
      <c r="F29" s="82"/>
      <c r="G29" s="82"/>
      <c r="H29" s="82"/>
      <c r="I29" s="89"/>
      <c r="J29" s="99"/>
      <c r="K29" s="99"/>
      <c r="L29" s="99"/>
      <c r="M29" s="99"/>
      <c r="N29" s="99"/>
      <c r="O29" s="99"/>
      <c r="P29" s="99"/>
      <c r="Q29" s="99"/>
      <c r="R29" s="99"/>
    </row>
    <row r="30" spans="1:18" s="48" customFormat="1" x14ac:dyDescent="0.25">
      <c r="A30" s="1"/>
      <c r="B30" s="1" t="s">
        <v>144</v>
      </c>
      <c r="C30" s="82">
        <f>SUM('Raw IS'!I11:I13)</f>
        <v>-674</v>
      </c>
      <c r="D30" s="82">
        <f>SUM('Raw IS'!J11:J13)</f>
        <v>-921</v>
      </c>
      <c r="E30" s="82">
        <f>SUM('Raw IS'!K11:K13)</f>
        <v>-979</v>
      </c>
      <c r="F30" s="82">
        <f>SUM('Raw IS'!D13:D14)</f>
        <v>-1011</v>
      </c>
      <c r="G30" s="82">
        <f>SUM('Raw IS'!E13:E14)</f>
        <v>-1341</v>
      </c>
      <c r="H30" s="82">
        <f>SUM('Raw IS'!F13:F14)</f>
        <v>-807</v>
      </c>
      <c r="I30" s="89">
        <f>I31*I11</f>
        <v>-1273.58</v>
      </c>
      <c r="J30" s="99">
        <f t="shared" ref="J30:R30" si="24">J31*J11</f>
        <v>-1337.28</v>
      </c>
      <c r="K30" s="99">
        <f t="shared" si="24"/>
        <v>-1395.38</v>
      </c>
      <c r="L30" s="99">
        <f t="shared" si="24"/>
        <v>-1465.1000000000001</v>
      </c>
      <c r="M30" s="99">
        <f t="shared" si="24"/>
        <v>-1531.6000000000001</v>
      </c>
      <c r="N30" s="99">
        <f t="shared" si="24"/>
        <v>-1620.6399999999999</v>
      </c>
      <c r="O30" s="99">
        <f t="shared" si="24"/>
        <v>-1675.3799999999999</v>
      </c>
      <c r="P30" s="99">
        <f t="shared" si="24"/>
        <v>-1748.7399999999998</v>
      </c>
      <c r="Q30" s="99">
        <f t="shared" si="24"/>
        <v>-1825.88</v>
      </c>
      <c r="R30" s="99">
        <f t="shared" si="24"/>
        <v>-1906.2187200000001</v>
      </c>
    </row>
    <row r="31" spans="1:18" s="48" customFormat="1" x14ac:dyDescent="0.25">
      <c r="A31" s="1"/>
      <c r="B31" s="12" t="s">
        <v>17</v>
      </c>
      <c r="C31" s="101">
        <f>C30/C11</f>
        <v>-1.060999606454152E-2</v>
      </c>
      <c r="D31" s="101">
        <f>D30/D11</f>
        <v>-1.4243516184407912E-2</v>
      </c>
      <c r="E31" s="101">
        <f>E30/E11</f>
        <v>-1.4576912196066169E-2</v>
      </c>
      <c r="F31" s="101">
        <f t="shared" ref="F31:H31" si="25">F30/F11</f>
        <v>-1.4366509407150571E-2</v>
      </c>
      <c r="G31" s="101">
        <f t="shared" si="25"/>
        <v>-1.6873442886981907E-2</v>
      </c>
      <c r="H31" s="101">
        <f t="shared" si="25"/>
        <v>-9.3411426983979993E-3</v>
      </c>
      <c r="I31" s="102">
        <v>-1.4E-2</v>
      </c>
      <c r="J31" s="103">
        <v>-1.4E-2</v>
      </c>
      <c r="K31" s="103">
        <v>-1.4E-2</v>
      </c>
      <c r="L31" s="103">
        <v>-1.4E-2</v>
      </c>
      <c r="M31" s="103">
        <v>-1.4E-2</v>
      </c>
      <c r="N31" s="103">
        <v>-1.4E-2</v>
      </c>
      <c r="O31" s="103">
        <v>-1.4E-2</v>
      </c>
      <c r="P31" s="103">
        <v>-1.4E-2</v>
      </c>
      <c r="Q31" s="103">
        <v>-1.4E-2</v>
      </c>
      <c r="R31" s="103">
        <v>-1.4E-2</v>
      </c>
    </row>
    <row r="32" spans="1:18" s="48" customFormat="1" x14ac:dyDescent="0.25">
      <c r="A32" s="1"/>
      <c r="B32" s="1"/>
      <c r="C32" s="82"/>
      <c r="D32" s="82"/>
      <c r="E32" s="82"/>
      <c r="F32" s="82"/>
      <c r="G32" s="82"/>
      <c r="H32" s="82"/>
      <c r="I32" s="89"/>
      <c r="J32" s="99"/>
      <c r="K32" s="99"/>
      <c r="L32" s="99"/>
      <c r="M32" s="99"/>
      <c r="N32" s="99"/>
      <c r="O32" s="99"/>
      <c r="P32" s="99"/>
      <c r="Q32" s="99"/>
      <c r="R32" s="99"/>
    </row>
    <row r="33" spans="1:86" s="48" customFormat="1" x14ac:dyDescent="0.25">
      <c r="A33" s="1"/>
      <c r="B33" s="1" t="s">
        <v>15</v>
      </c>
      <c r="C33" s="82">
        <f>C28+C30</f>
        <v>9602</v>
      </c>
      <c r="D33" s="82">
        <f t="shared" ref="D33:R33" si="26">D28+D30</f>
        <v>9189</v>
      </c>
      <c r="E33" s="82">
        <f t="shared" si="26"/>
        <v>9312</v>
      </c>
      <c r="F33" s="82">
        <f t="shared" si="26"/>
        <v>9069</v>
      </c>
      <c r="G33" s="82">
        <f t="shared" si="26"/>
        <v>9821</v>
      </c>
      <c r="H33" s="82">
        <f t="shared" si="26"/>
        <v>10705</v>
      </c>
      <c r="I33" s="89">
        <f>I28+I30</f>
        <v>12731.608668923402</v>
      </c>
      <c r="J33" s="99">
        <f t="shared" si="26"/>
        <v>13916.499850563841</v>
      </c>
      <c r="K33" s="99">
        <f t="shared" si="26"/>
        <v>14984.152234902238</v>
      </c>
      <c r="L33" s="99">
        <f t="shared" si="26"/>
        <v>16032.408000000001</v>
      </c>
      <c r="M33" s="99">
        <f t="shared" si="26"/>
        <v>17452.663999999997</v>
      </c>
      <c r="N33" s="99">
        <f t="shared" si="26"/>
        <v>18568.815999999999</v>
      </c>
      <c r="O33" s="99">
        <f t="shared" si="26"/>
        <v>19464.958800000004</v>
      </c>
      <c r="P33" s="99">
        <f t="shared" si="26"/>
        <v>20628.948799999998</v>
      </c>
      <c r="Q33" s="99">
        <f t="shared" si="26"/>
        <v>21707.305599999996</v>
      </c>
      <c r="R33" s="99">
        <f t="shared" si="26"/>
        <v>22728.331046399999</v>
      </c>
    </row>
    <row r="34" spans="1:86" s="48" customFormat="1" x14ac:dyDescent="0.25">
      <c r="A34" s="1"/>
      <c r="B34" s="1"/>
      <c r="C34" s="93"/>
      <c r="D34" s="93"/>
      <c r="E34" s="93"/>
      <c r="F34" s="93"/>
      <c r="G34" s="93"/>
      <c r="H34" s="93"/>
      <c r="I34" s="84"/>
      <c r="J34" s="97"/>
      <c r="K34" s="97"/>
      <c r="L34" s="97"/>
      <c r="M34" s="97"/>
      <c r="N34" s="97"/>
      <c r="O34" s="97"/>
      <c r="P34" s="97"/>
      <c r="Q34" s="97"/>
      <c r="R34" s="97"/>
    </row>
    <row r="35" spans="1:86" s="48" customFormat="1" x14ac:dyDescent="0.25">
      <c r="A35" s="1"/>
      <c r="B35" s="1" t="s">
        <v>16</v>
      </c>
      <c r="C35" s="82">
        <f t="shared" ref="C35:R35" si="27">C28</f>
        <v>10276</v>
      </c>
      <c r="D35" s="82">
        <f t="shared" si="27"/>
        <v>10110</v>
      </c>
      <c r="E35" s="82">
        <f t="shared" si="27"/>
        <v>10291</v>
      </c>
      <c r="F35" s="82">
        <f t="shared" si="27"/>
        <v>10080</v>
      </c>
      <c r="G35" s="82">
        <f>G28</f>
        <v>11162</v>
      </c>
      <c r="H35" s="82">
        <f t="shared" si="27"/>
        <v>11512</v>
      </c>
      <c r="I35" s="89">
        <f t="shared" si="27"/>
        <v>14005.188668923402</v>
      </c>
      <c r="J35" s="99">
        <f t="shared" si="27"/>
        <v>15253.779850563842</v>
      </c>
      <c r="K35" s="99">
        <f t="shared" si="27"/>
        <v>16379.532234902239</v>
      </c>
      <c r="L35" s="99">
        <f t="shared" si="27"/>
        <v>17497.508000000002</v>
      </c>
      <c r="M35" s="99">
        <f t="shared" si="27"/>
        <v>18984.263999999996</v>
      </c>
      <c r="N35" s="99">
        <f t="shared" si="27"/>
        <v>20189.455999999998</v>
      </c>
      <c r="O35" s="99">
        <f t="shared" si="27"/>
        <v>21140.338800000005</v>
      </c>
      <c r="P35" s="99">
        <f t="shared" si="27"/>
        <v>22377.688799999996</v>
      </c>
      <c r="Q35" s="99">
        <f t="shared" si="27"/>
        <v>23533.185599999997</v>
      </c>
      <c r="R35" s="99">
        <f t="shared" si="27"/>
        <v>24634.549766399999</v>
      </c>
    </row>
    <row r="36" spans="1:86" s="48" customFormat="1" x14ac:dyDescent="0.25">
      <c r="A36" s="1"/>
      <c r="B36" s="12" t="s">
        <v>17</v>
      </c>
      <c r="C36" s="101">
        <f t="shared" ref="C36:R36" si="28">C35/C11</f>
        <v>0.16176308539944903</v>
      </c>
      <c r="D36" s="101">
        <f>D35/D11</f>
        <v>0.15635390730115525</v>
      </c>
      <c r="E36" s="101">
        <f>E35/E11</f>
        <v>0.15322880838581915</v>
      </c>
      <c r="F36" s="101">
        <f t="shared" si="28"/>
        <v>0.14323878815437957</v>
      </c>
      <c r="G36" s="101">
        <f t="shared" si="28"/>
        <v>0.14044844854921107</v>
      </c>
      <c r="H36" s="101">
        <f t="shared" si="28"/>
        <v>0.13325307898879526</v>
      </c>
      <c r="I36" s="102">
        <f t="shared" si="28"/>
        <v>0.15395392622758494</v>
      </c>
      <c r="J36" s="103">
        <f t="shared" si="28"/>
        <v>0.15969200011059298</v>
      </c>
      <c r="K36" s="103">
        <f t="shared" si="28"/>
        <v>0.16433763654963618</v>
      </c>
      <c r="L36" s="103">
        <f t="shared" si="28"/>
        <v>0.16720026755852843</v>
      </c>
      <c r="M36" s="103">
        <f t="shared" si="28"/>
        <v>0.17353074954296158</v>
      </c>
      <c r="N36" s="103">
        <f t="shared" si="28"/>
        <v>0.1744078783690394</v>
      </c>
      <c r="O36" s="103">
        <f t="shared" si="28"/>
        <v>0.17665529205314623</v>
      </c>
      <c r="P36" s="103">
        <f t="shared" si="28"/>
        <v>0.17915049875910655</v>
      </c>
      <c r="Q36" s="103">
        <f t="shared" si="28"/>
        <v>0.1804415396411593</v>
      </c>
      <c r="R36" s="103">
        <f t="shared" si="28"/>
        <v>0.18092556384589487</v>
      </c>
    </row>
    <row r="37" spans="1:86" s="48" customFormat="1" x14ac:dyDescent="0.25">
      <c r="A37" s="1"/>
      <c r="B37" s="12"/>
      <c r="C37" s="83"/>
      <c r="D37" s="83"/>
      <c r="E37" s="83"/>
      <c r="F37" s="83"/>
      <c r="G37" s="83"/>
      <c r="H37" s="83"/>
      <c r="I37" s="84"/>
      <c r="J37" s="97"/>
      <c r="K37" s="97"/>
      <c r="L37" s="97"/>
      <c r="M37" s="97"/>
      <c r="N37" s="97"/>
      <c r="O37" s="97"/>
      <c r="P37" s="97"/>
      <c r="Q37" s="97"/>
      <c r="R37" s="97"/>
    </row>
    <row r="38" spans="1:86" s="48" customFormat="1" x14ac:dyDescent="0.25">
      <c r="A38" s="1"/>
      <c r="B38" s="1" t="s">
        <v>18</v>
      </c>
      <c r="C38" s="82">
        <f>'Raw IS'!I15</f>
        <v>4694</v>
      </c>
      <c r="D38" s="82">
        <f>'Raw IS'!J15</f>
        <v>-3370</v>
      </c>
      <c r="E38" s="82">
        <f>'Raw IS'!K15</f>
        <v>1959</v>
      </c>
      <c r="F38" s="82">
        <f>'Raw IS'!D16</f>
        <v>1894</v>
      </c>
      <c r="G38" s="82">
        <f>'Raw IS'!E16</f>
        <v>2142</v>
      </c>
      <c r="H38" s="82">
        <f>'Raw IS'!F16</f>
        <v>1727</v>
      </c>
      <c r="I38" s="88">
        <f>I35*I39</f>
        <v>2820.6449979211729</v>
      </c>
      <c r="J38" s="96">
        <f t="shared" ref="J38:R38" si="29">J35*J39</f>
        <v>3072.1112619035575</v>
      </c>
      <c r="K38" s="96">
        <f t="shared" si="29"/>
        <v>3321.7691372381742</v>
      </c>
      <c r="L38" s="96">
        <f t="shared" si="29"/>
        <v>3499.5016000000005</v>
      </c>
      <c r="M38" s="96">
        <f t="shared" si="29"/>
        <v>3796.8527999999992</v>
      </c>
      <c r="N38" s="96">
        <f t="shared" si="29"/>
        <v>4037.8912</v>
      </c>
      <c r="O38" s="96">
        <f t="shared" si="29"/>
        <v>4228.0677600000008</v>
      </c>
      <c r="P38" s="96">
        <f t="shared" si="29"/>
        <v>4475.5377599999993</v>
      </c>
      <c r="Q38" s="96">
        <f t="shared" si="29"/>
        <v>4706.6371199999994</v>
      </c>
      <c r="R38" s="96">
        <f t="shared" si="29"/>
        <v>4926.9099532800001</v>
      </c>
    </row>
    <row r="39" spans="1:86" s="48" customFormat="1" x14ac:dyDescent="0.25">
      <c r="A39" s="1"/>
      <c r="B39" s="12" t="s">
        <v>19</v>
      </c>
      <c r="C39" s="106">
        <f t="shared" ref="C39:H39" si="30">C38/C35</f>
        <v>0.45679252627481509</v>
      </c>
      <c r="D39" s="106">
        <f t="shared" si="30"/>
        <v>-0.33333333333333331</v>
      </c>
      <c r="E39" s="106">
        <f t="shared" si="30"/>
        <v>0.19036050918278108</v>
      </c>
      <c r="F39" s="106">
        <f t="shared" si="30"/>
        <v>0.1878968253968254</v>
      </c>
      <c r="G39" s="106">
        <f t="shared" si="30"/>
        <v>0.19190109299408709</v>
      </c>
      <c r="H39" s="106">
        <f t="shared" si="30"/>
        <v>0.15001737317581654</v>
      </c>
      <c r="I39" s="104">
        <v>0.2014</v>
      </c>
      <c r="J39" s="105">
        <v>0.2014</v>
      </c>
      <c r="K39" s="105">
        <v>0.20280000000000001</v>
      </c>
      <c r="L39" s="105">
        <v>0.2</v>
      </c>
      <c r="M39" s="105">
        <v>0.2</v>
      </c>
      <c r="N39" s="105">
        <v>0.2</v>
      </c>
      <c r="O39" s="105">
        <v>0.2</v>
      </c>
      <c r="P39" s="105">
        <v>0.2</v>
      </c>
      <c r="Q39" s="105">
        <v>0.2</v>
      </c>
      <c r="R39" s="105">
        <v>0.2</v>
      </c>
    </row>
    <row r="40" spans="1:86" s="48" customFormat="1" x14ac:dyDescent="0.25">
      <c r="A40" s="1"/>
      <c r="B40" s="1"/>
      <c r="C40" s="83"/>
      <c r="D40" s="83"/>
      <c r="E40" s="83"/>
      <c r="F40" s="83"/>
      <c r="G40" s="83"/>
      <c r="H40" s="83"/>
      <c r="I40" s="84"/>
      <c r="J40" s="97"/>
      <c r="K40" s="97"/>
      <c r="L40" s="97"/>
      <c r="M40" s="97"/>
      <c r="N40" s="97"/>
      <c r="O40" s="97"/>
      <c r="P40" s="97"/>
      <c r="Q40" s="97"/>
      <c r="R40" s="97"/>
    </row>
    <row r="41" spans="1:86" s="48" customFormat="1" x14ac:dyDescent="0.25">
      <c r="A41" s="1"/>
      <c r="B41" s="9" t="s">
        <v>20</v>
      </c>
      <c r="C41" s="94">
        <v>2017</v>
      </c>
      <c r="D41" s="94">
        <v>2018</v>
      </c>
      <c r="E41" s="94">
        <v>2019</v>
      </c>
      <c r="F41" s="94">
        <v>2020</v>
      </c>
      <c r="G41" s="94">
        <v>2021</v>
      </c>
      <c r="H41" s="94">
        <v>2022</v>
      </c>
      <c r="I41" s="95">
        <v>2023</v>
      </c>
      <c r="J41" s="100">
        <v>2024</v>
      </c>
      <c r="K41" s="100">
        <v>2025</v>
      </c>
      <c r="L41" s="100">
        <v>2026</v>
      </c>
      <c r="M41" s="100">
        <v>2027</v>
      </c>
      <c r="N41" s="100">
        <v>2028</v>
      </c>
      <c r="O41" s="100">
        <v>2029</v>
      </c>
      <c r="P41" s="100">
        <v>2030</v>
      </c>
      <c r="Q41" s="100">
        <v>2031</v>
      </c>
      <c r="R41" s="100">
        <v>2032</v>
      </c>
      <c r="S41" s="9">
        <v>2033</v>
      </c>
      <c r="T41" s="9">
        <v>2034</v>
      </c>
      <c r="U41" s="9">
        <v>2035</v>
      </c>
      <c r="V41" s="9">
        <v>2036</v>
      </c>
      <c r="W41" s="9">
        <v>2037</v>
      </c>
      <c r="X41" s="9">
        <v>2038</v>
      </c>
      <c r="Y41" s="9">
        <v>2039</v>
      </c>
      <c r="Z41" s="9">
        <v>2040</v>
      </c>
      <c r="AA41" s="9">
        <v>2041</v>
      </c>
      <c r="AB41" s="9">
        <v>2042</v>
      </c>
      <c r="AC41" s="9">
        <v>2043</v>
      </c>
      <c r="AD41" s="9">
        <v>2044</v>
      </c>
      <c r="AE41" s="9">
        <v>2045</v>
      </c>
      <c r="AF41" s="9">
        <v>2046</v>
      </c>
      <c r="AG41" s="9">
        <v>2047</v>
      </c>
      <c r="AH41" s="9">
        <v>2048</v>
      </c>
      <c r="AI41" s="9">
        <v>2049</v>
      </c>
      <c r="AJ41" s="9">
        <v>2050</v>
      </c>
      <c r="AK41" s="9">
        <v>2051</v>
      </c>
      <c r="AL41" s="9">
        <v>2052</v>
      </c>
      <c r="AM41" s="9">
        <v>2053</v>
      </c>
      <c r="AN41" s="9">
        <v>2054</v>
      </c>
      <c r="AO41" s="9">
        <v>2055</v>
      </c>
      <c r="AP41" s="9">
        <v>2056</v>
      </c>
      <c r="AQ41" s="9">
        <v>2057</v>
      </c>
      <c r="AR41" s="9">
        <v>2058</v>
      </c>
      <c r="AS41" s="9">
        <v>2059</v>
      </c>
      <c r="AT41" s="9">
        <v>2060</v>
      </c>
      <c r="AU41" s="9">
        <v>2061</v>
      </c>
      <c r="AV41" s="9">
        <v>2062</v>
      </c>
      <c r="AW41" s="9">
        <v>2063</v>
      </c>
      <c r="AX41" s="9">
        <v>2064</v>
      </c>
      <c r="AY41" s="9">
        <v>2065</v>
      </c>
      <c r="AZ41" s="9">
        <v>2066</v>
      </c>
      <c r="BA41" s="9">
        <v>2067</v>
      </c>
      <c r="BB41" s="9">
        <v>2068</v>
      </c>
      <c r="BC41" s="9">
        <v>2069</v>
      </c>
      <c r="BD41" s="9">
        <v>2070</v>
      </c>
      <c r="BE41" s="9">
        <v>2071</v>
      </c>
      <c r="BF41" s="9">
        <v>2072</v>
      </c>
      <c r="BG41" s="9">
        <v>2073</v>
      </c>
      <c r="BH41" s="9">
        <v>2074</v>
      </c>
      <c r="BI41" s="9">
        <v>2075</v>
      </c>
      <c r="BJ41" s="9">
        <v>2076</v>
      </c>
      <c r="BK41" s="9">
        <v>2077</v>
      </c>
      <c r="BL41" s="9">
        <v>2078</v>
      </c>
      <c r="BM41" s="9">
        <v>2079</v>
      </c>
      <c r="BN41" s="9">
        <v>2080</v>
      </c>
      <c r="BO41" s="9">
        <v>2081</v>
      </c>
      <c r="BP41" s="9">
        <v>2082</v>
      </c>
      <c r="BQ41" s="9">
        <v>2083</v>
      </c>
      <c r="BR41" s="9">
        <v>2084</v>
      </c>
      <c r="BS41" s="9">
        <v>2085</v>
      </c>
      <c r="BT41" s="9">
        <v>2086</v>
      </c>
      <c r="BU41" s="9">
        <v>2087</v>
      </c>
      <c r="BV41" s="9">
        <v>2088</v>
      </c>
      <c r="BW41" s="9">
        <v>2089</v>
      </c>
      <c r="BX41" s="9">
        <v>2090</v>
      </c>
      <c r="BY41" s="9">
        <v>2091</v>
      </c>
      <c r="BZ41" s="9">
        <v>2092</v>
      </c>
      <c r="CA41" s="9">
        <v>2093</v>
      </c>
      <c r="CB41" s="9">
        <v>2094</v>
      </c>
      <c r="CC41" s="9">
        <v>2095</v>
      </c>
      <c r="CD41" s="9">
        <v>2096</v>
      </c>
      <c r="CE41" s="9">
        <v>2097</v>
      </c>
      <c r="CF41" s="9">
        <v>2098</v>
      </c>
      <c r="CG41" s="9">
        <v>2099</v>
      </c>
      <c r="CH41" s="9">
        <v>2100</v>
      </c>
    </row>
    <row r="42" spans="1:86" s="48" customFormat="1" x14ac:dyDescent="0.25">
      <c r="A42" s="1"/>
      <c r="B42" s="1" t="s">
        <v>21</v>
      </c>
      <c r="C42" s="82">
        <f>'Raw CF'!I8</f>
        <v>2369</v>
      </c>
      <c r="D42" s="82">
        <f>'Raw CF'!J8</f>
        <v>2399</v>
      </c>
      <c r="E42" s="82">
        <f>'Raw CF'!K8</f>
        <v>2432</v>
      </c>
      <c r="F42" s="82">
        <f>'Raw CF'!D7</f>
        <v>2548</v>
      </c>
      <c r="G42" s="82">
        <f>'Raw CF'!E7</f>
        <v>2710</v>
      </c>
      <c r="H42" s="82">
        <f>'Raw CF'!F7</f>
        <v>2763</v>
      </c>
      <c r="I42" s="88">
        <f t="shared" ref="I42:R42" si="31">I43*I11</f>
        <v>2980.0000000000005</v>
      </c>
      <c r="J42" s="96">
        <f t="shared" si="31"/>
        <v>3220.0000000000005</v>
      </c>
      <c r="K42" s="96">
        <f t="shared" si="31"/>
        <v>3440</v>
      </c>
      <c r="L42" s="96">
        <f t="shared" si="31"/>
        <v>3270</v>
      </c>
      <c r="M42" s="96">
        <f t="shared" si="31"/>
        <v>3350</v>
      </c>
      <c r="N42" s="96">
        <f t="shared" si="31"/>
        <v>4130</v>
      </c>
      <c r="O42" s="96">
        <f t="shared" si="31"/>
        <v>4240</v>
      </c>
      <c r="P42" s="96">
        <f t="shared" si="31"/>
        <v>4410</v>
      </c>
      <c r="Q42" s="96">
        <f t="shared" si="31"/>
        <v>4600</v>
      </c>
      <c r="R42" s="96">
        <f t="shared" si="31"/>
        <v>4765.546800000001</v>
      </c>
    </row>
    <row r="43" spans="1:86" s="48" customFormat="1" x14ac:dyDescent="0.25">
      <c r="A43" s="1"/>
      <c r="B43" s="12" t="s">
        <v>17</v>
      </c>
      <c r="C43" s="101">
        <f t="shared" ref="C43:Q43" si="32">C42/C11</f>
        <v>3.7292404565131838E-2</v>
      </c>
      <c r="D43" s="101">
        <f>D42/D11</f>
        <v>3.7101189279472944E-2</v>
      </c>
      <c r="E43" s="101">
        <f>E42/E11</f>
        <v>3.6211491788389095E-2</v>
      </c>
      <c r="F43" s="101">
        <f t="shared" si="32"/>
        <v>3.6207582561245948E-2</v>
      </c>
      <c r="G43" s="101">
        <f t="shared" si="32"/>
        <v>3.4099202254825475E-2</v>
      </c>
      <c r="H43" s="101">
        <f t="shared" si="32"/>
        <v>3.198212797481248E-2</v>
      </c>
      <c r="I43" s="102">
        <v>3.2758052105089593E-2</v>
      </c>
      <c r="J43" s="103">
        <v>3.3710217755443889E-2</v>
      </c>
      <c r="K43" s="103">
        <v>3.4513895856325874E-2</v>
      </c>
      <c r="L43" s="103">
        <v>3.1247013855709504E-2</v>
      </c>
      <c r="M43" s="103">
        <v>3.0621572212065813E-2</v>
      </c>
      <c r="N43" s="103">
        <v>3.5677263303386324E-2</v>
      </c>
      <c r="O43" s="103">
        <v>3.5430767945182587E-2</v>
      </c>
      <c r="P43" s="103">
        <v>3.5305419902329681E-2</v>
      </c>
      <c r="Q43" s="103">
        <v>3.5270664008587638E-2</v>
      </c>
      <c r="R43" s="103">
        <v>3.5000000000000003E-2</v>
      </c>
    </row>
    <row r="44" spans="1:86" s="48" customFormat="1" x14ac:dyDescent="0.25">
      <c r="A44" s="1"/>
      <c r="B44" s="1"/>
      <c r="C44" s="83"/>
      <c r="D44" s="83"/>
      <c r="E44" s="83"/>
      <c r="F44" s="83"/>
      <c r="G44" s="83"/>
      <c r="H44" s="83"/>
      <c r="I44" s="84"/>
      <c r="J44" s="97"/>
      <c r="K44" s="97"/>
      <c r="L44" s="97"/>
      <c r="M44" s="97"/>
      <c r="N44" s="97"/>
      <c r="O44" s="97"/>
      <c r="P44" s="97"/>
      <c r="Q44" s="97"/>
      <c r="R44" s="97"/>
    </row>
    <row r="45" spans="1:86" s="48" customFormat="1" x14ac:dyDescent="0.25">
      <c r="A45" s="1"/>
      <c r="B45" s="1" t="s">
        <v>22</v>
      </c>
      <c r="C45" s="82">
        <f>'Raw CF'!I28+'Raw CF'!I29</f>
        <v>-2789</v>
      </c>
      <c r="D45" s="82">
        <f>'Raw CF'!J28+'Raw CF'!J29</f>
        <v>-3148</v>
      </c>
      <c r="E45" s="82">
        <f>'Raw CF'!K28+'Raw CF'!K29</f>
        <v>-4062</v>
      </c>
      <c r="F45" s="82">
        <f>'Raw CF'!D31+'Raw CF'!D32</f>
        <v>-4185</v>
      </c>
      <c r="G45" s="82">
        <f>'Raw CF'!E31+'Raw CF'!E32</f>
        <v>-4459</v>
      </c>
      <c r="H45" s="82">
        <f>'Raw CF'!F31+'Raw CF'!F32</f>
        <v>-4956</v>
      </c>
      <c r="I45" s="88">
        <f>I46*I11</f>
        <v>-5160</v>
      </c>
      <c r="J45" s="96">
        <f t="shared" ref="J45:R45" si="33">J46*J11</f>
        <v>-5150</v>
      </c>
      <c r="K45" s="96">
        <f t="shared" si="33"/>
        <v>-5360</v>
      </c>
      <c r="L45" s="96">
        <f t="shared" si="33"/>
        <v>-5550</v>
      </c>
      <c r="M45" s="96">
        <f t="shared" si="33"/>
        <v>-5770</v>
      </c>
      <c r="N45" s="96">
        <f t="shared" si="33"/>
        <v>-6480</v>
      </c>
      <c r="O45" s="96">
        <f t="shared" si="33"/>
        <v>-6580</v>
      </c>
      <c r="P45" s="96">
        <f t="shared" si="33"/>
        <v>-6750</v>
      </c>
      <c r="Q45" s="96">
        <f t="shared" si="33"/>
        <v>-6910</v>
      </c>
      <c r="R45" s="96">
        <f t="shared" si="33"/>
        <v>-7080</v>
      </c>
    </row>
    <row r="46" spans="1:86" s="48" customFormat="1" x14ac:dyDescent="0.25">
      <c r="A46" s="1"/>
      <c r="B46" s="12" t="s">
        <v>17</v>
      </c>
      <c r="C46" s="101">
        <f t="shared" ref="C46:R46" si="34">C45/C11</f>
        <v>-4.3903974813065724E-2</v>
      </c>
      <c r="D46" s="101">
        <f>D45/D11</f>
        <v>-4.8684678554306304E-2</v>
      </c>
      <c r="E46" s="101">
        <f>E45/E11</f>
        <v>-6.0481529459061059E-2</v>
      </c>
      <c r="F46" s="101">
        <f t="shared" si="34"/>
        <v>-5.9469675439095093E-2</v>
      </c>
      <c r="G46" s="101">
        <f t="shared" si="34"/>
        <v>-5.6106399577220224E-2</v>
      </c>
      <c r="H46" s="101">
        <f t="shared" si="34"/>
        <v>-5.7366422816927491E-2</v>
      </c>
      <c r="I46" s="102">
        <v>-5.6721996262504119E-2</v>
      </c>
      <c r="J46" s="103">
        <v>-5.3915410385259634E-2</v>
      </c>
      <c r="K46" s="103">
        <v>-5.3777465636600782E-2</v>
      </c>
      <c r="L46" s="103">
        <v>-5.3033922599139985E-2</v>
      </c>
      <c r="M46" s="103">
        <v>-5.2742230347349178E-2</v>
      </c>
      <c r="N46" s="103">
        <v>-5.5977885279889436E-2</v>
      </c>
      <c r="O46" s="103">
        <v>-5.4984540820589962E-2</v>
      </c>
      <c r="P46" s="103">
        <v>-5.4038908013769919E-2</v>
      </c>
      <c r="Q46" s="103">
        <v>-5.298267136942187E-2</v>
      </c>
      <c r="R46" s="103">
        <v>-5.1998230297518003E-2</v>
      </c>
    </row>
    <row r="47" spans="1:86" s="48" customFormat="1" x14ac:dyDescent="0.25">
      <c r="A47" s="1"/>
      <c r="B47" s="1"/>
      <c r="C47" s="83"/>
      <c r="D47" s="83"/>
      <c r="E47" s="83"/>
      <c r="F47" s="83"/>
      <c r="G47" s="83"/>
      <c r="H47" s="83"/>
      <c r="I47" s="84"/>
      <c r="J47" s="97"/>
      <c r="K47" s="97"/>
      <c r="L47" s="97"/>
      <c r="M47" s="97"/>
      <c r="N47" s="97"/>
      <c r="O47" s="97"/>
      <c r="P47" s="97"/>
      <c r="Q47" s="97"/>
      <c r="R47" s="97"/>
    </row>
    <row r="48" spans="1:86" s="48" customFormat="1" x14ac:dyDescent="0.25">
      <c r="A48" s="1"/>
      <c r="B48" s="1" t="s">
        <v>23</v>
      </c>
      <c r="C48" s="83">
        <f>SUM('Raw CF'!I19:I24)</f>
        <v>-792</v>
      </c>
      <c r="D48" s="83">
        <f>SUM('Raw CF'!J19:J24)</f>
        <v>656</v>
      </c>
      <c r="E48" s="83">
        <f>SUM('Raw CF'!K19:K24)</f>
        <v>-216</v>
      </c>
      <c r="F48" s="83">
        <f>SUM('Raw CF'!D22:D27)</f>
        <v>-139</v>
      </c>
      <c r="G48" s="83">
        <f>SUM('Raw CF'!E22:E27)</f>
        <v>1093</v>
      </c>
      <c r="H48" s="83">
        <f>SUM('Raw CF'!F22:F27)</f>
        <v>-1247</v>
      </c>
      <c r="I48" s="88">
        <f>I49*I11</f>
        <v>-636.79</v>
      </c>
      <c r="J48" s="96">
        <f t="shared" ref="I48:R48" si="35">J49*J11</f>
        <v>286.56</v>
      </c>
      <c r="K48" s="96">
        <f t="shared" si="35"/>
        <v>-299.01</v>
      </c>
      <c r="L48" s="96">
        <f t="shared" si="35"/>
        <v>-313.95000000000005</v>
      </c>
      <c r="M48" s="96">
        <f t="shared" si="35"/>
        <v>-328.2</v>
      </c>
      <c r="N48" s="96">
        <f t="shared" si="35"/>
        <v>-347.28</v>
      </c>
      <c r="O48" s="96">
        <f t="shared" si="35"/>
        <v>-359.01</v>
      </c>
      <c r="P48" s="96">
        <f t="shared" si="35"/>
        <v>-374.72999999999996</v>
      </c>
      <c r="Q48" s="96">
        <f t="shared" si="35"/>
        <v>-391.26</v>
      </c>
      <c r="R48" s="96">
        <f t="shared" si="35"/>
        <v>-408.47544000000005</v>
      </c>
    </row>
    <row r="49" spans="1:86" s="48" customFormat="1" x14ac:dyDescent="0.25">
      <c r="A49" s="1"/>
      <c r="B49" s="12" t="s">
        <v>17</v>
      </c>
      <c r="C49" s="101">
        <f t="shared" ref="C49:H49" si="36">C48/C11</f>
        <v>-1.2467532467532468E-2</v>
      </c>
      <c r="D49" s="101">
        <f>D48/D11</f>
        <v>1.0145218910935495E-2</v>
      </c>
      <c r="E49" s="101">
        <f>E48/E11</f>
        <v>-3.2161522312056105E-3</v>
      </c>
      <c r="F49" s="101">
        <f t="shared" si="36"/>
        <v>-1.9752174160177342E-3</v>
      </c>
      <c r="G49" s="101">
        <f t="shared" si="36"/>
        <v>1.3752925485064297E-2</v>
      </c>
      <c r="H49" s="101">
        <f t="shared" si="36"/>
        <v>-1.4434206871006574E-2</v>
      </c>
      <c r="I49" s="107">
        <v>-7.0000000000000001E-3</v>
      </c>
      <c r="J49" s="108">
        <v>3.0000000000000001E-3</v>
      </c>
      <c r="K49" s="108">
        <v>-3.0000000000000001E-3</v>
      </c>
      <c r="L49" s="108">
        <v>-3.0000000000000001E-3</v>
      </c>
      <c r="M49" s="108">
        <v>-3.0000000000000001E-3</v>
      </c>
      <c r="N49" s="108">
        <v>-3.0000000000000001E-3</v>
      </c>
      <c r="O49" s="108">
        <v>-3.0000000000000001E-3</v>
      </c>
      <c r="P49" s="108">
        <v>-3.0000000000000001E-3</v>
      </c>
      <c r="Q49" s="108">
        <v>-3.0000000000000001E-3</v>
      </c>
      <c r="R49" s="108">
        <v>-3.0000000000000001E-3</v>
      </c>
    </row>
    <row r="50" spans="1:86" s="48" customFormat="1" x14ac:dyDescent="0.25">
      <c r="A50" s="1"/>
      <c r="B50" s="1"/>
      <c r="C50" s="83"/>
      <c r="D50" s="83"/>
      <c r="E50" s="83"/>
      <c r="F50" s="83"/>
      <c r="G50" s="83"/>
      <c r="H50" s="83"/>
      <c r="I50" s="84"/>
      <c r="J50" s="97"/>
      <c r="K50" s="97"/>
      <c r="L50" s="97"/>
      <c r="M50" s="97"/>
      <c r="N50" s="97"/>
      <c r="O50" s="97"/>
      <c r="P50" s="97"/>
      <c r="Q50" s="97"/>
      <c r="R50" s="97"/>
    </row>
    <row r="51" spans="1:86" s="48" customFormat="1" x14ac:dyDescent="0.25">
      <c r="A51" s="1"/>
      <c r="B51" s="9" t="s">
        <v>24</v>
      </c>
      <c r="C51" s="82">
        <f>C35-C38</f>
        <v>5582</v>
      </c>
      <c r="D51" s="82">
        <f t="shared" ref="D51:H51" si="37">D35-D38</f>
        <v>13480</v>
      </c>
      <c r="E51" s="82">
        <f t="shared" si="37"/>
        <v>8332</v>
      </c>
      <c r="F51" s="82">
        <f t="shared" si="37"/>
        <v>8186</v>
      </c>
      <c r="G51" s="82">
        <f t="shared" si="37"/>
        <v>9020</v>
      </c>
      <c r="H51" s="82">
        <f t="shared" si="37"/>
        <v>9785</v>
      </c>
      <c r="I51" s="89">
        <f>I35-I38</f>
        <v>11184.54367100223</v>
      </c>
      <c r="J51" s="99">
        <f t="shared" ref="J51:R51" si="38">J35-J38</f>
        <v>12181.668588660285</v>
      </c>
      <c r="K51" s="99">
        <f t="shared" si="38"/>
        <v>13057.763097664065</v>
      </c>
      <c r="L51" s="99">
        <f t="shared" si="38"/>
        <v>13998.006400000002</v>
      </c>
      <c r="M51" s="99">
        <f t="shared" si="38"/>
        <v>15187.411199999997</v>
      </c>
      <c r="N51" s="99">
        <f t="shared" si="38"/>
        <v>16151.564799999998</v>
      </c>
      <c r="O51" s="99">
        <f t="shared" si="38"/>
        <v>16912.271040000003</v>
      </c>
      <c r="P51" s="99">
        <f t="shared" si="38"/>
        <v>17902.151039999997</v>
      </c>
      <c r="Q51" s="99">
        <f t="shared" si="38"/>
        <v>18826.548479999998</v>
      </c>
      <c r="R51" s="99">
        <f t="shared" si="38"/>
        <v>19707.63981312</v>
      </c>
    </row>
    <row r="52" spans="1:86" s="48" customFormat="1" x14ac:dyDescent="0.25">
      <c r="A52" s="1"/>
      <c r="B52" s="9" t="s">
        <v>53</v>
      </c>
      <c r="C52" s="82">
        <f>'Raw IS'!I17</f>
        <v>51</v>
      </c>
      <c r="D52" s="82">
        <f>'Raw IS'!J17</f>
        <v>44</v>
      </c>
      <c r="E52" s="82">
        <f>'Raw IS'!K17</f>
        <v>39</v>
      </c>
      <c r="F52" s="82">
        <f>'Raw IS'!D18</f>
        <v>55</v>
      </c>
      <c r="G52" s="82">
        <f>'Raw IS'!E18</f>
        <v>61</v>
      </c>
      <c r="H52" s="82">
        <f>'Raw IS'!F18</f>
        <v>68</v>
      </c>
      <c r="I52" s="89">
        <v>70</v>
      </c>
      <c r="J52" s="99">
        <f>I52+5</f>
        <v>75</v>
      </c>
      <c r="K52" s="99">
        <f t="shared" ref="K52:R52" si="39">J52+5</f>
        <v>80</v>
      </c>
      <c r="L52" s="99">
        <f t="shared" si="39"/>
        <v>85</v>
      </c>
      <c r="M52" s="99">
        <f t="shared" si="39"/>
        <v>90</v>
      </c>
      <c r="N52" s="99">
        <f t="shared" si="39"/>
        <v>95</v>
      </c>
      <c r="O52" s="99">
        <f t="shared" si="39"/>
        <v>100</v>
      </c>
      <c r="P52" s="99">
        <f t="shared" si="39"/>
        <v>105</v>
      </c>
      <c r="Q52" s="99">
        <f t="shared" si="39"/>
        <v>110</v>
      </c>
      <c r="R52" s="99">
        <f t="shared" si="39"/>
        <v>115</v>
      </c>
    </row>
    <row r="53" spans="1:86" s="48" customFormat="1" x14ac:dyDescent="0.25">
      <c r="A53" s="1"/>
      <c r="B53" s="9" t="s">
        <v>25</v>
      </c>
      <c r="C53" s="82">
        <f t="shared" ref="C53:F53" si="40">C33-C38-C52</f>
        <v>4857</v>
      </c>
      <c r="D53" s="82">
        <f t="shared" si="40"/>
        <v>12515</v>
      </c>
      <c r="E53" s="82">
        <f t="shared" si="40"/>
        <v>7314</v>
      </c>
      <c r="F53" s="82">
        <f t="shared" si="40"/>
        <v>7120</v>
      </c>
      <c r="G53" s="82">
        <f>G33-G38-G52</f>
        <v>7618</v>
      </c>
      <c r="H53" s="82">
        <f>H33-H38-H52</f>
        <v>8910</v>
      </c>
      <c r="I53" s="89">
        <f>I33-I38-I52</f>
        <v>9840.9636710022278</v>
      </c>
      <c r="J53" s="99">
        <f t="shared" ref="I53:R53" si="41">J33-J38-J52</f>
        <v>10769.388588660284</v>
      </c>
      <c r="K53" s="99">
        <f t="shared" si="41"/>
        <v>11582.383097664064</v>
      </c>
      <c r="L53" s="99">
        <f t="shared" si="41"/>
        <v>12447.9064</v>
      </c>
      <c r="M53" s="99">
        <f t="shared" si="41"/>
        <v>13565.811199999998</v>
      </c>
      <c r="N53" s="99">
        <f t="shared" si="41"/>
        <v>14435.924799999999</v>
      </c>
      <c r="O53" s="99">
        <f t="shared" si="41"/>
        <v>15136.891040000002</v>
      </c>
      <c r="P53" s="99">
        <f t="shared" si="41"/>
        <v>16048.411039999999</v>
      </c>
      <c r="Q53" s="99">
        <f t="shared" si="41"/>
        <v>16890.668479999997</v>
      </c>
      <c r="R53" s="99">
        <f t="shared" si="41"/>
        <v>17686.42109312</v>
      </c>
      <c r="S53" s="49">
        <f>R53*(1+$E$6)</f>
        <v>18040.1495149824</v>
      </c>
      <c r="T53" s="49">
        <f t="shared" ref="T53:CE53" si="42">S53*(1+$E$6)</f>
        <v>18400.95250528205</v>
      </c>
      <c r="U53" s="49">
        <f t="shared" si="42"/>
        <v>18768.971555387692</v>
      </c>
      <c r="V53" s="49">
        <f t="shared" si="42"/>
        <v>19144.350986495447</v>
      </c>
      <c r="W53" s="49">
        <f t="shared" si="42"/>
        <v>19527.238006225354</v>
      </c>
      <c r="X53" s="49">
        <f t="shared" si="42"/>
        <v>19917.782766349861</v>
      </c>
      <c r="Y53" s="49">
        <f t="shared" si="42"/>
        <v>20316.13842167686</v>
      </c>
      <c r="Z53" s="49">
        <f t="shared" si="42"/>
        <v>20722.461190110396</v>
      </c>
      <c r="AA53" s="49">
        <f t="shared" si="42"/>
        <v>21136.910413912603</v>
      </c>
      <c r="AB53" s="49">
        <f t="shared" si="42"/>
        <v>21559.648622190856</v>
      </c>
      <c r="AC53" s="49">
        <f t="shared" si="42"/>
        <v>21990.841594634672</v>
      </c>
      <c r="AD53" s="49">
        <f t="shared" si="42"/>
        <v>22430.658426527367</v>
      </c>
      <c r="AE53" s="49">
        <f t="shared" si="42"/>
        <v>22879.271595057915</v>
      </c>
      <c r="AF53" s="49">
        <f t="shared" si="42"/>
        <v>23336.857026959075</v>
      </c>
      <c r="AG53" s="49">
        <f t="shared" si="42"/>
        <v>23803.594167498257</v>
      </c>
      <c r="AH53" s="49">
        <f t="shared" si="42"/>
        <v>24279.666050848224</v>
      </c>
      <c r="AI53" s="49">
        <f t="shared" si="42"/>
        <v>24765.259371865188</v>
      </c>
      <c r="AJ53" s="49">
        <f t="shared" si="42"/>
        <v>25260.564559302493</v>
      </c>
      <c r="AK53" s="49">
        <f t="shared" si="42"/>
        <v>25765.775850488542</v>
      </c>
      <c r="AL53" s="49">
        <f t="shared" si="42"/>
        <v>26281.091367498313</v>
      </c>
      <c r="AM53" s="49">
        <f t="shared" si="42"/>
        <v>26806.713194848278</v>
      </c>
      <c r="AN53" s="49">
        <f t="shared" si="42"/>
        <v>27342.847458745244</v>
      </c>
      <c r="AO53" s="49">
        <f t="shared" si="42"/>
        <v>27889.704407920148</v>
      </c>
      <c r="AP53" s="49">
        <f t="shared" si="42"/>
        <v>28447.498496078551</v>
      </c>
      <c r="AQ53" s="49">
        <f t="shared" si="42"/>
        <v>29016.448466000122</v>
      </c>
      <c r="AR53" s="49">
        <f t="shared" si="42"/>
        <v>29596.777435320124</v>
      </c>
      <c r="AS53" s="49">
        <f t="shared" si="42"/>
        <v>30188.712984026526</v>
      </c>
      <c r="AT53" s="49">
        <f t="shared" si="42"/>
        <v>30792.487243707059</v>
      </c>
      <c r="AU53" s="49">
        <f t="shared" si="42"/>
        <v>31408.336988581199</v>
      </c>
      <c r="AV53" s="49">
        <f t="shared" si="42"/>
        <v>32036.503728352822</v>
      </c>
      <c r="AW53" s="49">
        <f t="shared" si="42"/>
        <v>32677.23380291988</v>
      </c>
      <c r="AX53" s="49">
        <f t="shared" si="42"/>
        <v>33330.778478978275</v>
      </c>
      <c r="AY53" s="49">
        <f t="shared" si="42"/>
        <v>33997.394048557842</v>
      </c>
      <c r="AZ53" s="49">
        <f t="shared" si="42"/>
        <v>34677.341929529</v>
      </c>
      <c r="BA53" s="49">
        <f t="shared" si="42"/>
        <v>35370.888768119585</v>
      </c>
      <c r="BB53" s="49">
        <f t="shared" si="42"/>
        <v>36078.30654348198</v>
      </c>
      <c r="BC53" s="49">
        <f t="shared" si="42"/>
        <v>36799.872674351624</v>
      </c>
      <c r="BD53" s="49">
        <f t="shared" si="42"/>
        <v>37535.870127838658</v>
      </c>
      <c r="BE53" s="49">
        <f t="shared" si="42"/>
        <v>38286.587530395431</v>
      </c>
      <c r="BF53" s="49">
        <f t="shared" si="42"/>
        <v>39052.319281003343</v>
      </c>
      <c r="BG53" s="49">
        <f t="shared" si="42"/>
        <v>39833.365666623409</v>
      </c>
      <c r="BH53" s="49">
        <f t="shared" si="42"/>
        <v>40630.032979955875</v>
      </c>
      <c r="BI53" s="49">
        <f t="shared" si="42"/>
        <v>41442.633639554995</v>
      </c>
      <c r="BJ53" s="49">
        <f t="shared" si="42"/>
        <v>42271.486312346096</v>
      </c>
      <c r="BK53" s="49">
        <f t="shared" si="42"/>
        <v>43116.916038593023</v>
      </c>
      <c r="BL53" s="49">
        <f t="shared" si="42"/>
        <v>43979.254359364881</v>
      </c>
      <c r="BM53" s="49">
        <f t="shared" si="42"/>
        <v>44858.839446552178</v>
      </c>
      <c r="BN53" s="49">
        <f t="shared" si="42"/>
        <v>45756.016235483221</v>
      </c>
      <c r="BO53" s="49">
        <f t="shared" si="42"/>
        <v>46671.136560192885</v>
      </c>
      <c r="BP53" s="49">
        <f t="shared" si="42"/>
        <v>47604.559291396741</v>
      </c>
      <c r="BQ53" s="49">
        <f t="shared" si="42"/>
        <v>48556.650477224677</v>
      </c>
      <c r="BR53" s="49">
        <f t="shared" si="42"/>
        <v>49527.783486769171</v>
      </c>
      <c r="BS53" s="49">
        <f t="shared" si="42"/>
        <v>50518.339156504553</v>
      </c>
      <c r="BT53" s="49">
        <f t="shared" si="42"/>
        <v>51528.705939634645</v>
      </c>
      <c r="BU53" s="49">
        <f t="shared" si="42"/>
        <v>52559.280058427335</v>
      </c>
      <c r="BV53" s="49">
        <f t="shared" si="42"/>
        <v>53610.46565959588</v>
      </c>
      <c r="BW53" s="49">
        <f t="shared" si="42"/>
        <v>54682.674972787798</v>
      </c>
      <c r="BX53" s="49">
        <f t="shared" si="42"/>
        <v>55776.328472243556</v>
      </c>
      <c r="BY53" s="49">
        <f t="shared" si="42"/>
        <v>56891.855041688432</v>
      </c>
      <c r="BZ53" s="49">
        <f t="shared" si="42"/>
        <v>58029.692142522203</v>
      </c>
      <c r="CA53" s="49">
        <f t="shared" si="42"/>
        <v>59190.285985372648</v>
      </c>
      <c r="CB53" s="49">
        <f t="shared" si="42"/>
        <v>60374.0917050801</v>
      </c>
      <c r="CC53" s="49">
        <f t="shared" si="42"/>
        <v>61581.5735391817</v>
      </c>
      <c r="CD53" s="49">
        <f t="shared" si="42"/>
        <v>62813.205009965335</v>
      </c>
      <c r="CE53" s="49">
        <f t="shared" si="42"/>
        <v>64069.469110164646</v>
      </c>
      <c r="CF53" s="49">
        <f t="shared" ref="CF53:CH53" si="43">CE53*(1+$E$6)</f>
        <v>65350.858492367937</v>
      </c>
      <c r="CG53" s="49">
        <f t="shared" si="43"/>
        <v>66657.875662215301</v>
      </c>
      <c r="CH53" s="49">
        <f t="shared" si="43"/>
        <v>67991.033175459612</v>
      </c>
    </row>
    <row r="54" spans="1:86" s="48" customFormat="1" x14ac:dyDescent="0.25">
      <c r="A54" s="1"/>
      <c r="B54" s="6"/>
      <c r="C54" s="82"/>
      <c r="D54" s="82"/>
      <c r="E54" s="82"/>
      <c r="F54" s="82"/>
      <c r="G54" s="82"/>
      <c r="H54" s="82"/>
      <c r="I54" s="84"/>
      <c r="J54" s="97"/>
      <c r="K54" s="97"/>
      <c r="L54" s="97"/>
      <c r="M54" s="97"/>
      <c r="N54" s="97"/>
      <c r="O54" s="97"/>
      <c r="P54" s="97"/>
      <c r="Q54" s="97"/>
      <c r="R54" s="97"/>
    </row>
    <row r="55" spans="1:86" s="48" customFormat="1" x14ac:dyDescent="0.25">
      <c r="A55" s="1"/>
      <c r="B55" s="9" t="s">
        <v>26</v>
      </c>
      <c r="C55" s="82">
        <f>C51+C42+C45-C48</f>
        <v>5954</v>
      </c>
      <c r="D55" s="82">
        <f t="shared" ref="C55:R55" si="44">D51+D42+D45-D48</f>
        <v>12075</v>
      </c>
      <c r="E55" s="82">
        <f t="shared" si="44"/>
        <v>6918</v>
      </c>
      <c r="F55" s="82">
        <f t="shared" si="44"/>
        <v>6688</v>
      </c>
      <c r="G55" s="82">
        <f t="shared" si="44"/>
        <v>6178</v>
      </c>
      <c r="H55" s="82">
        <f t="shared" si="44"/>
        <v>8839</v>
      </c>
      <c r="I55" s="89">
        <f t="shared" si="44"/>
        <v>9641.3336710022304</v>
      </c>
      <c r="J55" s="99">
        <f t="shared" si="44"/>
        <v>9965.108588660285</v>
      </c>
      <c r="K55" s="99">
        <f t="shared" si="44"/>
        <v>11436.773097664065</v>
      </c>
      <c r="L55" s="99">
        <f t="shared" si="44"/>
        <v>12031.956400000003</v>
      </c>
      <c r="M55" s="99">
        <f t="shared" si="44"/>
        <v>13095.611199999996</v>
      </c>
      <c r="N55" s="99">
        <f t="shared" si="44"/>
        <v>14148.844800000001</v>
      </c>
      <c r="O55" s="99">
        <f t="shared" si="44"/>
        <v>14931.281040000003</v>
      </c>
      <c r="P55" s="99">
        <f t="shared" si="44"/>
        <v>15936.881039999997</v>
      </c>
      <c r="Q55" s="99">
        <f t="shared" si="44"/>
        <v>16907.808479999996</v>
      </c>
      <c r="R55" s="99">
        <f t="shared" si="44"/>
        <v>17801.662053119999</v>
      </c>
    </row>
    <row r="56" spans="1:86" s="48" customFormat="1" x14ac:dyDescent="0.25">
      <c r="A56" s="1"/>
      <c r="B56" s="20" t="s">
        <v>27</v>
      </c>
      <c r="C56" s="1"/>
      <c r="D56" s="1"/>
      <c r="E56" s="1"/>
      <c r="F56" s="1"/>
      <c r="G56" s="1"/>
      <c r="H56" s="1"/>
      <c r="I56" s="64">
        <f t="shared" ref="I56:R56" si="45">I55/((1+$E$5)^I9)</f>
        <v>9015.340263562277</v>
      </c>
      <c r="J56" s="65">
        <f t="shared" si="45"/>
        <v>8713.0870801051024</v>
      </c>
      <c r="K56" s="65">
        <f t="shared" si="45"/>
        <v>9350.5796363542104</v>
      </c>
      <c r="L56" s="65">
        <f t="shared" si="45"/>
        <v>9198.4846382471515</v>
      </c>
      <c r="M56" s="65">
        <f t="shared" si="45"/>
        <v>9361.615936042992</v>
      </c>
      <c r="N56" s="65">
        <f t="shared" si="45"/>
        <v>9457.8198981683381</v>
      </c>
      <c r="O56" s="65">
        <f t="shared" si="45"/>
        <v>9332.8038073191474</v>
      </c>
      <c r="P56" s="65">
        <f t="shared" si="45"/>
        <v>9314.5827798020491</v>
      </c>
      <c r="Q56" s="65">
        <f t="shared" si="45"/>
        <v>9240.4347585334017</v>
      </c>
      <c r="R56" s="65">
        <f t="shared" si="45"/>
        <v>9097.2608345495482</v>
      </c>
    </row>
    <row r="57" spans="1:86" x14ac:dyDescent="0.25">
      <c r="A57" s="1"/>
      <c r="B57" s="21"/>
      <c r="C57" s="21"/>
      <c r="D57" s="21"/>
      <c r="E57" s="21"/>
      <c r="F57" s="21"/>
      <c r="G57" s="21"/>
      <c r="H57" s="21"/>
      <c r="I57" s="11"/>
      <c r="J57" s="79"/>
      <c r="K57" s="79"/>
      <c r="L57" s="79"/>
      <c r="M57" s="79"/>
      <c r="N57" s="79"/>
      <c r="O57" s="79"/>
      <c r="P57" s="79"/>
      <c r="Q57" s="79"/>
      <c r="R57" s="79"/>
    </row>
    <row r="58" spans="1:86" x14ac:dyDescent="0.25">
      <c r="A58" s="1"/>
      <c r="B58" s="1" t="s">
        <v>28</v>
      </c>
      <c r="C58" s="22">
        <f>(R55*(1+$E$6))/($E$5-$E$6)</f>
        <v>367293.52123798413</v>
      </c>
      <c r="D58" s="1"/>
      <c r="E58" s="1" t="s">
        <v>29</v>
      </c>
      <c r="F58" s="16">
        <f>NPV($E$5,I53:CH53)</f>
        <v>273083.90970617888</v>
      </c>
      <c r="G58" s="1"/>
      <c r="H58" s="1"/>
      <c r="I58" s="34"/>
      <c r="J58" s="80"/>
      <c r="R58" s="80"/>
    </row>
    <row r="59" spans="1:86" x14ac:dyDescent="0.25">
      <c r="A59" s="1"/>
      <c r="B59" s="3" t="s">
        <v>30</v>
      </c>
      <c r="C59" s="23">
        <f>C58/((1+$E$5)^$R$9)</f>
        <v>187699.60667557348</v>
      </c>
      <c r="D59" s="14"/>
      <c r="E59" s="3"/>
      <c r="F59" s="3"/>
      <c r="G59" s="3"/>
      <c r="H59" s="14"/>
      <c r="I59" s="17"/>
      <c r="J59" s="81"/>
      <c r="L59" s="50" t="s">
        <v>50</v>
      </c>
      <c r="M59" s="51"/>
      <c r="N59" s="51"/>
      <c r="O59" s="51"/>
      <c r="P59" s="51"/>
      <c r="Q59" s="50"/>
      <c r="R59" s="81"/>
    </row>
    <row r="60" spans="1:86" x14ac:dyDescent="0.25">
      <c r="A60" s="1"/>
      <c r="B60" s="6" t="s">
        <v>31</v>
      </c>
      <c r="C60" s="6"/>
      <c r="D60" s="1"/>
      <c r="E60" s="6"/>
      <c r="F60" s="6"/>
      <c r="G60" s="24" t="s">
        <v>32</v>
      </c>
      <c r="H60" s="24" t="s">
        <v>29</v>
      </c>
      <c r="I60" s="11"/>
      <c r="J60" s="1"/>
      <c r="K60" s="50"/>
      <c r="L60" s="55">
        <f>E66</f>
        <v>200.40156286648721</v>
      </c>
      <c r="M60" s="63">
        <v>-0.01</v>
      </c>
      <c r="N60" s="63">
        <v>0.01</v>
      </c>
      <c r="O60" s="63">
        <v>0.02</v>
      </c>
      <c r="P60" s="63">
        <v>0.03</v>
      </c>
      <c r="Q60" s="63">
        <v>3.5000000000000003E-2</v>
      </c>
    </row>
    <row r="61" spans="1:86" x14ac:dyDescent="0.25">
      <c r="A61" s="1"/>
      <c r="B61" s="25" t="s">
        <v>33</v>
      </c>
      <c r="C61" s="1"/>
      <c r="D61" s="33">
        <f>4770+434</f>
        <v>5204</v>
      </c>
      <c r="E61" s="1"/>
      <c r="F61" s="1"/>
      <c r="G61" s="22">
        <f>C59+SUM(I56:R56)</f>
        <v>279781.61630825768</v>
      </c>
      <c r="H61" s="16">
        <f>F58</f>
        <v>273083.90970617888</v>
      </c>
      <c r="I61" s="11"/>
      <c r="K61" s="50"/>
      <c r="L61" s="52">
        <f>L62-0.5%</f>
        <v>5.9436470409227025E-2</v>
      </c>
      <c r="M61" s="56">
        <f t="dataTable" ref="M61:Q65" dt2D="1" dtr="1" r1="E6" r2="E5"/>
        <v>173.61627391328472</v>
      </c>
      <c r="N61" s="56">
        <v>215.70856726317021</v>
      </c>
      <c r="O61" s="56">
        <v>250.62918504837384</v>
      </c>
      <c r="P61" s="56">
        <v>304.87410224834605</v>
      </c>
      <c r="Q61" s="56">
        <v>345.2679085961858</v>
      </c>
    </row>
    <row r="62" spans="1:86" x14ac:dyDescent="0.25">
      <c r="A62" s="1"/>
      <c r="B62" s="26" t="s">
        <v>34</v>
      </c>
      <c r="C62" s="3"/>
      <c r="D62" s="35">
        <v>4281</v>
      </c>
      <c r="E62" s="3"/>
      <c r="F62" s="3"/>
      <c r="G62" s="3"/>
      <c r="H62" s="3"/>
      <c r="I62" s="11"/>
      <c r="K62" s="51"/>
      <c r="L62" s="52">
        <f>L63-0.5%</f>
        <v>6.4436470409227023E-2</v>
      </c>
      <c r="M62" s="56">
        <v>160.67031606950701</v>
      </c>
      <c r="N62" s="57">
        <v>195.28498373216547</v>
      </c>
      <c r="O62" s="57">
        <v>222.96405697637493</v>
      </c>
      <c r="P62" s="57">
        <v>264.11241814078892</v>
      </c>
      <c r="Q62" s="56">
        <v>293.22866540870854</v>
      </c>
      <c r="R62" s="44"/>
    </row>
    <row r="63" spans="1:86" x14ac:dyDescent="0.25">
      <c r="A63" s="1"/>
      <c r="B63" s="6" t="s">
        <v>35</v>
      </c>
      <c r="C63" s="6"/>
      <c r="D63" s="6"/>
      <c r="E63" s="6"/>
      <c r="F63" s="6"/>
      <c r="G63" s="27">
        <f>G61+D61-D62</f>
        <v>280704.61630825768</v>
      </c>
      <c r="H63" s="28">
        <f>H61+D61-D62</f>
        <v>274006.90970617888</v>
      </c>
      <c r="I63" s="11"/>
      <c r="K63" s="50" t="s">
        <v>1</v>
      </c>
      <c r="L63" s="52">
        <v>6.9436470409227027E-2</v>
      </c>
      <c r="M63" s="56">
        <v>149.35654451019548</v>
      </c>
      <c r="N63" s="57">
        <v>178.115104738182</v>
      </c>
      <c r="O63" s="58">
        <v>200.40156286648721</v>
      </c>
      <c r="P63" s="57">
        <v>232.41152034407725</v>
      </c>
      <c r="Q63" s="56">
        <v>254.23627349225472</v>
      </c>
    </row>
    <row r="64" spans="1:86" x14ac:dyDescent="0.25">
      <c r="A64" s="1"/>
      <c r="B64" s="3" t="s">
        <v>36</v>
      </c>
      <c r="C64" s="3"/>
      <c r="D64" s="62">
        <v>1384</v>
      </c>
      <c r="E64" s="3"/>
      <c r="F64" s="3"/>
      <c r="G64" s="3"/>
      <c r="H64" s="29"/>
      <c r="I64" s="13"/>
      <c r="K64" s="50"/>
      <c r="L64" s="53">
        <f>L63+1%</f>
        <v>7.9436470409227022E-2</v>
      </c>
      <c r="M64" s="56">
        <v>130.56766082206832</v>
      </c>
      <c r="N64" s="57">
        <v>150.94144038668469</v>
      </c>
      <c r="O64" s="57">
        <v>165.94056744660045</v>
      </c>
      <c r="P64" s="57">
        <v>186.39828505476208</v>
      </c>
      <c r="Q64" s="56">
        <v>199.64813263415493</v>
      </c>
    </row>
    <row r="65" spans="1:17" x14ac:dyDescent="0.25">
      <c r="A65" s="1"/>
      <c r="B65" s="15" t="s">
        <v>37</v>
      </c>
      <c r="C65" s="15"/>
      <c r="D65" s="59">
        <f>D64*$J$5</f>
        <v>257520.88</v>
      </c>
      <c r="E65" s="15"/>
      <c r="F65" s="15"/>
      <c r="G65" s="15"/>
      <c r="H65" s="30"/>
      <c r="I65" s="1"/>
      <c r="K65" s="50"/>
      <c r="L65" s="53">
        <f>L64+1%</f>
        <v>8.9436470409227017E-2</v>
      </c>
      <c r="M65" s="56">
        <v>115.63903776846583</v>
      </c>
      <c r="N65" s="56">
        <v>130.49524226607656</v>
      </c>
      <c r="O65" s="56">
        <v>140.99526667103234</v>
      </c>
      <c r="P65" s="56">
        <v>154.78156318115583</v>
      </c>
      <c r="Q65" s="56">
        <v>163.40239987052439</v>
      </c>
    </row>
    <row r="66" spans="1:17" x14ac:dyDescent="0.25">
      <c r="A66" s="1"/>
      <c r="B66" s="6" t="s">
        <v>38</v>
      </c>
      <c r="D66" s="6" t="s">
        <v>39</v>
      </c>
      <c r="E66" s="31">
        <f>(G66+H66)/2</f>
        <v>200.40156286648721</v>
      </c>
      <c r="F66" s="6"/>
      <c r="G66" s="31">
        <f>G63/D64</f>
        <v>202.82125455798965</v>
      </c>
      <c r="H66" s="32">
        <f>H63/D64</f>
        <v>197.98187117498475</v>
      </c>
      <c r="I66" s="13"/>
    </row>
    <row r="67" spans="1:17" x14ac:dyDescent="0.25">
      <c r="B67" s="37"/>
      <c r="C67" s="37"/>
      <c r="D67" s="37"/>
      <c r="E67" s="37"/>
      <c r="F67" s="37"/>
      <c r="G67" s="37"/>
      <c r="H67" s="37"/>
      <c r="I67" s="18"/>
    </row>
  </sheetData>
  <sortState xmlns:xlrd2="http://schemas.microsoft.com/office/spreadsheetml/2017/richdata2" columnSort="1" ref="C10:H55">
    <sortCondition ref="C10:H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2688-1410-442F-AAC4-9EC56433F0DA}">
  <dimension ref="A1:S25"/>
  <sheetViews>
    <sheetView topLeftCell="A7" workbookViewId="0">
      <selection activeCell="A18" sqref="A18:C18"/>
    </sheetView>
  </sheetViews>
  <sheetFormatPr defaultRowHeight="15" x14ac:dyDescent="0.25"/>
  <cols>
    <col min="8" max="8" width="44.140625" customWidth="1"/>
  </cols>
  <sheetData>
    <row r="1" spans="1:19" x14ac:dyDescent="0.25">
      <c r="A1" s="66" t="s">
        <v>54</v>
      </c>
      <c r="B1" s="66"/>
      <c r="C1" s="66"/>
      <c r="D1" s="66"/>
      <c r="E1" s="66"/>
      <c r="F1" s="66"/>
      <c r="H1" s="66" t="s">
        <v>54</v>
      </c>
      <c r="I1" s="66"/>
      <c r="J1" s="66"/>
      <c r="K1" s="66"/>
      <c r="L1" s="66"/>
      <c r="M1" s="66"/>
    </row>
    <row r="3" spans="1:19" x14ac:dyDescent="0.25"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</row>
    <row r="4" spans="1:19" x14ac:dyDescent="0.25">
      <c r="A4" s="67"/>
      <c r="B4" s="67"/>
      <c r="C4" s="67"/>
      <c r="D4" s="74" t="s">
        <v>57</v>
      </c>
      <c r="E4" s="74" t="s">
        <v>56</v>
      </c>
      <c r="F4" s="74" t="s">
        <v>55</v>
      </c>
    </row>
    <row r="5" spans="1:19" x14ac:dyDescent="0.25">
      <c r="A5" s="66" t="s">
        <v>58</v>
      </c>
      <c r="B5" s="66"/>
      <c r="C5" s="66"/>
      <c r="D5" s="72">
        <v>70372</v>
      </c>
      <c r="E5" s="72">
        <v>79474</v>
      </c>
      <c r="F5" s="72">
        <v>86392</v>
      </c>
      <c r="I5" s="70" t="s">
        <v>114</v>
      </c>
      <c r="J5" s="70" t="s">
        <v>113</v>
      </c>
      <c r="K5" s="74" t="s">
        <v>112</v>
      </c>
      <c r="L5" s="74"/>
      <c r="O5" s="70"/>
      <c r="R5" s="70"/>
    </row>
    <row r="6" spans="1:19" x14ac:dyDescent="0.25">
      <c r="A6" s="66" t="s">
        <v>59</v>
      </c>
      <c r="B6" s="66"/>
      <c r="C6" s="66"/>
      <c r="D6" s="69">
        <v>31797</v>
      </c>
      <c r="E6" s="69">
        <v>37075</v>
      </c>
      <c r="F6" s="69">
        <v>40576</v>
      </c>
      <c r="H6" s="68" t="s">
        <v>58</v>
      </c>
      <c r="I6" s="77">
        <v>63525</v>
      </c>
      <c r="J6" s="77">
        <v>64661</v>
      </c>
      <c r="K6" s="72">
        <v>67161</v>
      </c>
      <c r="L6" s="72"/>
      <c r="O6" s="77"/>
      <c r="R6" s="77"/>
    </row>
    <row r="7" spans="1:19" x14ac:dyDescent="0.25">
      <c r="A7" s="66" t="s">
        <v>60</v>
      </c>
      <c r="B7" s="66"/>
      <c r="C7" s="66"/>
      <c r="D7" s="69">
        <v>38575</v>
      </c>
      <c r="E7" s="69">
        <v>42399</v>
      </c>
      <c r="F7" s="69">
        <v>45816</v>
      </c>
      <c r="H7" t="s">
        <v>59</v>
      </c>
      <c r="I7" s="75">
        <v>28796</v>
      </c>
      <c r="J7" s="75">
        <v>29381</v>
      </c>
      <c r="K7" s="69">
        <v>30132</v>
      </c>
      <c r="L7" s="69"/>
      <c r="O7" s="75"/>
      <c r="R7" s="75"/>
    </row>
    <row r="8" spans="1:19" x14ac:dyDescent="0.25">
      <c r="A8" s="66" t="s">
        <v>61</v>
      </c>
      <c r="B8" s="66"/>
      <c r="C8" s="66"/>
      <c r="D8" s="69">
        <v>28453</v>
      </c>
      <c r="E8" s="69">
        <v>31237</v>
      </c>
      <c r="F8" s="69">
        <v>34459</v>
      </c>
      <c r="H8" t="s">
        <v>60</v>
      </c>
      <c r="I8" s="75">
        <v>34729</v>
      </c>
      <c r="J8" s="75">
        <v>35280</v>
      </c>
      <c r="K8" s="69">
        <v>37029</v>
      </c>
      <c r="L8" s="69"/>
      <c r="O8" s="75"/>
      <c r="R8" s="75"/>
    </row>
    <row r="9" spans="1:19" x14ac:dyDescent="0.25">
      <c r="A9" s="66" t="s">
        <v>62</v>
      </c>
      <c r="B9" s="66"/>
      <c r="C9" s="66"/>
      <c r="D9" s="74" t="s">
        <v>63</v>
      </c>
      <c r="E9" s="74" t="s">
        <v>63</v>
      </c>
      <c r="F9" s="73">
        <v>-3321</v>
      </c>
      <c r="H9" t="s">
        <v>61</v>
      </c>
      <c r="I9" s="75">
        <v>24453</v>
      </c>
      <c r="J9" s="75">
        <v>25170</v>
      </c>
      <c r="K9" s="69">
        <v>26738</v>
      </c>
      <c r="L9" s="69"/>
      <c r="O9" s="75"/>
      <c r="R9" s="75"/>
    </row>
    <row r="10" spans="1:19" x14ac:dyDescent="0.25">
      <c r="A10" s="66" t="s">
        <v>64</v>
      </c>
      <c r="B10" s="66"/>
      <c r="C10" s="66"/>
      <c r="D10" s="69">
        <v>42</v>
      </c>
      <c r="E10" s="74" t="s">
        <v>63</v>
      </c>
      <c r="F10" s="69">
        <v>3166</v>
      </c>
      <c r="H10" s="68" t="s">
        <v>65</v>
      </c>
      <c r="I10" s="75">
        <v>10276</v>
      </c>
      <c r="J10" s="75">
        <v>10110</v>
      </c>
      <c r="K10" s="69">
        <v>10291</v>
      </c>
      <c r="L10" s="69"/>
      <c r="O10" s="75"/>
      <c r="R10" s="75"/>
    </row>
    <row r="11" spans="1:19" x14ac:dyDescent="0.25">
      <c r="H11" t="s">
        <v>115</v>
      </c>
      <c r="I11" s="75">
        <v>233</v>
      </c>
      <c r="J11" s="75">
        <v>298</v>
      </c>
      <c r="K11" s="73">
        <v>-44</v>
      </c>
      <c r="L11" s="73"/>
      <c r="M11" s="68"/>
      <c r="O11" s="75"/>
      <c r="R11" s="75"/>
    </row>
    <row r="12" spans="1:19" x14ac:dyDescent="0.25">
      <c r="A12" s="66" t="s">
        <v>65</v>
      </c>
      <c r="B12" s="66"/>
      <c r="C12" s="66"/>
      <c r="D12" s="69">
        <v>10080</v>
      </c>
      <c r="E12" s="69">
        <v>11162</v>
      </c>
      <c r="F12" s="69">
        <v>11512</v>
      </c>
      <c r="H12" t="s">
        <v>116</v>
      </c>
      <c r="I12" s="78">
        <v>-1151</v>
      </c>
      <c r="J12" s="78">
        <v>-1525</v>
      </c>
      <c r="K12" s="73">
        <v>-1135</v>
      </c>
      <c r="L12" s="73"/>
      <c r="M12" s="68"/>
      <c r="O12" s="78"/>
      <c r="R12" s="78"/>
    </row>
    <row r="13" spans="1:19" x14ac:dyDescent="0.25">
      <c r="A13" s="66" t="s">
        <v>66</v>
      </c>
      <c r="B13" s="66"/>
      <c r="C13" s="66"/>
      <c r="D13" s="69">
        <v>117</v>
      </c>
      <c r="E13" s="69">
        <v>522</v>
      </c>
      <c r="F13" s="69">
        <v>132</v>
      </c>
      <c r="H13" t="s">
        <v>117</v>
      </c>
      <c r="I13" s="75">
        <v>244</v>
      </c>
      <c r="J13" s="75">
        <v>306</v>
      </c>
      <c r="K13" s="69">
        <v>200</v>
      </c>
      <c r="L13" s="69"/>
      <c r="O13" s="75"/>
      <c r="R13" s="75"/>
    </row>
    <row r="14" spans="1:19" x14ac:dyDescent="0.25">
      <c r="A14" s="66" t="s">
        <v>67</v>
      </c>
      <c r="B14" s="66"/>
      <c r="C14" s="66"/>
      <c r="D14" s="73">
        <v>-1128</v>
      </c>
      <c r="E14" s="73">
        <v>-1863</v>
      </c>
      <c r="F14" s="73">
        <v>-939</v>
      </c>
      <c r="H14" t="s">
        <v>68</v>
      </c>
      <c r="I14" s="75">
        <v>9602</v>
      </c>
      <c r="J14" s="75">
        <v>9189</v>
      </c>
      <c r="K14" s="69">
        <v>9312</v>
      </c>
      <c r="L14" s="69"/>
      <c r="O14" s="75"/>
      <c r="R14" s="75"/>
    </row>
    <row r="15" spans="1:19" x14ac:dyDescent="0.25">
      <c r="A15" s="66" t="s">
        <v>68</v>
      </c>
      <c r="B15" s="66"/>
      <c r="C15" s="66"/>
      <c r="D15" s="69">
        <v>9069</v>
      </c>
      <c r="E15" s="69">
        <v>9821</v>
      </c>
      <c r="F15" s="69">
        <v>10705</v>
      </c>
      <c r="H15" t="s">
        <v>118</v>
      </c>
      <c r="I15" s="75">
        <v>4694</v>
      </c>
      <c r="J15" s="78">
        <v>-3370</v>
      </c>
      <c r="K15" s="69">
        <v>1959</v>
      </c>
      <c r="L15" s="69"/>
      <c r="O15" s="78"/>
      <c r="R15" s="75"/>
    </row>
    <row r="16" spans="1:19" x14ac:dyDescent="0.25">
      <c r="A16" s="66" t="s">
        <v>69</v>
      </c>
      <c r="B16" s="66"/>
      <c r="C16" s="66"/>
      <c r="D16" s="69">
        <v>1894</v>
      </c>
      <c r="E16" s="69">
        <v>2142</v>
      </c>
      <c r="F16" s="69">
        <v>1727</v>
      </c>
      <c r="H16" t="s">
        <v>25</v>
      </c>
      <c r="I16" s="75">
        <v>4908</v>
      </c>
      <c r="J16" s="75">
        <v>12559</v>
      </c>
      <c r="K16" s="69">
        <v>7353</v>
      </c>
      <c r="L16" s="69"/>
      <c r="O16" s="75"/>
      <c r="R16" s="75"/>
    </row>
    <row r="17" spans="1:19" x14ac:dyDescent="0.25">
      <c r="A17" s="66" t="s">
        <v>25</v>
      </c>
      <c r="B17" s="66"/>
      <c r="C17" s="66"/>
      <c r="D17" s="69">
        <v>7175</v>
      </c>
      <c r="E17" s="69">
        <v>7679</v>
      </c>
      <c r="F17" s="69">
        <v>8978</v>
      </c>
      <c r="H17" t="s">
        <v>70</v>
      </c>
      <c r="I17" s="75">
        <v>51</v>
      </c>
      <c r="J17" s="75">
        <v>44</v>
      </c>
      <c r="K17" s="69">
        <v>39</v>
      </c>
      <c r="L17" s="69"/>
      <c r="O17" s="75"/>
      <c r="R17" s="75"/>
    </row>
    <row r="18" spans="1:19" x14ac:dyDescent="0.25">
      <c r="A18" s="66" t="s">
        <v>70</v>
      </c>
      <c r="B18" s="66"/>
      <c r="C18" s="66"/>
      <c r="D18" s="69">
        <v>55</v>
      </c>
      <c r="E18" s="69">
        <v>61</v>
      </c>
      <c r="F18" s="69">
        <v>68</v>
      </c>
      <c r="H18" s="68" t="s">
        <v>71</v>
      </c>
      <c r="I18" s="77">
        <v>4857</v>
      </c>
      <c r="J18" s="77">
        <v>12515</v>
      </c>
      <c r="K18" s="72">
        <v>7314</v>
      </c>
      <c r="L18" s="72"/>
      <c r="O18" s="77"/>
      <c r="R18" s="77"/>
    </row>
    <row r="19" spans="1:19" x14ac:dyDescent="0.25">
      <c r="A19" s="66" t="s">
        <v>71</v>
      </c>
      <c r="B19" s="66"/>
      <c r="C19" s="66"/>
      <c r="D19" s="72">
        <v>7120</v>
      </c>
      <c r="E19" s="72">
        <v>7618</v>
      </c>
      <c r="F19" s="72">
        <v>8910</v>
      </c>
      <c r="H19" s="68" t="s">
        <v>72</v>
      </c>
      <c r="I19" s="70"/>
      <c r="J19" s="70"/>
      <c r="K19" s="70"/>
      <c r="L19" s="70"/>
      <c r="M19" s="70"/>
      <c r="O19" s="70"/>
      <c r="P19" s="70"/>
      <c r="R19" s="70"/>
      <c r="S19" s="70"/>
    </row>
    <row r="20" spans="1:19" x14ac:dyDescent="0.25">
      <c r="A20" s="66" t="s">
        <v>72</v>
      </c>
      <c r="B20" s="66"/>
      <c r="C20" s="66"/>
      <c r="D20" s="70"/>
      <c r="E20" s="70"/>
      <c r="F20" s="70"/>
      <c r="H20" s="68" t="s">
        <v>73</v>
      </c>
      <c r="I20" s="76">
        <v>3.4</v>
      </c>
      <c r="J20" s="76">
        <v>8.84</v>
      </c>
      <c r="K20" s="71">
        <v>5.23</v>
      </c>
      <c r="L20" s="71"/>
      <c r="O20" s="76"/>
      <c r="R20" s="76"/>
    </row>
    <row r="21" spans="1:19" x14ac:dyDescent="0.25">
      <c r="A21" s="66" t="s">
        <v>73</v>
      </c>
      <c r="B21" s="66"/>
      <c r="C21" s="66"/>
      <c r="D21" s="71">
        <v>5.14</v>
      </c>
      <c r="E21" s="71">
        <v>5.51</v>
      </c>
      <c r="F21" s="71">
        <v>6.45</v>
      </c>
      <c r="H21" s="68" t="s">
        <v>74</v>
      </c>
      <c r="I21" s="76">
        <v>3.38</v>
      </c>
      <c r="J21" s="76">
        <v>8.7799999999999994</v>
      </c>
      <c r="K21" s="71">
        <v>5.2</v>
      </c>
      <c r="L21" s="71"/>
      <c r="O21" s="76"/>
      <c r="R21" s="76"/>
    </row>
    <row r="22" spans="1:19" x14ac:dyDescent="0.25">
      <c r="A22" s="66" t="s">
        <v>74</v>
      </c>
      <c r="B22" s="66"/>
      <c r="C22" s="66"/>
      <c r="D22" s="71">
        <v>5.12</v>
      </c>
      <c r="E22" s="71">
        <v>5.49</v>
      </c>
      <c r="F22" s="71">
        <v>6.42</v>
      </c>
      <c r="H22" t="s">
        <v>75</v>
      </c>
      <c r="I22" s="70"/>
      <c r="J22" s="70"/>
      <c r="K22" s="70"/>
      <c r="L22" s="70"/>
      <c r="M22" s="70"/>
      <c r="O22" s="70"/>
      <c r="P22" s="70"/>
      <c r="R22" s="70"/>
      <c r="S22" s="70"/>
    </row>
    <row r="23" spans="1:19" x14ac:dyDescent="0.25">
      <c r="A23" s="66" t="s">
        <v>75</v>
      </c>
      <c r="B23" s="66"/>
      <c r="C23" s="66"/>
      <c r="D23" s="70"/>
      <c r="E23" s="70"/>
      <c r="F23" s="70"/>
      <c r="H23" t="s">
        <v>73</v>
      </c>
      <c r="I23" s="75">
        <v>1425</v>
      </c>
      <c r="J23" s="75">
        <v>1415</v>
      </c>
      <c r="K23" s="69">
        <v>1399</v>
      </c>
      <c r="L23" s="69"/>
      <c r="O23" s="75"/>
      <c r="R23" s="75"/>
    </row>
    <row r="24" spans="1:19" x14ac:dyDescent="0.25">
      <c r="A24" s="66" t="s">
        <v>73</v>
      </c>
      <c r="B24" s="66"/>
      <c r="C24" s="66"/>
      <c r="D24" s="69">
        <v>1385</v>
      </c>
      <c r="E24" s="69">
        <v>1382</v>
      </c>
      <c r="F24" s="69">
        <v>1380</v>
      </c>
      <c r="H24" t="s">
        <v>74</v>
      </c>
      <c r="I24" s="75">
        <v>1438</v>
      </c>
      <c r="J24" s="75">
        <v>1425</v>
      </c>
      <c r="K24" s="69">
        <v>1407</v>
      </c>
      <c r="L24" s="69"/>
      <c r="O24" s="75"/>
      <c r="R24" s="75"/>
    </row>
    <row r="25" spans="1:19" x14ac:dyDescent="0.25">
      <c r="A25" s="66" t="s">
        <v>74</v>
      </c>
      <c r="B25" s="66"/>
      <c r="C25" s="66"/>
      <c r="D25" s="69">
        <v>1392</v>
      </c>
      <c r="E25" s="69">
        <v>1389</v>
      </c>
      <c r="F25" s="69">
        <v>1387</v>
      </c>
    </row>
  </sheetData>
  <sortState xmlns:xlrd2="http://schemas.microsoft.com/office/spreadsheetml/2017/richdata2" columnSort="1" ref="I5:S24">
    <sortCondition ref="I5:S5"/>
  </sortState>
  <mergeCells count="24">
    <mergeCell ref="H1:M1"/>
    <mergeCell ref="H3:S3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A10:C10"/>
    <mergeCell ref="A9:C9"/>
    <mergeCell ref="A8:C8"/>
    <mergeCell ref="A7:C7"/>
    <mergeCell ref="A6:C6"/>
    <mergeCell ref="A5:C5"/>
    <mergeCell ref="A1:F1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4762-2047-44D8-B7B7-C2D8E8EABC0F}">
  <dimension ref="A1:S59"/>
  <sheetViews>
    <sheetView topLeftCell="A25" workbookViewId="0">
      <selection activeCell="F29" sqref="F29"/>
    </sheetView>
  </sheetViews>
  <sheetFormatPr defaultRowHeight="15" x14ac:dyDescent="0.25"/>
  <cols>
    <col min="1" max="1" width="38.42578125" customWidth="1"/>
    <col min="8" max="8" width="53.85546875" customWidth="1"/>
  </cols>
  <sheetData>
    <row r="1" spans="1:19" x14ac:dyDescent="0.25">
      <c r="A1" s="66" t="s">
        <v>76</v>
      </c>
      <c r="B1" s="66"/>
      <c r="C1" s="66"/>
      <c r="D1" s="66"/>
      <c r="E1" s="66"/>
      <c r="F1" s="66"/>
      <c r="H1" s="66" t="s">
        <v>76</v>
      </c>
      <c r="I1" s="66"/>
      <c r="J1" s="66"/>
      <c r="K1" s="66"/>
      <c r="L1" s="66"/>
      <c r="M1" s="66"/>
    </row>
    <row r="3" spans="1:19" x14ac:dyDescent="0.25"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</row>
    <row r="4" spans="1:19" x14ac:dyDescent="0.25">
      <c r="A4" s="67"/>
      <c r="B4" s="67"/>
      <c r="C4" s="67"/>
      <c r="D4" s="74" t="s">
        <v>57</v>
      </c>
      <c r="E4" s="74" t="s">
        <v>56</v>
      </c>
      <c r="F4" s="74" t="s">
        <v>55</v>
      </c>
    </row>
    <row r="5" spans="1:19" x14ac:dyDescent="0.25">
      <c r="A5" s="66" t="s">
        <v>77</v>
      </c>
      <c r="B5" s="66"/>
      <c r="C5" s="66"/>
      <c r="D5" s="70"/>
      <c r="E5" s="70"/>
      <c r="F5" s="70"/>
      <c r="I5" s="70" t="s">
        <v>114</v>
      </c>
      <c r="J5" s="70" t="s">
        <v>113</v>
      </c>
      <c r="K5" s="74" t="s">
        <v>112</v>
      </c>
      <c r="L5" s="74"/>
      <c r="O5" s="70"/>
      <c r="R5" s="70"/>
    </row>
    <row r="6" spans="1:19" x14ac:dyDescent="0.25">
      <c r="A6" s="66" t="s">
        <v>25</v>
      </c>
      <c r="B6" s="66"/>
      <c r="C6" s="66"/>
      <c r="D6" s="72">
        <v>7175</v>
      </c>
      <c r="E6" s="72">
        <v>7679</v>
      </c>
      <c r="F6" s="72">
        <v>8978</v>
      </c>
      <c r="H6" s="68" t="s">
        <v>77</v>
      </c>
      <c r="I6" s="70"/>
      <c r="J6" s="70"/>
      <c r="K6" s="70"/>
      <c r="L6" s="70"/>
      <c r="M6" s="70"/>
      <c r="O6" s="70"/>
      <c r="P6" s="70"/>
      <c r="R6" s="70"/>
      <c r="S6" s="70"/>
    </row>
    <row r="7" spans="1:19" x14ac:dyDescent="0.25">
      <c r="A7" s="66" t="s">
        <v>78</v>
      </c>
      <c r="B7" s="66"/>
      <c r="C7" s="66"/>
      <c r="D7" s="69">
        <v>2548</v>
      </c>
      <c r="E7" s="69">
        <v>2710</v>
      </c>
      <c r="F7" s="69">
        <v>2763</v>
      </c>
      <c r="H7" t="s">
        <v>25</v>
      </c>
      <c r="I7" s="77">
        <v>4908</v>
      </c>
      <c r="J7" s="77">
        <v>12559</v>
      </c>
      <c r="K7" s="72">
        <v>7353</v>
      </c>
      <c r="L7" s="72"/>
      <c r="O7" s="77"/>
      <c r="R7" s="77"/>
    </row>
    <row r="8" spans="1:19" x14ac:dyDescent="0.25">
      <c r="A8" s="66" t="s">
        <v>79</v>
      </c>
      <c r="B8" s="66"/>
      <c r="C8" s="66"/>
      <c r="D8" s="74" t="s">
        <v>63</v>
      </c>
      <c r="E8" s="74" t="s">
        <v>63</v>
      </c>
      <c r="F8" s="73">
        <v>-3321</v>
      </c>
      <c r="H8" t="s">
        <v>78</v>
      </c>
      <c r="I8" s="75">
        <v>2369</v>
      </c>
      <c r="J8" s="75">
        <v>2399</v>
      </c>
      <c r="K8" s="69">
        <v>2432</v>
      </c>
      <c r="L8" s="69"/>
      <c r="O8" s="75"/>
      <c r="R8" s="75"/>
    </row>
    <row r="9" spans="1:19" x14ac:dyDescent="0.25">
      <c r="A9" s="66" t="s">
        <v>80</v>
      </c>
      <c r="B9" s="66"/>
      <c r="C9" s="66"/>
      <c r="D9" s="74" t="s">
        <v>63</v>
      </c>
      <c r="E9" s="74" t="s">
        <v>63</v>
      </c>
      <c r="F9" s="69">
        <v>3618</v>
      </c>
      <c r="H9" t="s">
        <v>82</v>
      </c>
      <c r="I9" s="75">
        <v>292</v>
      </c>
      <c r="J9" s="75">
        <v>256</v>
      </c>
      <c r="K9" s="69">
        <v>237</v>
      </c>
      <c r="L9" s="69"/>
      <c r="O9" s="75"/>
      <c r="R9" s="75"/>
    </row>
    <row r="10" spans="1:19" x14ac:dyDescent="0.25">
      <c r="A10" s="66" t="s">
        <v>81</v>
      </c>
      <c r="B10" s="66"/>
      <c r="C10" s="66"/>
      <c r="D10" s="69">
        <v>478</v>
      </c>
      <c r="E10" s="69">
        <v>505</v>
      </c>
      <c r="F10" s="69">
        <v>517</v>
      </c>
      <c r="H10" t="s">
        <v>83</v>
      </c>
      <c r="I10" s="75">
        <v>295</v>
      </c>
      <c r="J10" s="75">
        <v>308</v>
      </c>
      <c r="K10" s="69">
        <v>370</v>
      </c>
      <c r="L10" s="69"/>
      <c r="O10" s="75"/>
      <c r="R10" s="75"/>
    </row>
    <row r="11" spans="1:19" x14ac:dyDescent="0.25">
      <c r="A11" s="66" t="s">
        <v>82</v>
      </c>
      <c r="B11" s="66"/>
      <c r="C11" s="66"/>
      <c r="D11" s="69">
        <v>264</v>
      </c>
      <c r="E11" s="69">
        <v>301</v>
      </c>
      <c r="F11" s="69">
        <v>343</v>
      </c>
      <c r="H11" t="s">
        <v>84</v>
      </c>
      <c r="I11" s="78">
        <v>-113</v>
      </c>
      <c r="J11" s="78">
        <v>-255</v>
      </c>
      <c r="K11" s="73">
        <v>-350</v>
      </c>
      <c r="L11" s="73"/>
      <c r="M11" s="68"/>
      <c r="O11" s="78"/>
      <c r="R11" s="78"/>
    </row>
    <row r="12" spans="1:19" x14ac:dyDescent="0.25">
      <c r="A12" s="66" t="s">
        <v>83</v>
      </c>
      <c r="B12" s="66"/>
      <c r="C12" s="66"/>
      <c r="D12" s="69">
        <v>289</v>
      </c>
      <c r="E12" s="69">
        <v>247</v>
      </c>
      <c r="F12" s="69">
        <v>411</v>
      </c>
      <c r="H12" t="s">
        <v>87</v>
      </c>
      <c r="I12" s="75">
        <v>221</v>
      </c>
      <c r="J12" s="75">
        <v>221</v>
      </c>
      <c r="K12" s="69">
        <v>519</v>
      </c>
      <c r="L12" s="69"/>
      <c r="O12" s="75"/>
      <c r="R12" s="75"/>
    </row>
    <row r="13" spans="1:19" x14ac:dyDescent="0.25">
      <c r="A13" s="66" t="s">
        <v>84</v>
      </c>
      <c r="B13" s="66"/>
      <c r="C13" s="66"/>
      <c r="D13" s="73">
        <v>-255</v>
      </c>
      <c r="E13" s="73">
        <v>-256</v>
      </c>
      <c r="F13" s="73">
        <v>-224</v>
      </c>
      <c r="H13" t="s">
        <v>88</v>
      </c>
      <c r="I13" s="78">
        <v>-220</v>
      </c>
      <c r="J13" s="78">
        <v>-1708</v>
      </c>
      <c r="K13" s="73">
        <v>-716</v>
      </c>
      <c r="L13" s="73"/>
      <c r="M13" s="68"/>
      <c r="O13" s="78"/>
      <c r="R13" s="78"/>
    </row>
    <row r="14" spans="1:19" x14ac:dyDescent="0.25">
      <c r="A14" s="66" t="s">
        <v>85</v>
      </c>
      <c r="B14" s="66"/>
      <c r="C14" s="66"/>
      <c r="D14" s="69">
        <v>255</v>
      </c>
      <c r="E14" s="73">
        <v>-4</v>
      </c>
      <c r="F14" s="69">
        <v>80</v>
      </c>
      <c r="H14" t="s">
        <v>89</v>
      </c>
      <c r="I14" s="75">
        <v>619</v>
      </c>
      <c r="J14" s="78">
        <v>-531</v>
      </c>
      <c r="K14" s="69">
        <v>453</v>
      </c>
      <c r="L14" s="69"/>
      <c r="O14" s="78"/>
      <c r="R14" s="75"/>
    </row>
    <row r="15" spans="1:19" x14ac:dyDescent="0.25">
      <c r="A15" s="66" t="s">
        <v>86</v>
      </c>
      <c r="B15" s="66"/>
      <c r="C15" s="66"/>
      <c r="D15" s="73">
        <v>-131</v>
      </c>
      <c r="E15" s="73">
        <v>-176</v>
      </c>
      <c r="F15" s="73">
        <v>-46</v>
      </c>
      <c r="H15" t="s">
        <v>119</v>
      </c>
      <c r="I15" s="75">
        <v>2451</v>
      </c>
      <c r="J15" s="78">
        <v>-28</v>
      </c>
      <c r="K15" s="73">
        <v>-8</v>
      </c>
      <c r="L15" s="73"/>
      <c r="M15" s="68"/>
      <c r="O15" s="78"/>
      <c r="R15" s="75"/>
    </row>
    <row r="16" spans="1:19" x14ac:dyDescent="0.25">
      <c r="A16" s="66" t="s">
        <v>87</v>
      </c>
      <c r="B16" s="66"/>
      <c r="C16" s="66"/>
      <c r="D16" s="69">
        <v>408</v>
      </c>
      <c r="E16" s="69">
        <v>123</v>
      </c>
      <c r="F16" s="69">
        <v>419</v>
      </c>
      <c r="H16" t="s">
        <v>91</v>
      </c>
      <c r="I16" s="70" t="s">
        <v>63</v>
      </c>
      <c r="J16" s="78">
        <v>-115</v>
      </c>
      <c r="K16" s="73">
        <v>-423</v>
      </c>
      <c r="L16" s="73"/>
      <c r="M16" s="68"/>
      <c r="O16" s="78"/>
      <c r="R16" s="70"/>
    </row>
    <row r="17" spans="1:19" x14ac:dyDescent="0.25">
      <c r="A17" s="66" t="s">
        <v>88</v>
      </c>
      <c r="B17" s="66"/>
      <c r="C17" s="66"/>
      <c r="D17" s="73">
        <v>-562</v>
      </c>
      <c r="E17" s="73">
        <v>-785</v>
      </c>
      <c r="F17" s="73">
        <v>-384</v>
      </c>
      <c r="H17" t="s">
        <v>120</v>
      </c>
      <c r="I17" s="70" t="s">
        <v>63</v>
      </c>
      <c r="J17" s="78">
        <v>-4347</v>
      </c>
      <c r="K17" s="73">
        <v>-2</v>
      </c>
      <c r="L17" s="73"/>
      <c r="M17" s="68"/>
      <c r="O17" s="78"/>
      <c r="R17" s="70"/>
    </row>
    <row r="18" spans="1:19" x14ac:dyDescent="0.25">
      <c r="A18" s="66" t="s">
        <v>89</v>
      </c>
      <c r="B18" s="66"/>
      <c r="C18" s="66"/>
      <c r="D18" s="69">
        <v>361</v>
      </c>
      <c r="E18" s="69">
        <v>298</v>
      </c>
      <c r="F18" s="73">
        <v>-873</v>
      </c>
      <c r="H18" t="s">
        <v>92</v>
      </c>
      <c r="I18" s="70"/>
      <c r="J18" s="70"/>
      <c r="K18" s="70"/>
      <c r="L18" s="70"/>
      <c r="M18" s="70"/>
      <c r="O18" s="70"/>
      <c r="P18" s="70"/>
      <c r="R18" s="70"/>
      <c r="S18" s="70"/>
    </row>
    <row r="19" spans="1:19" x14ac:dyDescent="0.25">
      <c r="A19" s="66" t="s">
        <v>90</v>
      </c>
      <c r="B19" s="66"/>
      <c r="C19" s="66"/>
      <c r="D19" s="74" t="s">
        <v>63</v>
      </c>
      <c r="E19" s="69">
        <v>190</v>
      </c>
      <c r="F19" s="69">
        <v>86</v>
      </c>
      <c r="H19" t="s">
        <v>93</v>
      </c>
      <c r="I19" s="78">
        <v>-202</v>
      </c>
      <c r="J19" s="78">
        <v>-253</v>
      </c>
      <c r="K19" s="73">
        <v>-650</v>
      </c>
      <c r="L19" s="73"/>
      <c r="M19" s="68"/>
      <c r="O19" s="78"/>
      <c r="R19" s="78"/>
    </row>
    <row r="20" spans="1:19" x14ac:dyDescent="0.25">
      <c r="A20" s="66" t="s">
        <v>91</v>
      </c>
      <c r="B20" s="66"/>
      <c r="C20" s="66"/>
      <c r="D20" s="73">
        <v>-78</v>
      </c>
      <c r="E20" s="73">
        <v>-309</v>
      </c>
      <c r="F20" s="73">
        <v>-309</v>
      </c>
      <c r="H20" t="s">
        <v>94</v>
      </c>
      <c r="I20" s="78">
        <v>-168</v>
      </c>
      <c r="J20" s="78">
        <v>-174</v>
      </c>
      <c r="K20" s="73">
        <v>-190</v>
      </c>
      <c r="L20" s="73"/>
      <c r="M20" s="68"/>
      <c r="O20" s="78"/>
      <c r="R20" s="78"/>
    </row>
    <row r="21" spans="1:19" x14ac:dyDescent="0.25">
      <c r="A21" s="66" t="s">
        <v>92</v>
      </c>
      <c r="B21" s="66"/>
      <c r="C21" s="66"/>
      <c r="D21" s="70"/>
      <c r="E21" s="70"/>
      <c r="F21" s="70"/>
      <c r="H21" t="s">
        <v>95</v>
      </c>
      <c r="I21" s="75">
        <v>20</v>
      </c>
      <c r="J21" s="75">
        <v>9</v>
      </c>
      <c r="K21" s="73">
        <v>-87</v>
      </c>
      <c r="L21" s="73"/>
      <c r="M21" s="68"/>
      <c r="O21" s="75"/>
      <c r="R21" s="75"/>
    </row>
    <row r="22" spans="1:19" x14ac:dyDescent="0.25">
      <c r="A22" s="66" t="s">
        <v>93</v>
      </c>
      <c r="B22" s="66"/>
      <c r="C22" s="66"/>
      <c r="D22" s="73">
        <v>-420</v>
      </c>
      <c r="E22" s="73">
        <v>-651</v>
      </c>
      <c r="F22" s="73">
        <v>-1763</v>
      </c>
      <c r="H22" t="s">
        <v>96</v>
      </c>
      <c r="I22" s="75">
        <v>201</v>
      </c>
      <c r="J22" s="75">
        <v>882</v>
      </c>
      <c r="K22" s="69">
        <v>735</v>
      </c>
      <c r="L22" s="69"/>
      <c r="O22" s="75"/>
      <c r="R22" s="75"/>
    </row>
    <row r="23" spans="1:19" x14ac:dyDescent="0.25">
      <c r="A23" s="66" t="s">
        <v>94</v>
      </c>
      <c r="B23" s="66"/>
      <c r="C23" s="66"/>
      <c r="D23" s="73">
        <v>-516</v>
      </c>
      <c r="E23" s="73">
        <v>-582</v>
      </c>
      <c r="F23" s="73">
        <v>-1142</v>
      </c>
      <c r="H23" t="s">
        <v>97</v>
      </c>
      <c r="I23" s="78">
        <v>-338</v>
      </c>
      <c r="J23" s="75">
        <v>448</v>
      </c>
      <c r="K23" s="73">
        <v>-287</v>
      </c>
      <c r="L23" s="73"/>
      <c r="M23" s="68"/>
      <c r="O23" s="75"/>
      <c r="R23" s="78"/>
    </row>
    <row r="24" spans="1:19" x14ac:dyDescent="0.25">
      <c r="A24" s="66" t="s">
        <v>95</v>
      </c>
      <c r="B24" s="66"/>
      <c r="C24" s="66"/>
      <c r="D24" s="69">
        <v>26</v>
      </c>
      <c r="E24" s="69">
        <v>159</v>
      </c>
      <c r="F24" s="69">
        <v>118</v>
      </c>
      <c r="H24" t="s">
        <v>98</v>
      </c>
      <c r="I24" s="78">
        <v>-305</v>
      </c>
      <c r="J24" s="78">
        <v>-256</v>
      </c>
      <c r="K24" s="69">
        <v>263</v>
      </c>
      <c r="L24" s="69"/>
      <c r="O24" s="78"/>
      <c r="R24" s="78"/>
    </row>
    <row r="25" spans="1:19" x14ac:dyDescent="0.25">
      <c r="A25" s="66" t="s">
        <v>96</v>
      </c>
      <c r="B25" s="66"/>
      <c r="C25" s="66"/>
      <c r="D25" s="69">
        <v>766</v>
      </c>
      <c r="E25" s="69">
        <v>1762</v>
      </c>
      <c r="F25" s="69">
        <v>1842</v>
      </c>
      <c r="H25" s="68" t="s">
        <v>99</v>
      </c>
      <c r="I25" s="75">
        <v>10030</v>
      </c>
      <c r="J25" s="75">
        <v>9415</v>
      </c>
      <c r="K25" s="69">
        <v>9649</v>
      </c>
      <c r="L25" s="69"/>
      <c r="O25" s="75"/>
      <c r="R25" s="75"/>
    </row>
    <row r="26" spans="1:19" x14ac:dyDescent="0.25">
      <c r="A26" s="66" t="s">
        <v>97</v>
      </c>
      <c r="B26" s="66"/>
      <c r="C26" s="66"/>
      <c r="D26" s="73">
        <v>-159</v>
      </c>
      <c r="E26" s="69">
        <v>30</v>
      </c>
      <c r="F26" s="69">
        <v>57</v>
      </c>
      <c r="I26" s="70"/>
      <c r="J26" s="70"/>
      <c r="K26" s="70"/>
      <c r="L26" s="70"/>
      <c r="M26" s="70"/>
      <c r="O26" s="70"/>
      <c r="P26" s="70"/>
      <c r="R26" s="70"/>
      <c r="S26" s="70"/>
    </row>
    <row r="27" spans="1:19" x14ac:dyDescent="0.25">
      <c r="A27" s="66" t="s">
        <v>98</v>
      </c>
      <c r="B27" s="66"/>
      <c r="C27" s="66"/>
      <c r="D27" s="69">
        <v>164</v>
      </c>
      <c r="E27" s="69">
        <v>375</v>
      </c>
      <c r="F27" s="73">
        <v>-359</v>
      </c>
      <c r="H27" s="68" t="s">
        <v>100</v>
      </c>
      <c r="I27" s="70"/>
      <c r="J27" s="70"/>
      <c r="K27" s="70"/>
      <c r="L27" s="70"/>
      <c r="M27" s="70"/>
      <c r="O27" s="70"/>
      <c r="P27" s="70"/>
      <c r="R27" s="70"/>
      <c r="S27" s="70"/>
    </row>
    <row r="28" spans="1:19" x14ac:dyDescent="0.25">
      <c r="A28" s="66" t="s">
        <v>99</v>
      </c>
      <c r="B28" s="66"/>
      <c r="C28" s="66"/>
      <c r="D28" s="69">
        <v>10613</v>
      </c>
      <c r="E28" s="69">
        <v>11616</v>
      </c>
      <c r="F28" s="69">
        <v>10811</v>
      </c>
      <c r="H28" t="s">
        <v>101</v>
      </c>
      <c r="I28" s="78">
        <v>-2969</v>
      </c>
      <c r="J28" s="78">
        <v>-3282</v>
      </c>
      <c r="K28" s="73">
        <v>-4232</v>
      </c>
      <c r="L28" s="73"/>
      <c r="M28" s="68"/>
      <c r="O28" s="78"/>
      <c r="R28" s="78"/>
    </row>
    <row r="29" spans="1:19" x14ac:dyDescent="0.25">
      <c r="A29" s="67"/>
      <c r="B29" s="67"/>
      <c r="C29" s="67"/>
      <c r="D29" s="70"/>
      <c r="E29" s="70"/>
      <c r="F29" s="70"/>
      <c r="H29" t="s">
        <v>102</v>
      </c>
      <c r="I29" s="75">
        <v>180</v>
      </c>
      <c r="J29" s="75">
        <v>134</v>
      </c>
      <c r="K29" s="69">
        <v>170</v>
      </c>
      <c r="L29" s="69"/>
      <c r="O29" s="75"/>
      <c r="R29" s="75"/>
    </row>
    <row r="30" spans="1:19" x14ac:dyDescent="0.25">
      <c r="A30" s="66" t="s">
        <v>100</v>
      </c>
      <c r="B30" s="66"/>
      <c r="C30" s="66"/>
      <c r="D30" s="70"/>
      <c r="E30" s="70"/>
      <c r="F30" s="70"/>
      <c r="H30" t="s">
        <v>121</v>
      </c>
      <c r="I30" s="70" t="s">
        <v>63</v>
      </c>
      <c r="J30" s="78">
        <v>-1197</v>
      </c>
      <c r="K30" s="73">
        <v>-1939</v>
      </c>
      <c r="L30" s="73"/>
      <c r="M30" s="68"/>
      <c r="O30" s="78"/>
      <c r="R30" s="70"/>
    </row>
    <row r="31" spans="1:19" x14ac:dyDescent="0.25">
      <c r="A31" s="66" t="s">
        <v>101</v>
      </c>
      <c r="B31" s="66"/>
      <c r="C31" s="66"/>
      <c r="D31" s="73">
        <v>-4240</v>
      </c>
      <c r="E31" s="73">
        <v>-4625</v>
      </c>
      <c r="F31" s="73">
        <v>-5207</v>
      </c>
      <c r="H31" t="s">
        <v>122</v>
      </c>
      <c r="I31" s="78">
        <v>-61</v>
      </c>
      <c r="J31" s="78">
        <v>-299</v>
      </c>
      <c r="K31" s="73">
        <v>-778</v>
      </c>
      <c r="L31" s="73"/>
      <c r="M31" s="68"/>
      <c r="O31" s="78"/>
      <c r="R31" s="78"/>
    </row>
    <row r="32" spans="1:19" x14ac:dyDescent="0.25">
      <c r="A32" s="66" t="s">
        <v>102</v>
      </c>
      <c r="B32" s="66"/>
      <c r="C32" s="66"/>
      <c r="D32" s="69">
        <v>55</v>
      </c>
      <c r="E32" s="69">
        <v>166</v>
      </c>
      <c r="F32" s="69">
        <v>251</v>
      </c>
      <c r="H32" t="s">
        <v>123</v>
      </c>
      <c r="I32" s="75">
        <v>267</v>
      </c>
      <c r="J32" s="75">
        <v>505</v>
      </c>
      <c r="K32" s="69">
        <v>253</v>
      </c>
      <c r="L32" s="69"/>
      <c r="O32" s="75"/>
      <c r="R32" s="75"/>
    </row>
    <row r="33" spans="1:19" x14ac:dyDescent="0.25">
      <c r="A33" s="66" t="s">
        <v>103</v>
      </c>
      <c r="B33" s="66"/>
      <c r="C33" s="66"/>
      <c r="D33" s="73">
        <v>-6372</v>
      </c>
      <c r="E33" s="73">
        <v>-61</v>
      </c>
      <c r="F33" s="73">
        <v>-873</v>
      </c>
      <c r="H33" t="s">
        <v>106</v>
      </c>
      <c r="I33" s="70"/>
      <c r="J33" s="70"/>
      <c r="K33" s="70"/>
      <c r="L33" s="70"/>
      <c r="M33" s="70"/>
      <c r="O33" s="70"/>
      <c r="P33" s="70"/>
      <c r="R33" s="70"/>
      <c r="S33" s="70"/>
    </row>
    <row r="34" spans="1:19" x14ac:dyDescent="0.25">
      <c r="A34" s="66" t="s">
        <v>104</v>
      </c>
      <c r="B34" s="66"/>
      <c r="C34" s="66"/>
      <c r="D34" s="74" t="s">
        <v>63</v>
      </c>
      <c r="E34" s="74" t="s">
        <v>63</v>
      </c>
      <c r="F34" s="69">
        <v>3456</v>
      </c>
      <c r="H34" t="s">
        <v>107</v>
      </c>
      <c r="I34" s="78">
        <v>-18385</v>
      </c>
      <c r="J34" s="78">
        <v>-5637</v>
      </c>
      <c r="K34" s="74" t="s">
        <v>63</v>
      </c>
      <c r="L34" s="74"/>
      <c r="O34" s="78"/>
      <c r="R34" s="78"/>
    </row>
    <row r="35" spans="1:19" x14ac:dyDescent="0.25">
      <c r="A35" s="66" t="s">
        <v>105</v>
      </c>
      <c r="B35" s="66"/>
      <c r="C35" s="66"/>
      <c r="D35" s="69">
        <v>6</v>
      </c>
      <c r="E35" s="69">
        <v>169</v>
      </c>
      <c r="F35" s="69">
        <v>49</v>
      </c>
      <c r="H35" t="s">
        <v>108</v>
      </c>
      <c r="I35" s="75">
        <v>15744</v>
      </c>
      <c r="J35" s="75">
        <v>12824</v>
      </c>
      <c r="K35" s="69">
        <v>16</v>
      </c>
      <c r="L35" s="69"/>
      <c r="O35" s="75"/>
      <c r="R35" s="75"/>
    </row>
    <row r="36" spans="1:19" x14ac:dyDescent="0.25">
      <c r="A36" s="66" t="s">
        <v>106</v>
      </c>
      <c r="B36" s="66"/>
      <c r="C36" s="66"/>
      <c r="D36" s="70"/>
      <c r="E36" s="70"/>
      <c r="F36" s="70"/>
      <c r="H36" t="s">
        <v>124</v>
      </c>
      <c r="I36" s="75">
        <v>790</v>
      </c>
      <c r="J36" s="75">
        <v>1498</v>
      </c>
      <c r="K36" s="69">
        <v>62</v>
      </c>
      <c r="L36" s="69"/>
      <c r="O36" s="75"/>
      <c r="R36" s="75"/>
    </row>
    <row r="37" spans="1:19" x14ac:dyDescent="0.25">
      <c r="A37" s="66" t="s">
        <v>107</v>
      </c>
      <c r="B37" s="66"/>
      <c r="C37" s="66"/>
      <c r="D37" s="73">
        <v>-1135</v>
      </c>
      <c r="E37" s="74" t="s">
        <v>63</v>
      </c>
      <c r="F37" s="73">
        <v>-291</v>
      </c>
      <c r="H37" t="s">
        <v>109</v>
      </c>
      <c r="I37" s="75">
        <v>2</v>
      </c>
      <c r="J37" s="75">
        <v>16</v>
      </c>
      <c r="K37" s="69">
        <v>19</v>
      </c>
      <c r="L37" s="69"/>
      <c r="O37" s="75"/>
      <c r="R37" s="75"/>
    </row>
    <row r="38" spans="1:19" x14ac:dyDescent="0.25">
      <c r="A38" s="66" t="s">
        <v>108</v>
      </c>
      <c r="B38" s="66"/>
      <c r="C38" s="66"/>
      <c r="D38" s="74" t="s">
        <v>63</v>
      </c>
      <c r="E38" s="69">
        <v>1135</v>
      </c>
      <c r="F38" s="69">
        <v>150</v>
      </c>
      <c r="H38" t="s">
        <v>110</v>
      </c>
      <c r="I38" s="75">
        <v>29</v>
      </c>
      <c r="J38" s="75">
        <v>2</v>
      </c>
      <c r="K38" s="73">
        <v>-8</v>
      </c>
      <c r="L38" s="73"/>
      <c r="M38" s="68"/>
      <c r="O38" s="75"/>
      <c r="R38" s="75"/>
    </row>
    <row r="39" spans="1:19" x14ac:dyDescent="0.25">
      <c r="H39" s="68" t="s">
        <v>125</v>
      </c>
      <c r="I39" s="78">
        <v>-4403</v>
      </c>
      <c r="J39" s="75">
        <v>4564</v>
      </c>
      <c r="K39" s="73">
        <v>-6437</v>
      </c>
      <c r="L39" s="73"/>
      <c r="M39" s="68"/>
      <c r="O39" s="75"/>
      <c r="R39" s="78"/>
    </row>
    <row r="40" spans="1:19" x14ac:dyDescent="0.25">
      <c r="A40" s="66" t="s">
        <v>109</v>
      </c>
      <c r="B40" s="66"/>
      <c r="C40" s="66"/>
      <c r="D40" s="69">
        <v>27</v>
      </c>
      <c r="E40" s="73">
        <v>-58</v>
      </c>
      <c r="F40" s="69">
        <v>24</v>
      </c>
      <c r="I40" s="70"/>
      <c r="J40" s="70"/>
      <c r="K40" s="70"/>
      <c r="L40" s="70"/>
      <c r="M40" s="70"/>
      <c r="O40" s="70"/>
      <c r="P40" s="70"/>
      <c r="R40" s="70"/>
      <c r="S40" s="70"/>
    </row>
    <row r="41" spans="1:19" x14ac:dyDescent="0.25">
      <c r="A41" s="66" t="s">
        <v>110</v>
      </c>
      <c r="B41" s="66"/>
      <c r="C41" s="66"/>
      <c r="D41" s="69">
        <v>40</v>
      </c>
      <c r="E41" s="69">
        <v>5</v>
      </c>
      <c r="F41" s="69">
        <v>11</v>
      </c>
      <c r="H41" s="68" t="s">
        <v>126</v>
      </c>
      <c r="I41" s="70"/>
      <c r="J41" s="70"/>
      <c r="K41" s="70"/>
      <c r="L41" s="70"/>
      <c r="M41" s="70"/>
      <c r="O41" s="70"/>
      <c r="P41" s="70"/>
      <c r="R41" s="70"/>
      <c r="S41" s="70"/>
    </row>
    <row r="42" spans="1:19" x14ac:dyDescent="0.25">
      <c r="A42" s="66" t="s">
        <v>111</v>
      </c>
      <c r="B42" s="66"/>
      <c r="C42" s="66"/>
      <c r="D42" s="73">
        <v>-11619</v>
      </c>
      <c r="E42" s="73">
        <v>-3269</v>
      </c>
      <c r="F42" s="73">
        <v>-2430</v>
      </c>
      <c r="H42" t="s">
        <v>127</v>
      </c>
      <c r="I42" s="75">
        <v>7509</v>
      </c>
      <c r="J42" s="70" t="s">
        <v>63</v>
      </c>
      <c r="K42" s="69">
        <v>4621</v>
      </c>
      <c r="L42" s="69"/>
      <c r="O42" s="70"/>
      <c r="R42" s="75"/>
    </row>
    <row r="43" spans="1:19" x14ac:dyDescent="0.25">
      <c r="H43" t="s">
        <v>128</v>
      </c>
      <c r="I43" s="78">
        <v>-4406</v>
      </c>
      <c r="J43" s="78">
        <v>-4007</v>
      </c>
      <c r="K43" s="73">
        <v>-3970</v>
      </c>
      <c r="L43" s="73"/>
      <c r="M43" s="68"/>
      <c r="O43" s="78"/>
      <c r="R43" s="78"/>
    </row>
    <row r="44" spans="1:19" x14ac:dyDescent="0.25">
      <c r="H44" t="s">
        <v>129</v>
      </c>
      <c r="I44" s="70" t="s">
        <v>63</v>
      </c>
      <c r="J44" s="78">
        <v>-1589</v>
      </c>
      <c r="K44" s="73">
        <v>-1007</v>
      </c>
      <c r="L44" s="73"/>
      <c r="M44" s="68"/>
      <c r="O44" s="78"/>
      <c r="R44" s="70"/>
    </row>
    <row r="45" spans="1:19" x14ac:dyDescent="0.25">
      <c r="H45" t="s">
        <v>130</v>
      </c>
      <c r="I45" s="70"/>
      <c r="J45" s="70"/>
      <c r="K45" s="70"/>
      <c r="L45" s="70"/>
      <c r="M45" s="70"/>
      <c r="O45" s="70"/>
      <c r="P45" s="70"/>
      <c r="R45" s="70"/>
      <c r="S45" s="70"/>
    </row>
    <row r="46" spans="1:19" x14ac:dyDescent="0.25">
      <c r="H46" t="s">
        <v>131</v>
      </c>
      <c r="I46" s="75">
        <v>91</v>
      </c>
      <c r="J46" s="75">
        <v>3</v>
      </c>
      <c r="K46" s="69">
        <v>6</v>
      </c>
      <c r="L46" s="69"/>
      <c r="O46" s="75"/>
      <c r="R46" s="75"/>
    </row>
    <row r="47" spans="1:19" x14ac:dyDescent="0.25">
      <c r="H47" t="s">
        <v>132</v>
      </c>
      <c r="I47" s="78">
        <v>-128</v>
      </c>
      <c r="J47" s="78">
        <v>-17</v>
      </c>
      <c r="K47" s="73">
        <v>-2</v>
      </c>
      <c r="L47" s="73"/>
      <c r="M47" s="68"/>
      <c r="O47" s="78"/>
      <c r="R47" s="78"/>
    </row>
    <row r="48" spans="1:19" x14ac:dyDescent="0.25">
      <c r="H48" t="s">
        <v>109</v>
      </c>
      <c r="I48" s="78">
        <v>-1016</v>
      </c>
      <c r="J48" s="78">
        <v>-1352</v>
      </c>
      <c r="K48" s="73">
        <v>-3</v>
      </c>
      <c r="L48" s="73"/>
      <c r="M48" s="68"/>
      <c r="O48" s="78"/>
      <c r="R48" s="78"/>
    </row>
    <row r="49" spans="8:18" x14ac:dyDescent="0.25">
      <c r="H49" t="s">
        <v>133</v>
      </c>
      <c r="I49" s="78">
        <v>-4472</v>
      </c>
      <c r="J49" s="78">
        <v>-4930</v>
      </c>
      <c r="K49" s="73">
        <v>-5304</v>
      </c>
      <c r="L49" s="73"/>
      <c r="M49" s="68"/>
      <c r="O49" s="78"/>
      <c r="R49" s="78"/>
    </row>
    <row r="50" spans="8:18" x14ac:dyDescent="0.25">
      <c r="H50" t="s">
        <v>134</v>
      </c>
      <c r="I50" s="78">
        <v>-2000</v>
      </c>
      <c r="J50" s="78">
        <v>-2000</v>
      </c>
      <c r="K50" s="73">
        <v>-3000</v>
      </c>
      <c r="L50" s="73"/>
      <c r="M50" s="68"/>
      <c r="O50" s="78"/>
      <c r="R50" s="78"/>
    </row>
    <row r="51" spans="8:18" x14ac:dyDescent="0.25">
      <c r="H51" t="s">
        <v>135</v>
      </c>
      <c r="I51" s="78">
        <v>-5</v>
      </c>
      <c r="J51" s="78">
        <v>-2</v>
      </c>
      <c r="K51" s="74" t="s">
        <v>63</v>
      </c>
      <c r="L51" s="74"/>
      <c r="O51" s="78"/>
      <c r="R51" s="78"/>
    </row>
    <row r="52" spans="8:18" x14ac:dyDescent="0.25">
      <c r="H52" t="s">
        <v>136</v>
      </c>
      <c r="I52" s="75">
        <v>462</v>
      </c>
      <c r="J52" s="75">
        <v>281</v>
      </c>
      <c r="K52" s="69">
        <v>329</v>
      </c>
      <c r="L52" s="69"/>
      <c r="O52" s="75"/>
      <c r="R52" s="75"/>
    </row>
    <row r="53" spans="8:18" x14ac:dyDescent="0.25">
      <c r="H53" t="s">
        <v>137</v>
      </c>
      <c r="I53" s="78">
        <v>-145</v>
      </c>
      <c r="J53" s="78">
        <v>-103</v>
      </c>
      <c r="K53" s="73">
        <v>-114</v>
      </c>
      <c r="L53" s="73"/>
      <c r="M53" s="68"/>
      <c r="O53" s="78"/>
      <c r="R53" s="78"/>
    </row>
    <row r="54" spans="8:18" x14ac:dyDescent="0.25">
      <c r="H54" t="s">
        <v>138</v>
      </c>
      <c r="I54" s="78">
        <v>-76</v>
      </c>
      <c r="J54" s="78">
        <v>-53</v>
      </c>
      <c r="K54" s="73">
        <v>-45</v>
      </c>
      <c r="L54" s="73"/>
      <c r="M54" s="68"/>
      <c r="O54" s="78"/>
      <c r="R54" s="78"/>
    </row>
    <row r="55" spans="8:18" x14ac:dyDescent="0.25">
      <c r="H55" s="68" t="s">
        <v>139</v>
      </c>
      <c r="I55" s="78">
        <v>-4186</v>
      </c>
      <c r="J55" s="78">
        <v>-13769</v>
      </c>
      <c r="K55" s="73">
        <v>-8489</v>
      </c>
      <c r="L55" s="73"/>
      <c r="M55" s="68"/>
      <c r="O55" s="78"/>
      <c r="R55" s="78"/>
    </row>
    <row r="56" spans="8:18" x14ac:dyDescent="0.25">
      <c r="H56" t="s">
        <v>140</v>
      </c>
      <c r="I56" s="75">
        <v>47</v>
      </c>
      <c r="J56" s="78">
        <v>-98</v>
      </c>
      <c r="K56" s="69">
        <v>78</v>
      </c>
      <c r="L56" s="69"/>
      <c r="O56" s="78"/>
      <c r="R56" s="75"/>
    </row>
    <row r="57" spans="8:18" x14ac:dyDescent="0.25">
      <c r="H57" s="68" t="s">
        <v>141</v>
      </c>
      <c r="I57" s="75">
        <v>1488</v>
      </c>
      <c r="J57" s="75">
        <v>112</v>
      </c>
      <c r="K57" s="73">
        <v>-5199</v>
      </c>
      <c r="L57" s="73"/>
      <c r="M57" s="68"/>
      <c r="O57" s="75"/>
      <c r="R57" s="75"/>
    </row>
    <row r="58" spans="8:18" x14ac:dyDescent="0.25">
      <c r="H58" s="68" t="s">
        <v>142</v>
      </c>
      <c r="I58" s="75">
        <v>9169</v>
      </c>
      <c r="J58" s="75">
        <v>10657</v>
      </c>
      <c r="K58" s="69">
        <v>10769</v>
      </c>
      <c r="L58" s="69"/>
      <c r="O58" s="75"/>
      <c r="R58" s="75"/>
    </row>
    <row r="59" spans="8:18" x14ac:dyDescent="0.25">
      <c r="H59" s="68" t="s">
        <v>143</v>
      </c>
      <c r="I59" s="77">
        <v>10657</v>
      </c>
      <c r="J59" s="77">
        <v>10769</v>
      </c>
      <c r="K59" s="72">
        <v>5570</v>
      </c>
      <c r="L59" s="72"/>
      <c r="O59" s="77"/>
      <c r="R59" s="77"/>
    </row>
  </sheetData>
  <sortState xmlns:xlrd2="http://schemas.microsoft.com/office/spreadsheetml/2017/richdata2" columnSort="1" ref="I5:S59">
    <sortCondition ref="I5:S5"/>
  </sortState>
  <mergeCells count="41">
    <mergeCell ref="H1:M1"/>
    <mergeCell ref="H3:S3"/>
    <mergeCell ref="A42:C42"/>
    <mergeCell ref="A41:C41"/>
    <mergeCell ref="A40:C40"/>
    <mergeCell ref="A38:C38"/>
    <mergeCell ref="A37:C37"/>
    <mergeCell ref="A36:C36"/>
    <mergeCell ref="A35:C35"/>
    <mergeCell ref="A34:C34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A11:C11"/>
    <mergeCell ref="A10:C10"/>
    <mergeCell ref="A9:C9"/>
    <mergeCell ref="A8:C8"/>
    <mergeCell ref="A7:C7"/>
    <mergeCell ref="A6:C6"/>
    <mergeCell ref="A5:C5"/>
    <mergeCell ref="A1:F1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H15" sqref="H15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2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2" x14ac:dyDescent="0.25">
      <c r="A4" s="39" t="s">
        <v>40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0">
        <f>'PEP DCF'!I39</f>
        <v>0.2014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1">
        <v>0.55000000000000004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35</v>
      </c>
      <c r="B12" s="2"/>
      <c r="C12" s="19">
        <f>'PEP DCF'!D65</f>
        <v>257520.88</v>
      </c>
      <c r="D12" s="2"/>
      <c r="E12" s="2" t="s">
        <v>34</v>
      </c>
      <c r="F12" s="2"/>
      <c r="G12" s="19">
        <f>'PEP DCF'!D62</f>
        <v>4281</v>
      </c>
      <c r="H12" s="2"/>
      <c r="I12" s="2" t="s">
        <v>45</v>
      </c>
      <c r="J12" s="2"/>
      <c r="K12" s="19">
        <f>G12+C12</f>
        <v>261801.88</v>
      </c>
      <c r="L12" s="2"/>
    </row>
    <row r="13" spans="1:12" x14ac:dyDescent="0.25">
      <c r="A13" s="2" t="s">
        <v>46</v>
      </c>
      <c r="B13" s="2"/>
      <c r="C13" s="42">
        <f>C12/K12</f>
        <v>0.98364794019049828</v>
      </c>
      <c r="D13" s="2"/>
      <c r="E13" s="2" t="s">
        <v>47</v>
      </c>
      <c r="F13" s="2"/>
      <c r="G13" s="43">
        <f>G12/K12</f>
        <v>1.6352059809501749E-2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4">
        <f>D7+D8*(D9)</f>
        <v>7.0000000000000007E-2</v>
      </c>
      <c r="D14" s="2"/>
      <c r="E14" s="2" t="s">
        <v>49</v>
      </c>
      <c r="F14" s="2"/>
      <c r="G14" s="43">
        <v>4.4499999999999998E-2</v>
      </c>
      <c r="H14" s="2"/>
      <c r="I14" s="45" t="s">
        <v>1</v>
      </c>
      <c r="J14" s="46"/>
      <c r="K14" s="47">
        <f>C13*C14+G14*G13*(1-D6)</f>
        <v>6.9436470409227027E-2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PEP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2023-06-24T09:33:43Z</dcterms:modified>
</cp:coreProperties>
</file>