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13_ncr:1_{0C1EEB12-1CE5-44DC-9822-4234E48B3BED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GNRC DCF" sheetId="1" r:id="rId1"/>
    <sheet name="WACC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0" i="1" l="1"/>
  <c r="D72" i="1"/>
  <c r="J56" i="1"/>
  <c r="K56" i="1"/>
  <c r="L56" i="1"/>
  <c r="M56" i="1"/>
  <c r="N56" i="1"/>
  <c r="O56" i="1"/>
  <c r="P56" i="1"/>
  <c r="I56" i="1"/>
  <c r="J53" i="1"/>
  <c r="K53" i="1"/>
  <c r="L53" i="1"/>
  <c r="M53" i="1"/>
  <c r="N53" i="1"/>
  <c r="O53" i="1"/>
  <c r="P53" i="1"/>
  <c r="I53" i="1"/>
  <c r="J50" i="1"/>
  <c r="K50" i="1"/>
  <c r="L50" i="1"/>
  <c r="M50" i="1"/>
  <c r="N50" i="1"/>
  <c r="O50" i="1"/>
  <c r="P50" i="1"/>
  <c r="I50" i="1"/>
  <c r="J28" i="1"/>
  <c r="K28" i="1"/>
  <c r="L28" i="1"/>
  <c r="M28" i="1"/>
  <c r="N28" i="1"/>
  <c r="O28" i="1"/>
  <c r="P28" i="1"/>
  <c r="I28" i="1"/>
  <c r="J25" i="1"/>
  <c r="K25" i="1"/>
  <c r="L25" i="1"/>
  <c r="M25" i="1"/>
  <c r="N25" i="1"/>
  <c r="O25" i="1"/>
  <c r="P25" i="1"/>
  <c r="I25" i="1"/>
  <c r="J22" i="1"/>
  <c r="K22" i="1"/>
  <c r="L22" i="1"/>
  <c r="M22" i="1"/>
  <c r="N22" i="1"/>
  <c r="O22" i="1"/>
  <c r="P22" i="1"/>
  <c r="I22" i="1"/>
  <c r="J19" i="1"/>
  <c r="K19" i="1"/>
  <c r="L19" i="1"/>
  <c r="M19" i="1"/>
  <c r="N19" i="1"/>
  <c r="O19" i="1"/>
  <c r="P19" i="1"/>
  <c r="I19" i="1"/>
  <c r="I32" i="1"/>
  <c r="J32" i="1"/>
  <c r="K32" i="1"/>
  <c r="L32" i="1"/>
  <c r="M32" i="1"/>
  <c r="N32" i="1"/>
  <c r="O32" i="1"/>
  <c r="P32" i="1"/>
  <c r="I11" i="1"/>
  <c r="J11" i="1"/>
  <c r="K11" i="1" s="1"/>
  <c r="L11" i="1" s="1"/>
  <c r="M11" i="1" s="1"/>
  <c r="N11" i="1" s="1"/>
  <c r="O11" i="1" s="1"/>
  <c r="P11" i="1" s="1"/>
  <c r="Q11" i="1" s="1"/>
  <c r="Q32" i="1" s="1"/>
  <c r="E12" i="1"/>
  <c r="D12" i="1"/>
  <c r="H63" i="1"/>
  <c r="C50" i="1"/>
  <c r="D50" i="1"/>
  <c r="E50" i="1"/>
  <c r="F63" i="1"/>
  <c r="G63" i="1"/>
  <c r="H61" i="1"/>
  <c r="F59" i="1"/>
  <c r="H53" i="1"/>
  <c r="G53" i="1"/>
  <c r="H50" i="1"/>
  <c r="G50" i="1"/>
  <c r="F50" i="1"/>
  <c r="H28" i="1"/>
  <c r="H34" i="1" s="1"/>
  <c r="G28" i="1"/>
  <c r="F28" i="1"/>
  <c r="D32" i="1"/>
  <c r="C32" i="1"/>
  <c r="F32" i="1"/>
  <c r="G32" i="1"/>
  <c r="H32" i="1"/>
  <c r="E32" i="1"/>
  <c r="G34" i="1"/>
  <c r="D6" i="2"/>
  <c r="I38" i="1"/>
  <c r="D39" i="1"/>
  <c r="F39" i="1"/>
  <c r="G39" i="1"/>
  <c r="H39" i="1"/>
  <c r="E39" i="1"/>
  <c r="E34" i="1"/>
  <c r="F34" i="1"/>
  <c r="C34" i="1"/>
  <c r="Q19" i="1" l="1"/>
  <c r="Q22" i="1"/>
  <c r="Q25" i="1"/>
  <c r="Q28" i="1"/>
  <c r="Q50" i="1"/>
  <c r="Q53" i="1"/>
  <c r="Q56" i="1"/>
  <c r="C39" i="1"/>
  <c r="D34" i="1"/>
  <c r="L70" i="1"/>
  <c r="L69" i="1" s="1"/>
  <c r="L72" i="1"/>
  <c r="L73" i="1" s="1"/>
  <c r="H20" i="1"/>
  <c r="H12" i="1"/>
  <c r="E35" i="1"/>
  <c r="G12" i="2"/>
  <c r="D73" i="1"/>
  <c r="C12" i="2" s="1"/>
  <c r="G29" i="1" l="1"/>
  <c r="F29" i="1"/>
  <c r="C29" i="1"/>
  <c r="D29" i="1"/>
  <c r="E29" i="1"/>
  <c r="H29" i="1"/>
  <c r="F26" i="1"/>
  <c r="D26" i="1"/>
  <c r="H26" i="1"/>
  <c r="G23" i="1"/>
  <c r="F23" i="1"/>
  <c r="C23" i="1"/>
  <c r="D23" i="1"/>
  <c r="E23" i="1"/>
  <c r="H23" i="1"/>
  <c r="G20" i="1"/>
  <c r="F20" i="1"/>
  <c r="C20" i="1"/>
  <c r="D20" i="1"/>
  <c r="E20" i="1"/>
  <c r="C14" i="2"/>
  <c r="C54" i="1"/>
  <c r="D54" i="1"/>
  <c r="E54" i="1"/>
  <c r="F54" i="1"/>
  <c r="G54" i="1"/>
  <c r="H54" i="1"/>
  <c r="G51" i="1"/>
  <c r="H51" i="1"/>
  <c r="C51" i="1"/>
  <c r="E51" i="1"/>
  <c r="C35" i="1"/>
  <c r="G35" i="1"/>
  <c r="G26" i="1"/>
  <c r="D57" i="1"/>
  <c r="E57" i="1"/>
  <c r="D51" i="1"/>
  <c r="C26" i="1"/>
  <c r="E26" i="1"/>
  <c r="D16" i="1"/>
  <c r="D37" i="1" s="1"/>
  <c r="D41" i="1" s="1"/>
  <c r="D61" i="1" s="1"/>
  <c r="C16" i="1"/>
  <c r="C37" i="1" s="1"/>
  <c r="C41" i="1" s="1"/>
  <c r="C61" i="1" s="1"/>
  <c r="E16" i="1"/>
  <c r="E37" i="1" s="1"/>
  <c r="F57" i="1"/>
  <c r="G57" i="1"/>
  <c r="H57" i="1"/>
  <c r="F51" i="1"/>
  <c r="F16" i="1"/>
  <c r="F37" i="1" s="1"/>
  <c r="F41" i="1" s="1"/>
  <c r="F61" i="1" s="1"/>
  <c r="G16" i="1"/>
  <c r="G37" i="1" s="1"/>
  <c r="G41" i="1" s="1"/>
  <c r="G61" i="1" s="1"/>
  <c r="H16" i="1"/>
  <c r="H37" i="1" s="1"/>
  <c r="H41" i="1" s="1"/>
  <c r="F12" i="1"/>
  <c r="G12" i="1"/>
  <c r="J9" i="1"/>
  <c r="K9" i="1" s="1"/>
  <c r="L9" i="1" s="1"/>
  <c r="M9" i="1" s="1"/>
  <c r="N9" i="1" s="1"/>
  <c r="O9" i="1" s="1"/>
  <c r="P9" i="1" s="1"/>
  <c r="Q9" i="1" s="1"/>
  <c r="R9" i="1" s="1"/>
  <c r="E43" i="1" l="1"/>
  <c r="E59" i="1" s="1"/>
  <c r="E63" i="1" s="1"/>
  <c r="E41" i="1"/>
  <c r="E61" i="1" s="1"/>
  <c r="C43" i="1"/>
  <c r="C59" i="1" s="1"/>
  <c r="C63" i="1" s="1"/>
  <c r="F17" i="1"/>
  <c r="D17" i="1"/>
  <c r="I35" i="1"/>
  <c r="H17" i="1"/>
  <c r="C57" i="1"/>
  <c r="K12" i="2"/>
  <c r="I16" i="1"/>
  <c r="G17" i="1"/>
  <c r="E17" i="1"/>
  <c r="C17" i="1"/>
  <c r="H35" i="1"/>
  <c r="F35" i="1"/>
  <c r="D35" i="1"/>
  <c r="C47" i="1" l="1"/>
  <c r="G43" i="1"/>
  <c r="G59" i="1" s="1"/>
  <c r="I14" i="1"/>
  <c r="C13" i="2"/>
  <c r="G13" i="2"/>
  <c r="D43" i="1"/>
  <c r="D59" i="1" s="1"/>
  <c r="D63" i="1" s="1"/>
  <c r="F43" i="1"/>
  <c r="H43" i="1"/>
  <c r="H59" i="1" l="1"/>
  <c r="F47" i="1"/>
  <c r="H47" i="1"/>
  <c r="E47" i="1"/>
  <c r="G47" i="1"/>
  <c r="D47" i="1"/>
  <c r="G44" i="1"/>
  <c r="C44" i="1"/>
  <c r="E44" i="1"/>
  <c r="K14" i="2"/>
  <c r="E5" i="1" s="1"/>
  <c r="D44" i="1"/>
  <c r="H44" i="1"/>
  <c r="F44" i="1"/>
  <c r="I37" i="1" l="1"/>
  <c r="I44" i="1" l="1"/>
  <c r="I46" i="1"/>
  <c r="I59" i="1" s="1"/>
  <c r="I63" i="1" s="1"/>
  <c r="I41" i="1"/>
  <c r="I61" i="1" l="1"/>
  <c r="I64" i="1" l="1"/>
  <c r="J38" i="1" l="1"/>
  <c r="J16" i="1"/>
  <c r="J35" i="1" l="1"/>
  <c r="J37" i="1"/>
  <c r="J41" i="1"/>
  <c r="J14" i="1"/>
  <c r="J46" i="1" l="1"/>
  <c r="J61" i="1" s="1"/>
  <c r="J44" i="1"/>
  <c r="J59" i="1"/>
  <c r="J63" i="1" s="1"/>
  <c r="J64" i="1" s="1"/>
  <c r="K38" i="1"/>
  <c r="K16" i="1"/>
  <c r="K14" i="1" s="1"/>
  <c r="K35" i="1" l="1"/>
  <c r="K41" i="1"/>
  <c r="K37" i="1"/>
  <c r="K44" i="1" l="1"/>
  <c r="K46" i="1"/>
  <c r="K59" i="1" s="1"/>
  <c r="K63" i="1" s="1"/>
  <c r="K64" i="1" s="1"/>
  <c r="L38" i="1"/>
  <c r="L16" i="1"/>
  <c r="L37" i="1" s="1"/>
  <c r="L35" i="1" l="1"/>
  <c r="K61" i="1"/>
  <c r="L46" i="1"/>
  <c r="L44" i="1"/>
  <c r="L59" i="1"/>
  <c r="L63" i="1" s="1"/>
  <c r="L64" i="1" s="1"/>
  <c r="L41" i="1"/>
  <c r="L14" i="1"/>
  <c r="M38" i="1"/>
  <c r="M16" i="1"/>
  <c r="L61" i="1" l="1"/>
  <c r="M14" i="1"/>
  <c r="M37" i="1"/>
  <c r="M35" i="1"/>
  <c r="M46" i="1" l="1"/>
  <c r="M59" i="1" s="1"/>
  <c r="M63" i="1" s="1"/>
  <c r="M64" i="1" s="1"/>
  <c r="M44" i="1"/>
  <c r="M41" i="1"/>
  <c r="N16" i="1"/>
  <c r="N14" i="1" s="1"/>
  <c r="N38" i="1"/>
  <c r="M61" i="1" l="1"/>
  <c r="N37" i="1"/>
  <c r="N35" i="1"/>
  <c r="N41" i="1" l="1"/>
  <c r="N44" i="1"/>
  <c r="N46" i="1"/>
  <c r="N59" i="1" s="1"/>
  <c r="N63" i="1" s="1"/>
  <c r="N64" i="1" s="1"/>
  <c r="N61" i="1" l="1"/>
  <c r="O38" i="1"/>
  <c r="O35" i="1"/>
  <c r="O16" i="1"/>
  <c r="O37" i="1" s="1"/>
  <c r="O14" i="1" l="1"/>
  <c r="O41" i="1"/>
  <c r="O44" i="1"/>
  <c r="O46" i="1"/>
  <c r="O59" i="1" s="1"/>
  <c r="O63" i="1" s="1"/>
  <c r="O64" i="1" s="1"/>
  <c r="P16" i="1"/>
  <c r="P14" i="1" s="1"/>
  <c r="P38" i="1"/>
  <c r="O61" i="1" l="1"/>
  <c r="P37" i="1"/>
  <c r="P35" i="1"/>
  <c r="P41" i="1" l="1"/>
  <c r="P44" i="1"/>
  <c r="P46" i="1"/>
  <c r="P59" i="1" s="1"/>
  <c r="P63" i="1" s="1"/>
  <c r="P64" i="1" s="1"/>
  <c r="P61" i="1" l="1"/>
  <c r="Q38" i="1"/>
  <c r="Q16" i="1"/>
  <c r="Q14" i="1" s="1"/>
  <c r="Q37" i="1" l="1"/>
  <c r="Q46" i="1" s="1"/>
  <c r="Q59" i="1" s="1"/>
  <c r="Q63" i="1" s="1"/>
  <c r="Q64" i="1" s="1"/>
  <c r="Q35" i="1"/>
  <c r="Q41" i="1"/>
  <c r="Q61" i="1" s="1"/>
  <c r="Q44" i="1"/>
  <c r="R11" i="1"/>
  <c r="R16" i="1" l="1"/>
  <c r="R37" i="1" s="1"/>
  <c r="R56" i="1"/>
  <c r="R53" i="1"/>
  <c r="R50" i="1"/>
  <c r="R28" i="1"/>
  <c r="R25" i="1"/>
  <c r="R22" i="1"/>
  <c r="R19" i="1"/>
  <c r="R32" i="1"/>
  <c r="R14" i="1"/>
  <c r="R38" i="1"/>
  <c r="R35" i="1" l="1"/>
  <c r="R46" i="1"/>
  <c r="R59" i="1" s="1"/>
  <c r="R63" i="1" s="1"/>
  <c r="R44" i="1"/>
  <c r="R41" i="1"/>
  <c r="R61" i="1" s="1"/>
  <c r="R64" i="1" l="1"/>
  <c r="C66" i="1"/>
  <c r="C67" i="1" s="1"/>
  <c r="S61" i="1"/>
  <c r="T61" i="1" s="1"/>
  <c r="U61" i="1" s="1"/>
  <c r="V61" i="1" s="1"/>
  <c r="W61" i="1" s="1"/>
  <c r="X61" i="1" s="1"/>
  <c r="Y61" i="1" s="1"/>
  <c r="Z61" i="1" s="1"/>
  <c r="AA61" i="1" s="1"/>
  <c r="AB61" i="1" s="1"/>
  <c r="AC61" i="1" s="1"/>
  <c r="AD61" i="1" s="1"/>
  <c r="AE61" i="1" s="1"/>
  <c r="AF61" i="1" s="1"/>
  <c r="AG61" i="1" s="1"/>
  <c r="AH61" i="1" s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AW61" i="1" s="1"/>
  <c r="AX61" i="1" s="1"/>
  <c r="AY61" i="1" s="1"/>
  <c r="AZ61" i="1" s="1"/>
  <c r="BA61" i="1" s="1"/>
  <c r="BB61" i="1" s="1"/>
  <c r="BC61" i="1" s="1"/>
  <c r="BD61" i="1" s="1"/>
  <c r="BE61" i="1" s="1"/>
  <c r="BF61" i="1" s="1"/>
  <c r="BG61" i="1" s="1"/>
  <c r="BH61" i="1" s="1"/>
  <c r="BI61" i="1" s="1"/>
  <c r="BJ61" i="1" s="1"/>
  <c r="BK61" i="1" s="1"/>
  <c r="BL61" i="1" s="1"/>
  <c r="BM61" i="1" s="1"/>
  <c r="BN61" i="1" s="1"/>
  <c r="BO61" i="1" s="1"/>
  <c r="BP61" i="1" s="1"/>
  <c r="BQ61" i="1" s="1"/>
  <c r="BR61" i="1" s="1"/>
  <c r="BS61" i="1" s="1"/>
  <c r="BT61" i="1" s="1"/>
  <c r="BU61" i="1" s="1"/>
  <c r="BV61" i="1" s="1"/>
  <c r="BW61" i="1" s="1"/>
  <c r="BX61" i="1" s="1"/>
  <c r="BY61" i="1" s="1"/>
  <c r="BZ61" i="1" s="1"/>
  <c r="CA61" i="1" s="1"/>
  <c r="CB61" i="1" s="1"/>
  <c r="CC61" i="1" s="1"/>
  <c r="CD61" i="1" s="1"/>
  <c r="CE61" i="1" s="1"/>
  <c r="CF61" i="1" s="1"/>
  <c r="CG61" i="1" s="1"/>
  <c r="CH61" i="1" s="1"/>
  <c r="G69" i="1" l="1"/>
  <c r="G71" i="1" s="1"/>
  <c r="G74" i="1" s="1"/>
  <c r="F66" i="1"/>
  <c r="H69" i="1" s="1"/>
  <c r="H71" i="1" s="1"/>
  <c r="H74" i="1" s="1"/>
  <c r="D74" i="1" l="1"/>
  <c r="J6" i="1" s="1"/>
  <c r="N5" i="1" s="1"/>
  <c r="L68" i="1" l="1"/>
</calcChain>
</file>

<file path=xl/sharedStrings.xml><?xml version="1.0" encoding="utf-8"?>
<sst xmlns="http://schemas.openxmlformats.org/spreadsheetml/2006/main" count="89" uniqueCount="60">
  <si>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</si>
  <si>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</si>
  <si>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</si>
  <si>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</si>
  <si>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</si>
  <si>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</si>
  <si>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</si>
  <si>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</si>
  <si>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</si>
  <si>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</si>
  <si>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</si>
  <si>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</si>
  <si>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</si>
  <si>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</si>
  <si>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</si>
  <si>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</si>
  <si>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</si>
  <si>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</si>
  <si>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</si>
  <si>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</si>
  <si>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</si>
  <si>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</si>
  <si>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</si>
  <si>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</si>
  <si>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</si>
  <si>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</si>
  <si>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</si>
  <si>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</si>
  <si>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</si>
  <si>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</si>
  <si>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</si>
  <si>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</si>
  <si>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</si>
  <si>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</si>
  <si>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</si>
  <si>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</si>
  <si>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</si>
  <si>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</si>
  <si>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</si>
  <si>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</si>
  <si>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</si>
  <si>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</si>
  <si>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</si>
  <si>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</si>
  <si>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</si>
  <si>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</si>
  <si>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</si>
  <si>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</si>
  <si>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</si>
  <si>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</si>
  <si>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</si>
  <si>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</si>
  <si>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</si>
  <si>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</si>
  <si>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S&amp;M</t>
  </si>
  <si>
    <t>G&amp;A</t>
  </si>
  <si>
    <t>NCI</t>
  </si>
  <si>
    <t>Other</t>
  </si>
  <si>
    <t>Amortization</t>
  </si>
  <si>
    <t>Generac Holdings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</si>
</sst>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0" fontId="3" fillId="2" borderId="0" xfId="1" applyNumberFormat="1" applyFont="1" applyFill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8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9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1" xfId="0" applyNumberFormat="1" applyFont="1" applyFill="1" applyBorder="1"/>
    <xf numFmtId="1" fontId="3" fillId="2" borderId="12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2" fontId="3" fillId="2" borderId="0" xfId="0" applyNumberFormat="1" applyFont="1" applyFill="1" applyAlignment="1">
      <alignment horizontal="left"/>
    </xf>
    <xf numFmtId="3" fontId="3" fillId="2" borderId="0" xfId="1" applyNumberFormat="1" applyFont="1" applyFill="1"/>
    <xf numFmtId="0" fontId="0" fillId="7" borderId="0" xfId="0" applyFill="1" applyAlignment="1">
      <alignment horizontal="right"/>
    </xf>
    <xf numFmtId="0" fontId="7" fillId="5" borderId="0" xfId="0" applyFont="1" applyFill="1"/>
    <xf numFmtId="164" fontId="7" fillId="5" borderId="0" xfId="1" applyNumberFormat="1" applyFont="1" applyFill="1"/>
    <xf numFmtId="0" fontId="10" fillId="5" borderId="0" xfId="0" applyFont="1" applyFill="1"/>
    <xf numFmtId="164" fontId="10" fillId="5" borderId="0" xfId="1" applyNumberFormat="1" applyFont="1" applyFill="1"/>
    <xf numFmtId="164" fontId="10" fillId="5" borderId="4" xfId="0" applyNumberFormat="1" applyFont="1" applyFill="1" applyBorder="1"/>
    <xf numFmtId="164" fontId="3" fillId="5" borderId="0" xfId="1" applyNumberFormat="1" applyFont="1" applyFill="1"/>
    <xf numFmtId="0" fontId="2" fillId="4" borderId="4" xfId="0" applyFont="1" applyFill="1" applyBorder="1"/>
    <xf numFmtId="1" fontId="0" fillId="2" borderId="4" xfId="0" applyNumberFormat="1" applyFill="1" applyBorder="1"/>
    <xf numFmtId="164" fontId="10" fillId="5" borderId="4" xfId="1" applyNumberFormat="1" applyFont="1" applyFill="1" applyBorder="1"/>
    <xf numFmtId="164" fontId="10" fillId="5" borderId="0" xfId="1" applyNumberFormat="1" applyFont="1" applyFill="1" applyBorder="1"/>
    <xf numFmtId="0" fontId="0" fillId="2" borderId="4" xfId="0" applyFill="1" applyBorder="1"/>
    <xf numFmtId="1" fontId="0" fillId="2" borderId="12" xfId="0" applyNumberFormat="1" applyFill="1" applyBorder="1"/>
    <xf numFmtId="1" fontId="0" fillId="2" borderId="1" xfId="0" applyNumberFormat="1" applyFill="1" applyBorder="1"/>
    <xf numFmtId="3" fontId="0" fillId="2" borderId="4" xfId="0" applyNumberFormat="1" applyFill="1" applyBorder="1"/>
    <xf numFmtId="164" fontId="10" fillId="2" borderId="4" xfId="1" applyNumberFormat="1" applyFont="1" applyFill="1" applyBorder="1"/>
    <xf numFmtId="164" fontId="10" fillId="2" borderId="0" xfId="1" applyNumberFormat="1" applyFont="1" applyFill="1" applyBorder="1"/>
    <xf numFmtId="1" fontId="0" fillId="2" borderId="4" xfId="1" applyNumberFormat="1" applyFont="1" applyFill="1" applyBorder="1"/>
    <xf numFmtId="1" fontId="0" fillId="2" borderId="0" xfId="1" applyNumberFormat="1" applyFont="1" applyFill="1" applyBorder="1"/>
    <xf numFmtId="10" fontId="10" fillId="5" borderId="4" xfId="0" applyNumberFormat="1" applyFont="1" applyFill="1" applyBorder="1"/>
    <xf numFmtId="0" fontId="2" fillId="3" borderId="4" xfId="0" applyFont="1" applyFill="1" applyBorder="1"/>
    <xf numFmtId="164" fontId="0" fillId="5" borderId="4" xfId="0" applyNumberFormat="1" applyFill="1" applyBorder="1"/>
    <xf numFmtId="0" fontId="3" fillId="2" borderId="0" xfId="1" applyNumberFormat="1" applyFont="1" applyFill="1"/>
    <xf numFmtId="0" fontId="2" fillId="4" borderId="0" xfId="0" applyFont="1" applyFill="1" applyBorder="1"/>
    <xf numFmtId="1" fontId="0" fillId="2" borderId="0" xfId="0" applyNumberFormat="1" applyFill="1" applyBorder="1"/>
    <xf numFmtId="164" fontId="7" fillId="5" borderId="0" xfId="1" applyNumberFormat="1" applyFont="1" applyFill="1" applyBorder="1"/>
    <xf numFmtId="0" fontId="0" fillId="2" borderId="0" xfId="0" applyFill="1" applyBorder="1"/>
    <xf numFmtId="164" fontId="10" fillId="5" borderId="0" xfId="0" applyNumberFormat="1" applyFont="1" applyFill="1" applyBorder="1"/>
    <xf numFmtId="3" fontId="0" fillId="2" borderId="0" xfId="0" applyNumberFormat="1" applyFill="1" applyBorder="1"/>
    <xf numFmtId="10" fontId="10" fillId="5" borderId="0" xfId="0" applyNumberFormat="1" applyFont="1" applyFill="1" applyBorder="1"/>
    <xf numFmtId="0" fontId="2" fillId="3" borderId="0" xfId="0" applyFont="1" applyFill="1" applyBorder="1"/>
    <xf numFmtId="164" fontId="0" fillId="5" borderId="0" xfId="0" applyNumberFormat="1" applyFill="1" applyBorder="1"/>
    <xf numFmtId="164" fontId="7" fillId="5" borderId="4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75"/>
  <sheetViews>
    <sheetView tabSelected="1" topLeftCell="B58" workbookViewId="0">
      <selection activeCell="K71" sqref="K71"/>
    </sheetView>
  </sheetViews>
  <sheetFormatPr defaultRowHeight="15" x14ac:dyDescent="0.25"/>
  <cols>
    <col min="1" max="1" width="7.7109375" style="2" customWidth="1"/>
    <col min="2" max="2" width="17.140625" style="2" customWidth="1"/>
    <col min="3" max="6" width="9.140625" style="2"/>
    <col min="7" max="8" width="10.28515625" style="2" customWidth="1"/>
    <col min="9" max="18" width="10.85546875" style="2" customWidth="1"/>
    <col min="19" max="16384" width="9.140625" style="47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59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7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C5" s="7" t="s">
        <v>1</v>
      </c>
      <c r="D5" s="1"/>
      <c r="E5" s="8">
        <f>WACC!K14</f>
        <v>0.10994286717058062</v>
      </c>
      <c r="G5" s="1"/>
      <c r="H5" s="1" t="s">
        <v>2</v>
      </c>
      <c r="I5" s="1"/>
      <c r="J5" s="7">
        <v>112.24</v>
      </c>
      <c r="K5" s="1"/>
      <c r="L5" s="1" t="s">
        <v>3</v>
      </c>
      <c r="M5" s="1"/>
      <c r="N5" s="62">
        <f>(J6/J5)-1</f>
        <v>0.31918889108701554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0.03</v>
      </c>
      <c r="G6" s="1"/>
      <c r="H6" s="1" t="s">
        <v>5</v>
      </c>
      <c r="I6" s="1"/>
      <c r="J6" s="64">
        <f>D74</f>
        <v>148.06576113560661</v>
      </c>
      <c r="K6" s="1"/>
      <c r="L6" s="1" t="s">
        <v>53</v>
      </c>
      <c r="M6" s="1"/>
      <c r="N6" s="61">
        <v>45153</v>
      </c>
      <c r="O6" s="1"/>
      <c r="P6" s="1"/>
      <c r="Q6" s="1"/>
    </row>
    <row r="7" spans="1:86" x14ac:dyDescent="0.25">
      <c r="B7" s="61"/>
      <c r="C7" s="1"/>
      <c r="D7" s="1"/>
      <c r="E7" s="9"/>
      <c r="F7" s="1"/>
      <c r="G7" s="1"/>
      <c r="H7" s="1"/>
      <c r="I7" s="1"/>
      <c r="J7" s="1"/>
      <c r="K7" s="1"/>
      <c r="L7" s="53"/>
      <c r="M7" s="1"/>
      <c r="N7" s="1"/>
      <c r="O7" s="1"/>
      <c r="P7" s="1"/>
      <c r="Q7" s="1"/>
    </row>
    <row r="8" spans="1:86" x14ac:dyDescent="0.25">
      <c r="A8" s="1"/>
      <c r="B8" s="12"/>
      <c r="C8" s="1"/>
      <c r="D8" s="1"/>
      <c r="E8" s="35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0">
        <v>2019</v>
      </c>
      <c r="F10" s="11">
        <v>2020</v>
      </c>
      <c r="G10" s="10">
        <v>2021</v>
      </c>
      <c r="H10" s="10">
        <v>2022</v>
      </c>
      <c r="I10" s="73">
        <v>2023</v>
      </c>
      <c r="J10" s="89">
        <v>2024</v>
      </c>
      <c r="K10" s="89">
        <v>2025</v>
      </c>
      <c r="L10" s="89">
        <v>2026</v>
      </c>
      <c r="M10" s="89">
        <v>2027</v>
      </c>
      <c r="N10" s="89">
        <v>2028</v>
      </c>
      <c r="O10" s="89">
        <v>2029</v>
      </c>
      <c r="P10" s="89">
        <v>2030</v>
      </c>
      <c r="Q10" s="89">
        <v>2031</v>
      </c>
      <c r="R10" s="89">
        <v>2032</v>
      </c>
      <c r="S10" s="10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12">
        <v>1679373</v>
      </c>
      <c r="D11" s="12">
        <v>2023464</v>
      </c>
      <c r="E11" s="12">
        <v>2204336</v>
      </c>
      <c r="F11" s="12">
        <v>2485200</v>
      </c>
      <c r="G11" s="12">
        <v>3737184</v>
      </c>
      <c r="H11" s="12">
        <v>4564737</v>
      </c>
      <c r="I11" s="74">
        <f t="shared" ref="I11" si="1">H11*(1+I12)</f>
        <v>4050000</v>
      </c>
      <c r="J11" s="90">
        <f t="shared" ref="J11" si="2">I11*(1+J12)</f>
        <v>4400000</v>
      </c>
      <c r="K11" s="90">
        <f t="shared" ref="K11" si="3">J11*(1+K12)</f>
        <v>4770000</v>
      </c>
      <c r="L11" s="90">
        <f t="shared" ref="L11" si="4">K11*(1+L12)</f>
        <v>5020000</v>
      </c>
      <c r="M11" s="90">
        <f t="shared" ref="M11" si="5">L11*(1+M12)</f>
        <v>5320000</v>
      </c>
      <c r="N11" s="90">
        <f t="shared" ref="N11" si="6">M11*(1+N12)</f>
        <v>5769999.9999999991</v>
      </c>
      <c r="O11" s="90">
        <f t="shared" ref="O11" si="7">N11*(1+O12)</f>
        <v>6129999.9999999981</v>
      </c>
      <c r="P11" s="90">
        <f t="shared" ref="P11" si="8">O11*(1+P12)</f>
        <v>6509999.9999999981</v>
      </c>
      <c r="Q11" s="90">
        <f t="shared" ref="Q11" si="9">P11*(1+Q12)</f>
        <v>6913619.9999999981</v>
      </c>
      <c r="R11" s="90">
        <f t="shared" ref="J11:R11" si="10">Q11*(1+R12)</f>
        <v>7342264.4399999985</v>
      </c>
    </row>
    <row r="12" spans="1:86" x14ac:dyDescent="0.25">
      <c r="A12" s="1"/>
      <c r="B12" s="67" t="s">
        <v>8</v>
      </c>
      <c r="C12" s="68"/>
      <c r="D12" s="68">
        <f>(D11/C11)-1</f>
        <v>0.20489254025162973</v>
      </c>
      <c r="E12" s="68">
        <f>(E11/D11)-1</f>
        <v>8.9387308101354979E-2</v>
      </c>
      <c r="F12" s="68">
        <f>(F11/E11)-1</f>
        <v>0.12741433247925915</v>
      </c>
      <c r="G12" s="68">
        <f>(G11/F11)-1</f>
        <v>0.50377595364558192</v>
      </c>
      <c r="H12" s="68">
        <f>(H11/G11)-1</f>
        <v>0.22143758509080635</v>
      </c>
      <c r="I12" s="98">
        <v>-0.11276378025721967</v>
      </c>
      <c r="J12" s="91">
        <v>8.6419753086419693E-2</v>
      </c>
      <c r="K12" s="91">
        <v>8.4090909090908994E-2</v>
      </c>
      <c r="L12" s="91">
        <v>5.2410901467505155E-2</v>
      </c>
      <c r="M12" s="91">
        <v>5.9760956175298752E-2</v>
      </c>
      <c r="N12" s="91">
        <v>8.4586466165413432E-2</v>
      </c>
      <c r="O12" s="91">
        <v>6.239168110918536E-2</v>
      </c>
      <c r="P12" s="91">
        <v>6.1990212071778128E-2</v>
      </c>
      <c r="Q12" s="91">
        <v>6.2E-2</v>
      </c>
      <c r="R12" s="91">
        <v>6.2E-2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77"/>
      <c r="J13" s="92"/>
      <c r="K13" s="92"/>
      <c r="L13" s="92"/>
      <c r="M13" s="92"/>
      <c r="N13" s="92"/>
      <c r="O13" s="92"/>
      <c r="P13" s="92"/>
      <c r="Q13" s="92"/>
      <c r="R13" s="92"/>
    </row>
    <row r="14" spans="1:86" x14ac:dyDescent="0.25">
      <c r="A14" s="1"/>
      <c r="B14" s="1" t="s">
        <v>9</v>
      </c>
      <c r="C14" s="12">
        <v>1094587</v>
      </c>
      <c r="D14" s="12">
        <v>1298424</v>
      </c>
      <c r="E14" s="12">
        <v>1406584</v>
      </c>
      <c r="F14" s="12">
        <v>1527546</v>
      </c>
      <c r="G14" s="12">
        <v>2377102</v>
      </c>
      <c r="H14" s="12">
        <v>3042733</v>
      </c>
      <c r="I14" s="78">
        <f>I11-I16</f>
        <v>2680695</v>
      </c>
      <c r="J14" s="79">
        <f t="shared" ref="J14:K14" si="11">J11-J16</f>
        <v>2829640</v>
      </c>
      <c r="K14" s="79">
        <f t="shared" si="11"/>
        <v>3050415</v>
      </c>
      <c r="L14" s="79">
        <f t="shared" ref="L14:R14" si="12">L11-L16</f>
        <v>3114910</v>
      </c>
      <c r="M14" s="79">
        <f t="shared" si="12"/>
        <v>3287760</v>
      </c>
      <c r="N14" s="79">
        <f t="shared" si="12"/>
        <v>3646639.9999999995</v>
      </c>
      <c r="O14" s="79">
        <f t="shared" si="12"/>
        <v>3877224.9999999991</v>
      </c>
      <c r="P14" s="79">
        <f t="shared" si="12"/>
        <v>4120829.9999999991</v>
      </c>
      <c r="Q14" s="79">
        <f t="shared" si="12"/>
        <v>4466198.5199999996</v>
      </c>
      <c r="R14" s="79">
        <f t="shared" si="12"/>
        <v>4699049.2415999994</v>
      </c>
    </row>
    <row r="15" spans="1:86" x14ac:dyDescent="0.25">
      <c r="A15" s="1"/>
      <c r="B15" s="18"/>
      <c r="C15" s="18"/>
      <c r="D15" s="18"/>
      <c r="E15" s="18"/>
      <c r="F15" s="18"/>
      <c r="G15" s="18"/>
      <c r="H15" s="18"/>
      <c r="I15" s="77"/>
      <c r="J15" s="92"/>
      <c r="K15" s="92"/>
      <c r="L15" s="92"/>
      <c r="M15" s="92"/>
      <c r="N15" s="92"/>
      <c r="O15" s="92"/>
      <c r="P15" s="92"/>
      <c r="Q15" s="92"/>
      <c r="R15" s="92"/>
    </row>
    <row r="16" spans="1:86" x14ac:dyDescent="0.25">
      <c r="A16" s="1"/>
      <c r="B16" s="1" t="s">
        <v>10</v>
      </c>
      <c r="C16" s="12">
        <f>C11-C14</f>
        <v>584786</v>
      </c>
      <c r="D16" s="12">
        <f>D11-D14</f>
        <v>725040</v>
      </c>
      <c r="E16" s="12">
        <f>E11-E14</f>
        <v>797752</v>
      </c>
      <c r="F16" s="12">
        <f t="shared" ref="C16:H16" si="13">F11-F14</f>
        <v>957654</v>
      </c>
      <c r="G16" s="12">
        <f t="shared" si="13"/>
        <v>1360082</v>
      </c>
      <c r="H16" s="12">
        <f t="shared" si="13"/>
        <v>1522004</v>
      </c>
      <c r="I16" s="74">
        <f>I11*I17</f>
        <v>1369305</v>
      </c>
      <c r="J16" s="90">
        <f t="shared" ref="J16:R16" si="14">J11*J17</f>
        <v>1570360</v>
      </c>
      <c r="K16" s="90">
        <f t="shared" si="14"/>
        <v>1719585</v>
      </c>
      <c r="L16" s="90">
        <f t="shared" si="14"/>
        <v>1905090</v>
      </c>
      <c r="M16" s="90">
        <f t="shared" si="14"/>
        <v>2032240</v>
      </c>
      <c r="N16" s="90">
        <f t="shared" si="14"/>
        <v>2123359.9999999995</v>
      </c>
      <c r="O16" s="90">
        <f t="shared" si="14"/>
        <v>2252774.9999999991</v>
      </c>
      <c r="P16" s="90">
        <f t="shared" si="14"/>
        <v>2389169.9999999991</v>
      </c>
      <c r="Q16" s="90">
        <f t="shared" si="14"/>
        <v>2447421.4799999991</v>
      </c>
      <c r="R16" s="90">
        <f t="shared" si="14"/>
        <v>2643215.1983999992</v>
      </c>
    </row>
    <row r="17" spans="1:18" x14ac:dyDescent="0.25">
      <c r="A17" s="1"/>
      <c r="B17" s="69" t="s">
        <v>11</v>
      </c>
      <c r="C17" s="70">
        <f>C16/C11</f>
        <v>0.34821686427017701</v>
      </c>
      <c r="D17" s="70">
        <f>D16/D11</f>
        <v>0.35831623394337631</v>
      </c>
      <c r="E17" s="70">
        <f>E16/E11</f>
        <v>0.36190127094961927</v>
      </c>
      <c r="F17" s="70">
        <f t="shared" ref="C17:H17" si="15">F16/F11</f>
        <v>0.38534282955094157</v>
      </c>
      <c r="G17" s="70">
        <f t="shared" si="15"/>
        <v>0.36393230839048868</v>
      </c>
      <c r="H17" s="70">
        <f t="shared" si="15"/>
        <v>0.33342643836873842</v>
      </c>
      <c r="I17" s="71">
        <v>0.33810000000000001</v>
      </c>
      <c r="J17" s="93">
        <v>0.3569</v>
      </c>
      <c r="K17" s="93">
        <v>0.36049999999999999</v>
      </c>
      <c r="L17" s="93">
        <v>0.3795</v>
      </c>
      <c r="M17" s="93">
        <v>0.38200000000000001</v>
      </c>
      <c r="N17" s="93">
        <v>0.36799999999999999</v>
      </c>
      <c r="O17" s="93">
        <v>0.36749999999999999</v>
      </c>
      <c r="P17" s="93">
        <v>0.36699999999999999</v>
      </c>
      <c r="Q17" s="93">
        <v>0.35399999999999998</v>
      </c>
      <c r="R17" s="93">
        <v>0.36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77"/>
      <c r="J18" s="92"/>
      <c r="K18" s="92"/>
      <c r="L18" s="92"/>
      <c r="M18" s="92"/>
      <c r="N18" s="92"/>
      <c r="O18" s="92"/>
      <c r="P18" s="92"/>
      <c r="Q18" s="92"/>
      <c r="R18" s="92"/>
    </row>
    <row r="19" spans="1:18" x14ac:dyDescent="0.25">
      <c r="A19" s="1"/>
      <c r="B19" s="1" t="s">
        <v>12</v>
      </c>
      <c r="C19" s="12">
        <v>42869</v>
      </c>
      <c r="D19" s="12">
        <v>50019</v>
      </c>
      <c r="E19" s="12">
        <v>68394</v>
      </c>
      <c r="F19" s="12">
        <v>80251</v>
      </c>
      <c r="G19" s="12">
        <v>104303</v>
      </c>
      <c r="H19" s="12">
        <v>159774</v>
      </c>
      <c r="I19" s="74">
        <f>I20*I11</f>
        <v>168375.71310843425</v>
      </c>
      <c r="J19" s="90">
        <f t="shared" ref="J19:R19" si="16">J20*J11</f>
        <v>170833.77479176709</v>
      </c>
      <c r="K19" s="90">
        <f t="shared" si="16"/>
        <v>172685.29387665619</v>
      </c>
      <c r="L19" s="90">
        <f t="shared" si="16"/>
        <v>186854.22801673249</v>
      </c>
      <c r="M19" s="90">
        <f t="shared" si="16"/>
        <v>194033.67596277429</v>
      </c>
      <c r="N19" s="90">
        <f t="shared" si="16"/>
        <v>159473.49791503855</v>
      </c>
      <c r="O19" s="90">
        <f t="shared" si="16"/>
        <v>152115.00869496271</v>
      </c>
      <c r="P19" s="90">
        <f t="shared" si="16"/>
        <v>154280.19900415067</v>
      </c>
      <c r="Q19" s="90">
        <f t="shared" si="16"/>
        <v>155764.38022559154</v>
      </c>
      <c r="R19" s="90">
        <f t="shared" si="16"/>
        <v>180184.33559242703</v>
      </c>
    </row>
    <row r="20" spans="1:18" x14ac:dyDescent="0.25">
      <c r="A20" s="1"/>
      <c r="B20" s="67" t="s">
        <v>18</v>
      </c>
      <c r="C20" s="68">
        <f>C19/C11</f>
        <v>2.5526788867035494E-2</v>
      </c>
      <c r="D20" s="68">
        <f>D19/D11</f>
        <v>2.4719490932381301E-2</v>
      </c>
      <c r="E20" s="68">
        <f>E19/E11</f>
        <v>3.1027030361977483E-2</v>
      </c>
      <c r="F20" s="68">
        <f t="shared" ref="C20:R20" si="17">F19/F11</f>
        <v>3.2291566071141156E-2</v>
      </c>
      <c r="G20" s="68">
        <f t="shared" si="17"/>
        <v>2.7909516898284911E-2</v>
      </c>
      <c r="H20" s="68">
        <f t="shared" si="17"/>
        <v>3.500179747486E-2</v>
      </c>
      <c r="I20" s="98">
        <v>4.1574250150230682E-2</v>
      </c>
      <c r="J20" s="91">
        <v>3.8825857907219791E-2</v>
      </c>
      <c r="K20" s="91">
        <v>3.6202367689026453E-2</v>
      </c>
      <c r="L20" s="91">
        <v>3.7221957772257466E-2</v>
      </c>
      <c r="M20" s="91">
        <v>3.6472495481724487E-2</v>
      </c>
      <c r="N20" s="91">
        <v>2.7638387853559546E-2</v>
      </c>
      <c r="O20" s="91">
        <v>2.4814846442897678E-2</v>
      </c>
      <c r="P20" s="91">
        <v>2.3698955300176759E-2</v>
      </c>
      <c r="Q20" s="91">
        <v>2.2530075448982091E-2</v>
      </c>
      <c r="R20" s="91">
        <v>2.4540703629632149E-2</v>
      </c>
    </row>
    <row r="21" spans="1:18" x14ac:dyDescent="0.25">
      <c r="A21" s="1"/>
      <c r="B21" s="14"/>
      <c r="C21" s="12"/>
      <c r="D21" s="12"/>
      <c r="E21" s="12"/>
      <c r="F21" s="12"/>
      <c r="G21" s="12"/>
      <c r="H21" s="12"/>
      <c r="I21" s="74"/>
      <c r="J21" s="90"/>
      <c r="K21" s="90"/>
      <c r="L21" s="90"/>
      <c r="M21" s="90"/>
      <c r="N21" s="90"/>
      <c r="O21" s="90"/>
      <c r="P21" s="90"/>
      <c r="Q21" s="90"/>
      <c r="R21" s="90"/>
    </row>
    <row r="22" spans="1:18" x14ac:dyDescent="0.25">
      <c r="A22" s="1"/>
      <c r="B22" s="1" t="s">
        <v>54</v>
      </c>
      <c r="C22" s="12">
        <v>174841</v>
      </c>
      <c r="D22" s="12">
        <v>191887</v>
      </c>
      <c r="E22" s="12">
        <v>217683</v>
      </c>
      <c r="F22" s="12">
        <v>246373</v>
      </c>
      <c r="G22" s="12">
        <v>319020</v>
      </c>
      <c r="H22" s="12">
        <v>496260</v>
      </c>
      <c r="I22" s="74">
        <f>I23*I11</f>
        <v>514992.09031238512</v>
      </c>
      <c r="J22" s="90">
        <f t="shared" ref="J22:R22" si="18">J23*J11</f>
        <v>522510.29053881037</v>
      </c>
      <c r="K22" s="90">
        <f t="shared" si="18"/>
        <v>528173.32629484159</v>
      </c>
      <c r="L22" s="90">
        <f t="shared" si="18"/>
        <v>571510.27124721254</v>
      </c>
      <c r="M22" s="90">
        <f t="shared" si="18"/>
        <v>593469.25117824273</v>
      </c>
      <c r="N22" s="90">
        <f t="shared" si="18"/>
        <v>487763.87356888677</v>
      </c>
      <c r="O22" s="90">
        <f t="shared" si="18"/>
        <v>465257.27998108399</v>
      </c>
      <c r="P22" s="90">
        <f t="shared" si="18"/>
        <v>471879.70706790942</v>
      </c>
      <c r="Q22" s="90">
        <f t="shared" si="18"/>
        <v>476419.20730533364</v>
      </c>
      <c r="R22" s="90">
        <f t="shared" si="18"/>
        <v>551109.81218849006</v>
      </c>
    </row>
    <row r="23" spans="1:18" x14ac:dyDescent="0.25">
      <c r="A23" s="1"/>
      <c r="B23" s="67" t="s">
        <v>18</v>
      </c>
      <c r="C23" s="68">
        <f>C22/C11</f>
        <v>0.10411087947704292</v>
      </c>
      <c r="D23" s="68">
        <f>D22/D11</f>
        <v>9.4830943372355522E-2</v>
      </c>
      <c r="E23" s="68">
        <f>E22/E11</f>
        <v>9.8752186599502079E-2</v>
      </c>
      <c r="F23" s="68">
        <f t="shared" ref="C23:R23" si="19">F22/F11</f>
        <v>9.9136085626911313E-2</v>
      </c>
      <c r="G23" s="68">
        <f t="shared" si="19"/>
        <v>8.5363739114798734E-2</v>
      </c>
      <c r="H23" s="68">
        <f t="shared" si="19"/>
        <v>0.10871601145914869</v>
      </c>
      <c r="I23" s="98">
        <v>0.12715854081787287</v>
      </c>
      <c r="J23" s="91">
        <v>0.11875233875882053</v>
      </c>
      <c r="K23" s="91">
        <v>0.11072816064881374</v>
      </c>
      <c r="L23" s="91">
        <v>0.11384666757912601</v>
      </c>
      <c r="M23" s="91">
        <v>0.11155437052222608</v>
      </c>
      <c r="N23" s="91">
        <v>8.4534466823030646E-2</v>
      </c>
      <c r="O23" s="91">
        <v>7.5898414352542271E-2</v>
      </c>
      <c r="P23" s="91">
        <v>7.2485362068803308E-2</v>
      </c>
      <c r="Q23" s="91">
        <v>6.891023910850376E-2</v>
      </c>
      <c r="R23" s="91">
        <v>7.5059924181713367E-2</v>
      </c>
    </row>
    <row r="24" spans="1:18" x14ac:dyDescent="0.25">
      <c r="A24" s="1"/>
      <c r="B24" s="14"/>
      <c r="C24" s="12"/>
      <c r="D24" s="12"/>
      <c r="E24" s="12"/>
      <c r="F24" s="12"/>
      <c r="G24" s="12"/>
      <c r="H24" s="12"/>
      <c r="I24" s="74"/>
      <c r="J24" s="90"/>
      <c r="K24" s="90"/>
      <c r="L24" s="90"/>
      <c r="M24" s="90"/>
      <c r="N24" s="90"/>
      <c r="O24" s="90"/>
      <c r="P24" s="90"/>
      <c r="Q24" s="90"/>
      <c r="R24" s="90"/>
    </row>
    <row r="25" spans="1:18" x14ac:dyDescent="0.25">
      <c r="A25" s="1"/>
      <c r="B25" s="1" t="s">
        <v>55</v>
      </c>
      <c r="C25" s="12">
        <v>87581</v>
      </c>
      <c r="D25" s="12">
        <v>103841</v>
      </c>
      <c r="E25" s="12">
        <v>110868</v>
      </c>
      <c r="F25" s="12">
        <v>118233</v>
      </c>
      <c r="G25" s="12">
        <v>144272</v>
      </c>
      <c r="H25" s="12">
        <v>194861</v>
      </c>
      <c r="I25" s="80">
        <f>I26*I11</f>
        <v>232897.43230376908</v>
      </c>
      <c r="J25" s="94">
        <f t="shared" ref="J25:R25" si="20">J26*J11</f>
        <v>236297.42535457099</v>
      </c>
      <c r="K25" s="94">
        <f t="shared" si="20"/>
        <v>238858.44815751168</v>
      </c>
      <c r="L25" s="94">
        <f t="shared" si="20"/>
        <v>258456.93014036061</v>
      </c>
      <c r="M25" s="94">
        <f t="shared" si="20"/>
        <v>268387.5487617937</v>
      </c>
      <c r="N25" s="94">
        <f t="shared" si="20"/>
        <v>220583.88053266387</v>
      </c>
      <c r="O25" s="94">
        <f t="shared" si="20"/>
        <v>210405.61186581076</v>
      </c>
      <c r="P25" s="94">
        <f t="shared" si="20"/>
        <v>213400.50497806224</v>
      </c>
      <c r="Q25" s="94">
        <f t="shared" si="20"/>
        <v>215453.4257299075</v>
      </c>
      <c r="R25" s="94">
        <f t="shared" si="20"/>
        <v>249231.12915822779</v>
      </c>
    </row>
    <row r="26" spans="1:18" x14ac:dyDescent="0.25">
      <c r="A26" s="1"/>
      <c r="B26" s="67" t="s">
        <v>18</v>
      </c>
      <c r="C26" s="68">
        <f>C25/C11</f>
        <v>5.2151011121412572E-2</v>
      </c>
      <c r="D26" s="68">
        <f>D25/D11</f>
        <v>5.1318432153969626E-2</v>
      </c>
      <c r="E26" s="68">
        <f>E25/E11</f>
        <v>5.0295417758454246E-2</v>
      </c>
      <c r="F26" s="68">
        <f t="shared" ref="C26:R26" si="21">F25/F11</f>
        <v>4.7574843070980199E-2</v>
      </c>
      <c r="G26" s="68">
        <f t="shared" si="21"/>
        <v>3.8604467963043829E-2</v>
      </c>
      <c r="H26" s="68">
        <f t="shared" si="21"/>
        <v>4.2688330127234053E-2</v>
      </c>
      <c r="I26" s="98">
        <v>5.7505538840436812E-2</v>
      </c>
      <c r="J26" s="91">
        <v>5.3703960307857047E-2</v>
      </c>
      <c r="K26" s="91">
        <v>5.0075146364258215E-2</v>
      </c>
      <c r="L26" s="91">
        <v>5.1485444251067852E-2</v>
      </c>
      <c r="M26" s="91">
        <v>5.0448787361239415E-2</v>
      </c>
      <c r="N26" s="91">
        <v>3.8229442033390626E-2</v>
      </c>
      <c r="O26" s="91">
        <v>3.432391710698382E-2</v>
      </c>
      <c r="P26" s="91">
        <v>3.2780415511223085E-2</v>
      </c>
      <c r="Q26" s="91">
        <v>3.1163619887975842E-2</v>
      </c>
      <c r="R26" s="91">
        <v>3.3944722530073822E-2</v>
      </c>
    </row>
    <row r="27" spans="1:18" x14ac:dyDescent="0.25">
      <c r="A27" s="1"/>
      <c r="B27" s="14"/>
      <c r="C27" s="12"/>
      <c r="D27" s="12"/>
      <c r="E27" s="12"/>
      <c r="F27" s="12"/>
      <c r="G27" s="12"/>
      <c r="H27" s="12"/>
      <c r="I27" s="80"/>
      <c r="J27" s="94"/>
      <c r="K27" s="94"/>
      <c r="L27" s="94"/>
      <c r="M27" s="94"/>
      <c r="N27" s="94"/>
      <c r="O27" s="94"/>
      <c r="P27" s="94"/>
      <c r="Q27" s="94"/>
      <c r="R27" s="94"/>
    </row>
    <row r="28" spans="1:18" x14ac:dyDescent="0.25">
      <c r="A28" s="1"/>
      <c r="B28" s="1" t="s">
        <v>58</v>
      </c>
      <c r="C28" s="12">
        <v>28861</v>
      </c>
      <c r="D28" s="12">
        <v>22112</v>
      </c>
      <c r="E28" s="12">
        <v>28644</v>
      </c>
      <c r="F28" s="12">
        <f>32280</f>
        <v>32280</v>
      </c>
      <c r="G28" s="12">
        <f>49886</f>
        <v>49886</v>
      </c>
      <c r="H28" s="12">
        <f>103320</f>
        <v>103320</v>
      </c>
      <c r="I28" s="80">
        <f>I29*I11</f>
        <v>80530.673366320727</v>
      </c>
      <c r="J28" s="94">
        <f t="shared" ref="J28:R28" si="22">J29*J11</f>
        <v>81706.31419290042</v>
      </c>
      <c r="K28" s="94">
        <f t="shared" si="22"/>
        <v>82591.858051358722</v>
      </c>
      <c r="L28" s="94">
        <f t="shared" si="22"/>
        <v>89368.570595694444</v>
      </c>
      <c r="M28" s="94">
        <f t="shared" si="22"/>
        <v>92802.354285868641</v>
      </c>
      <c r="N28" s="94">
        <f t="shared" si="22"/>
        <v>76272.925198600336</v>
      </c>
      <c r="O28" s="94">
        <f t="shared" si="22"/>
        <v>72753.509714551925</v>
      </c>
      <c r="P28" s="94">
        <f t="shared" si="22"/>
        <v>73789.076129364068</v>
      </c>
      <c r="Q28" s="94">
        <f t="shared" si="22"/>
        <v>74498.929771280382</v>
      </c>
      <c r="R28" s="94">
        <f t="shared" si="22"/>
        <v>86178.496930709705</v>
      </c>
    </row>
    <row r="29" spans="1:18" x14ac:dyDescent="0.25">
      <c r="A29" s="1"/>
      <c r="B29" s="67" t="s">
        <v>18</v>
      </c>
      <c r="C29" s="68">
        <f>C28/C11</f>
        <v>1.7185580570843999E-2</v>
      </c>
      <c r="D29" s="68">
        <f>D28/D11</f>
        <v>1.0927795107795344E-2</v>
      </c>
      <c r="E29" s="68">
        <f>E28/E11</f>
        <v>1.2994389240115844E-2</v>
      </c>
      <c r="F29" s="68">
        <f t="shared" ref="C29:R29" si="23">F28/F11</f>
        <v>1.2988894253983583E-2</v>
      </c>
      <c r="G29" s="68">
        <f t="shared" si="23"/>
        <v>1.3348553349259764E-2</v>
      </c>
      <c r="H29" s="68">
        <f t="shared" si="23"/>
        <v>2.2634381783660264E-2</v>
      </c>
      <c r="I29" s="98">
        <v>1.9884116880573018E-2</v>
      </c>
      <c r="J29" s="91">
        <v>1.8569616862022822E-2</v>
      </c>
      <c r="K29" s="91">
        <v>1.7314854937391766E-2</v>
      </c>
      <c r="L29" s="91">
        <v>1.7802504102727976E-2</v>
      </c>
      <c r="M29" s="91">
        <v>1.7444051557494105E-2</v>
      </c>
      <c r="N29" s="91">
        <v>1.3218877850710633E-2</v>
      </c>
      <c r="O29" s="91">
        <v>1.1868435516240122E-2</v>
      </c>
      <c r="P29" s="91">
        <v>1.1334727516031351E-2</v>
      </c>
      <c r="Q29" s="91">
        <v>1.0775676096065506E-2</v>
      </c>
      <c r="R29" s="91">
        <v>1.1737318593595863E-2</v>
      </c>
    </row>
    <row r="30" spans="1:18" x14ac:dyDescent="0.25">
      <c r="A30" s="1"/>
      <c r="B30" s="14"/>
      <c r="C30" s="15"/>
      <c r="D30" s="15"/>
      <c r="E30" s="15"/>
      <c r="F30" s="15"/>
      <c r="G30" s="15"/>
      <c r="H30" s="15"/>
      <c r="I30" s="81"/>
      <c r="J30" s="82"/>
      <c r="K30" s="82"/>
      <c r="L30" s="82"/>
      <c r="M30" s="82"/>
      <c r="N30" s="82"/>
      <c r="O30" s="82"/>
      <c r="P30" s="82"/>
      <c r="Q30" s="82"/>
      <c r="R30" s="82"/>
    </row>
    <row r="31" spans="1:18" x14ac:dyDescent="0.25">
      <c r="A31" s="1"/>
      <c r="B31" s="14" t="s">
        <v>57</v>
      </c>
      <c r="C31" s="15"/>
      <c r="D31" s="15"/>
      <c r="E31" s="15"/>
      <c r="F31" s="88">
        <v>1411</v>
      </c>
      <c r="G31" s="88">
        <v>21465</v>
      </c>
      <c r="H31" s="88">
        <v>1459</v>
      </c>
      <c r="I31" s="81"/>
      <c r="J31" s="82"/>
      <c r="K31" s="82"/>
      <c r="L31" s="82"/>
      <c r="M31" s="82"/>
      <c r="N31" s="82"/>
      <c r="O31" s="82"/>
      <c r="P31" s="82"/>
      <c r="Q31" s="82"/>
      <c r="R31" s="82"/>
    </row>
    <row r="32" spans="1:18" x14ac:dyDescent="0.25">
      <c r="A32" s="1"/>
      <c r="B32" s="67" t="s">
        <v>18</v>
      </c>
      <c r="C32" s="68">
        <f>C31/C11</f>
        <v>0</v>
      </c>
      <c r="D32" s="68">
        <f>D31/D11</f>
        <v>0</v>
      </c>
      <c r="E32" s="68">
        <f>E31/E11</f>
        <v>0</v>
      </c>
      <c r="F32" s="68">
        <f t="shared" ref="D32:H32" si="24">F31/F11</f>
        <v>5.6776114598422662E-4</v>
      </c>
      <c r="G32" s="68">
        <f t="shared" si="24"/>
        <v>5.7436294279329036E-3</v>
      </c>
      <c r="H32" s="68">
        <f t="shared" si="24"/>
        <v>3.1962410977894235E-4</v>
      </c>
      <c r="I32" s="98">
        <f t="shared" ref="I32" si="25">I31/I11</f>
        <v>0</v>
      </c>
      <c r="J32" s="91">
        <f t="shared" ref="J32" si="26">J31/J11</f>
        <v>0</v>
      </c>
      <c r="K32" s="91">
        <f t="shared" ref="K32" si="27">K31/K11</f>
        <v>0</v>
      </c>
      <c r="L32" s="91">
        <f t="shared" ref="L32" si="28">L31/L11</f>
        <v>0</v>
      </c>
      <c r="M32" s="91">
        <f t="shared" ref="M32" si="29">M31/M11</f>
        <v>0</v>
      </c>
      <c r="N32" s="91">
        <f t="shared" ref="N32" si="30">N31/N11</f>
        <v>0</v>
      </c>
      <c r="O32" s="91">
        <f t="shared" ref="O32" si="31">O31/O11</f>
        <v>0</v>
      </c>
      <c r="P32" s="91">
        <f t="shared" ref="P32" si="32">P31/P11</f>
        <v>0</v>
      </c>
      <c r="Q32" s="91">
        <f t="shared" ref="Q32" si="33">Q31/Q11</f>
        <v>0</v>
      </c>
      <c r="R32" s="91">
        <f t="shared" ref="R32" si="34">R31/R11</f>
        <v>0</v>
      </c>
    </row>
    <row r="33" spans="1:18" x14ac:dyDescent="0.25">
      <c r="A33" s="1"/>
      <c r="B33" s="1"/>
      <c r="C33" s="12"/>
      <c r="D33" s="12"/>
      <c r="E33" s="12"/>
      <c r="F33" s="1"/>
      <c r="G33" s="1"/>
      <c r="H33" s="1"/>
      <c r="I33" s="80"/>
      <c r="J33" s="94"/>
      <c r="K33" s="94"/>
      <c r="L33" s="94"/>
      <c r="M33" s="94"/>
      <c r="N33" s="94"/>
      <c r="O33" s="94"/>
      <c r="P33" s="94"/>
      <c r="Q33" s="94"/>
      <c r="R33" s="94"/>
    </row>
    <row r="34" spans="1:18" x14ac:dyDescent="0.25">
      <c r="A34" s="1"/>
      <c r="B34" s="1" t="s">
        <v>13</v>
      </c>
      <c r="C34" s="12">
        <f>C19+C22+C25+C28</f>
        <v>334152</v>
      </c>
      <c r="D34" s="12">
        <f>D19+D22+D25+D28</f>
        <v>367859</v>
      </c>
      <c r="E34" s="12">
        <f>E19+E22+E25+E28</f>
        <v>425589</v>
      </c>
      <c r="F34" s="12">
        <f t="shared" ref="D34:R34" si="35">F19+F22+F25+F28</f>
        <v>477137</v>
      </c>
      <c r="G34" s="12">
        <f t="shared" si="35"/>
        <v>617481</v>
      </c>
      <c r="H34" s="12">
        <f t="shared" si="35"/>
        <v>954215</v>
      </c>
      <c r="I34" s="80">
        <v>996795.90909090906</v>
      </c>
      <c r="J34" s="94">
        <v>1011347.8048780488</v>
      </c>
      <c r="K34" s="94">
        <v>1022308.9263803681</v>
      </c>
      <c r="L34" s="94">
        <v>1106190</v>
      </c>
      <c r="M34" s="94">
        <v>1148692.8301886793</v>
      </c>
      <c r="N34" s="94">
        <v>944094.17721518944</v>
      </c>
      <c r="O34" s="94">
        <v>900531.41025640932</v>
      </c>
      <c r="P34" s="94">
        <v>913349.48717948631</v>
      </c>
      <c r="Q34" s="94">
        <v>894350.30256410199</v>
      </c>
      <c r="R34" s="94">
        <v>1003388.7964102558</v>
      </c>
    </row>
    <row r="35" spans="1:18" x14ac:dyDescent="0.25">
      <c r="A35" s="1"/>
      <c r="B35" s="67" t="s">
        <v>18</v>
      </c>
      <c r="C35" s="68">
        <f>C34/C11</f>
        <v>0.19897426003633498</v>
      </c>
      <c r="D35" s="68">
        <f>D34/D11</f>
        <v>0.18179666156650179</v>
      </c>
      <c r="E35" s="68">
        <f>E34/E11</f>
        <v>0.19306902396004966</v>
      </c>
      <c r="F35" s="68">
        <f t="shared" ref="C35:R35" si="36">F34/F11</f>
        <v>0.19199138902301627</v>
      </c>
      <c r="G35" s="68">
        <f t="shared" si="36"/>
        <v>0.16522627732538725</v>
      </c>
      <c r="H35" s="68">
        <f t="shared" si="36"/>
        <v>0.20904052084490302</v>
      </c>
      <c r="I35" s="75">
        <f t="shared" si="36"/>
        <v>0.24612244668911334</v>
      </c>
      <c r="J35" s="76">
        <f t="shared" si="36"/>
        <v>0.22985177383592018</v>
      </c>
      <c r="K35" s="76">
        <f t="shared" si="36"/>
        <v>0.21432052963949016</v>
      </c>
      <c r="L35" s="76">
        <f t="shared" si="36"/>
        <v>0.22035657370517928</v>
      </c>
      <c r="M35" s="76">
        <f t="shared" si="36"/>
        <v>0.21591970492268409</v>
      </c>
      <c r="N35" s="76">
        <f t="shared" si="36"/>
        <v>0.16362117456069145</v>
      </c>
      <c r="O35" s="76">
        <f t="shared" si="36"/>
        <v>0.14690561341866387</v>
      </c>
      <c r="P35" s="76">
        <f t="shared" si="36"/>
        <v>0.1402994603962345</v>
      </c>
      <c r="Q35" s="76">
        <f t="shared" si="36"/>
        <v>0.12936063922577495</v>
      </c>
      <c r="R35" s="76">
        <f t="shared" si="36"/>
        <v>0.13665931057234654</v>
      </c>
    </row>
    <row r="36" spans="1:18" x14ac:dyDescent="0.25">
      <c r="A36" s="1"/>
      <c r="B36" s="1"/>
      <c r="C36" s="15"/>
      <c r="D36" s="15"/>
      <c r="E36" s="15"/>
      <c r="F36" s="15"/>
      <c r="G36" s="15"/>
      <c r="H36" s="15"/>
      <c r="I36" s="81"/>
      <c r="J36" s="82"/>
      <c r="K36" s="82"/>
      <c r="L36" s="82"/>
      <c r="M36" s="82"/>
      <c r="N36" s="82"/>
      <c r="O36" s="82"/>
      <c r="P36" s="82"/>
      <c r="Q36" s="82"/>
      <c r="R36" s="82"/>
    </row>
    <row r="37" spans="1:18" x14ac:dyDescent="0.25">
      <c r="A37" s="1"/>
      <c r="B37" s="1" t="s">
        <v>14</v>
      </c>
      <c r="C37" s="12">
        <f>C16-C34</f>
        <v>250634</v>
      </c>
      <c r="D37" s="12">
        <f>D16-D34</f>
        <v>357181</v>
      </c>
      <c r="E37" s="12">
        <f>E16-E34</f>
        <v>372163</v>
      </c>
      <c r="F37" s="12">
        <f t="shared" ref="D37:H37" si="37">F16-F34</f>
        <v>480517</v>
      </c>
      <c r="G37" s="12">
        <f t="shared" si="37"/>
        <v>742601</v>
      </c>
      <c r="H37" s="12">
        <f t="shared" si="37"/>
        <v>567789</v>
      </c>
      <c r="I37" s="80">
        <f t="shared" ref="I37:R37" si="38">I16-I19-I22-I25-I28</f>
        <v>372509.09090909077</v>
      </c>
      <c r="J37" s="94">
        <f t="shared" si="38"/>
        <v>559012.19512195105</v>
      </c>
      <c r="K37" s="94">
        <f t="shared" si="38"/>
        <v>697276.07361963193</v>
      </c>
      <c r="L37" s="94">
        <f t="shared" si="38"/>
        <v>798899.99999999988</v>
      </c>
      <c r="M37" s="94">
        <f t="shared" si="38"/>
        <v>883547.16981132072</v>
      </c>
      <c r="N37" s="94">
        <f t="shared" si="38"/>
        <v>1179265.8227848101</v>
      </c>
      <c r="O37" s="94">
        <f t="shared" si="38"/>
        <v>1352243.5897435897</v>
      </c>
      <c r="P37" s="94">
        <f t="shared" si="38"/>
        <v>1475820.5128205128</v>
      </c>
      <c r="Q37" s="94">
        <f t="shared" si="38"/>
        <v>1525285.5369678861</v>
      </c>
      <c r="R37" s="94">
        <f t="shared" si="38"/>
        <v>1576511.4245301448</v>
      </c>
    </row>
    <row r="38" spans="1:18" x14ac:dyDescent="0.25">
      <c r="A38" s="1"/>
      <c r="B38" s="1" t="s">
        <v>15</v>
      </c>
      <c r="C38" s="65">
        <v>-46935</v>
      </c>
      <c r="D38" s="65">
        <v>-46105</v>
      </c>
      <c r="E38" s="65">
        <v>-52556</v>
      </c>
      <c r="F38" s="65">
        <v>-32915</v>
      </c>
      <c r="G38" s="65">
        <v>-29610</v>
      </c>
      <c r="H38" s="65">
        <v>-57864</v>
      </c>
      <c r="I38" s="83">
        <f>I39*I11</f>
        <v>-56700</v>
      </c>
      <c r="J38" s="84">
        <f t="shared" ref="J38:R38" si="39">J39*J11</f>
        <v>-61600</v>
      </c>
      <c r="K38" s="84">
        <f t="shared" si="39"/>
        <v>-66780</v>
      </c>
      <c r="L38" s="84">
        <f t="shared" si="39"/>
        <v>-70280</v>
      </c>
      <c r="M38" s="84">
        <f t="shared" si="39"/>
        <v>-74480</v>
      </c>
      <c r="N38" s="84">
        <f t="shared" si="39"/>
        <v>-80779.999999999985</v>
      </c>
      <c r="O38" s="84">
        <f t="shared" si="39"/>
        <v>-85819.999999999971</v>
      </c>
      <c r="P38" s="84">
        <f t="shared" si="39"/>
        <v>-91139.999999999971</v>
      </c>
      <c r="Q38" s="84">
        <f t="shared" si="39"/>
        <v>-96790.679999999978</v>
      </c>
      <c r="R38" s="84">
        <f t="shared" si="39"/>
        <v>-102791.70215999999</v>
      </c>
    </row>
    <row r="39" spans="1:18" x14ac:dyDescent="0.25">
      <c r="A39" s="1"/>
      <c r="B39" s="67" t="s">
        <v>18</v>
      </c>
      <c r="C39" s="68">
        <f>C38/C11</f>
        <v>-2.7947930566943734E-2</v>
      </c>
      <c r="D39" s="68">
        <f>D38/D11</f>
        <v>-2.2785184218745674E-2</v>
      </c>
      <c r="E39" s="68">
        <f>E38/E11</f>
        <v>-2.3842100296869444E-2</v>
      </c>
      <c r="F39" s="68">
        <f t="shared" ref="D39:H39" si="40">F38/F11</f>
        <v>-1.3244406888781587E-2</v>
      </c>
      <c r="G39" s="68">
        <f t="shared" si="40"/>
        <v>-7.9230779110688685E-3</v>
      </c>
      <c r="H39" s="68">
        <f t="shared" si="40"/>
        <v>-1.2676305338073146E-2</v>
      </c>
      <c r="I39" s="75">
        <v>-1.4E-2</v>
      </c>
      <c r="J39" s="76">
        <v>-1.4E-2</v>
      </c>
      <c r="K39" s="76">
        <v>-1.4E-2</v>
      </c>
      <c r="L39" s="76">
        <v>-1.4E-2</v>
      </c>
      <c r="M39" s="76">
        <v>-1.4E-2</v>
      </c>
      <c r="N39" s="76">
        <v>-1.4E-2</v>
      </c>
      <c r="O39" s="76">
        <v>-1.4E-2</v>
      </c>
      <c r="P39" s="76">
        <v>-1.4E-2</v>
      </c>
      <c r="Q39" s="76">
        <v>-1.4E-2</v>
      </c>
      <c r="R39" s="76">
        <v>-1.4E-2</v>
      </c>
    </row>
    <row r="40" spans="1:18" x14ac:dyDescent="0.25">
      <c r="A40" s="1"/>
      <c r="B40" s="1"/>
      <c r="C40" s="20"/>
      <c r="D40" s="20"/>
      <c r="E40" s="20"/>
      <c r="F40" s="20"/>
      <c r="G40" s="20"/>
      <c r="H40" s="20"/>
      <c r="I40" s="77"/>
      <c r="J40" s="92"/>
      <c r="K40" s="92"/>
      <c r="L40" s="92"/>
      <c r="M40" s="92"/>
      <c r="N40" s="92"/>
      <c r="O40" s="92"/>
      <c r="P40" s="92"/>
      <c r="Q40" s="92"/>
      <c r="R40" s="92"/>
    </row>
    <row r="41" spans="1:18" x14ac:dyDescent="0.25">
      <c r="A41" s="1"/>
      <c r="B41" s="1" t="s">
        <v>16</v>
      </c>
      <c r="C41" s="12">
        <f>C37+C38</f>
        <v>203699</v>
      </c>
      <c r="D41" s="12">
        <f>D37+D38</f>
        <v>311076</v>
      </c>
      <c r="E41" s="12">
        <f>E37+E38</f>
        <v>319607</v>
      </c>
      <c r="F41" s="12">
        <f>F37+F38</f>
        <v>447602</v>
      </c>
      <c r="G41" s="12">
        <f t="shared" ref="D41:H41" si="41">G37+G38</f>
        <v>712991</v>
      </c>
      <c r="H41" s="12">
        <f t="shared" si="41"/>
        <v>509925</v>
      </c>
      <c r="I41" s="80">
        <f t="shared" ref="I41:R41" si="42">I16-I34+I38</f>
        <v>315809.09090909094</v>
      </c>
      <c r="J41" s="94">
        <f t="shared" si="42"/>
        <v>497412.19512195117</v>
      </c>
      <c r="K41" s="94">
        <f t="shared" si="42"/>
        <v>630496.07361963193</v>
      </c>
      <c r="L41" s="94">
        <f t="shared" si="42"/>
        <v>728620</v>
      </c>
      <c r="M41" s="94">
        <f t="shared" si="42"/>
        <v>809067.16981132072</v>
      </c>
      <c r="N41" s="94">
        <f t="shared" si="42"/>
        <v>1098485.8227848101</v>
      </c>
      <c r="O41" s="94">
        <f t="shared" si="42"/>
        <v>1266423.5897435897</v>
      </c>
      <c r="P41" s="94">
        <f t="shared" si="42"/>
        <v>1384680.5128205128</v>
      </c>
      <c r="Q41" s="94">
        <f t="shared" si="42"/>
        <v>1456280.4974358971</v>
      </c>
      <c r="R41" s="94">
        <f t="shared" si="42"/>
        <v>1537034.6998297432</v>
      </c>
    </row>
    <row r="42" spans="1:18" x14ac:dyDescent="0.25">
      <c r="A42" s="1"/>
      <c r="B42" s="1"/>
      <c r="C42" s="20"/>
      <c r="D42" s="20"/>
      <c r="E42" s="20"/>
      <c r="F42" s="20"/>
      <c r="G42" s="20"/>
      <c r="H42" s="20"/>
      <c r="I42" s="77"/>
      <c r="J42" s="92"/>
      <c r="K42" s="92"/>
      <c r="L42" s="92"/>
      <c r="M42" s="92"/>
      <c r="N42" s="92"/>
      <c r="O42" s="92"/>
      <c r="P42" s="92"/>
      <c r="Q42" s="92"/>
      <c r="R42" s="92"/>
    </row>
    <row r="43" spans="1:18" x14ac:dyDescent="0.25">
      <c r="A43" s="1"/>
      <c r="B43" s="1" t="s">
        <v>17</v>
      </c>
      <c r="C43" s="12">
        <f>C37</f>
        <v>250634</v>
      </c>
      <c r="D43" s="12">
        <f>D37</f>
        <v>357181</v>
      </c>
      <c r="E43" s="12">
        <f>E37</f>
        <v>372163</v>
      </c>
      <c r="F43" s="12">
        <f t="shared" ref="C43:H43" si="43">F37</f>
        <v>480517</v>
      </c>
      <c r="G43" s="12">
        <f t="shared" si="43"/>
        <v>742601</v>
      </c>
      <c r="H43" s="12">
        <f t="shared" si="43"/>
        <v>567789</v>
      </c>
      <c r="I43" s="80">
        <v>372509.09090909094</v>
      </c>
      <c r="J43" s="94">
        <v>559012.19512195117</v>
      </c>
      <c r="K43" s="94">
        <v>697276.07361963193</v>
      </c>
      <c r="L43" s="94">
        <v>798900</v>
      </c>
      <c r="M43" s="94">
        <v>883547.16981132072</v>
      </c>
      <c r="N43" s="94">
        <v>1179265.8227848101</v>
      </c>
      <c r="O43" s="94">
        <v>1352243.5897435897</v>
      </c>
      <c r="P43" s="94">
        <v>1475820.5128205128</v>
      </c>
      <c r="Q43" s="94">
        <v>1479325.8974358973</v>
      </c>
      <c r="R43" s="94">
        <v>1482936.4435897435</v>
      </c>
    </row>
    <row r="44" spans="1:18" x14ac:dyDescent="0.25">
      <c r="A44" s="1"/>
      <c r="B44" s="67" t="s">
        <v>18</v>
      </c>
      <c r="C44" s="68">
        <f>C43/C11</f>
        <v>0.14924260423384203</v>
      </c>
      <c r="D44" s="68">
        <f>D43/D11</f>
        <v>0.17651957237687452</v>
      </c>
      <c r="E44" s="68">
        <f>E43/E11</f>
        <v>0.16883224698956964</v>
      </c>
      <c r="F44" s="68">
        <f t="shared" ref="C44:H44" si="44">F43/F11</f>
        <v>0.19335144052792533</v>
      </c>
      <c r="G44" s="68">
        <f t="shared" si="44"/>
        <v>0.19870603106510143</v>
      </c>
      <c r="H44" s="68">
        <f t="shared" si="44"/>
        <v>0.12438591752383543</v>
      </c>
      <c r="I44" s="75">
        <f t="shared" ref="I44:R44" si="45">I43/I11</f>
        <v>9.1977553310886653E-2</v>
      </c>
      <c r="J44" s="76">
        <f t="shared" si="45"/>
        <v>0.12704822616407982</v>
      </c>
      <c r="K44" s="76">
        <f t="shared" si="45"/>
        <v>0.14617947036050985</v>
      </c>
      <c r="L44" s="76">
        <f t="shared" si="45"/>
        <v>0.15914342629482073</v>
      </c>
      <c r="M44" s="76">
        <f t="shared" si="45"/>
        <v>0.16608029507731592</v>
      </c>
      <c r="N44" s="76">
        <f t="shared" si="45"/>
        <v>0.20437882543930855</v>
      </c>
      <c r="O44" s="76">
        <f t="shared" si="45"/>
        <v>0.22059438658133607</v>
      </c>
      <c r="P44" s="76">
        <f t="shared" si="45"/>
        <v>0.22670053960376546</v>
      </c>
      <c r="Q44" s="76">
        <f t="shared" si="45"/>
        <v>0.21397269410755837</v>
      </c>
      <c r="R44" s="76">
        <f t="shared" si="45"/>
        <v>0.20197262788722764</v>
      </c>
    </row>
    <row r="45" spans="1:18" x14ac:dyDescent="0.25">
      <c r="A45" s="1"/>
      <c r="B45" s="14"/>
      <c r="C45" s="1"/>
      <c r="D45" s="1"/>
      <c r="E45" s="1"/>
      <c r="G45" s="1"/>
      <c r="H45" s="1"/>
      <c r="I45" s="77"/>
      <c r="J45" s="92"/>
      <c r="K45" s="92"/>
      <c r="L45" s="92"/>
      <c r="M45" s="92"/>
      <c r="N45" s="92"/>
      <c r="O45" s="92"/>
      <c r="P45" s="92"/>
      <c r="Q45" s="92"/>
      <c r="R45" s="92"/>
    </row>
    <row r="46" spans="1:18" x14ac:dyDescent="0.25">
      <c r="A46" s="1"/>
      <c r="B46" s="1" t="s">
        <v>19</v>
      </c>
      <c r="C46" s="19">
        <v>44142</v>
      </c>
      <c r="D46" s="19">
        <v>69856</v>
      </c>
      <c r="E46" s="19">
        <v>67299</v>
      </c>
      <c r="F46" s="21">
        <v>98973</v>
      </c>
      <c r="G46" s="21">
        <v>134957</v>
      </c>
      <c r="H46" s="21">
        <v>99596</v>
      </c>
      <c r="I46" s="74">
        <f>I47*I43</f>
        <v>65189.090909090912</v>
      </c>
      <c r="J46" s="90">
        <f t="shared" ref="J46:R46" si="46">J47*J43</f>
        <v>100622.19512195121</v>
      </c>
      <c r="K46" s="90">
        <f t="shared" si="46"/>
        <v>128996.0736196319</v>
      </c>
      <c r="L46" s="90">
        <f t="shared" si="46"/>
        <v>159780</v>
      </c>
      <c r="M46" s="90">
        <f t="shared" si="46"/>
        <v>181127.16981132072</v>
      </c>
      <c r="N46" s="90">
        <f t="shared" si="46"/>
        <v>247645.82278481012</v>
      </c>
      <c r="O46" s="90">
        <f t="shared" si="46"/>
        <v>297493.58974358975</v>
      </c>
      <c r="P46" s="90">
        <f t="shared" si="46"/>
        <v>324680.51282051281</v>
      </c>
      <c r="Q46" s="90">
        <f t="shared" si="46"/>
        <v>325451.69743589743</v>
      </c>
      <c r="R46" s="90">
        <f t="shared" si="46"/>
        <v>326246.01758974354</v>
      </c>
    </row>
    <row r="47" spans="1:18" x14ac:dyDescent="0.25">
      <c r="A47" s="1"/>
      <c r="B47" s="67" t="s">
        <v>20</v>
      </c>
      <c r="C47" s="72">
        <f>C46/C43</f>
        <v>0.1761213562405739</v>
      </c>
      <c r="D47" s="72">
        <f>D46/D43</f>
        <v>0.1955759124925458</v>
      </c>
      <c r="E47" s="72">
        <f>E46/E43</f>
        <v>0.1808320547716995</v>
      </c>
      <c r="F47" s="72">
        <f t="shared" ref="C47:H47" si="47">F46/F43</f>
        <v>0.20597190109819216</v>
      </c>
      <c r="G47" s="72">
        <f t="shared" si="47"/>
        <v>0.1817355484304492</v>
      </c>
      <c r="H47" s="72">
        <f t="shared" si="47"/>
        <v>0.17541023161773123</v>
      </c>
      <c r="I47" s="85">
        <v>0.17499999999999999</v>
      </c>
      <c r="J47" s="95">
        <v>0.18</v>
      </c>
      <c r="K47" s="95">
        <v>0.185</v>
      </c>
      <c r="L47" s="95">
        <v>0.2</v>
      </c>
      <c r="M47" s="95">
        <v>0.20499999999999999</v>
      </c>
      <c r="N47" s="95">
        <v>0.21</v>
      </c>
      <c r="O47" s="95">
        <v>0.22</v>
      </c>
      <c r="P47" s="95">
        <v>0.22</v>
      </c>
      <c r="Q47" s="95">
        <v>0.22</v>
      </c>
      <c r="R47" s="95">
        <v>0.22</v>
      </c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77"/>
      <c r="J48" s="92"/>
      <c r="K48" s="92"/>
      <c r="L48" s="92"/>
      <c r="M48" s="92"/>
      <c r="N48" s="92"/>
      <c r="O48" s="92"/>
      <c r="P48" s="92"/>
      <c r="Q48" s="92"/>
      <c r="R48" s="92"/>
    </row>
    <row r="49" spans="1:86" x14ac:dyDescent="0.25">
      <c r="A49" s="1"/>
      <c r="B49" s="10" t="s">
        <v>21</v>
      </c>
      <c r="C49" s="10">
        <v>2017</v>
      </c>
      <c r="D49" s="10">
        <v>2018</v>
      </c>
      <c r="E49" s="10">
        <v>2019</v>
      </c>
      <c r="F49" s="10">
        <v>2020</v>
      </c>
      <c r="G49" s="10">
        <v>2021</v>
      </c>
      <c r="H49" s="10">
        <v>2022</v>
      </c>
      <c r="I49" s="86">
        <v>2023</v>
      </c>
      <c r="J49" s="96">
        <v>2024</v>
      </c>
      <c r="K49" s="96">
        <v>2025</v>
      </c>
      <c r="L49" s="96">
        <v>2026</v>
      </c>
      <c r="M49" s="96">
        <v>2027</v>
      </c>
      <c r="N49" s="96">
        <v>2028</v>
      </c>
      <c r="O49" s="96">
        <v>2029</v>
      </c>
      <c r="P49" s="96">
        <v>2030</v>
      </c>
      <c r="Q49" s="96">
        <v>2031</v>
      </c>
      <c r="R49" s="96">
        <v>2032</v>
      </c>
      <c r="S49" s="10">
        <v>2033</v>
      </c>
      <c r="T49" s="10">
        <v>2034</v>
      </c>
      <c r="U49" s="10">
        <v>2035</v>
      </c>
      <c r="V49" s="10">
        <v>2036</v>
      </c>
      <c r="W49" s="10">
        <v>2037</v>
      </c>
      <c r="X49" s="10">
        <v>2038</v>
      </c>
      <c r="Y49" s="10">
        <v>2039</v>
      </c>
      <c r="Z49" s="10">
        <v>2040</v>
      </c>
      <c r="AA49" s="10">
        <v>2041</v>
      </c>
      <c r="AB49" s="10">
        <v>2042</v>
      </c>
      <c r="AC49" s="10">
        <v>2043</v>
      </c>
      <c r="AD49" s="10">
        <v>2044</v>
      </c>
      <c r="AE49" s="10">
        <v>2045</v>
      </c>
      <c r="AF49" s="10">
        <v>2046</v>
      </c>
      <c r="AG49" s="10">
        <v>2047</v>
      </c>
      <c r="AH49" s="10">
        <v>2048</v>
      </c>
      <c r="AI49" s="10">
        <v>2049</v>
      </c>
      <c r="AJ49" s="10">
        <v>2050</v>
      </c>
      <c r="AK49" s="10">
        <v>2051</v>
      </c>
      <c r="AL49" s="10">
        <v>2052</v>
      </c>
      <c r="AM49" s="10">
        <v>2053</v>
      </c>
      <c r="AN49" s="10">
        <v>2054</v>
      </c>
      <c r="AO49" s="10">
        <v>2055</v>
      </c>
      <c r="AP49" s="10">
        <v>2056</v>
      </c>
      <c r="AQ49" s="10">
        <v>2057</v>
      </c>
      <c r="AR49" s="10">
        <v>2058</v>
      </c>
      <c r="AS49" s="10">
        <v>2059</v>
      </c>
      <c r="AT49" s="10">
        <v>2060</v>
      </c>
      <c r="AU49" s="10">
        <v>2061</v>
      </c>
      <c r="AV49" s="10">
        <v>2062</v>
      </c>
      <c r="AW49" s="10">
        <v>2063</v>
      </c>
      <c r="AX49" s="10">
        <v>2064</v>
      </c>
      <c r="AY49" s="10">
        <v>2065</v>
      </c>
      <c r="AZ49" s="10">
        <v>2066</v>
      </c>
      <c r="BA49" s="10">
        <v>2067</v>
      </c>
      <c r="BB49" s="10">
        <v>2068</v>
      </c>
      <c r="BC49" s="10">
        <v>2069</v>
      </c>
      <c r="BD49" s="10">
        <v>2070</v>
      </c>
      <c r="BE49" s="10">
        <v>2071</v>
      </c>
      <c r="BF49" s="10">
        <v>2072</v>
      </c>
      <c r="BG49" s="10">
        <v>2073</v>
      </c>
      <c r="BH49" s="10">
        <v>2074</v>
      </c>
      <c r="BI49" s="10">
        <v>2075</v>
      </c>
      <c r="BJ49" s="10">
        <v>2076</v>
      </c>
      <c r="BK49" s="10">
        <v>2077</v>
      </c>
      <c r="BL49" s="10">
        <v>2078</v>
      </c>
      <c r="BM49" s="10">
        <v>2079</v>
      </c>
      <c r="BN49" s="10">
        <v>2080</v>
      </c>
      <c r="BO49" s="10">
        <v>2081</v>
      </c>
      <c r="BP49" s="10">
        <v>2082</v>
      </c>
      <c r="BQ49" s="10">
        <v>2083</v>
      </c>
      <c r="BR49" s="10">
        <v>2084</v>
      </c>
      <c r="BS49" s="10">
        <v>2085</v>
      </c>
      <c r="BT49" s="10">
        <v>2086</v>
      </c>
      <c r="BU49" s="10">
        <v>2087</v>
      </c>
      <c r="BV49" s="10">
        <v>2088</v>
      </c>
      <c r="BW49" s="10">
        <v>2089</v>
      </c>
      <c r="BX49" s="10">
        <v>2090</v>
      </c>
      <c r="BY49" s="10">
        <v>2091</v>
      </c>
      <c r="BZ49" s="10">
        <v>2092</v>
      </c>
      <c r="CA49" s="10">
        <v>2093</v>
      </c>
      <c r="CB49" s="10">
        <v>2094</v>
      </c>
      <c r="CC49" s="10">
        <v>2095</v>
      </c>
      <c r="CD49" s="10">
        <v>2096</v>
      </c>
      <c r="CE49" s="10">
        <v>2097</v>
      </c>
      <c r="CF49" s="10">
        <v>2098</v>
      </c>
      <c r="CG49" s="10">
        <v>2099</v>
      </c>
      <c r="CH49" s="10">
        <v>2100</v>
      </c>
    </row>
    <row r="50" spans="1:86" x14ac:dyDescent="0.25">
      <c r="A50" s="1"/>
      <c r="B50" s="1" t="s">
        <v>22</v>
      </c>
      <c r="C50" s="12">
        <f>23127+28861</f>
        <v>51988</v>
      </c>
      <c r="D50" s="12">
        <f>25296+22112</f>
        <v>47408</v>
      </c>
      <c r="E50" s="12">
        <f>32265+28644</f>
        <v>60909</v>
      </c>
      <c r="F50" s="21">
        <f>36493+32280</f>
        <v>68773</v>
      </c>
      <c r="G50" s="21">
        <f>42155+49886</f>
        <v>92041</v>
      </c>
      <c r="H50" s="21">
        <f>52821+103320</f>
        <v>156141</v>
      </c>
      <c r="I50" s="74">
        <f>I51*I11</f>
        <v>163700</v>
      </c>
      <c r="J50" s="90">
        <f t="shared" ref="J50:R50" si="48">J51*J11</f>
        <v>168680</v>
      </c>
      <c r="K50" s="90">
        <f t="shared" si="48"/>
        <v>168830</v>
      </c>
      <c r="L50" s="90">
        <f t="shared" si="48"/>
        <v>130000</v>
      </c>
      <c r="M50" s="90">
        <f t="shared" si="48"/>
        <v>134000</v>
      </c>
      <c r="N50" s="90">
        <f t="shared" si="48"/>
        <v>86000</v>
      </c>
      <c r="O50" s="90">
        <f t="shared" si="48"/>
        <v>93000</v>
      </c>
      <c r="P50" s="90">
        <f t="shared" si="48"/>
        <v>100000</v>
      </c>
      <c r="Q50" s="90">
        <f t="shared" si="48"/>
        <v>95120.288994581366</v>
      </c>
      <c r="R50" s="90">
        <f t="shared" si="48"/>
        <v>96809.508336120212</v>
      </c>
    </row>
    <row r="51" spans="1:86" x14ac:dyDescent="0.25">
      <c r="A51" s="1"/>
      <c r="B51" s="67" t="s">
        <v>18</v>
      </c>
      <c r="C51" s="68">
        <f>C50/C11</f>
        <v>3.0956791612107615E-2</v>
      </c>
      <c r="D51" s="68">
        <f>D50/D11</f>
        <v>2.342912945325442E-2</v>
      </c>
      <c r="E51" s="68">
        <f>E50/E11</f>
        <v>2.7631450014879766E-2</v>
      </c>
      <c r="F51" s="68">
        <f t="shared" ref="C51:R51" si="49">F50/F11</f>
        <v>2.7673024303878965E-2</v>
      </c>
      <c r="G51" s="68">
        <f t="shared" si="49"/>
        <v>2.462843681231644E-2</v>
      </c>
      <c r="H51" s="68">
        <f t="shared" si="49"/>
        <v>3.4205913725149993E-2</v>
      </c>
      <c r="I51" s="98">
        <v>4.0419753086419756E-2</v>
      </c>
      <c r="J51" s="91">
        <v>3.8336363636363634E-2</v>
      </c>
      <c r="K51" s="91">
        <v>3.5394129979035641E-2</v>
      </c>
      <c r="L51" s="91">
        <v>2.5896414342629483E-2</v>
      </c>
      <c r="M51" s="91">
        <v>2.518796992481203E-2</v>
      </c>
      <c r="N51" s="91">
        <v>1.4904679376083191E-2</v>
      </c>
      <c r="O51" s="91">
        <v>1.5171288743882549E-2</v>
      </c>
      <c r="P51" s="91">
        <v>1.5360983102918592E-2</v>
      </c>
      <c r="Q51" s="91">
        <v>1.3758391261680767E-2</v>
      </c>
      <c r="R51" s="91">
        <v>1.3185238576904243E-2</v>
      </c>
    </row>
    <row r="52" spans="1:86" x14ac:dyDescent="0.25">
      <c r="A52" s="1"/>
      <c r="B52" s="1"/>
      <c r="C52" s="1"/>
      <c r="D52" s="1"/>
      <c r="E52" s="1"/>
      <c r="G52" s="1"/>
      <c r="H52" s="1"/>
      <c r="I52" s="77"/>
      <c r="J52" s="92"/>
      <c r="K52" s="92"/>
      <c r="L52" s="92"/>
      <c r="M52" s="92"/>
      <c r="N52" s="92"/>
      <c r="O52" s="92"/>
      <c r="P52" s="92"/>
      <c r="Q52" s="92"/>
      <c r="R52" s="92"/>
    </row>
    <row r="53" spans="1:86" x14ac:dyDescent="0.25">
      <c r="A53" s="1"/>
      <c r="B53" s="1" t="s">
        <v>23</v>
      </c>
      <c r="C53" s="12">
        <v>-33261</v>
      </c>
      <c r="D53" s="12">
        <v>-47601</v>
      </c>
      <c r="E53" s="12">
        <v>-60802</v>
      </c>
      <c r="F53" s="21">
        <v>-62128</v>
      </c>
      <c r="G53" s="21">
        <f>-109992</f>
        <v>-109992</v>
      </c>
      <c r="H53" s="21">
        <f>-86188</f>
        <v>-86188</v>
      </c>
      <c r="I53" s="74">
        <f>I54*I11</f>
        <v>-115550</v>
      </c>
      <c r="J53" s="90">
        <f t="shared" ref="J53:R53" si="50">J54*J11</f>
        <v>-122350</v>
      </c>
      <c r="K53" s="90">
        <f t="shared" si="50"/>
        <v>-130380</v>
      </c>
      <c r="L53" s="90">
        <f t="shared" si="50"/>
        <v>-133000</v>
      </c>
      <c r="M53" s="90">
        <f t="shared" si="50"/>
        <v>-140800</v>
      </c>
      <c r="N53" s="90">
        <f t="shared" si="50"/>
        <v>-153000</v>
      </c>
      <c r="O53" s="90">
        <f t="shared" si="50"/>
        <v>-162670</v>
      </c>
      <c r="P53" s="90">
        <f t="shared" si="50"/>
        <v>-173000</v>
      </c>
      <c r="Q53" s="90">
        <f t="shared" si="50"/>
        <v>-159815.53398058252</v>
      </c>
      <c r="R53" s="90">
        <f t="shared" si="50"/>
        <v>-138203.14827033653</v>
      </c>
    </row>
    <row r="54" spans="1:86" x14ac:dyDescent="0.25">
      <c r="A54" s="1"/>
      <c r="B54" s="67" t="s">
        <v>18</v>
      </c>
      <c r="C54" s="68">
        <f>C53/C11</f>
        <v>-1.9805606020818486E-2</v>
      </c>
      <c r="D54" s="68">
        <f>D53/D11</f>
        <v>-2.3524510443477125E-2</v>
      </c>
      <c r="E54" s="68">
        <f>E53/E11</f>
        <v>-2.7582909320539157E-2</v>
      </c>
      <c r="F54" s="68">
        <f t="shared" ref="C54:R54" si="51">F53/F11</f>
        <v>-2.4999195235795912E-2</v>
      </c>
      <c r="G54" s="68">
        <f t="shared" si="51"/>
        <v>-2.9431786072079941E-2</v>
      </c>
      <c r="H54" s="68">
        <f t="shared" si="51"/>
        <v>-1.8881263038812532E-2</v>
      </c>
      <c r="I54" s="98">
        <v>-2.8530864197530863E-2</v>
      </c>
      <c r="J54" s="91">
        <v>-2.7806818181818183E-2</v>
      </c>
      <c r="K54" s="91">
        <v>-2.7333333333333334E-2</v>
      </c>
      <c r="L54" s="91">
        <v>-2.649402390438247E-2</v>
      </c>
      <c r="M54" s="91">
        <v>-2.6466165413533835E-2</v>
      </c>
      <c r="N54" s="91">
        <v>-2.6516464471403819E-2</v>
      </c>
      <c r="O54" s="91">
        <v>-2.6536704730831983E-2</v>
      </c>
      <c r="P54" s="91">
        <v>-2.6574500768049163E-2</v>
      </c>
      <c r="Q54" s="91">
        <v>-2.3116042533518268E-2</v>
      </c>
      <c r="R54" s="91">
        <v>-1.8822959783008925E-2</v>
      </c>
    </row>
    <row r="55" spans="1:86" x14ac:dyDescent="0.25">
      <c r="A55" s="1"/>
      <c r="B55" s="1"/>
      <c r="C55" s="1"/>
      <c r="D55" s="1"/>
      <c r="E55" s="1"/>
      <c r="G55" s="1"/>
      <c r="H55" s="1"/>
      <c r="I55" s="77"/>
      <c r="J55" s="92"/>
      <c r="K55" s="92"/>
      <c r="L55" s="92"/>
      <c r="M55" s="92"/>
      <c r="N55" s="92"/>
      <c r="O55" s="92"/>
      <c r="P55" s="92"/>
      <c r="Q55" s="92"/>
      <c r="R55" s="92"/>
    </row>
    <row r="56" spans="1:86" x14ac:dyDescent="0.25">
      <c r="A56" s="1"/>
      <c r="B56" s="1" t="s">
        <v>24</v>
      </c>
      <c r="C56" s="21">
        <v>12144</v>
      </c>
      <c r="D56" s="21">
        <v>-88119</v>
      </c>
      <c r="E56" s="21">
        <v>-57401</v>
      </c>
      <c r="F56" s="21">
        <v>18722</v>
      </c>
      <c r="G56" s="21">
        <v>-258545</v>
      </c>
      <c r="H56" s="21">
        <v>-465235</v>
      </c>
      <c r="I56" s="74">
        <f>I57*I11</f>
        <v>-40500</v>
      </c>
      <c r="J56" s="90">
        <f t="shared" ref="J56:R56" si="52">J57*J11</f>
        <v>-22000</v>
      </c>
      <c r="K56" s="90">
        <f t="shared" si="52"/>
        <v>-23850</v>
      </c>
      <c r="L56" s="90">
        <f t="shared" si="52"/>
        <v>-25100</v>
      </c>
      <c r="M56" s="90">
        <f t="shared" si="52"/>
        <v>-26600</v>
      </c>
      <c r="N56" s="90">
        <f t="shared" si="52"/>
        <v>-28849.999999999996</v>
      </c>
      <c r="O56" s="90">
        <f t="shared" si="52"/>
        <v>-30649.999999999993</v>
      </c>
      <c r="P56" s="90">
        <f t="shared" si="52"/>
        <v>-32549.999999999993</v>
      </c>
      <c r="Q56" s="90">
        <f t="shared" si="52"/>
        <v>-34568.099999999991</v>
      </c>
      <c r="R56" s="90">
        <f t="shared" si="52"/>
        <v>-36711.322199999995</v>
      </c>
    </row>
    <row r="57" spans="1:86" x14ac:dyDescent="0.25">
      <c r="A57" s="1"/>
      <c r="B57" s="67" t="s">
        <v>18</v>
      </c>
      <c r="C57" s="68">
        <f>C56/C11</f>
        <v>7.2312702419295776E-3</v>
      </c>
      <c r="D57" s="68">
        <f>D56/D11</f>
        <v>-4.3548587965983085E-2</v>
      </c>
      <c r="E57" s="68">
        <f>E56/E11</f>
        <v>-2.6040041082666162E-2</v>
      </c>
      <c r="F57" s="68">
        <f t="shared" ref="C57:H57" si="53">F56/F11</f>
        <v>7.5333977144696604E-3</v>
      </c>
      <c r="G57" s="68">
        <f t="shared" si="53"/>
        <v>-6.9181768946886213E-2</v>
      </c>
      <c r="H57" s="68">
        <f t="shared" si="53"/>
        <v>-0.10191934387457591</v>
      </c>
      <c r="I57" s="87">
        <v>-0.01</v>
      </c>
      <c r="J57" s="97">
        <v>-5.0000000000000001E-3</v>
      </c>
      <c r="K57" s="97">
        <v>-5.0000000000000001E-3</v>
      </c>
      <c r="L57" s="97">
        <v>-5.0000000000000001E-3</v>
      </c>
      <c r="M57" s="97">
        <v>-5.0000000000000001E-3</v>
      </c>
      <c r="N57" s="97">
        <v>-5.0000000000000001E-3</v>
      </c>
      <c r="O57" s="97">
        <v>-5.0000000000000001E-3</v>
      </c>
      <c r="P57" s="97">
        <v>-5.0000000000000001E-3</v>
      </c>
      <c r="Q57" s="97">
        <v>-5.0000000000000001E-3</v>
      </c>
      <c r="R57" s="97">
        <v>-5.0000000000000001E-3</v>
      </c>
    </row>
    <row r="58" spans="1:86" x14ac:dyDescent="0.25">
      <c r="A58" s="1"/>
      <c r="B58" s="1"/>
      <c r="C58" s="1"/>
      <c r="D58" s="1"/>
      <c r="E58" s="1"/>
      <c r="F58" s="1"/>
      <c r="G58" s="1"/>
      <c r="H58" s="1"/>
      <c r="I58" s="77"/>
      <c r="J58" s="92"/>
      <c r="K58" s="92"/>
      <c r="L58" s="92"/>
      <c r="M58" s="92"/>
      <c r="N58" s="92"/>
      <c r="O58" s="92"/>
      <c r="P58" s="92"/>
      <c r="Q58" s="92"/>
      <c r="R58" s="92"/>
    </row>
    <row r="59" spans="1:86" x14ac:dyDescent="0.25">
      <c r="A59" s="1"/>
      <c r="B59" s="10" t="s">
        <v>25</v>
      </c>
      <c r="C59" s="12">
        <f>C43-C46</f>
        <v>206492</v>
      </c>
      <c r="D59" s="12">
        <f>D43-D46</f>
        <v>287325</v>
      </c>
      <c r="E59" s="12">
        <f>E43-E46</f>
        <v>304864</v>
      </c>
      <c r="F59" s="12">
        <f>F43-F46</f>
        <v>381544</v>
      </c>
      <c r="G59" s="12">
        <f t="shared" ref="D59:G59" si="54">G43-G46</f>
        <v>607644</v>
      </c>
      <c r="H59" s="12">
        <f>H43-H46</f>
        <v>468193</v>
      </c>
      <c r="I59" s="80">
        <f t="shared" ref="I59:R59" si="55">I43-I46</f>
        <v>307320</v>
      </c>
      <c r="J59" s="94">
        <f t="shared" si="55"/>
        <v>458389.99999999994</v>
      </c>
      <c r="K59" s="94">
        <f t="shared" si="55"/>
        <v>568280</v>
      </c>
      <c r="L59" s="94">
        <f t="shared" si="55"/>
        <v>639120</v>
      </c>
      <c r="M59" s="94">
        <f t="shared" si="55"/>
        <v>702420</v>
      </c>
      <c r="N59" s="94">
        <f t="shared" si="55"/>
        <v>931620</v>
      </c>
      <c r="O59" s="94">
        <f t="shared" si="55"/>
        <v>1054750</v>
      </c>
      <c r="P59" s="94">
        <f t="shared" si="55"/>
        <v>1151140</v>
      </c>
      <c r="Q59" s="94">
        <f t="shared" si="55"/>
        <v>1153874.1999999997</v>
      </c>
      <c r="R59" s="94">
        <f t="shared" si="55"/>
        <v>1156690.426</v>
      </c>
    </row>
    <row r="60" spans="1:86" x14ac:dyDescent="0.25">
      <c r="A60" s="1"/>
      <c r="B60" s="10" t="s">
        <v>56</v>
      </c>
      <c r="C60" s="12">
        <v>1749</v>
      </c>
      <c r="D60" s="12">
        <v>2963</v>
      </c>
      <c r="E60" s="12">
        <v>301</v>
      </c>
      <c r="F60" s="12">
        <v>-3358</v>
      </c>
      <c r="G60" s="12">
        <v>6075</v>
      </c>
      <c r="H60" s="12">
        <v>9368</v>
      </c>
      <c r="I60" s="80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</row>
    <row r="61" spans="1:86" x14ac:dyDescent="0.25">
      <c r="A61" s="1"/>
      <c r="B61" s="10" t="s">
        <v>26</v>
      </c>
      <c r="C61" s="12">
        <f>C41-C46-C60</f>
        <v>157808</v>
      </c>
      <c r="D61" s="12">
        <f>D41-D46-D60</f>
        <v>238257</v>
      </c>
      <c r="E61" s="12">
        <f>E41-E46-E60</f>
        <v>252007</v>
      </c>
      <c r="F61" s="12">
        <f>F41-F46-F60</f>
        <v>351987</v>
      </c>
      <c r="G61" s="12">
        <f t="shared" ref="G61:H61" si="56">G41-G46-G60</f>
        <v>571959</v>
      </c>
      <c r="H61" s="12">
        <f>H41-H46-H60</f>
        <v>400961</v>
      </c>
      <c r="I61" s="80">
        <f>I41-I46+I60</f>
        <v>250620.00000000003</v>
      </c>
      <c r="J61" s="94">
        <f t="shared" ref="J61:R61" si="57">J41-J46+J60</f>
        <v>396789.99999999994</v>
      </c>
      <c r="K61" s="94">
        <f t="shared" si="57"/>
        <v>501500</v>
      </c>
      <c r="L61" s="94">
        <f t="shared" si="57"/>
        <v>568840</v>
      </c>
      <c r="M61" s="94">
        <f t="shared" si="57"/>
        <v>627940</v>
      </c>
      <c r="N61" s="94">
        <f t="shared" si="57"/>
        <v>850840</v>
      </c>
      <c r="O61" s="94">
        <f t="shared" si="57"/>
        <v>968930</v>
      </c>
      <c r="P61" s="94">
        <f t="shared" si="57"/>
        <v>1060000</v>
      </c>
      <c r="Q61" s="94">
        <f t="shared" si="57"/>
        <v>1130828.7999999998</v>
      </c>
      <c r="R61" s="94">
        <f t="shared" si="57"/>
        <v>1210788.6822399998</v>
      </c>
      <c r="S61" s="58">
        <f>R61*(1+$E$6)</f>
        <v>1247112.3427071997</v>
      </c>
      <c r="T61" s="58">
        <f t="shared" ref="T61:CE61" si="58">S61*(1+$E$6)</f>
        <v>1284525.7129884157</v>
      </c>
      <c r="U61" s="58">
        <f t="shared" si="58"/>
        <v>1323061.4843780682</v>
      </c>
      <c r="V61" s="58">
        <f t="shared" si="58"/>
        <v>1362753.3289094104</v>
      </c>
      <c r="W61" s="58">
        <f t="shared" si="58"/>
        <v>1403635.9287766928</v>
      </c>
      <c r="X61" s="58">
        <f t="shared" si="58"/>
        <v>1445745.0066399937</v>
      </c>
      <c r="Y61" s="58">
        <f t="shared" si="58"/>
        <v>1489117.3568391935</v>
      </c>
      <c r="Z61" s="58">
        <f t="shared" si="58"/>
        <v>1533790.8775443693</v>
      </c>
      <c r="AA61" s="58">
        <f t="shared" si="58"/>
        <v>1579804.6038707003</v>
      </c>
      <c r="AB61" s="58">
        <f t="shared" si="58"/>
        <v>1627198.7419868214</v>
      </c>
      <c r="AC61" s="58">
        <f t="shared" si="58"/>
        <v>1676014.704246426</v>
      </c>
      <c r="AD61" s="58">
        <f t="shared" si="58"/>
        <v>1726295.1453738189</v>
      </c>
      <c r="AE61" s="58">
        <f t="shared" si="58"/>
        <v>1778083.9997350336</v>
      </c>
      <c r="AF61" s="58">
        <f t="shared" si="58"/>
        <v>1831426.5197270846</v>
      </c>
      <c r="AG61" s="58">
        <f t="shared" si="58"/>
        <v>1886369.3153188971</v>
      </c>
      <c r="AH61" s="58">
        <f t="shared" si="58"/>
        <v>1942960.394778464</v>
      </c>
      <c r="AI61" s="58">
        <f t="shared" si="58"/>
        <v>2001249.206621818</v>
      </c>
      <c r="AJ61" s="58">
        <f t="shared" si="58"/>
        <v>2061286.6828204726</v>
      </c>
      <c r="AK61" s="58">
        <f t="shared" si="58"/>
        <v>2123125.2833050867</v>
      </c>
      <c r="AL61" s="58">
        <f t="shared" si="58"/>
        <v>2186819.0418042392</v>
      </c>
      <c r="AM61" s="58">
        <f t="shared" si="58"/>
        <v>2252423.6130583663</v>
      </c>
      <c r="AN61" s="58">
        <f t="shared" si="58"/>
        <v>2319996.3214501175</v>
      </c>
      <c r="AO61" s="58">
        <f t="shared" si="58"/>
        <v>2389596.2110936213</v>
      </c>
      <c r="AP61" s="58">
        <f t="shared" si="58"/>
        <v>2461284.0974264299</v>
      </c>
      <c r="AQ61" s="58">
        <f t="shared" si="58"/>
        <v>2535122.6203492228</v>
      </c>
      <c r="AR61" s="58">
        <f t="shared" si="58"/>
        <v>2611176.2989596995</v>
      </c>
      <c r="AS61" s="58">
        <f t="shared" si="58"/>
        <v>2689511.5879284907</v>
      </c>
      <c r="AT61" s="58">
        <f t="shared" si="58"/>
        <v>2770196.9355663457</v>
      </c>
      <c r="AU61" s="58">
        <f t="shared" si="58"/>
        <v>2853302.843633336</v>
      </c>
      <c r="AV61" s="58">
        <f t="shared" si="58"/>
        <v>2938901.9289423362</v>
      </c>
      <c r="AW61" s="58">
        <f t="shared" si="58"/>
        <v>3027068.9868106064</v>
      </c>
      <c r="AX61" s="58">
        <f t="shared" si="58"/>
        <v>3117881.0564149246</v>
      </c>
      <c r="AY61" s="58">
        <f t="shared" si="58"/>
        <v>3211417.4881073725</v>
      </c>
      <c r="AZ61" s="58">
        <f t="shared" si="58"/>
        <v>3307760.0127505939</v>
      </c>
      <c r="BA61" s="58">
        <f t="shared" si="58"/>
        <v>3406992.8131331117</v>
      </c>
      <c r="BB61" s="58">
        <f t="shared" si="58"/>
        <v>3509202.5975271054</v>
      </c>
      <c r="BC61" s="58">
        <f t="shared" si="58"/>
        <v>3614478.6754529187</v>
      </c>
      <c r="BD61" s="58">
        <f t="shared" si="58"/>
        <v>3722913.0357165062</v>
      </c>
      <c r="BE61" s="58">
        <f t="shared" si="58"/>
        <v>3834600.4267880013</v>
      </c>
      <c r="BF61" s="58">
        <f t="shared" si="58"/>
        <v>3949638.4395916415</v>
      </c>
      <c r="BG61" s="58">
        <f t="shared" si="58"/>
        <v>4068127.592779391</v>
      </c>
      <c r="BH61" s="58">
        <f t="shared" si="58"/>
        <v>4190171.420562773</v>
      </c>
      <c r="BI61" s="58">
        <f t="shared" si="58"/>
        <v>4315876.5631796559</v>
      </c>
      <c r="BJ61" s="58">
        <f t="shared" si="58"/>
        <v>4445352.8600750454</v>
      </c>
      <c r="BK61" s="58">
        <f t="shared" si="58"/>
        <v>4578713.4458772969</v>
      </c>
      <c r="BL61" s="58">
        <f t="shared" si="58"/>
        <v>4716074.8492536163</v>
      </c>
      <c r="BM61" s="58">
        <f t="shared" si="58"/>
        <v>4857557.0947312247</v>
      </c>
      <c r="BN61" s="58">
        <f t="shared" si="58"/>
        <v>5003283.807573162</v>
      </c>
      <c r="BO61" s="58">
        <f t="shared" si="58"/>
        <v>5153382.3218003567</v>
      </c>
      <c r="BP61" s="58">
        <f t="shared" si="58"/>
        <v>5307983.7914543673</v>
      </c>
      <c r="BQ61" s="58">
        <f t="shared" si="58"/>
        <v>5467223.3051979989</v>
      </c>
      <c r="BR61" s="58">
        <f t="shared" si="58"/>
        <v>5631240.0043539386</v>
      </c>
      <c r="BS61" s="58">
        <f t="shared" si="58"/>
        <v>5800177.2044845568</v>
      </c>
      <c r="BT61" s="58">
        <f t="shared" si="58"/>
        <v>5974182.5206190934</v>
      </c>
      <c r="BU61" s="58">
        <f t="shared" si="58"/>
        <v>6153407.9962376663</v>
      </c>
      <c r="BV61" s="58">
        <f t="shared" si="58"/>
        <v>6338010.2361247968</v>
      </c>
      <c r="BW61" s="58">
        <f t="shared" si="58"/>
        <v>6528150.5432085404</v>
      </c>
      <c r="BX61" s="58">
        <f t="shared" si="58"/>
        <v>6723995.0595047968</v>
      </c>
      <c r="BY61" s="58">
        <f t="shared" si="58"/>
        <v>6925714.9112899406</v>
      </c>
      <c r="BZ61" s="58">
        <f t="shared" si="58"/>
        <v>7133486.358628639</v>
      </c>
      <c r="CA61" s="58">
        <f t="shared" si="58"/>
        <v>7347490.9493874982</v>
      </c>
      <c r="CB61" s="58">
        <f t="shared" si="58"/>
        <v>7567915.6778691234</v>
      </c>
      <c r="CC61" s="58">
        <f t="shared" si="58"/>
        <v>7794953.1482051974</v>
      </c>
      <c r="CD61" s="58">
        <f t="shared" si="58"/>
        <v>8028801.7426513536</v>
      </c>
      <c r="CE61" s="58">
        <f t="shared" si="58"/>
        <v>8269665.7949308949</v>
      </c>
      <c r="CF61" s="58">
        <f t="shared" ref="CF61:CH61" si="59">CE61*(1+$E$6)</f>
        <v>8517755.7687788215</v>
      </c>
      <c r="CG61" s="58">
        <f t="shared" si="59"/>
        <v>8773288.4418421872</v>
      </c>
      <c r="CH61" s="58">
        <f t="shared" si="59"/>
        <v>9036487.0950974524</v>
      </c>
    </row>
    <row r="62" spans="1:86" x14ac:dyDescent="0.25">
      <c r="A62" s="1"/>
      <c r="B62" s="6"/>
      <c r="C62" s="20"/>
      <c r="D62" s="20"/>
      <c r="E62" s="20"/>
      <c r="F62" s="20"/>
      <c r="G62" s="20"/>
      <c r="H62" s="20"/>
      <c r="I62" s="77"/>
      <c r="J62" s="92"/>
      <c r="K62" s="92"/>
      <c r="L62" s="92"/>
      <c r="M62" s="92"/>
      <c r="N62" s="92"/>
      <c r="O62" s="92"/>
      <c r="P62" s="92"/>
      <c r="Q62" s="92"/>
      <c r="R62" s="92"/>
    </row>
    <row r="63" spans="1:86" x14ac:dyDescent="0.25">
      <c r="A63" s="1"/>
      <c r="B63" s="10" t="s">
        <v>27</v>
      </c>
      <c r="C63" s="12">
        <f>C59+(C50-C28)+C53-C56</f>
        <v>184214</v>
      </c>
      <c r="D63" s="12">
        <f>D59+(D50-D28)+D53-D56</f>
        <v>353139</v>
      </c>
      <c r="E63" s="12">
        <f>E59+(E50-E28)+E53-E56</f>
        <v>333728</v>
      </c>
      <c r="F63" s="12">
        <f t="shared" ref="C63:G63" si="60">F59+(F50-F28)+F53-F56</f>
        <v>337187</v>
      </c>
      <c r="G63" s="12">
        <f t="shared" si="60"/>
        <v>798352</v>
      </c>
      <c r="H63" s="12">
        <f>H59+(H50-H28)+H53-H56</f>
        <v>900061</v>
      </c>
      <c r="I63" s="80">
        <f>I59+I50+I53-I56</f>
        <v>395970</v>
      </c>
      <c r="J63" s="94">
        <f t="shared" ref="D63:R63" si="61">J59+J50+J53-J56</f>
        <v>526720</v>
      </c>
      <c r="K63" s="94">
        <f t="shared" si="61"/>
        <v>630580</v>
      </c>
      <c r="L63" s="94">
        <f t="shared" si="61"/>
        <v>661220</v>
      </c>
      <c r="M63" s="94">
        <f t="shared" si="61"/>
        <v>722220</v>
      </c>
      <c r="N63" s="94">
        <f t="shared" si="61"/>
        <v>893470</v>
      </c>
      <c r="O63" s="94">
        <f t="shared" si="61"/>
        <v>1015730</v>
      </c>
      <c r="P63" s="94">
        <f t="shared" si="61"/>
        <v>1110690</v>
      </c>
      <c r="Q63" s="94">
        <f t="shared" si="61"/>
        <v>1123747.0550139986</v>
      </c>
      <c r="R63" s="94">
        <f t="shared" si="61"/>
        <v>1152008.1082657839</v>
      </c>
    </row>
    <row r="64" spans="1:86" x14ac:dyDescent="0.25">
      <c r="A64" s="1"/>
      <c r="B64" s="22" t="s">
        <v>28</v>
      </c>
      <c r="C64" s="1"/>
      <c r="D64" s="1"/>
      <c r="E64" s="1"/>
      <c r="F64" s="1"/>
      <c r="G64" s="1"/>
      <c r="H64" s="1"/>
      <c r="I64" s="60">
        <f t="shared" ref="I64:R64" si="62">I63/((1+$E$5)^I9)</f>
        <v>356748.09191701008</v>
      </c>
      <c r="J64" s="59">
        <f t="shared" si="62"/>
        <v>427541.77892640268</v>
      </c>
      <c r="K64" s="59">
        <f t="shared" si="62"/>
        <v>461145.86449630006</v>
      </c>
      <c r="L64" s="59">
        <f t="shared" si="62"/>
        <v>435655.78238497494</v>
      </c>
      <c r="M64" s="59">
        <f t="shared" si="62"/>
        <v>428712.7381975379</v>
      </c>
      <c r="N64" s="59">
        <f t="shared" si="62"/>
        <v>477833.09616686852</v>
      </c>
      <c r="O64" s="59">
        <f t="shared" si="62"/>
        <v>489411.20391673833</v>
      </c>
      <c r="P64" s="59">
        <f t="shared" si="62"/>
        <v>482156.32102232263</v>
      </c>
      <c r="Q64" s="59">
        <f t="shared" si="62"/>
        <v>439504.11424087593</v>
      </c>
      <c r="R64" s="59">
        <f t="shared" si="62"/>
        <v>405928.26217349595</v>
      </c>
    </row>
    <row r="65" spans="1:18" x14ac:dyDescent="0.25">
      <c r="A65" s="1"/>
      <c r="B65" s="23"/>
      <c r="C65" s="23"/>
      <c r="D65" s="23"/>
      <c r="E65" s="23"/>
      <c r="F65" s="23"/>
      <c r="G65" s="23"/>
      <c r="H65" s="23"/>
      <c r="I65" s="16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"/>
      <c r="B66" s="1" t="s">
        <v>29</v>
      </c>
      <c r="C66" s="24">
        <f>(R63*(1+$E$6))/($E$5-$E$6)</f>
        <v>14842704.465201125</v>
      </c>
      <c r="D66" s="1"/>
      <c r="E66" s="1" t="s">
        <v>30</v>
      </c>
      <c r="F66" s="19">
        <f>NPV($E$5,I61:CH61)</f>
        <v>9375954.3455383927</v>
      </c>
      <c r="G66" s="1"/>
      <c r="H66" s="1"/>
      <c r="I66" s="16"/>
      <c r="J66" s="1"/>
      <c r="K66" s="1"/>
      <c r="L66" s="1"/>
      <c r="M66" s="1"/>
      <c r="N66" s="1"/>
      <c r="O66" s="1"/>
      <c r="P66" s="1"/>
      <c r="Q66" s="1"/>
    </row>
    <row r="67" spans="1:18" x14ac:dyDescent="0.25">
      <c r="A67" s="1"/>
      <c r="B67" s="3" t="s">
        <v>31</v>
      </c>
      <c r="C67" s="25">
        <f>C66/((1+$E$5)^$R$9)</f>
        <v>5230061.4781122841</v>
      </c>
      <c r="D67" s="17"/>
      <c r="E67" s="3"/>
      <c r="F67" s="3"/>
      <c r="G67" s="3"/>
      <c r="H67" s="17"/>
      <c r="I67" s="13"/>
      <c r="J67" s="1"/>
      <c r="L67" s="48" t="s">
        <v>52</v>
      </c>
      <c r="M67" s="49"/>
      <c r="N67" s="49"/>
      <c r="O67" s="49"/>
      <c r="P67" s="49"/>
      <c r="Q67" s="48"/>
    </row>
    <row r="68" spans="1:18" x14ac:dyDescent="0.25">
      <c r="A68" s="1"/>
      <c r="B68" s="6" t="s">
        <v>32</v>
      </c>
      <c r="C68" s="6"/>
      <c r="D68" s="1"/>
      <c r="E68" s="6"/>
      <c r="F68" s="6"/>
      <c r="G68" s="26" t="s">
        <v>33</v>
      </c>
      <c r="H68" s="26" t="s">
        <v>30</v>
      </c>
      <c r="I68" s="16"/>
      <c r="J68" s="1"/>
      <c r="K68" s="48"/>
      <c r="L68" s="50">
        <f>D74</f>
        <v>148.06576113560661</v>
      </c>
      <c r="M68" s="51">
        <v>-0.01</v>
      </c>
      <c r="N68" s="51">
        <v>0.01</v>
      </c>
      <c r="O68" s="51">
        <v>0.03</v>
      </c>
      <c r="P68" s="51">
        <v>0.04</v>
      </c>
      <c r="Q68" s="51">
        <v>0.05</v>
      </c>
    </row>
    <row r="69" spans="1:18" x14ac:dyDescent="0.25">
      <c r="A69" s="1"/>
      <c r="B69" s="27" t="s">
        <v>34</v>
      </c>
      <c r="C69" s="1"/>
      <c r="D69" s="34">
        <v>192768</v>
      </c>
      <c r="E69" s="1"/>
      <c r="F69" s="1"/>
      <c r="G69" s="24">
        <f>C67+SUM(I64:R64)</f>
        <v>9634698.73155481</v>
      </c>
      <c r="H69" s="19">
        <f>F66</f>
        <v>9375954.3455383927</v>
      </c>
      <c r="I69" s="16"/>
      <c r="J69" s="1"/>
      <c r="K69" s="48"/>
      <c r="L69" s="52">
        <f>L70-1%</f>
        <v>8.9942867170580629E-2</v>
      </c>
      <c r="M69" s="53">
        <f t="dataTable" ref="M69:Q73" dt2D="1" dtr="1" r1="E6" r2="E5"/>
        <v>149.04175993945159</v>
      </c>
      <c r="N69" s="53">
        <v>170.69463119722468</v>
      </c>
      <c r="O69" s="53">
        <v>205.96982419931282</v>
      </c>
      <c r="P69" s="53">
        <v>233.15757165269736</v>
      </c>
      <c r="Q69" s="53">
        <v>271.98008915136393</v>
      </c>
    </row>
    <row r="70" spans="1:18" x14ac:dyDescent="0.25">
      <c r="A70" s="1"/>
      <c r="B70" s="28" t="s">
        <v>35</v>
      </c>
      <c r="C70" s="3"/>
      <c r="D70" s="29">
        <f>936827-454727</f>
        <v>482100</v>
      </c>
      <c r="E70" s="3"/>
      <c r="F70" s="3"/>
      <c r="G70" s="3"/>
      <c r="H70" s="3"/>
      <c r="I70" s="16"/>
      <c r="J70" s="1"/>
      <c r="K70" s="49"/>
      <c r="L70" s="52">
        <f>L71-1%</f>
        <v>9.9942867170580624E-2</v>
      </c>
      <c r="M70" s="53">
        <v>131.66867832459485</v>
      </c>
      <c r="N70" s="54">
        <v>147.85569904128207</v>
      </c>
      <c r="O70" s="54">
        <v>172.95250134556818</v>
      </c>
      <c r="P70" s="54">
        <v>191.35423729433975</v>
      </c>
      <c r="Q70" s="53">
        <v>216.34895958029222</v>
      </c>
    </row>
    <row r="71" spans="1:18" x14ac:dyDescent="0.25">
      <c r="A71" s="1"/>
      <c r="B71" s="6" t="s">
        <v>36</v>
      </c>
      <c r="C71" s="6"/>
      <c r="D71" s="6"/>
      <c r="E71" s="6"/>
      <c r="F71" s="6"/>
      <c r="G71" s="30">
        <f>(G69+D69-D70)</f>
        <v>9345366.73155481</v>
      </c>
      <c r="H71" s="31">
        <f>(H69+D69-D70)</f>
        <v>9086622.3455383927</v>
      </c>
      <c r="I71" s="16"/>
      <c r="J71"/>
      <c r="K71" s="48" t="s">
        <v>1</v>
      </c>
      <c r="L71" s="55">
        <v>0.10994286717058062</v>
      </c>
      <c r="M71" s="53">
        <v>117.3600239717983</v>
      </c>
      <c r="N71" s="54">
        <v>129.70058932153717</v>
      </c>
      <c r="O71" s="56">
        <v>148.06576113560661</v>
      </c>
      <c r="P71" s="54">
        <v>161.00636866644737</v>
      </c>
      <c r="Q71" s="53">
        <v>177.9454028555339</v>
      </c>
    </row>
    <row r="72" spans="1:18" x14ac:dyDescent="0.25">
      <c r="A72" s="1"/>
      <c r="B72" s="3" t="s">
        <v>37</v>
      </c>
      <c r="C72" s="3"/>
      <c r="D72" s="34">
        <f>62242577/1000</f>
        <v>62242.576999999997</v>
      </c>
      <c r="E72" s="3"/>
      <c r="F72" s="3"/>
      <c r="G72" s="3"/>
      <c r="H72" s="3"/>
      <c r="I72" s="16"/>
      <c r="J72" s="1"/>
      <c r="K72" s="48"/>
      <c r="L72" s="57">
        <f>L71+1%</f>
        <v>0.11994286717058061</v>
      </c>
      <c r="M72" s="53">
        <v>105.40249935118479</v>
      </c>
      <c r="N72" s="54">
        <v>114.96879500640023</v>
      </c>
      <c r="O72" s="54">
        <v>128.72320727363379</v>
      </c>
      <c r="P72" s="54">
        <v>138.1027175829675</v>
      </c>
      <c r="Q72" s="53">
        <v>150.02836562789463</v>
      </c>
    </row>
    <row r="73" spans="1:18" x14ac:dyDescent="0.25">
      <c r="A73" s="1"/>
      <c r="B73" s="18" t="s">
        <v>38</v>
      </c>
      <c r="C73" s="18"/>
      <c r="D73" s="18">
        <f>D72*$J$5</f>
        <v>6986106.8424799992</v>
      </c>
      <c r="E73" s="18"/>
      <c r="F73" s="18"/>
      <c r="G73" s="18"/>
      <c r="H73" s="32"/>
      <c r="I73" s="1"/>
      <c r="J73" s="1"/>
      <c r="K73" s="48"/>
      <c r="L73" s="57">
        <f>L72+1%</f>
        <v>0.12994286717058062</v>
      </c>
      <c r="M73" s="53">
        <v>95.284674327084133</v>
      </c>
      <c r="N73" s="53">
        <v>102.80739737576928</v>
      </c>
      <c r="O73" s="53">
        <v>113.31111645358894</v>
      </c>
      <c r="P73" s="53">
        <v>120.2798335149316</v>
      </c>
      <c r="Q73" s="53">
        <v>128.9325331922476</v>
      </c>
    </row>
    <row r="74" spans="1:18" x14ac:dyDescent="0.25">
      <c r="A74" s="1"/>
      <c r="B74" s="6" t="s">
        <v>39</v>
      </c>
      <c r="C74" s="6" t="s">
        <v>40</v>
      </c>
      <c r="D74" s="33">
        <f>(G74+H74)/2</f>
        <v>148.06576113560661</v>
      </c>
      <c r="F74" s="6"/>
      <c r="G74" s="33">
        <f>G71/D72</f>
        <v>150.14427714898133</v>
      </c>
      <c r="H74" s="33">
        <f>H71/D72</f>
        <v>145.98724512223188</v>
      </c>
      <c r="I74" s="16"/>
      <c r="J74" s="1"/>
    </row>
    <row r="75" spans="1:18" x14ac:dyDescent="0.25">
      <c r="A75"/>
      <c r="C75" s="1"/>
      <c r="D75" s="1"/>
    </row>
  </sheetData>
  <sortState xmlns:xlrd2="http://schemas.microsoft.com/office/spreadsheetml/2017/richdata2" columnSort="1" ref="C10:E63">
    <sortCondition ref="C10:E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H14" sqref="H14"/>
    </sheetView>
  </sheetViews>
  <sheetFormatPr defaultRowHeight="15" x14ac:dyDescent="0.25"/>
  <cols>
    <col min="3" max="3" width="12.42578125" customWidth="1"/>
    <col min="11" max="11" width="11.710937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36" t="s">
        <v>1</v>
      </c>
      <c r="C2" s="2"/>
      <c r="D2" s="2"/>
      <c r="E2" s="2"/>
      <c r="F2" s="2"/>
      <c r="G2" s="2"/>
      <c r="H2" s="2"/>
      <c r="I2" s="2"/>
      <c r="J2" s="2"/>
      <c r="K2" s="2"/>
      <c r="L2" s="37"/>
    </row>
    <row r="3" spans="1:14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2"/>
    </row>
    <row r="4" spans="1:14" x14ac:dyDescent="0.25">
      <c r="A4" s="39" t="s">
        <v>42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43</v>
      </c>
      <c r="C6" s="2"/>
      <c r="D6" s="40">
        <f>'GNRC DCF'!P47</f>
        <v>0.22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44</v>
      </c>
      <c r="C7" s="2"/>
      <c r="D7" s="40">
        <v>3.6999999999999998E-2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45</v>
      </c>
      <c r="C8" s="2"/>
      <c r="D8" s="66">
        <v>1.3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46</v>
      </c>
      <c r="C9" s="2"/>
      <c r="D9" s="40">
        <v>0.06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4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36</v>
      </c>
      <c r="B12" s="2"/>
      <c r="C12" s="21">
        <f>'GNRC DCF'!D73</f>
        <v>6986106.8424799992</v>
      </c>
      <c r="D12" s="2"/>
      <c r="E12" s="2" t="s">
        <v>35</v>
      </c>
      <c r="F12" s="2"/>
      <c r="G12" s="21">
        <f>'GNRC DCF'!D70</f>
        <v>482100</v>
      </c>
      <c r="H12" s="2"/>
      <c r="I12" s="2" t="s">
        <v>47</v>
      </c>
      <c r="J12" s="2"/>
      <c r="K12" s="21">
        <f>G12+C12</f>
        <v>7468206.8424799992</v>
      </c>
      <c r="L12" s="2"/>
    </row>
    <row r="13" spans="1:14" x14ac:dyDescent="0.25">
      <c r="A13" s="2" t="s">
        <v>48</v>
      </c>
      <c r="B13" s="2"/>
      <c r="C13" s="41">
        <f>C12/K12</f>
        <v>0.93544635142431232</v>
      </c>
      <c r="D13" s="2"/>
      <c r="E13" s="2" t="s">
        <v>49</v>
      </c>
      <c r="F13" s="2"/>
      <c r="G13" s="42">
        <f>G12/K12</f>
        <v>6.4553648575687683E-2</v>
      </c>
      <c r="H13" s="2"/>
      <c r="I13" s="2"/>
      <c r="J13" s="2"/>
      <c r="K13" s="2"/>
      <c r="L13" s="2"/>
      <c r="M13" s="34"/>
    </row>
    <row r="14" spans="1:14" x14ac:dyDescent="0.25">
      <c r="A14" s="2" t="s">
        <v>50</v>
      </c>
      <c r="B14" s="2"/>
      <c r="C14" s="43">
        <f>D7+D8*(D9)</f>
        <v>0.11499999999999999</v>
      </c>
      <c r="D14" s="2"/>
      <c r="E14" s="2" t="s">
        <v>51</v>
      </c>
      <c r="F14" s="2"/>
      <c r="G14" s="44">
        <v>4.7E-2</v>
      </c>
      <c r="H14" s="2"/>
      <c r="I14" s="45" t="s">
        <v>1</v>
      </c>
      <c r="J14" s="46"/>
      <c r="K14" s="63">
        <f>C13*C14+G14*G13*(1-D6)</f>
        <v>0.10994286717058062</v>
      </c>
      <c r="L14" s="2"/>
    </row>
    <row r="15" spans="1:14" x14ac:dyDescent="0.25">
      <c r="D15" s="34"/>
      <c r="G15" s="34"/>
      <c r="J15" s="34"/>
      <c r="M15" s="34"/>
    </row>
    <row r="16" spans="1:14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4:13" x14ac:dyDescent="0.25">
      <c r="D17" s="34"/>
      <c r="G17" s="34"/>
      <c r="J17" s="34"/>
      <c r="M17" s="34"/>
    </row>
    <row r="21" spans="4:13" x14ac:dyDescent="0.25">
      <c r="D21" s="34"/>
      <c r="E21" s="34"/>
      <c r="F21" s="34"/>
      <c r="G21" s="34"/>
      <c r="H21" s="34"/>
      <c r="I21" s="34"/>
      <c r="J21" s="34"/>
      <c r="K21" s="34"/>
      <c r="L21" s="34"/>
      <c r="M21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GNRC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2023-08-15T07:39:51Z</dcterms:modified>
</cp:coreProperties>
</file>