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9FE3A931-2AC1-49C0-82E3-14FAE601C053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DAVA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0" i="1" l="1"/>
  <c r="L63" i="1"/>
  <c r="L62" i="1"/>
  <c r="N20" i="1"/>
  <c r="O20" i="1"/>
  <c r="P20" i="1" s="1"/>
  <c r="Q20" i="1" s="1"/>
  <c r="R20" i="1" s="1"/>
  <c r="M20" i="1"/>
  <c r="D62" i="1"/>
  <c r="D60" i="1"/>
  <c r="M17" i="1"/>
  <c r="N17" i="1"/>
  <c r="O17" i="1" s="1"/>
  <c r="P17" i="1" s="1"/>
  <c r="Q17" i="1" s="1"/>
  <c r="R17" i="1" s="1"/>
  <c r="L17" i="1"/>
  <c r="M44" i="1"/>
  <c r="N44" i="1"/>
  <c r="O44" i="1" s="1"/>
  <c r="P44" i="1" s="1"/>
  <c r="Q44" i="1" s="1"/>
  <c r="R44" i="1" s="1"/>
  <c r="L44" i="1"/>
  <c r="I44" i="1"/>
  <c r="J44" i="1"/>
  <c r="K44" i="1"/>
  <c r="M41" i="1"/>
  <c r="N41" i="1"/>
  <c r="O41" i="1" s="1"/>
  <c r="P41" i="1" s="1"/>
  <c r="Q41" i="1" s="1"/>
  <c r="R41" i="1" s="1"/>
  <c r="L41" i="1"/>
  <c r="I41" i="1"/>
  <c r="J41" i="1"/>
  <c r="K41" i="1"/>
  <c r="I49" i="1"/>
  <c r="I12" i="1"/>
  <c r="E12" i="1"/>
  <c r="F12" i="1"/>
  <c r="G12" i="1"/>
  <c r="H12" i="1"/>
  <c r="D12" i="1"/>
  <c r="E23" i="1"/>
  <c r="D23" i="1"/>
  <c r="C23" i="1"/>
  <c r="F28" i="1"/>
  <c r="G25" i="1"/>
  <c r="F25" i="1"/>
  <c r="H25" i="1"/>
  <c r="G23" i="1"/>
  <c r="H23" i="1"/>
  <c r="G20" i="1"/>
  <c r="F20" i="1"/>
  <c r="H20" i="1"/>
  <c r="F23" i="1"/>
  <c r="L59" i="1"/>
  <c r="D63" i="1"/>
  <c r="C12" i="2" s="1"/>
  <c r="D25" i="1"/>
  <c r="C25" i="1"/>
  <c r="E25" i="1"/>
  <c r="G16" i="1"/>
  <c r="H41" i="1"/>
  <c r="G12" i="2"/>
  <c r="C14" i="2"/>
  <c r="F41" i="1"/>
  <c r="J9" i="1"/>
  <c r="K9" i="1" s="1"/>
  <c r="L9" i="1" s="1"/>
  <c r="M9" i="1" s="1"/>
  <c r="N9" i="1" s="1"/>
  <c r="O9" i="1" s="1"/>
  <c r="P9" i="1" s="1"/>
  <c r="Q9" i="1" s="1"/>
  <c r="R9" i="1" s="1"/>
  <c r="E16" i="1" l="1"/>
  <c r="E17" i="1" s="1"/>
  <c r="D16" i="1"/>
  <c r="D27" i="1" s="1"/>
  <c r="D31" i="1" s="1"/>
  <c r="G47" i="1"/>
  <c r="E20" i="1"/>
  <c r="H29" i="1"/>
  <c r="G29" i="1"/>
  <c r="C29" i="1"/>
  <c r="F29" i="1"/>
  <c r="E29" i="1"/>
  <c r="D29" i="1"/>
  <c r="I28" i="1"/>
  <c r="H47" i="1"/>
  <c r="G41" i="1"/>
  <c r="D51" i="1"/>
  <c r="E44" i="1"/>
  <c r="E47" i="1"/>
  <c r="D44" i="1"/>
  <c r="F47" i="1"/>
  <c r="D47" i="1"/>
  <c r="D41" i="1"/>
  <c r="E41" i="1"/>
  <c r="D20" i="1"/>
  <c r="G27" i="1"/>
  <c r="G31" i="1" s="1"/>
  <c r="G51" i="1" s="1"/>
  <c r="E27" i="1"/>
  <c r="E31" i="1" s="1"/>
  <c r="E51" i="1" s="1"/>
  <c r="G44" i="1"/>
  <c r="F16" i="1"/>
  <c r="F27" i="1" s="1"/>
  <c r="F31" i="1" s="1"/>
  <c r="F51" i="1" s="1"/>
  <c r="I16" i="1"/>
  <c r="G17" i="1"/>
  <c r="H16" i="1"/>
  <c r="C20" i="1"/>
  <c r="C41" i="1"/>
  <c r="H44" i="1"/>
  <c r="C44" i="1"/>
  <c r="C16" i="1"/>
  <c r="C27" i="1" s="1"/>
  <c r="C31" i="1" s="1"/>
  <c r="C51" i="1" s="1"/>
  <c r="C47" i="1"/>
  <c r="F44" i="1"/>
  <c r="K12" i="2"/>
  <c r="G13" i="2" s="1"/>
  <c r="D33" i="1" l="1"/>
  <c r="D49" i="1" s="1"/>
  <c r="D53" i="1" s="1"/>
  <c r="H17" i="1"/>
  <c r="H27" i="1"/>
  <c r="D17" i="1"/>
  <c r="F17" i="1"/>
  <c r="F33" i="1"/>
  <c r="F49" i="1" s="1"/>
  <c r="F53" i="1" s="1"/>
  <c r="I14" i="1"/>
  <c r="C17" i="1"/>
  <c r="C13" i="2"/>
  <c r="K14" i="2" s="1"/>
  <c r="E5" i="1" s="1"/>
  <c r="E33" i="1"/>
  <c r="G33" i="1"/>
  <c r="C33" i="1"/>
  <c r="C49" i="1" s="1"/>
  <c r="C53" i="1" s="1"/>
  <c r="D37" i="1"/>
  <c r="D34" i="1" l="1"/>
  <c r="F34" i="1"/>
  <c r="F37" i="1"/>
  <c r="C34" i="1"/>
  <c r="E37" i="1"/>
  <c r="E49" i="1"/>
  <c r="E53" i="1" s="1"/>
  <c r="G49" i="1"/>
  <c r="G53" i="1" s="1"/>
  <c r="H33" i="1"/>
  <c r="H49" i="1" s="1"/>
  <c r="H53" i="1" s="1"/>
  <c r="H31" i="1"/>
  <c r="H51" i="1" s="1"/>
  <c r="G34" i="1"/>
  <c r="G37" i="1"/>
  <c r="E34" i="1"/>
  <c r="C37" i="1"/>
  <c r="H37" i="1" l="1"/>
  <c r="H34" i="1"/>
  <c r="I46" i="1"/>
  <c r="I19" i="1" l="1"/>
  <c r="I25" i="1" s="1"/>
  <c r="I27" i="1" l="1"/>
  <c r="I31" i="1" s="1"/>
  <c r="I33" i="1" l="1"/>
  <c r="I34" i="1" l="1"/>
  <c r="I36" i="1"/>
  <c r="I53" i="1" s="1"/>
  <c r="I54" i="1" s="1"/>
  <c r="I51" i="1" l="1"/>
  <c r="J19" i="1" l="1"/>
  <c r="J25" i="1" s="1"/>
  <c r="J46" i="1"/>
  <c r="J28" i="1"/>
  <c r="J16" i="1"/>
  <c r="J14" i="1" s="1"/>
  <c r="J12" i="1"/>
  <c r="J27" i="1" l="1"/>
  <c r="J33" i="1" s="1"/>
  <c r="J36" i="1" s="1"/>
  <c r="J31" i="1"/>
  <c r="J34" i="1" l="1"/>
  <c r="J49" i="1"/>
  <c r="J53" i="1" s="1"/>
  <c r="J54" i="1" s="1"/>
  <c r="J51" i="1"/>
  <c r="K19" i="1"/>
  <c r="K25" i="1" s="1"/>
  <c r="K16" i="1"/>
  <c r="K46" i="1"/>
  <c r="K28" i="1"/>
  <c r="K12" i="1"/>
  <c r="K14" i="1" l="1"/>
  <c r="K27" i="1"/>
  <c r="K31" i="1" l="1"/>
  <c r="K33" i="1"/>
  <c r="K34" i="1" l="1"/>
  <c r="K36" i="1"/>
  <c r="L11" i="1"/>
  <c r="K49" i="1" l="1"/>
  <c r="K53" i="1" s="1"/>
  <c r="K54" i="1" s="1"/>
  <c r="K51" i="1"/>
  <c r="L40" i="1"/>
  <c r="L43" i="1"/>
  <c r="L16" i="1"/>
  <c r="L19" i="1"/>
  <c r="L25" i="1" s="1"/>
  <c r="L46" i="1"/>
  <c r="L28" i="1"/>
  <c r="L14" i="1" l="1"/>
  <c r="L27" i="1"/>
  <c r="L31" i="1" l="1"/>
  <c r="L33" i="1"/>
  <c r="L36" i="1" l="1"/>
  <c r="L49" i="1" s="1"/>
  <c r="L53" i="1" s="1"/>
  <c r="L54" i="1" s="1"/>
  <c r="L34" i="1"/>
  <c r="M11" i="1"/>
  <c r="M40" i="1" s="1"/>
  <c r="L51" i="1" l="1"/>
  <c r="M16" i="1"/>
  <c r="N11" i="1"/>
  <c r="M28" i="1"/>
  <c r="M43" i="1"/>
  <c r="M46" i="1"/>
  <c r="M19" i="1"/>
  <c r="M25" i="1" s="1"/>
  <c r="N46" i="1" l="1"/>
  <c r="N43" i="1"/>
  <c r="N28" i="1"/>
  <c r="O11" i="1"/>
  <c r="N19" i="1"/>
  <c r="N25" i="1" s="1"/>
  <c r="N40" i="1"/>
  <c r="N16" i="1"/>
  <c r="M27" i="1"/>
  <c r="M14" i="1"/>
  <c r="N14" i="1" l="1"/>
  <c r="N27" i="1"/>
  <c r="M33" i="1"/>
  <c r="M31" i="1"/>
  <c r="O40" i="1"/>
  <c r="O43" i="1"/>
  <c r="O19" i="1"/>
  <c r="O25" i="1" s="1"/>
  <c r="O16" i="1"/>
  <c r="O46" i="1"/>
  <c r="O28" i="1"/>
  <c r="P11" i="1"/>
  <c r="P40" i="1" l="1"/>
  <c r="P28" i="1"/>
  <c r="P19" i="1"/>
  <c r="P25" i="1" s="1"/>
  <c r="P43" i="1"/>
  <c r="P46" i="1"/>
  <c r="P16" i="1"/>
  <c r="Q11" i="1"/>
  <c r="M34" i="1"/>
  <c r="M36" i="1"/>
  <c r="M51" i="1" s="1"/>
  <c r="O27" i="1"/>
  <c r="O14" i="1"/>
  <c r="N31" i="1"/>
  <c r="N33" i="1"/>
  <c r="M49" i="1" l="1"/>
  <c r="M53" i="1" s="1"/>
  <c r="M54" i="1" s="1"/>
  <c r="P14" i="1"/>
  <c r="P27" i="1"/>
  <c r="N36" i="1"/>
  <c r="N51" i="1" s="1"/>
  <c r="N34" i="1"/>
  <c r="O31" i="1"/>
  <c r="O33" i="1"/>
  <c r="Q16" i="1"/>
  <c r="R11" i="1"/>
  <c r="Q43" i="1"/>
  <c r="Q19" i="1"/>
  <c r="Q25" i="1" s="1"/>
  <c r="Q28" i="1"/>
  <c r="Q46" i="1"/>
  <c r="Q40" i="1"/>
  <c r="N49" i="1" l="1"/>
  <c r="N53" i="1" s="1"/>
  <c r="N54" i="1" s="1"/>
  <c r="R43" i="1"/>
  <c r="R28" i="1"/>
  <c r="R16" i="1"/>
  <c r="R40" i="1"/>
  <c r="R46" i="1"/>
  <c r="R19" i="1"/>
  <c r="R25" i="1" s="1"/>
  <c r="O34" i="1"/>
  <c r="O36" i="1"/>
  <c r="O51" i="1" s="1"/>
  <c r="Q14" i="1"/>
  <c r="Q27" i="1"/>
  <c r="P31" i="1"/>
  <c r="P33" i="1"/>
  <c r="O49" i="1" l="1"/>
  <c r="O53" i="1" s="1"/>
  <c r="O54" i="1" s="1"/>
  <c r="P34" i="1"/>
  <c r="P36" i="1"/>
  <c r="Q33" i="1"/>
  <c r="Q31" i="1"/>
  <c r="R14" i="1"/>
  <c r="R27" i="1"/>
  <c r="P49" i="1" l="1"/>
  <c r="P53" i="1" s="1"/>
  <c r="P54" i="1" s="1"/>
  <c r="P51" i="1"/>
  <c r="R33" i="1"/>
  <c r="R31" i="1"/>
  <c r="Q36" i="1"/>
  <c r="Q51" i="1" s="1"/>
  <c r="Q34" i="1"/>
  <c r="Q49" i="1" l="1"/>
  <c r="Q53" i="1" s="1"/>
  <c r="Q54" i="1" s="1"/>
  <c r="R34" i="1"/>
  <c r="R36" i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F56" i="1" s="1"/>
  <c r="H59" i="1" s="1"/>
  <c r="H61" i="1" l="1"/>
  <c r="H64" i="1" s="1"/>
  <c r="R49" i="1"/>
  <c r="R53" i="1" s="1"/>
  <c r="C56" i="1" l="1"/>
  <c r="C57" i="1" s="1"/>
  <c r="R54" i="1"/>
  <c r="G59" i="1" l="1"/>
  <c r="G61" i="1" s="1"/>
  <c r="G64" i="1" l="1"/>
  <c r="E64" i="1" s="1"/>
  <c r="L58" i="1" l="1"/>
  <c r="J6" i="1"/>
  <c r="N5" i="1" s="1"/>
</calcChain>
</file>

<file path=xl/sharedStrings.xml><?xml version="1.0" encoding="utf-8"?>
<sst xmlns="http://schemas.openxmlformats.org/spreadsheetml/2006/main" count="70" uniqueCount="58">
  <si>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</si>
  <si>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</si>
  <si>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</si>
  <si>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</si>
  <si>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</si>
  <si>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</si>
  <si>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</si>
  <si>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</si>
  <si>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</si>
  <si>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</si>
  <si>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</si>
  <si>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</si>
  <si>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</si>
  <si>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</si>
  <si>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</si>
  <si>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</si>
  <si>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</si>
  <si>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</si>
  <si>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</si>
  <si>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</si>
  <si>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</si>
  <si>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</si>
  <si>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</si>
  <si>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</si>
  <si>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</si>
  <si>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</si>
  <si>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</si>
  <si>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</si>
  <si>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</si>
  <si>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</si>
  <si>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</si>
  <si>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</si>
  <si>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</si>
  <si>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</si>
  <si>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</si>
  <si>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</si>
  <si>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</si>
  <si>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</si>
  <si>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</si>
  <si>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</si>
  <si>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</si>
  <si>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</si>
  <si>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</si>
  <si>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</si>
  <si>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</si>
  <si>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</si>
  <si>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</si>
  <si>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</si>
  <si>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</si>
  <si>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</si>
  <si>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</si>
  <si>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Other</t>
  </si>
  <si>
    <t>Other income</t>
  </si>
  <si>
    <t>Terminal Growth Rate</t>
  </si>
  <si>
    <t xml:space="preserve">Cross Rate </t>
  </si>
  <si>
    <t>GBPUSD</t>
  </si>
  <si>
    <t>Endava DCF</t>
  </si>
  <si>
    <t>Update: 02/08/2023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</si>
</sst>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3" fontId="3" fillId="2" borderId="5" xfId="0" applyNumberFormat="1" applyFont="1" applyFill="1" applyBorder="1"/>
    <xf numFmtId="3" fontId="3" fillId="2" borderId="0" xfId="1" applyNumberFormat="1" applyFont="1" applyFill="1"/>
    <xf numFmtId="1" fontId="7" fillId="2" borderId="3" xfId="1" applyNumberFormat="1" applyFont="1" applyFill="1" applyBorder="1"/>
    <xf numFmtId="1" fontId="7" fillId="2" borderId="0" xfId="1" applyNumberFormat="1" applyFont="1" applyFill="1" applyBorder="1"/>
    <xf numFmtId="10" fontId="3" fillId="2" borderId="0" xfId="0" applyNumberFormat="1" applyFont="1" applyFill="1"/>
    <xf numFmtId="164" fontId="7" fillId="11" borderId="0" xfId="0" applyNumberFormat="1" applyFont="1" applyFill="1"/>
    <xf numFmtId="0" fontId="3" fillId="9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6"/>
  <sheetViews>
    <sheetView tabSelected="1" zoomScaleNormal="100" workbookViewId="0">
      <selection activeCell="H3" sqref="H3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2" customFormat="1" ht="23.25" x14ac:dyDescent="0.35">
      <c r="A2" s="3"/>
      <c r="B2" s="4" t="s">
        <v>56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1"/>
    </row>
    <row r="3" spans="1:18" s="52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2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2" customFormat="1" x14ac:dyDescent="0.25">
      <c r="A5" s="1"/>
      <c r="B5" s="1"/>
      <c r="C5" s="7" t="s">
        <v>1</v>
      </c>
      <c r="D5" s="1"/>
      <c r="E5" s="8">
        <f>WACC!K14</f>
        <v>0.10327618265395028</v>
      </c>
      <c r="F5" s="2"/>
      <c r="G5" s="1"/>
      <c r="H5" s="1" t="s">
        <v>2</v>
      </c>
      <c r="I5" s="1"/>
      <c r="J5" s="7">
        <v>51.33</v>
      </c>
      <c r="K5" s="1"/>
      <c r="L5" s="1" t="s">
        <v>3</v>
      </c>
      <c r="M5" s="1"/>
      <c r="N5" s="7">
        <f>(J6/J5)-1</f>
        <v>7.8826233210631313E-2</v>
      </c>
      <c r="O5" s="1"/>
      <c r="P5" s="1" t="s">
        <v>57</v>
      </c>
      <c r="Q5" s="1"/>
      <c r="R5" s="2"/>
    </row>
    <row r="6" spans="1:18" s="52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58">
        <f>E64</f>
        <v>55.376150550701709</v>
      </c>
      <c r="K6" s="1"/>
      <c r="L6" s="1"/>
      <c r="M6" s="1"/>
      <c r="N6" s="1"/>
      <c r="O6" s="1"/>
      <c r="P6" s="1"/>
      <c r="Q6" s="1"/>
      <c r="R6" s="2"/>
    </row>
    <row r="7" spans="1:18" s="52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9"/>
      <c r="M7" s="1"/>
      <c r="N7" s="1"/>
      <c r="O7" s="1"/>
      <c r="P7" s="1"/>
      <c r="Q7" s="1"/>
      <c r="R7" s="2"/>
    </row>
    <row r="8" spans="1:18" s="52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2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2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4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2" customFormat="1" x14ac:dyDescent="0.25">
      <c r="A11" s="1"/>
      <c r="B11" s="1" t="s">
        <v>7</v>
      </c>
      <c r="C11" s="11">
        <v>159368</v>
      </c>
      <c r="D11" s="11">
        <v>217613</v>
      </c>
      <c r="E11" s="11">
        <v>287930</v>
      </c>
      <c r="F11" s="11">
        <v>350950</v>
      </c>
      <c r="G11" s="11">
        <v>446298</v>
      </c>
      <c r="H11" s="11">
        <v>654757</v>
      </c>
      <c r="I11" s="20">
        <v>793000</v>
      </c>
      <c r="J11" s="18">
        <v>828000</v>
      </c>
      <c r="K11" s="18">
        <v>980390</v>
      </c>
      <c r="L11" s="18">
        <f t="shared" ref="L11:R11" si="1">K11*(1+L12)</f>
        <v>1078429</v>
      </c>
      <c r="M11" s="18">
        <f t="shared" si="1"/>
        <v>1186271.9000000001</v>
      </c>
      <c r="N11" s="18">
        <f t="shared" si="1"/>
        <v>1304899.0900000003</v>
      </c>
      <c r="O11" s="18">
        <f t="shared" si="1"/>
        <v>1435388.9990000005</v>
      </c>
      <c r="P11" s="18">
        <f t="shared" si="1"/>
        <v>1578927.8989000006</v>
      </c>
      <c r="Q11" s="18">
        <f t="shared" si="1"/>
        <v>1736820.6887900007</v>
      </c>
      <c r="R11" s="18">
        <f t="shared" si="1"/>
        <v>1910502.7576690009</v>
      </c>
    </row>
    <row r="12" spans="1:18" s="52" customFormat="1" x14ac:dyDescent="0.25">
      <c r="A12" s="1"/>
      <c r="B12" s="72" t="s">
        <v>8</v>
      </c>
      <c r="C12" s="73"/>
      <c r="D12" s="73">
        <f>(D11/C11)-1</f>
        <v>0.36547487575924897</v>
      </c>
      <c r="E12" s="73">
        <f t="shared" ref="E12:H12" si="2">(E11/D11)-1</f>
        <v>0.32312867337888829</v>
      </c>
      <c r="F12" s="73">
        <f t="shared" si="2"/>
        <v>0.2188726426562011</v>
      </c>
      <c r="G12" s="73">
        <f t="shared" si="2"/>
        <v>0.27168542527425554</v>
      </c>
      <c r="H12" s="73">
        <f t="shared" si="2"/>
        <v>0.46708477295439366</v>
      </c>
      <c r="I12" s="74">
        <f t="shared" ref="I12" si="3">(I11/H11)-1</f>
        <v>0.21113634523953162</v>
      </c>
      <c r="J12" s="75">
        <f t="shared" ref="J12" si="4">(J11/I11)-1</f>
        <v>4.4136191677175196E-2</v>
      </c>
      <c r="K12" s="75">
        <f t="shared" ref="K12" si="5">(K11/J11)-1</f>
        <v>0.18404589371980684</v>
      </c>
      <c r="L12" s="75">
        <v>0.1</v>
      </c>
      <c r="M12" s="75">
        <v>0.1</v>
      </c>
      <c r="N12" s="75">
        <v>0.1</v>
      </c>
      <c r="O12" s="75">
        <v>0.1</v>
      </c>
      <c r="P12" s="75">
        <v>0.1</v>
      </c>
      <c r="Q12" s="75">
        <v>0.1</v>
      </c>
      <c r="R12" s="75">
        <v>0.1</v>
      </c>
    </row>
    <row r="13" spans="1:18" s="52" customFormat="1" x14ac:dyDescent="0.25">
      <c r="A13" s="1"/>
      <c r="B13" s="6"/>
      <c r="C13" s="1"/>
      <c r="D13" s="1"/>
      <c r="E13" s="1"/>
      <c r="F13" s="11"/>
      <c r="G13" s="11"/>
      <c r="H13" s="11"/>
      <c r="I13" s="12"/>
      <c r="J13" s="83"/>
      <c r="K13" s="83"/>
      <c r="L13" s="83"/>
      <c r="M13" s="83"/>
      <c r="N13" s="83"/>
      <c r="O13" s="83"/>
      <c r="P13" s="83"/>
      <c r="Q13" s="83"/>
      <c r="R13" s="83"/>
    </row>
    <row r="14" spans="1:18" s="52" customFormat="1" x14ac:dyDescent="0.25">
      <c r="A14" s="1"/>
      <c r="B14" s="1" t="s">
        <v>9</v>
      </c>
      <c r="C14" s="11">
        <v>-108760</v>
      </c>
      <c r="D14" s="11">
        <v>-145443</v>
      </c>
      <c r="E14" s="11">
        <v>-189103</v>
      </c>
      <c r="F14" s="11">
        <v>-250560</v>
      </c>
      <c r="G14" s="11">
        <v>-292119</v>
      </c>
      <c r="H14" s="11">
        <v>-436826</v>
      </c>
      <c r="I14" s="69">
        <f>I16-I11</f>
        <v>-519811.5</v>
      </c>
      <c r="J14" s="70">
        <f t="shared" ref="J14:R14" si="6">J16-J11</f>
        <v>-544658.4</v>
      </c>
      <c r="K14" s="70">
        <f t="shared" si="6"/>
        <v>-637743.69500000007</v>
      </c>
      <c r="L14" s="70">
        <f t="shared" si="6"/>
        <v>-700439.63550000009</v>
      </c>
      <c r="M14" s="70">
        <f t="shared" si="6"/>
        <v>-769297.32715000014</v>
      </c>
      <c r="N14" s="70">
        <f t="shared" si="6"/>
        <v>-844922.16077500023</v>
      </c>
      <c r="O14" s="70">
        <f t="shared" si="6"/>
        <v>-927978.98785350029</v>
      </c>
      <c r="P14" s="70">
        <f t="shared" si="6"/>
        <v>-1019197.9587399504</v>
      </c>
      <c r="Q14" s="70">
        <f t="shared" si="6"/>
        <v>-1119380.9339251556</v>
      </c>
      <c r="R14" s="70">
        <f t="shared" si="6"/>
        <v>-1229408.5245600021</v>
      </c>
    </row>
    <row r="15" spans="1:18" s="52" customFormat="1" x14ac:dyDescent="0.25">
      <c r="A15" s="1"/>
      <c r="B15" s="17"/>
      <c r="C15" s="17"/>
      <c r="D15" s="17"/>
      <c r="E15" s="17"/>
      <c r="F15" s="79"/>
      <c r="G15" s="79"/>
      <c r="H15" s="79"/>
      <c r="I15" s="12"/>
      <c r="J15" s="1"/>
      <c r="K15" s="1"/>
      <c r="L15" s="1"/>
      <c r="M15" s="1"/>
      <c r="N15" s="1"/>
      <c r="O15" s="1"/>
      <c r="P15" s="1"/>
      <c r="Q15" s="1"/>
      <c r="R15" s="1"/>
    </row>
    <row r="16" spans="1:18" s="52" customFormat="1" x14ac:dyDescent="0.25">
      <c r="A16" s="1"/>
      <c r="B16" s="1" t="s">
        <v>10</v>
      </c>
      <c r="C16" s="11">
        <f t="shared" ref="C16:H16" si="7">C11+C14</f>
        <v>50608</v>
      </c>
      <c r="D16" s="11">
        <f t="shared" si="7"/>
        <v>72170</v>
      </c>
      <c r="E16" s="11">
        <f t="shared" si="7"/>
        <v>98827</v>
      </c>
      <c r="F16" s="11">
        <f t="shared" si="7"/>
        <v>100390</v>
      </c>
      <c r="G16" s="11">
        <f t="shared" si="7"/>
        <v>154179</v>
      </c>
      <c r="H16" s="11">
        <f t="shared" si="7"/>
        <v>217931</v>
      </c>
      <c r="I16" s="20">
        <f>I11*I17</f>
        <v>273188.5</v>
      </c>
      <c r="J16" s="18">
        <f t="shared" ref="J16:R16" si="8">J11*J17</f>
        <v>283341.59999999998</v>
      </c>
      <c r="K16" s="18">
        <f>K11*K17</f>
        <v>342646.30499999999</v>
      </c>
      <c r="L16" s="18">
        <f t="shared" si="8"/>
        <v>377989.36449999997</v>
      </c>
      <c r="M16" s="18">
        <f t="shared" si="8"/>
        <v>416974.57285</v>
      </c>
      <c r="N16" s="18">
        <f t="shared" si="8"/>
        <v>459976.92922500009</v>
      </c>
      <c r="O16" s="18">
        <f t="shared" si="8"/>
        <v>507410.01114650018</v>
      </c>
      <c r="P16" s="18">
        <f t="shared" si="8"/>
        <v>559729.94016005017</v>
      </c>
      <c r="Q16" s="18">
        <f t="shared" si="8"/>
        <v>617439.75486484519</v>
      </c>
      <c r="R16" s="18">
        <f t="shared" si="8"/>
        <v>681094.23310899874</v>
      </c>
    </row>
    <row r="17" spans="1:18" s="52" customFormat="1" x14ac:dyDescent="0.25">
      <c r="A17" s="1"/>
      <c r="B17" s="72" t="s">
        <v>11</v>
      </c>
      <c r="C17" s="73">
        <f t="shared" ref="C17:H17" si="9">C16/C11</f>
        <v>0.31755433964158425</v>
      </c>
      <c r="D17" s="73">
        <f t="shared" si="9"/>
        <v>0.33164378966330138</v>
      </c>
      <c r="E17" s="73">
        <f t="shared" si="9"/>
        <v>0.34323273017747369</v>
      </c>
      <c r="F17" s="73">
        <f t="shared" si="9"/>
        <v>0.28605214418008262</v>
      </c>
      <c r="G17" s="73">
        <f t="shared" si="9"/>
        <v>0.34546200072597233</v>
      </c>
      <c r="H17" s="73">
        <f t="shared" si="9"/>
        <v>0.33284256602067636</v>
      </c>
      <c r="I17" s="77">
        <v>0.34449999999999997</v>
      </c>
      <c r="J17" s="84">
        <v>0.3422</v>
      </c>
      <c r="K17" s="84">
        <v>0.34949999999999998</v>
      </c>
      <c r="L17" s="84">
        <f>K17+0.1%</f>
        <v>0.35049999999999998</v>
      </c>
      <c r="M17" s="84">
        <f t="shared" ref="M17:R17" si="10">L17+0.1%</f>
        <v>0.35149999999999998</v>
      </c>
      <c r="N17" s="84">
        <f t="shared" si="10"/>
        <v>0.35249999999999998</v>
      </c>
      <c r="O17" s="84">
        <f t="shared" si="10"/>
        <v>0.35349999999999998</v>
      </c>
      <c r="P17" s="84">
        <f t="shared" si="10"/>
        <v>0.35449999999999998</v>
      </c>
      <c r="Q17" s="84">
        <f t="shared" si="10"/>
        <v>0.35549999999999998</v>
      </c>
      <c r="R17" s="84">
        <f t="shared" si="10"/>
        <v>0.35649999999999998</v>
      </c>
    </row>
    <row r="18" spans="1:18" s="52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52" customFormat="1" x14ac:dyDescent="0.25">
      <c r="A19" s="1"/>
      <c r="B19" s="1" t="s">
        <v>39</v>
      </c>
      <c r="C19" s="11">
        <v>-27551</v>
      </c>
      <c r="D19" s="11">
        <v>-46737</v>
      </c>
      <c r="E19" s="11">
        <v>-65857</v>
      </c>
      <c r="F19" s="11">
        <v>-77241</v>
      </c>
      <c r="G19" s="11">
        <v>-90623</v>
      </c>
      <c r="H19" s="11">
        <v>-121808</v>
      </c>
      <c r="I19" s="20">
        <f t="shared" ref="I19:R19" si="11">I20*I11</f>
        <v>-157807</v>
      </c>
      <c r="J19" s="18">
        <f t="shared" si="11"/>
        <v>-144900</v>
      </c>
      <c r="K19" s="18">
        <f t="shared" si="11"/>
        <v>-175489.81</v>
      </c>
      <c r="L19" s="18">
        <f t="shared" si="11"/>
        <v>-194117.22</v>
      </c>
      <c r="M19" s="18">
        <f t="shared" si="11"/>
        <v>-211156.39820000003</v>
      </c>
      <c r="N19" s="18">
        <f t="shared" si="11"/>
        <v>-229662.23984000005</v>
      </c>
      <c r="O19" s="18">
        <f t="shared" si="11"/>
        <v>-249757.68582600009</v>
      </c>
      <c r="P19" s="18">
        <f t="shared" si="11"/>
        <v>-271575.59861080011</v>
      </c>
      <c r="Q19" s="18">
        <f t="shared" si="11"/>
        <v>-295259.51709430007</v>
      </c>
      <c r="R19" s="18">
        <f t="shared" si="11"/>
        <v>-320964.46328839211</v>
      </c>
    </row>
    <row r="20" spans="1:18" s="52" customFormat="1" x14ac:dyDescent="0.25">
      <c r="A20" s="1"/>
      <c r="B20" s="72" t="s">
        <v>16</v>
      </c>
      <c r="C20" s="73">
        <f t="shared" ref="C20:H20" si="12">C19/C11</f>
        <v>-0.17287661261984841</v>
      </c>
      <c r="D20" s="73">
        <f t="shared" si="12"/>
        <v>-0.21477117635435383</v>
      </c>
      <c r="E20" s="73">
        <f t="shared" si="12"/>
        <v>-0.22872573194873755</v>
      </c>
      <c r="F20" s="73">
        <f t="shared" si="12"/>
        <v>-0.22009118107992592</v>
      </c>
      <c r="G20" s="73">
        <f t="shared" si="12"/>
        <v>-0.20305490949993055</v>
      </c>
      <c r="H20" s="73">
        <f t="shared" si="12"/>
        <v>-0.18603542993812971</v>
      </c>
      <c r="I20" s="74">
        <v>-0.19900000000000001</v>
      </c>
      <c r="J20" s="75">
        <v>-0.17499999999999999</v>
      </c>
      <c r="K20" s="75">
        <v>-0.17899999999999999</v>
      </c>
      <c r="L20" s="75">
        <v>-0.18</v>
      </c>
      <c r="M20" s="75">
        <f>L20+0.2%</f>
        <v>-0.17799999999999999</v>
      </c>
      <c r="N20" s="75">
        <f t="shared" ref="N20:R20" si="13">M20+0.2%</f>
        <v>-0.17599999999999999</v>
      </c>
      <c r="O20" s="75">
        <f t="shared" si="13"/>
        <v>-0.17399999999999999</v>
      </c>
      <c r="P20" s="75">
        <f t="shared" si="13"/>
        <v>-0.17199999999999999</v>
      </c>
      <c r="Q20" s="75">
        <f t="shared" si="13"/>
        <v>-0.16999999999999998</v>
      </c>
      <c r="R20" s="75">
        <f t="shared" si="13"/>
        <v>-0.16799999999999998</v>
      </c>
    </row>
    <row r="21" spans="1:18" s="52" customFormat="1" x14ac:dyDescent="0.25">
      <c r="A21" s="1"/>
      <c r="B21" s="13"/>
      <c r="C21" s="14"/>
      <c r="D21" s="14"/>
      <c r="E21" s="14"/>
      <c r="F21" s="14"/>
      <c r="G21" s="14"/>
      <c r="H21" s="14"/>
      <c r="I21" s="81"/>
      <c r="J21" s="82"/>
      <c r="K21" s="68"/>
      <c r="L21" s="68"/>
      <c r="M21" s="68"/>
      <c r="N21" s="68"/>
      <c r="O21" s="68"/>
      <c r="P21" s="68"/>
      <c r="Q21" s="68"/>
      <c r="R21" s="68"/>
    </row>
    <row r="22" spans="1:18" s="52" customFormat="1" x14ac:dyDescent="0.25">
      <c r="A22" s="1"/>
      <c r="B22" s="1" t="s">
        <v>51</v>
      </c>
      <c r="C22" s="11">
        <v>0</v>
      </c>
      <c r="D22" s="11">
        <v>0</v>
      </c>
      <c r="E22" s="11">
        <v>0</v>
      </c>
      <c r="F22" s="11">
        <v>-3169</v>
      </c>
      <c r="G22" s="11">
        <v>-4</v>
      </c>
      <c r="H22" s="11">
        <v>-739</v>
      </c>
      <c r="I22" s="38"/>
      <c r="J22" s="11"/>
      <c r="K22" s="11"/>
      <c r="L22" s="11"/>
      <c r="M22" s="11"/>
      <c r="N22" s="11"/>
      <c r="O22" s="11"/>
      <c r="P22" s="11"/>
      <c r="Q22" s="11"/>
      <c r="R22" s="11"/>
    </row>
    <row r="23" spans="1:18" s="52" customFormat="1" x14ac:dyDescent="0.25">
      <c r="A23" s="1"/>
      <c r="B23" s="72" t="s">
        <v>16</v>
      </c>
      <c r="C23" s="73">
        <f t="shared" ref="C23:H23" si="14">C22/C11</f>
        <v>0</v>
      </c>
      <c r="D23" s="73">
        <f t="shared" si="14"/>
        <v>0</v>
      </c>
      <c r="E23" s="73">
        <f t="shared" si="14"/>
        <v>0</v>
      </c>
      <c r="F23" s="73">
        <f t="shared" si="14"/>
        <v>-9.0297763214133072E-3</v>
      </c>
      <c r="G23" s="73">
        <f t="shared" si="14"/>
        <v>-8.9626213875034164E-6</v>
      </c>
      <c r="H23" s="73">
        <f t="shared" si="14"/>
        <v>-1.1286630001664741E-3</v>
      </c>
      <c r="I23" s="74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</row>
    <row r="24" spans="1:18" s="52" customFormat="1" x14ac:dyDescent="0.25">
      <c r="A24" s="1"/>
      <c r="B24" s="1"/>
      <c r="C24" s="11"/>
      <c r="D24" s="11"/>
      <c r="E24" s="11"/>
      <c r="F24" s="11"/>
      <c r="G24" s="11"/>
      <c r="H24" s="11"/>
      <c r="I24" s="38"/>
      <c r="J24" s="11"/>
      <c r="K24" s="11"/>
      <c r="L24" s="11"/>
      <c r="M24" s="11"/>
      <c r="N24" s="11"/>
      <c r="O24" s="11"/>
      <c r="P24" s="11"/>
      <c r="Q24" s="11"/>
      <c r="R24" s="11"/>
    </row>
    <row r="25" spans="1:18" s="52" customFormat="1" x14ac:dyDescent="0.25">
      <c r="A25" s="1"/>
      <c r="B25" s="1" t="s">
        <v>12</v>
      </c>
      <c r="C25" s="11">
        <f>C19</f>
        <v>-27551</v>
      </c>
      <c r="D25" s="11">
        <f>D19</f>
        <v>-46737</v>
      </c>
      <c r="E25" s="11">
        <f>E19</f>
        <v>-65857</v>
      </c>
      <c r="F25" s="11">
        <f>F19+F22</f>
        <v>-80410</v>
      </c>
      <c r="G25" s="11">
        <f>G19+G22</f>
        <v>-90627</v>
      </c>
      <c r="H25" s="11">
        <f>H19+H22</f>
        <v>-122547</v>
      </c>
      <c r="I25" s="38">
        <f t="shared" ref="I25:R25" si="15">I19</f>
        <v>-157807</v>
      </c>
      <c r="J25" s="11">
        <f t="shared" si="15"/>
        <v>-144900</v>
      </c>
      <c r="K25" s="11">
        <f t="shared" si="15"/>
        <v>-175489.81</v>
      </c>
      <c r="L25" s="11">
        <f t="shared" si="15"/>
        <v>-194117.22</v>
      </c>
      <c r="M25" s="11">
        <f t="shared" si="15"/>
        <v>-211156.39820000003</v>
      </c>
      <c r="N25" s="11">
        <f t="shared" si="15"/>
        <v>-229662.23984000005</v>
      </c>
      <c r="O25" s="11">
        <f t="shared" si="15"/>
        <v>-249757.68582600009</v>
      </c>
      <c r="P25" s="11">
        <f t="shared" si="15"/>
        <v>-271575.59861080011</v>
      </c>
      <c r="Q25" s="11">
        <f t="shared" si="15"/>
        <v>-295259.51709430007</v>
      </c>
      <c r="R25" s="11">
        <f t="shared" si="15"/>
        <v>-320964.46328839211</v>
      </c>
    </row>
    <row r="26" spans="1:18" s="52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68"/>
      <c r="K26" s="68"/>
      <c r="L26" s="68"/>
      <c r="M26" s="68"/>
      <c r="N26" s="68"/>
      <c r="O26" s="68"/>
      <c r="P26" s="68"/>
      <c r="Q26" s="68"/>
      <c r="R26" s="68"/>
    </row>
    <row r="27" spans="1:18" s="52" customFormat="1" x14ac:dyDescent="0.25">
      <c r="A27" s="1"/>
      <c r="B27" s="1" t="s">
        <v>13</v>
      </c>
      <c r="C27" s="11">
        <f t="shared" ref="C27:R27" si="16">C16+C25</f>
        <v>23057</v>
      </c>
      <c r="D27" s="11">
        <f t="shared" si="16"/>
        <v>25433</v>
      </c>
      <c r="E27" s="11">
        <f t="shared" si="16"/>
        <v>32970</v>
      </c>
      <c r="F27" s="11">
        <f t="shared" si="16"/>
        <v>19980</v>
      </c>
      <c r="G27" s="11">
        <f t="shared" si="16"/>
        <v>63552</v>
      </c>
      <c r="H27" s="11">
        <f t="shared" si="16"/>
        <v>95384</v>
      </c>
      <c r="I27" s="38">
        <f t="shared" si="16"/>
        <v>115381.5</v>
      </c>
      <c r="J27" s="11">
        <f t="shared" si="16"/>
        <v>138441.59999999998</v>
      </c>
      <c r="K27" s="11">
        <f t="shared" si="16"/>
        <v>167156.495</v>
      </c>
      <c r="L27" s="11">
        <f t="shared" si="16"/>
        <v>183872.14449999997</v>
      </c>
      <c r="M27" s="11">
        <f t="shared" si="16"/>
        <v>205818.17464999997</v>
      </c>
      <c r="N27" s="11">
        <f t="shared" si="16"/>
        <v>230314.68938500003</v>
      </c>
      <c r="O27" s="11">
        <f t="shared" si="16"/>
        <v>257652.32532050009</v>
      </c>
      <c r="P27" s="11">
        <f t="shared" si="16"/>
        <v>288154.34154925006</v>
      </c>
      <c r="Q27" s="11">
        <f t="shared" si="16"/>
        <v>322180.23777054512</v>
      </c>
      <c r="R27" s="11">
        <f t="shared" si="16"/>
        <v>360129.76982060663</v>
      </c>
    </row>
    <row r="28" spans="1:18" s="52" customFormat="1" x14ac:dyDescent="0.25">
      <c r="A28" s="1"/>
      <c r="B28" s="1" t="s">
        <v>52</v>
      </c>
      <c r="C28" s="80">
        <v>-1357</v>
      </c>
      <c r="D28" s="66">
        <v>-783</v>
      </c>
      <c r="E28" s="80">
        <v>-2870</v>
      </c>
      <c r="F28" s="80">
        <f>1169+2215</f>
        <v>3384</v>
      </c>
      <c r="G28" s="80">
        <v>-9184</v>
      </c>
      <c r="H28" s="80">
        <v>6995</v>
      </c>
      <c r="I28" s="20">
        <f t="shared" ref="I28:R28" si="17">I29*I11</f>
        <v>-5551</v>
      </c>
      <c r="J28" s="18">
        <f t="shared" si="17"/>
        <v>-4140</v>
      </c>
      <c r="K28" s="18">
        <f t="shared" si="17"/>
        <v>-4901.95</v>
      </c>
      <c r="L28" s="18">
        <f t="shared" si="17"/>
        <v>-5392.1450000000004</v>
      </c>
      <c r="M28" s="18">
        <f t="shared" si="17"/>
        <v>-5931.3595000000005</v>
      </c>
      <c r="N28" s="18">
        <f t="shared" si="17"/>
        <v>-6524.4954500000022</v>
      </c>
      <c r="O28" s="18">
        <f t="shared" si="17"/>
        <v>-7176.9449950000026</v>
      </c>
      <c r="P28" s="18">
        <f t="shared" si="17"/>
        <v>-7894.6394945000029</v>
      </c>
      <c r="Q28" s="18">
        <f t="shared" si="17"/>
        <v>-8684.1034439500036</v>
      </c>
      <c r="R28" s="18">
        <f t="shared" si="17"/>
        <v>-9552.5137883450043</v>
      </c>
    </row>
    <row r="29" spans="1:18" s="52" customFormat="1" x14ac:dyDescent="0.25">
      <c r="A29" s="1"/>
      <c r="B29" s="72" t="s">
        <v>16</v>
      </c>
      <c r="C29" s="73">
        <f t="shared" ref="C29:H29" si="18">C28/C11</f>
        <v>-8.5148837909743494E-3</v>
      </c>
      <c r="D29" s="73">
        <f t="shared" si="18"/>
        <v>-3.5981306263872105E-3</v>
      </c>
      <c r="E29" s="73">
        <f t="shared" si="18"/>
        <v>-9.9677004827562251E-3</v>
      </c>
      <c r="F29" s="73">
        <f t="shared" si="18"/>
        <v>9.6423992021655511E-3</v>
      </c>
      <c r="G29" s="73">
        <f t="shared" si="18"/>
        <v>-2.0578178705707845E-2</v>
      </c>
      <c r="H29" s="73">
        <f t="shared" si="18"/>
        <v>1.0683352755297004E-2</v>
      </c>
      <c r="I29" s="77">
        <v>-7.0000000000000001E-3</v>
      </c>
      <c r="J29" s="84">
        <v>-5.0000000000000001E-3</v>
      </c>
      <c r="K29" s="84">
        <v>-5.0000000000000001E-3</v>
      </c>
      <c r="L29" s="84">
        <v>-5.0000000000000001E-3</v>
      </c>
      <c r="M29" s="84">
        <v>-5.0000000000000001E-3</v>
      </c>
      <c r="N29" s="84">
        <v>-5.0000000000000001E-3</v>
      </c>
      <c r="O29" s="84">
        <v>-5.0000000000000001E-3</v>
      </c>
      <c r="P29" s="84">
        <v>-5.0000000000000001E-3</v>
      </c>
      <c r="Q29" s="84">
        <v>-5.0000000000000001E-3</v>
      </c>
      <c r="R29" s="84">
        <v>-5.0000000000000001E-3</v>
      </c>
    </row>
    <row r="30" spans="1:18" s="52" customFormat="1" x14ac:dyDescent="0.25">
      <c r="A30" s="1"/>
      <c r="B30" s="1"/>
      <c r="C30" s="66"/>
      <c r="D30" s="66"/>
      <c r="E30" s="66"/>
      <c r="F30" s="66"/>
      <c r="G30" s="66"/>
      <c r="H30" s="66"/>
      <c r="I30" s="12"/>
      <c r="J30" s="1"/>
      <c r="K30" s="1"/>
      <c r="L30" s="1"/>
      <c r="M30" s="1"/>
      <c r="N30" s="1"/>
      <c r="O30" s="1"/>
      <c r="P30" s="1"/>
      <c r="Q30" s="1"/>
      <c r="R30" s="1"/>
    </row>
    <row r="31" spans="1:18" s="52" customFormat="1" x14ac:dyDescent="0.25">
      <c r="A31" s="1"/>
      <c r="B31" s="1" t="s">
        <v>14</v>
      </c>
      <c r="C31" s="11">
        <f t="shared" ref="C31:H31" si="19">C27+C28</f>
        <v>21700</v>
      </c>
      <c r="D31" s="11">
        <f t="shared" si="19"/>
        <v>24650</v>
      </c>
      <c r="E31" s="11">
        <f t="shared" si="19"/>
        <v>30100</v>
      </c>
      <c r="F31" s="11">
        <f t="shared" si="19"/>
        <v>23364</v>
      </c>
      <c r="G31" s="11">
        <f t="shared" si="19"/>
        <v>54368</v>
      </c>
      <c r="H31" s="11">
        <f t="shared" si="19"/>
        <v>102379</v>
      </c>
      <c r="I31" s="38">
        <f t="shared" ref="I31:R31" si="20">I27+I28</f>
        <v>109830.5</v>
      </c>
      <c r="J31" s="11">
        <f t="shared" si="20"/>
        <v>134301.59999999998</v>
      </c>
      <c r="K31" s="11">
        <f t="shared" si="20"/>
        <v>162254.54499999998</v>
      </c>
      <c r="L31" s="11">
        <f t="shared" si="20"/>
        <v>178479.99949999998</v>
      </c>
      <c r="M31" s="11">
        <f t="shared" si="20"/>
        <v>199886.81514999998</v>
      </c>
      <c r="N31" s="11">
        <f t="shared" si="20"/>
        <v>223790.19393500005</v>
      </c>
      <c r="O31" s="11">
        <f t="shared" si="20"/>
        <v>250475.3803255001</v>
      </c>
      <c r="P31" s="11">
        <f t="shared" si="20"/>
        <v>280259.70205475006</v>
      </c>
      <c r="Q31" s="11">
        <f t="shared" si="20"/>
        <v>313496.13432659511</v>
      </c>
      <c r="R31" s="11">
        <f t="shared" si="20"/>
        <v>350577.25603226165</v>
      </c>
    </row>
    <row r="32" spans="1:18" s="52" customFormat="1" x14ac:dyDescent="0.25">
      <c r="A32" s="1"/>
      <c r="B32" s="1"/>
      <c r="C32" s="66"/>
      <c r="D32" s="21"/>
      <c r="E32" s="21"/>
      <c r="F32" s="21"/>
      <c r="G32" s="21"/>
      <c r="H32" s="21"/>
      <c r="I32" s="12"/>
      <c r="J32" s="1"/>
      <c r="K32" s="1"/>
      <c r="L32" s="1"/>
      <c r="M32" s="1"/>
      <c r="N32" s="1"/>
      <c r="O32" s="1"/>
      <c r="P32" s="1"/>
      <c r="Q32" s="1"/>
      <c r="R32" s="1"/>
    </row>
    <row r="33" spans="1:86" s="52" customFormat="1" x14ac:dyDescent="0.25">
      <c r="A33" s="1"/>
      <c r="B33" s="1" t="s">
        <v>15</v>
      </c>
      <c r="C33" s="11">
        <f t="shared" ref="C33:H33" si="21">C27</f>
        <v>23057</v>
      </c>
      <c r="D33" s="11">
        <f t="shared" si="21"/>
        <v>25433</v>
      </c>
      <c r="E33" s="11">
        <f t="shared" si="21"/>
        <v>32970</v>
      </c>
      <c r="F33" s="11">
        <f t="shared" si="21"/>
        <v>19980</v>
      </c>
      <c r="G33" s="11">
        <f t="shared" si="21"/>
        <v>63552</v>
      </c>
      <c r="H33" s="11">
        <f t="shared" si="21"/>
        <v>95384</v>
      </c>
      <c r="I33" s="38">
        <f t="shared" ref="I33:R33" si="22">I27</f>
        <v>115381.5</v>
      </c>
      <c r="J33" s="11">
        <f t="shared" si="22"/>
        <v>138441.59999999998</v>
      </c>
      <c r="K33" s="11">
        <f t="shared" si="22"/>
        <v>167156.495</v>
      </c>
      <c r="L33" s="11">
        <f t="shared" si="22"/>
        <v>183872.14449999997</v>
      </c>
      <c r="M33" s="11">
        <f t="shared" si="22"/>
        <v>205818.17464999997</v>
      </c>
      <c r="N33" s="11">
        <f t="shared" si="22"/>
        <v>230314.68938500003</v>
      </c>
      <c r="O33" s="11">
        <f t="shared" si="22"/>
        <v>257652.32532050009</v>
      </c>
      <c r="P33" s="11">
        <f t="shared" si="22"/>
        <v>288154.34154925006</v>
      </c>
      <c r="Q33" s="11">
        <f t="shared" si="22"/>
        <v>322180.23777054512</v>
      </c>
      <c r="R33" s="11">
        <f t="shared" si="22"/>
        <v>360129.76982060663</v>
      </c>
    </row>
    <row r="34" spans="1:86" s="52" customFormat="1" x14ac:dyDescent="0.25">
      <c r="A34" s="1"/>
      <c r="B34" s="72" t="s">
        <v>16</v>
      </c>
      <c r="C34" s="73">
        <f t="shared" ref="C34:R34" si="23">C33/C11</f>
        <v>0.14467772702173587</v>
      </c>
      <c r="D34" s="73">
        <f t="shared" si="23"/>
        <v>0.11687261330894753</v>
      </c>
      <c r="E34" s="73">
        <f t="shared" si="23"/>
        <v>0.11450699822873615</v>
      </c>
      <c r="F34" s="73">
        <f t="shared" si="23"/>
        <v>5.6931186778743412E-2</v>
      </c>
      <c r="G34" s="73">
        <f t="shared" si="23"/>
        <v>0.14239812860465428</v>
      </c>
      <c r="H34" s="73">
        <f t="shared" si="23"/>
        <v>0.14567847308238019</v>
      </c>
      <c r="I34" s="74">
        <f t="shared" si="23"/>
        <v>0.14549999999999999</v>
      </c>
      <c r="J34" s="75">
        <f t="shared" si="23"/>
        <v>0.16719999999999996</v>
      </c>
      <c r="K34" s="75">
        <f t="shared" si="23"/>
        <v>0.17049999999999998</v>
      </c>
      <c r="L34" s="75">
        <f t="shared" si="23"/>
        <v>0.17049999999999996</v>
      </c>
      <c r="M34" s="75">
        <f t="shared" si="23"/>
        <v>0.17349999999999996</v>
      </c>
      <c r="N34" s="75">
        <f t="shared" si="23"/>
        <v>0.17649999999999999</v>
      </c>
      <c r="O34" s="75">
        <f t="shared" si="23"/>
        <v>0.17949999999999999</v>
      </c>
      <c r="P34" s="75">
        <f t="shared" si="23"/>
        <v>0.18249999999999997</v>
      </c>
      <c r="Q34" s="75">
        <f t="shared" si="23"/>
        <v>0.1855</v>
      </c>
      <c r="R34" s="75">
        <f t="shared" si="23"/>
        <v>0.18849999999999997</v>
      </c>
    </row>
    <row r="35" spans="1:86" s="52" customFormat="1" x14ac:dyDescent="0.25">
      <c r="A35" s="1"/>
      <c r="B35" s="13"/>
      <c r="C35" s="1"/>
      <c r="D35" s="1"/>
      <c r="E35" s="1"/>
      <c r="F35" s="2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/>
    </row>
    <row r="36" spans="1:86" s="52" customFormat="1" x14ac:dyDescent="0.25">
      <c r="A36" s="1"/>
      <c r="B36" s="1" t="s">
        <v>17</v>
      </c>
      <c r="C36" s="11">
        <v>-4868</v>
      </c>
      <c r="D36" s="11">
        <v>-5675</v>
      </c>
      <c r="E36" s="11">
        <v>-6093</v>
      </c>
      <c r="F36" s="11">
        <v>-3373</v>
      </c>
      <c r="G36" s="11">
        <v>-10918</v>
      </c>
      <c r="H36" s="11">
        <v>-19286</v>
      </c>
      <c r="I36" s="20">
        <f>I33*I37</f>
        <v>-24149.347950000003</v>
      </c>
      <c r="J36" s="18">
        <f t="shared" ref="J36:R36" si="24">J33*J37</f>
        <v>-30083.359679999994</v>
      </c>
      <c r="K36" s="18">
        <f t="shared" si="24"/>
        <v>-36490.262858499998</v>
      </c>
      <c r="L36" s="18">
        <f t="shared" si="24"/>
        <v>-40139.28914434999</v>
      </c>
      <c r="M36" s="18">
        <f t="shared" si="24"/>
        <v>-44930.107526094995</v>
      </c>
      <c r="N36" s="18">
        <f t="shared" si="24"/>
        <v>-50277.696692745507</v>
      </c>
      <c r="O36" s="18">
        <f t="shared" si="24"/>
        <v>-56245.502617465172</v>
      </c>
      <c r="P36" s="18">
        <f t="shared" si="24"/>
        <v>-62904.092760201289</v>
      </c>
      <c r="Q36" s="18">
        <f t="shared" si="24"/>
        <v>-70331.94590531</v>
      </c>
      <c r="R36" s="18">
        <f t="shared" si="24"/>
        <v>-78616.328751838431</v>
      </c>
    </row>
    <row r="37" spans="1:86" s="52" customFormat="1" x14ac:dyDescent="0.25">
      <c r="A37" s="1"/>
      <c r="B37" s="72" t="s">
        <v>18</v>
      </c>
      <c r="C37" s="76">
        <f t="shared" ref="C37:H37" si="25">C36/C33</f>
        <v>-0.21112894131933904</v>
      </c>
      <c r="D37" s="76">
        <f t="shared" si="25"/>
        <v>-0.22313529666181733</v>
      </c>
      <c r="E37" s="76">
        <f t="shared" si="25"/>
        <v>-0.18480436760691538</v>
      </c>
      <c r="F37" s="76">
        <f t="shared" si="25"/>
        <v>-0.16881881881881883</v>
      </c>
      <c r="G37" s="76">
        <f t="shared" si="25"/>
        <v>-0.17179632426988922</v>
      </c>
      <c r="H37" s="76">
        <f t="shared" si="25"/>
        <v>-0.20219323995638683</v>
      </c>
      <c r="I37" s="77">
        <v>-0.20930000000000001</v>
      </c>
      <c r="J37" s="84">
        <v>-0.21729999999999999</v>
      </c>
      <c r="K37" s="84">
        <v>-0.21829999999999999</v>
      </c>
      <c r="L37" s="84">
        <v>-0.21829999999999999</v>
      </c>
      <c r="M37" s="84">
        <v>-0.21829999999999999</v>
      </c>
      <c r="N37" s="84">
        <v>-0.21829999999999999</v>
      </c>
      <c r="O37" s="84">
        <v>-0.21829999999999999</v>
      </c>
      <c r="P37" s="84">
        <v>-0.21829999999999999</v>
      </c>
      <c r="Q37" s="84">
        <v>-0.21829999999999999</v>
      </c>
      <c r="R37" s="84">
        <v>-0.21829999999999999</v>
      </c>
    </row>
    <row r="38" spans="1:86" s="52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/>
    </row>
    <row r="39" spans="1:86" s="52" customFormat="1" x14ac:dyDescent="0.25">
      <c r="A39" s="1"/>
      <c r="B39" s="9" t="s">
        <v>19</v>
      </c>
      <c r="C39" s="9">
        <v>2017</v>
      </c>
      <c r="D39" s="9">
        <v>2018</v>
      </c>
      <c r="E39" s="9">
        <v>2019</v>
      </c>
      <c r="F39" s="9">
        <v>2020</v>
      </c>
      <c r="G39" s="9">
        <v>2021</v>
      </c>
      <c r="H39" s="9">
        <v>2022</v>
      </c>
      <c r="I39" s="65">
        <v>2023</v>
      </c>
      <c r="J39" s="9">
        <v>2024</v>
      </c>
      <c r="K39" s="9">
        <v>2025</v>
      </c>
      <c r="L39" s="9">
        <v>2026</v>
      </c>
      <c r="M39" s="9">
        <v>2027</v>
      </c>
      <c r="N39" s="9">
        <v>2028</v>
      </c>
      <c r="O39" s="9">
        <v>2029</v>
      </c>
      <c r="P39" s="9">
        <v>2030</v>
      </c>
      <c r="Q39" s="9">
        <v>2031</v>
      </c>
      <c r="R39" s="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2" customFormat="1" x14ac:dyDescent="0.25">
      <c r="A40" s="1"/>
      <c r="B40" s="1" t="s">
        <v>20</v>
      </c>
      <c r="C40" s="11"/>
      <c r="D40" s="11"/>
      <c r="E40" s="11"/>
      <c r="F40" s="23">
        <v>18300</v>
      </c>
      <c r="G40" s="11">
        <v>22300</v>
      </c>
      <c r="H40" s="11">
        <v>28400</v>
      </c>
      <c r="I40" s="20">
        <v>33640</v>
      </c>
      <c r="J40" s="18">
        <v>40630</v>
      </c>
      <c r="K40" s="18">
        <v>48550</v>
      </c>
      <c r="L40" s="18">
        <f t="shared" ref="L40:R40" si="26">L41*L11</f>
        <v>50169.713000000003</v>
      </c>
      <c r="M40" s="18">
        <f t="shared" si="26"/>
        <v>51627.868600000002</v>
      </c>
      <c r="N40" s="18">
        <f t="shared" si="26"/>
        <v>52875.958190000005</v>
      </c>
      <c r="O40" s="18">
        <f t="shared" si="26"/>
        <v>53857.387012000007</v>
      </c>
      <c r="P40" s="18">
        <f t="shared" si="26"/>
        <v>54506.342016500006</v>
      </c>
      <c r="Q40" s="18">
        <f t="shared" si="26"/>
        <v>54746.51415178</v>
      </c>
      <c r="R40" s="18">
        <f t="shared" si="26"/>
        <v>54489.657293951001</v>
      </c>
    </row>
    <row r="41" spans="1:86" s="52" customFormat="1" x14ac:dyDescent="0.25">
      <c r="A41" s="1"/>
      <c r="B41" s="72" t="s">
        <v>16</v>
      </c>
      <c r="C41" s="73">
        <f t="shared" ref="C41:H41" si="27">C40/C11</f>
        <v>0</v>
      </c>
      <c r="D41" s="73">
        <f t="shared" si="27"/>
        <v>0</v>
      </c>
      <c r="E41" s="73">
        <f t="shared" si="27"/>
        <v>0</v>
      </c>
      <c r="F41" s="73">
        <f t="shared" si="27"/>
        <v>5.214418008263285E-2</v>
      </c>
      <c r="G41" s="73">
        <f t="shared" si="27"/>
        <v>4.9966614235331552E-2</v>
      </c>
      <c r="H41" s="73">
        <f t="shared" si="27"/>
        <v>4.337487037175624E-2</v>
      </c>
      <c r="I41" s="74">
        <f t="shared" ref="I41:K41" si="28">I40/I11</f>
        <v>4.2421185372005045E-2</v>
      </c>
      <c r="J41" s="75">
        <f t="shared" si="28"/>
        <v>4.9070048309178743E-2</v>
      </c>
      <c r="K41" s="75">
        <f t="shared" si="28"/>
        <v>4.9521108946439685E-2</v>
      </c>
      <c r="L41" s="75">
        <f>K41-0.3%</f>
        <v>4.6521108946439682E-2</v>
      </c>
      <c r="M41" s="75">
        <f t="shared" ref="M41:R41" si="29">L41-0.3%</f>
        <v>4.3521108946439679E-2</v>
      </c>
      <c r="N41" s="75">
        <f t="shared" si="29"/>
        <v>4.0521108946439677E-2</v>
      </c>
      <c r="O41" s="75">
        <f t="shared" si="29"/>
        <v>3.7521108946439674E-2</v>
      </c>
      <c r="P41" s="75">
        <f t="shared" si="29"/>
        <v>3.4521108946439671E-2</v>
      </c>
      <c r="Q41" s="75">
        <f t="shared" si="29"/>
        <v>3.1521108946439669E-2</v>
      </c>
      <c r="R41" s="75">
        <f t="shared" si="29"/>
        <v>2.852110894643967E-2</v>
      </c>
    </row>
    <row r="42" spans="1:86" s="52" customFormat="1" x14ac:dyDescent="0.25">
      <c r="A42" s="1"/>
      <c r="B42" s="1"/>
      <c r="C42" s="1"/>
      <c r="D42" s="1"/>
      <c r="E42" s="1"/>
      <c r="F42" s="2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/>
    </row>
    <row r="43" spans="1:86" s="52" customFormat="1" x14ac:dyDescent="0.25">
      <c r="A43" s="1"/>
      <c r="B43" s="1" t="s">
        <v>21</v>
      </c>
      <c r="C43" s="23"/>
      <c r="D43" s="23"/>
      <c r="E43" s="23"/>
      <c r="F43" s="11">
        <v>-7514</v>
      </c>
      <c r="G43" s="11">
        <v>-5429</v>
      </c>
      <c r="H43" s="11">
        <v>-13967</v>
      </c>
      <c r="I43" s="20">
        <v>-17080</v>
      </c>
      <c r="J43" s="18">
        <v>-23070</v>
      </c>
      <c r="K43" s="18">
        <v>-27490</v>
      </c>
      <c r="L43" s="18">
        <f t="shared" ref="L43:R43" si="30">L44*L11</f>
        <v>-29160.571</v>
      </c>
      <c r="M43" s="18">
        <f t="shared" si="30"/>
        <v>-30890.356200000002</v>
      </c>
      <c r="N43" s="18">
        <f t="shared" si="30"/>
        <v>-32674.492730000002</v>
      </c>
      <c r="O43" s="18">
        <f t="shared" si="30"/>
        <v>-34506.553004000009</v>
      </c>
      <c r="P43" s="18">
        <f t="shared" si="30"/>
        <v>-36378.280405500009</v>
      </c>
      <c r="Q43" s="18">
        <f t="shared" si="30"/>
        <v>-38279.287757260005</v>
      </c>
      <c r="R43" s="18">
        <f t="shared" si="30"/>
        <v>-40196.713775317003</v>
      </c>
    </row>
    <row r="44" spans="1:86" s="52" customFormat="1" x14ac:dyDescent="0.25">
      <c r="A44" s="1"/>
      <c r="B44" s="72" t="s">
        <v>16</v>
      </c>
      <c r="C44" s="73">
        <f t="shared" ref="C44:H44" si="31">C43/C11</f>
        <v>0</v>
      </c>
      <c r="D44" s="73">
        <f t="shared" si="31"/>
        <v>0</v>
      </c>
      <c r="E44" s="73">
        <f t="shared" si="31"/>
        <v>0</v>
      </c>
      <c r="F44" s="73">
        <f t="shared" si="31"/>
        <v>-2.1410457330104004E-2</v>
      </c>
      <c r="G44" s="73">
        <f t="shared" si="31"/>
        <v>-1.2164517878189013E-2</v>
      </c>
      <c r="H44" s="73">
        <f t="shared" si="31"/>
        <v>-2.1331577974729555E-2</v>
      </c>
      <c r="I44" s="74">
        <f t="shared" ref="I44:K44" si="32">I43/I11</f>
        <v>-2.1538461538461538E-2</v>
      </c>
      <c r="J44" s="75">
        <f t="shared" si="32"/>
        <v>-2.7862318840579711E-2</v>
      </c>
      <c r="K44" s="75">
        <f t="shared" si="32"/>
        <v>-2.8039861687695712E-2</v>
      </c>
      <c r="L44" s="75">
        <f>K44+0.1%</f>
        <v>-2.7039861687695711E-2</v>
      </c>
      <c r="M44" s="75">
        <f t="shared" ref="M44:R44" si="33">L44+0.1%</f>
        <v>-2.603986168769571E-2</v>
      </c>
      <c r="N44" s="75">
        <f t="shared" si="33"/>
        <v>-2.5039861687695709E-2</v>
      </c>
      <c r="O44" s="75">
        <f t="shared" si="33"/>
        <v>-2.4039861687695709E-2</v>
      </c>
      <c r="P44" s="75">
        <f t="shared" si="33"/>
        <v>-2.3039861687695708E-2</v>
      </c>
      <c r="Q44" s="75">
        <f t="shared" si="33"/>
        <v>-2.2039861687695707E-2</v>
      </c>
      <c r="R44" s="75">
        <f t="shared" si="33"/>
        <v>-2.1039861687695706E-2</v>
      </c>
    </row>
    <row r="45" spans="1:86" s="52" customFormat="1" x14ac:dyDescent="0.25">
      <c r="A45" s="1"/>
      <c r="B45" s="1"/>
      <c r="C45" s="1"/>
      <c r="D45" s="1"/>
      <c r="E45" s="1"/>
      <c r="F45" s="2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/>
    </row>
    <row r="46" spans="1:86" s="52" customFormat="1" x14ac:dyDescent="0.25">
      <c r="A46" s="1"/>
      <c r="B46" s="1" t="s">
        <v>22</v>
      </c>
      <c r="C46" s="67"/>
      <c r="D46" s="67"/>
      <c r="E46" s="67"/>
      <c r="F46" s="11">
        <v>-7759</v>
      </c>
      <c r="G46" s="11">
        <v>-21360</v>
      </c>
      <c r="H46" s="11">
        <v>-21770</v>
      </c>
      <c r="I46" s="20">
        <f t="shared" ref="I46:R46" si="34">I47*I11</f>
        <v>7930</v>
      </c>
      <c r="J46" s="18">
        <f t="shared" si="34"/>
        <v>8280</v>
      </c>
      <c r="K46" s="18">
        <f t="shared" si="34"/>
        <v>9803.9</v>
      </c>
      <c r="L46" s="18">
        <f t="shared" si="34"/>
        <v>10784.29</v>
      </c>
      <c r="M46" s="18">
        <f t="shared" si="34"/>
        <v>11862.719000000001</v>
      </c>
      <c r="N46" s="18">
        <f t="shared" si="34"/>
        <v>13048.990900000004</v>
      </c>
      <c r="O46" s="18">
        <f t="shared" si="34"/>
        <v>14353.889990000005</v>
      </c>
      <c r="P46" s="18">
        <f t="shared" si="34"/>
        <v>15789.278989000006</v>
      </c>
      <c r="Q46" s="18">
        <f t="shared" si="34"/>
        <v>17368.206887900007</v>
      </c>
      <c r="R46" s="18">
        <f t="shared" si="34"/>
        <v>19105.027576690009</v>
      </c>
    </row>
    <row r="47" spans="1:86" s="52" customFormat="1" x14ac:dyDescent="0.25">
      <c r="A47" s="1"/>
      <c r="B47" s="72" t="s">
        <v>16</v>
      </c>
      <c r="C47" s="73">
        <f t="shared" ref="C47:H47" si="35">C46/C11</f>
        <v>0</v>
      </c>
      <c r="D47" s="73">
        <f t="shared" si="35"/>
        <v>0</v>
      </c>
      <c r="E47" s="73">
        <f t="shared" si="35"/>
        <v>0</v>
      </c>
      <c r="F47" s="73">
        <f t="shared" si="35"/>
        <v>-2.2108562473286793E-2</v>
      </c>
      <c r="G47" s="73">
        <f t="shared" si="35"/>
        <v>-4.7860398209268247E-2</v>
      </c>
      <c r="H47" s="73">
        <f t="shared" si="35"/>
        <v>-3.3248976337786382E-2</v>
      </c>
      <c r="I47" s="77">
        <v>0.01</v>
      </c>
      <c r="J47" s="84">
        <v>0.01</v>
      </c>
      <c r="K47" s="84">
        <v>0.01</v>
      </c>
      <c r="L47" s="84">
        <v>0.01</v>
      </c>
      <c r="M47" s="84">
        <v>0.01</v>
      </c>
      <c r="N47" s="84">
        <v>0.01</v>
      </c>
      <c r="O47" s="84">
        <v>0.01</v>
      </c>
      <c r="P47" s="84">
        <v>0.01</v>
      </c>
      <c r="Q47" s="84">
        <v>0.01</v>
      </c>
      <c r="R47" s="84">
        <v>0.01</v>
      </c>
    </row>
    <row r="48" spans="1:86" s="52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/>
    </row>
    <row r="49" spans="1:86" s="52" customFormat="1" x14ac:dyDescent="0.25">
      <c r="A49" s="1"/>
      <c r="B49" s="9" t="s">
        <v>23</v>
      </c>
      <c r="C49" s="11">
        <f t="shared" ref="C49:H49" si="36">C33+C36</f>
        <v>18189</v>
      </c>
      <c r="D49" s="11">
        <f t="shared" si="36"/>
        <v>19758</v>
      </c>
      <c r="E49" s="11">
        <f t="shared" si="36"/>
        <v>26877</v>
      </c>
      <c r="F49" s="11">
        <f t="shared" si="36"/>
        <v>16607</v>
      </c>
      <c r="G49" s="11">
        <f t="shared" si="36"/>
        <v>52634</v>
      </c>
      <c r="H49" s="11">
        <f t="shared" si="36"/>
        <v>76098</v>
      </c>
      <c r="I49" s="38">
        <f t="shared" ref="I49:R49" si="37">I33+I36</f>
        <v>91232.152050000004</v>
      </c>
      <c r="J49" s="11">
        <f t="shared" si="37"/>
        <v>108358.24031999998</v>
      </c>
      <c r="K49" s="11">
        <f t="shared" si="37"/>
        <v>130666.23214149999</v>
      </c>
      <c r="L49" s="11">
        <f t="shared" si="37"/>
        <v>143732.85535564998</v>
      </c>
      <c r="M49" s="11">
        <f t="shared" si="37"/>
        <v>160888.06712390497</v>
      </c>
      <c r="N49" s="11">
        <f t="shared" si="37"/>
        <v>180036.99269225454</v>
      </c>
      <c r="O49" s="11">
        <f t="shared" si="37"/>
        <v>201406.82270303491</v>
      </c>
      <c r="P49" s="11">
        <f t="shared" si="37"/>
        <v>225250.24878904878</v>
      </c>
      <c r="Q49" s="11">
        <f t="shared" si="37"/>
        <v>251848.29186523514</v>
      </c>
      <c r="R49" s="11">
        <f t="shared" si="37"/>
        <v>281513.44106876821</v>
      </c>
    </row>
    <row r="50" spans="1:86" s="52" customFormat="1" x14ac:dyDescent="0.25">
      <c r="A50" s="1"/>
      <c r="B50" s="9" t="s">
        <v>50</v>
      </c>
      <c r="C50" s="11"/>
      <c r="D50" s="11"/>
      <c r="E50" s="11"/>
      <c r="F50" s="11">
        <v>-2240</v>
      </c>
      <c r="G50" s="11">
        <v>-9782</v>
      </c>
      <c r="H50" s="11">
        <v>6580</v>
      </c>
      <c r="I50" s="38"/>
      <c r="J50" s="11"/>
      <c r="K50" s="11"/>
      <c r="L50" s="11"/>
      <c r="M50" s="11"/>
      <c r="N50" s="11"/>
      <c r="O50" s="11"/>
      <c r="P50" s="11"/>
      <c r="Q50" s="11"/>
      <c r="R50" s="11"/>
    </row>
    <row r="51" spans="1:86" s="52" customFormat="1" x14ac:dyDescent="0.25">
      <c r="A51" s="1"/>
      <c r="B51" s="9" t="s">
        <v>24</v>
      </c>
      <c r="C51" s="11">
        <f>C31+C36-C50</f>
        <v>16832</v>
      </c>
      <c r="D51" s="11">
        <f>D31+D36-D50</f>
        <v>18975</v>
      </c>
      <c r="E51" s="11">
        <f>E31+E36-E50</f>
        <v>24007</v>
      </c>
      <c r="F51" s="11">
        <f>F31+F36+F50</f>
        <v>17751</v>
      </c>
      <c r="G51" s="11">
        <f>G31+G36+G50</f>
        <v>33668</v>
      </c>
      <c r="H51" s="11">
        <f>H31+H36+H50</f>
        <v>89673</v>
      </c>
      <c r="I51" s="38">
        <f t="shared" ref="I51" si="38">I31+I36-I50</f>
        <v>85681.152050000004</v>
      </c>
      <c r="J51" s="11">
        <f t="shared" ref="J51" si="39">J31+J36-J50</f>
        <v>104218.24031999998</v>
      </c>
      <c r="K51" s="11">
        <f t="shared" ref="K51" si="40">K31+K36-K50</f>
        <v>125764.28214149998</v>
      </c>
      <c r="L51" s="11">
        <f t="shared" ref="L51" si="41">L31+L36-L50</f>
        <v>138340.71035564999</v>
      </c>
      <c r="M51" s="11">
        <f t="shared" ref="M51" si="42">M31+M36-M50</f>
        <v>154956.70762390498</v>
      </c>
      <c r="N51" s="11">
        <f t="shared" ref="N51" si="43">N31+N36-N50</f>
        <v>173512.49724225455</v>
      </c>
      <c r="O51" s="11">
        <f>O31+O36-O50</f>
        <v>194229.87770803494</v>
      </c>
      <c r="P51" s="11">
        <f t="shared" ref="P51" si="44">P31+P36-P50</f>
        <v>217355.60929454878</v>
      </c>
      <c r="Q51" s="11">
        <f t="shared" ref="Q51" si="45">Q31+Q36-Q50</f>
        <v>243164.18842128513</v>
      </c>
      <c r="R51" s="11">
        <f t="shared" ref="R51" si="46">R31+R36-R50</f>
        <v>271960.92728042323</v>
      </c>
      <c r="S51" s="53">
        <f>R51*(1+$E$6)</f>
        <v>280119.75509883591</v>
      </c>
      <c r="T51" s="53">
        <f t="shared" ref="T51:CE51" si="47">S51*(1+$E$6)</f>
        <v>288523.34775180102</v>
      </c>
      <c r="U51" s="53">
        <f t="shared" si="47"/>
        <v>297179.04818435508</v>
      </c>
      <c r="V51" s="53">
        <f t="shared" si="47"/>
        <v>306094.41962988576</v>
      </c>
      <c r="W51" s="53">
        <f t="shared" si="47"/>
        <v>315277.25221878232</v>
      </c>
      <c r="X51" s="53">
        <f t="shared" si="47"/>
        <v>324735.56978534581</v>
      </c>
      <c r="Y51" s="53">
        <f t="shared" si="47"/>
        <v>334477.63687890617</v>
      </c>
      <c r="Z51" s="53">
        <f t="shared" si="47"/>
        <v>344511.96598527336</v>
      </c>
      <c r="AA51" s="53">
        <f t="shared" si="47"/>
        <v>354847.32496483158</v>
      </c>
      <c r="AB51" s="53">
        <f t="shared" si="47"/>
        <v>365492.74471377651</v>
      </c>
      <c r="AC51" s="53">
        <f t="shared" si="47"/>
        <v>376457.52705518983</v>
      </c>
      <c r="AD51" s="53">
        <f t="shared" si="47"/>
        <v>387751.25286684552</v>
      </c>
      <c r="AE51" s="53">
        <f t="shared" si="47"/>
        <v>399383.79045285092</v>
      </c>
      <c r="AF51" s="53">
        <f t="shared" si="47"/>
        <v>411365.30416643649</v>
      </c>
      <c r="AG51" s="53">
        <f t="shared" si="47"/>
        <v>423706.26329142961</v>
      </c>
      <c r="AH51" s="53">
        <f t="shared" si="47"/>
        <v>436417.45119017252</v>
      </c>
      <c r="AI51" s="53">
        <f t="shared" si="47"/>
        <v>449509.97472587769</v>
      </c>
      <c r="AJ51" s="53">
        <f t="shared" si="47"/>
        <v>462995.27396765404</v>
      </c>
      <c r="AK51" s="53">
        <f t="shared" si="47"/>
        <v>476885.13218668365</v>
      </c>
      <c r="AL51" s="53">
        <f t="shared" si="47"/>
        <v>491191.68615228415</v>
      </c>
      <c r="AM51" s="53">
        <f t="shared" si="47"/>
        <v>505927.43673685269</v>
      </c>
      <c r="AN51" s="53">
        <f t="shared" si="47"/>
        <v>521105.25983895827</v>
      </c>
      <c r="AO51" s="53">
        <f t="shared" si="47"/>
        <v>536738.41763412708</v>
      </c>
      <c r="AP51" s="53">
        <f t="shared" si="47"/>
        <v>552840.5701631509</v>
      </c>
      <c r="AQ51" s="53">
        <f t="shared" si="47"/>
        <v>569425.78726804547</v>
      </c>
      <c r="AR51" s="53">
        <f t="shared" si="47"/>
        <v>586508.5608860869</v>
      </c>
      <c r="AS51" s="53">
        <f t="shared" si="47"/>
        <v>604103.81771266949</v>
      </c>
      <c r="AT51" s="53">
        <f t="shared" si="47"/>
        <v>622226.93224404962</v>
      </c>
      <c r="AU51" s="53">
        <f t="shared" si="47"/>
        <v>640893.7402113711</v>
      </c>
      <c r="AV51" s="53">
        <f t="shared" si="47"/>
        <v>660120.55241771229</v>
      </c>
      <c r="AW51" s="53">
        <f t="shared" si="47"/>
        <v>679924.16899024369</v>
      </c>
      <c r="AX51" s="53">
        <f t="shared" si="47"/>
        <v>700321.89405995107</v>
      </c>
      <c r="AY51" s="53">
        <f t="shared" si="47"/>
        <v>721331.5508817496</v>
      </c>
      <c r="AZ51" s="53">
        <f t="shared" si="47"/>
        <v>742971.49740820215</v>
      </c>
      <c r="BA51" s="53">
        <f t="shared" si="47"/>
        <v>765260.64233044826</v>
      </c>
      <c r="BB51" s="53">
        <f t="shared" si="47"/>
        <v>788218.46160036174</v>
      </c>
      <c r="BC51" s="53">
        <f t="shared" si="47"/>
        <v>811865.01544837258</v>
      </c>
      <c r="BD51" s="53">
        <f t="shared" si="47"/>
        <v>836220.96591182379</v>
      </c>
      <c r="BE51" s="53">
        <f t="shared" si="47"/>
        <v>861307.59488917852</v>
      </c>
      <c r="BF51" s="53">
        <f t="shared" si="47"/>
        <v>887146.82273585396</v>
      </c>
      <c r="BG51" s="53">
        <f t="shared" si="47"/>
        <v>913761.22741792956</v>
      </c>
      <c r="BH51" s="53">
        <f t="shared" si="47"/>
        <v>941174.0642404675</v>
      </c>
      <c r="BI51" s="53">
        <f t="shared" si="47"/>
        <v>969409.28616768157</v>
      </c>
      <c r="BJ51" s="53">
        <f t="shared" si="47"/>
        <v>998491.56475271203</v>
      </c>
      <c r="BK51" s="53">
        <f t="shared" si="47"/>
        <v>1028446.3116952934</v>
      </c>
      <c r="BL51" s="53">
        <f t="shared" si="47"/>
        <v>1059299.7010461523</v>
      </c>
      <c r="BM51" s="53">
        <f t="shared" si="47"/>
        <v>1091078.6920775368</v>
      </c>
      <c r="BN51" s="53">
        <f t="shared" si="47"/>
        <v>1123811.0528398629</v>
      </c>
      <c r="BO51" s="53">
        <f t="shared" si="47"/>
        <v>1157525.3844250587</v>
      </c>
      <c r="BP51" s="53">
        <f t="shared" si="47"/>
        <v>1192251.1459578106</v>
      </c>
      <c r="BQ51" s="53">
        <f t="shared" si="47"/>
        <v>1228018.680336545</v>
      </c>
      <c r="BR51" s="53">
        <f t="shared" si="47"/>
        <v>1264859.2407466413</v>
      </c>
      <c r="BS51" s="53">
        <f t="shared" si="47"/>
        <v>1302805.0179690407</v>
      </c>
      <c r="BT51" s="53">
        <f t="shared" si="47"/>
        <v>1341889.168508112</v>
      </c>
      <c r="BU51" s="53">
        <f t="shared" si="47"/>
        <v>1382145.8435633553</v>
      </c>
      <c r="BV51" s="53">
        <f t="shared" si="47"/>
        <v>1423610.2188702559</v>
      </c>
      <c r="BW51" s="53">
        <f t="shared" si="47"/>
        <v>1466318.5254363636</v>
      </c>
      <c r="BX51" s="53">
        <f t="shared" si="47"/>
        <v>1510308.0811994546</v>
      </c>
      <c r="BY51" s="53">
        <f t="shared" si="47"/>
        <v>1555617.3236354382</v>
      </c>
      <c r="BZ51" s="53">
        <f t="shared" si="47"/>
        <v>1602285.8433445015</v>
      </c>
      <c r="CA51" s="53">
        <f t="shared" si="47"/>
        <v>1650354.4186448366</v>
      </c>
      <c r="CB51" s="53">
        <f t="shared" si="47"/>
        <v>1699865.0512041817</v>
      </c>
      <c r="CC51" s="53">
        <f t="shared" si="47"/>
        <v>1750861.0027403072</v>
      </c>
      <c r="CD51" s="53">
        <f t="shared" si="47"/>
        <v>1803386.8328225166</v>
      </c>
      <c r="CE51" s="53">
        <f t="shared" si="47"/>
        <v>1857488.4378071921</v>
      </c>
      <c r="CF51" s="53">
        <f t="shared" ref="CF51:CH51" si="48">CE51*(1+$E$6)</f>
        <v>1913213.090941408</v>
      </c>
      <c r="CG51" s="53">
        <f t="shared" si="48"/>
        <v>1970609.4836696503</v>
      </c>
      <c r="CH51" s="53">
        <f t="shared" si="48"/>
        <v>2029727.7681797398</v>
      </c>
    </row>
    <row r="52" spans="1:86" s="52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1"/>
      <c r="K52" s="1"/>
      <c r="L52" s="1"/>
      <c r="M52" s="1"/>
      <c r="N52" s="1"/>
      <c r="O52" s="1"/>
      <c r="P52" s="1"/>
      <c r="Q52" s="1"/>
      <c r="R52" s="1"/>
    </row>
    <row r="53" spans="1:86" s="52" customFormat="1" x14ac:dyDescent="0.25">
      <c r="A53" s="1"/>
      <c r="B53" s="9" t="s">
        <v>25</v>
      </c>
      <c r="C53" s="11">
        <f t="shared" ref="C53:H53" si="49">C49+C40+C43-C46</f>
        <v>18189</v>
      </c>
      <c r="D53" s="11">
        <f t="shared" si="49"/>
        <v>19758</v>
      </c>
      <c r="E53" s="11">
        <f t="shared" si="49"/>
        <v>26877</v>
      </c>
      <c r="F53" s="11">
        <f t="shared" si="49"/>
        <v>35152</v>
      </c>
      <c r="G53" s="11">
        <f t="shared" si="49"/>
        <v>90865</v>
      </c>
      <c r="H53" s="11">
        <f t="shared" si="49"/>
        <v>112301</v>
      </c>
      <c r="I53" s="38">
        <f t="shared" ref="I53:R53" si="50">I49+I40+I43-I46</f>
        <v>99862.152050000004</v>
      </c>
      <c r="J53" s="11">
        <f t="shared" si="50"/>
        <v>117638.24031999998</v>
      </c>
      <c r="K53" s="11">
        <f t="shared" si="50"/>
        <v>141922.3321415</v>
      </c>
      <c r="L53" s="11">
        <f t="shared" si="50"/>
        <v>153957.70735565</v>
      </c>
      <c r="M53" s="11">
        <f t="shared" si="50"/>
        <v>169762.86052390496</v>
      </c>
      <c r="N53" s="11">
        <f t="shared" si="50"/>
        <v>187189.46725225454</v>
      </c>
      <c r="O53" s="11">
        <f t="shared" si="50"/>
        <v>206403.76672103492</v>
      </c>
      <c r="P53" s="11">
        <f t="shared" si="50"/>
        <v>227589.03141104875</v>
      </c>
      <c r="Q53" s="11">
        <f t="shared" si="50"/>
        <v>250947.31137185509</v>
      </c>
      <c r="R53" s="11">
        <f t="shared" si="50"/>
        <v>276701.35701071221</v>
      </c>
    </row>
    <row r="54" spans="1:86" s="52" customFormat="1" x14ac:dyDescent="0.25">
      <c r="A54" s="1"/>
      <c r="B54" s="24" t="s">
        <v>26</v>
      </c>
      <c r="C54" s="1"/>
      <c r="D54" s="1"/>
      <c r="E54" s="1"/>
      <c r="F54" s="1"/>
      <c r="G54" s="1"/>
      <c r="H54" s="1"/>
      <c r="I54" s="69">
        <f t="shared" ref="I54:R54" si="51">I53/((1+$E$5)^I9)</f>
        <v>90514.191840686559</v>
      </c>
      <c r="J54" s="70">
        <f t="shared" si="51"/>
        <v>96645.143206425797</v>
      </c>
      <c r="K54" s="70">
        <f t="shared" si="51"/>
        <v>105681.26684241089</v>
      </c>
      <c r="L54" s="70">
        <f t="shared" si="51"/>
        <v>103911.70336377938</v>
      </c>
      <c r="M54" s="70">
        <f t="shared" si="51"/>
        <v>103853.57965688845</v>
      </c>
      <c r="N54" s="70">
        <f t="shared" si="51"/>
        <v>103794.88485871101</v>
      </c>
      <c r="O54" s="70">
        <f t="shared" si="51"/>
        <v>103735.62287349431</v>
      </c>
      <c r="P54" s="70">
        <f t="shared" si="51"/>
        <v>103675.79758733421</v>
      </c>
      <c r="Q54" s="70">
        <f t="shared" si="51"/>
        <v>103615.41286824855</v>
      </c>
      <c r="R54" s="70">
        <f t="shared" si="51"/>
        <v>103554.47256625003</v>
      </c>
    </row>
    <row r="55" spans="1:86" s="52" customFormat="1" x14ac:dyDescent="0.25">
      <c r="A55" s="1"/>
      <c r="B55" s="25"/>
      <c r="C55" s="25"/>
      <c r="D55" s="25"/>
      <c r="E55" s="25"/>
      <c r="F55" s="25"/>
      <c r="G55" s="25"/>
      <c r="H55" s="25"/>
      <c r="I55" s="71"/>
      <c r="J55" s="1"/>
      <c r="K55" s="1"/>
      <c r="L55" s="1"/>
      <c r="M55" s="1"/>
      <c r="N55" s="1"/>
      <c r="O55" s="1"/>
      <c r="P55" s="1"/>
      <c r="Q55" s="1"/>
      <c r="R55" s="1"/>
    </row>
    <row r="56" spans="1:86" s="52" customFormat="1" x14ac:dyDescent="0.25">
      <c r="A56" s="1"/>
      <c r="B56" s="1" t="s">
        <v>27</v>
      </c>
      <c r="C56" s="26">
        <f>(R53*(1+$E$6))/($E$5-$E$6)</f>
        <v>3889427.4701367687</v>
      </c>
      <c r="D56" s="1"/>
      <c r="E56" s="1" t="s">
        <v>28</v>
      </c>
      <c r="F56" s="18">
        <f>NPV($E$5,I51:CH51)</f>
        <v>2357424.1386615322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2" customFormat="1" x14ac:dyDescent="0.25">
      <c r="A57" s="1"/>
      <c r="B57" s="3" t="s">
        <v>29</v>
      </c>
      <c r="C57" s="27">
        <f>C56/((1+$E$5)^$R$9)</f>
        <v>1455604.0295787365</v>
      </c>
      <c r="D57" s="16"/>
      <c r="E57" s="3"/>
      <c r="F57" s="3"/>
      <c r="G57" s="3"/>
      <c r="H57" s="16"/>
      <c r="I57" s="12"/>
      <c r="J57" s="1"/>
      <c r="K57" s="2"/>
      <c r="L57" s="85" t="s">
        <v>53</v>
      </c>
      <c r="M57" s="85"/>
      <c r="N57" s="85"/>
      <c r="O57" s="85"/>
      <c r="P57" s="85"/>
      <c r="Q57" s="85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8" t="s">
        <v>31</v>
      </c>
      <c r="H58" s="28" t="s">
        <v>28</v>
      </c>
      <c r="I58" s="15"/>
      <c r="J58" s="1"/>
      <c r="K58" s="54"/>
      <c r="L58" s="59">
        <f>E64</f>
        <v>55.376150550701709</v>
      </c>
      <c r="M58" s="78">
        <v>-0.01</v>
      </c>
      <c r="N58" s="78">
        <v>0.01</v>
      </c>
      <c r="O58" s="78">
        <v>0.03</v>
      </c>
      <c r="P58" s="78">
        <v>0.04</v>
      </c>
      <c r="Q58" s="78">
        <v>0.05</v>
      </c>
    </row>
    <row r="59" spans="1:86" x14ac:dyDescent="0.25">
      <c r="A59" s="1"/>
      <c r="B59" s="29" t="s">
        <v>32</v>
      </c>
      <c r="C59" s="1"/>
      <c r="D59" s="23">
        <v>199200</v>
      </c>
      <c r="E59" s="1"/>
      <c r="F59" s="1"/>
      <c r="G59" s="26">
        <f>C57+SUM(I54:R54)</f>
        <v>2474586.1052429657</v>
      </c>
      <c r="H59" s="18">
        <f>F56</f>
        <v>2357424.1386615322</v>
      </c>
      <c r="I59" s="15"/>
      <c r="K59" s="54"/>
      <c r="L59" s="56">
        <f>L60-1%</f>
        <v>8.8276182653950278E-2</v>
      </c>
      <c r="M59" s="60">
        <f t="dataTable" ref="M59:Q63" dt2D="1" dtr="1" r1="E6" r2="E5"/>
        <v>51.552850047926938</v>
      </c>
      <c r="N59" s="60">
        <v>58.868127750497948</v>
      </c>
      <c r="O59" s="60">
        <v>70.906980203408864</v>
      </c>
      <c r="P59" s="60">
        <v>80.288925328539847</v>
      </c>
      <c r="Q59" s="60">
        <v>93.850654839756899</v>
      </c>
    </row>
    <row r="60" spans="1:86" x14ac:dyDescent="0.25">
      <c r="A60" s="1"/>
      <c r="B60" s="30" t="s">
        <v>33</v>
      </c>
      <c r="C60" s="3"/>
      <c r="D60" s="39">
        <f>122126</f>
        <v>122126</v>
      </c>
      <c r="E60" s="3"/>
      <c r="F60" s="3"/>
      <c r="G60" s="3"/>
      <c r="H60" s="3"/>
      <c r="I60" s="15"/>
      <c r="K60" s="55"/>
      <c r="L60" s="56">
        <f>L61-0.5%</f>
        <v>9.8276182653950273E-2</v>
      </c>
      <c r="M60" s="60">
        <v>45.845731902351901</v>
      </c>
      <c r="N60" s="61">
        <v>51.293831149619855</v>
      </c>
      <c r="O60" s="61">
        <v>59.809305598032154</v>
      </c>
      <c r="P60" s="61">
        <v>66.105422746550062</v>
      </c>
      <c r="Q60" s="60">
        <v>74.729270836350992</v>
      </c>
      <c r="R60" s="48"/>
    </row>
    <row r="61" spans="1:86" x14ac:dyDescent="0.25">
      <c r="A61" s="1"/>
      <c r="B61" s="6" t="s">
        <v>34</v>
      </c>
      <c r="C61" s="6"/>
      <c r="D61" s="6"/>
      <c r="E61" s="6"/>
      <c r="F61" s="6"/>
      <c r="G61" s="31">
        <f>(G59+D59-D60)*D66</f>
        <v>3240608.3336585667</v>
      </c>
      <c r="H61" s="32">
        <f>(H59+D59-D60)*D66</f>
        <v>3091812.636100146</v>
      </c>
      <c r="I61" s="15"/>
      <c r="K61" s="54" t="s">
        <v>1</v>
      </c>
      <c r="L61" s="56">
        <v>0.10327618265395028</v>
      </c>
      <c r="M61" s="60">
        <v>43.393875966159982</v>
      </c>
      <c r="N61" s="61">
        <v>48.13236434297869</v>
      </c>
      <c r="O61" s="62">
        <v>55.376150550701709</v>
      </c>
      <c r="P61" s="61">
        <v>60.616056905794608</v>
      </c>
      <c r="Q61" s="60">
        <v>67.644598807218273</v>
      </c>
    </row>
    <row r="62" spans="1:86" x14ac:dyDescent="0.25">
      <c r="A62" s="1"/>
      <c r="B62" s="3" t="s">
        <v>35</v>
      </c>
      <c r="C62" s="3"/>
      <c r="D62" s="37">
        <f>57176428/1000</f>
        <v>57176.428</v>
      </c>
      <c r="E62" s="3"/>
      <c r="F62" s="3"/>
      <c r="G62" s="3"/>
      <c r="H62" s="33"/>
      <c r="I62" s="15"/>
      <c r="K62" s="54"/>
      <c r="L62" s="57">
        <f>L61+1%</f>
        <v>0.11327618265395027</v>
      </c>
      <c r="M62" s="60">
        <v>39.129179558222688</v>
      </c>
      <c r="N62" s="61">
        <v>42.762617908300996</v>
      </c>
      <c r="O62" s="61">
        <v>48.105893039660515</v>
      </c>
      <c r="P62" s="61">
        <v>51.828961321061371</v>
      </c>
      <c r="Q62" s="60">
        <v>56.654474549106155</v>
      </c>
    </row>
    <row r="63" spans="1:86" x14ac:dyDescent="0.25">
      <c r="A63" s="1"/>
      <c r="B63" s="17" t="s">
        <v>36</v>
      </c>
      <c r="C63" s="17"/>
      <c r="D63" s="63">
        <f>D62*$J$5</f>
        <v>2934866.0492400001</v>
      </c>
      <c r="E63" s="17"/>
      <c r="F63" s="17"/>
      <c r="G63" s="17"/>
      <c r="H63" s="34"/>
      <c r="I63" s="1"/>
      <c r="K63" s="54"/>
      <c r="L63" s="57">
        <f>L62+1%</f>
        <v>0.12327618265395027</v>
      </c>
      <c r="M63" s="60">
        <v>35.554219569167579</v>
      </c>
      <c r="N63" s="60">
        <v>38.384862908564116</v>
      </c>
      <c r="O63" s="60">
        <v>42.413644050550346</v>
      </c>
      <c r="P63" s="60">
        <v>45.135155413389569</v>
      </c>
      <c r="Q63" s="60">
        <v>48.567525685507256</v>
      </c>
    </row>
    <row r="64" spans="1:86" x14ac:dyDescent="0.25">
      <c r="A64" s="1"/>
      <c r="B64" s="6" t="s">
        <v>37</v>
      </c>
      <c r="D64" s="6" t="s">
        <v>38</v>
      </c>
      <c r="E64" s="35">
        <f>(G64+H64)/2</f>
        <v>55.376150550701709</v>
      </c>
      <c r="F64" s="6"/>
      <c r="G64" s="35">
        <f>G61/D62</f>
        <v>56.677348463576052</v>
      </c>
      <c r="H64" s="36">
        <f>H61/D62</f>
        <v>54.074952637827359</v>
      </c>
      <c r="I64" s="15"/>
    </row>
    <row r="65" spans="2:9" x14ac:dyDescent="0.25">
      <c r="B65" s="41"/>
      <c r="C65" s="41"/>
      <c r="D65" s="41"/>
      <c r="E65" s="41"/>
      <c r="F65" s="41"/>
      <c r="G65" s="41"/>
      <c r="H65" s="41"/>
      <c r="I65" s="22"/>
    </row>
    <row r="66" spans="2:9" x14ac:dyDescent="0.25">
      <c r="B66" s="2" t="s">
        <v>54</v>
      </c>
      <c r="C66" s="2" t="s">
        <v>55</v>
      </c>
      <c r="D66" s="2">
        <v>1.27</v>
      </c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0" t="s">
        <v>1</v>
      </c>
      <c r="C2" s="2"/>
      <c r="D2" s="2"/>
      <c r="E2" s="2"/>
      <c r="F2" s="2"/>
      <c r="G2" s="2"/>
      <c r="H2" s="2"/>
      <c r="I2" s="2"/>
      <c r="J2" s="2"/>
      <c r="K2" s="2"/>
      <c r="L2" s="41"/>
    </row>
    <row r="3" spans="1:12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2"/>
    </row>
    <row r="4" spans="1:12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4">
        <v>0.22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4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5">
        <v>1.1599999999999999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4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'DAVA DCF'!D63</f>
        <v>2934866.0492400001</v>
      </c>
      <c r="D12" s="2"/>
      <c r="E12" s="2" t="s">
        <v>33</v>
      </c>
      <c r="F12" s="2"/>
      <c r="G12" s="23">
        <f>'DAVA DCF'!D60</f>
        <v>122126</v>
      </c>
      <c r="H12" s="2"/>
      <c r="I12" s="2" t="s">
        <v>45</v>
      </c>
      <c r="J12" s="2"/>
      <c r="K12" s="23">
        <f>G12+C12</f>
        <v>3056992.0492400001</v>
      </c>
      <c r="L12" s="2"/>
    </row>
    <row r="13" spans="1:12" x14ac:dyDescent="0.25">
      <c r="A13" s="2" t="s">
        <v>46</v>
      </c>
      <c r="B13" s="2"/>
      <c r="C13" s="46">
        <f>C12/K12</f>
        <v>0.96005027228305617</v>
      </c>
      <c r="D13" s="2"/>
      <c r="E13" s="2" t="s">
        <v>47</v>
      </c>
      <c r="F13" s="2"/>
      <c r="G13" s="47">
        <f>G12/K12</f>
        <v>3.9949727716943779E-2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8">
        <f>D7+D8*(D9)</f>
        <v>0.1066</v>
      </c>
      <c r="D14" s="2"/>
      <c r="E14" s="2" t="s">
        <v>49</v>
      </c>
      <c r="F14" s="2"/>
      <c r="G14" s="47">
        <v>0.03</v>
      </c>
      <c r="H14" s="2"/>
      <c r="I14" s="49" t="s">
        <v>1</v>
      </c>
      <c r="J14" s="50"/>
      <c r="K14" s="51">
        <f>C13*C14+G14*G13*(1-D6)</f>
        <v>0.10327618265395028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DAVA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2023-08-02T13:39:27Z</dcterms:modified>
</cp:coreProperties>
</file>