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ownloads\"/>
    </mc:Choice>
  </mc:AlternateContent>
  <xr:revisionPtr revIDLastSave="0" documentId="13_ncr:1_{96EDB341-C389-4859-8209-F2A3AFDE158D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MSFT DCF" sheetId="1" r:id="rId1"/>
    <sheet name="Sheet1" sheetId="3" r:id="rId2"/>
    <sheet name="WACC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5" i="1" l="1"/>
  <c r="H57" i="1"/>
  <c r="H54" i="1"/>
  <c r="I34" i="1"/>
  <c r="I31" i="1"/>
  <c r="D6" i="2"/>
  <c r="H55" i="1"/>
  <c r="C55" i="1"/>
  <c r="D55" i="1"/>
  <c r="E55" i="1"/>
  <c r="F55" i="1"/>
  <c r="G55" i="1"/>
  <c r="N10" i="3"/>
  <c r="M10" i="3"/>
  <c r="L10" i="3"/>
  <c r="C25" i="1"/>
  <c r="C31" i="1" s="1"/>
  <c r="H31" i="1"/>
  <c r="G12" i="2"/>
  <c r="D31" i="1"/>
  <c r="E31" i="1"/>
  <c r="F31" i="1"/>
  <c r="G31" i="1"/>
  <c r="H32" i="1"/>
  <c r="L64" i="1"/>
  <c r="L63" i="1" s="1"/>
  <c r="D67" i="1"/>
  <c r="C12" i="2" s="1"/>
  <c r="L66" i="1"/>
  <c r="L67" i="1" s="1"/>
  <c r="D29" i="1" l="1"/>
  <c r="E29" i="1"/>
  <c r="F29" i="1"/>
  <c r="G29" i="1"/>
  <c r="H29" i="1"/>
  <c r="C29" i="1"/>
  <c r="E26" i="1"/>
  <c r="G26" i="1"/>
  <c r="C26" i="1"/>
  <c r="D23" i="1"/>
  <c r="E23" i="1"/>
  <c r="F23" i="1"/>
  <c r="G23" i="1"/>
  <c r="H23" i="1"/>
  <c r="C23" i="1"/>
  <c r="D20" i="1"/>
  <c r="E20" i="1"/>
  <c r="F20" i="1"/>
  <c r="G20" i="1"/>
  <c r="H20" i="1"/>
  <c r="C20" i="1"/>
  <c r="I11" i="1"/>
  <c r="I38" i="1" s="1"/>
  <c r="I41" i="1" s="1"/>
  <c r="C14" i="2"/>
  <c r="F49" i="1"/>
  <c r="G49" i="1"/>
  <c r="H49" i="1"/>
  <c r="E49" i="1"/>
  <c r="D49" i="1"/>
  <c r="C49" i="1"/>
  <c r="D46" i="1"/>
  <c r="C46" i="1"/>
  <c r="F46" i="1"/>
  <c r="H46" i="1"/>
  <c r="F32" i="1"/>
  <c r="D32" i="1"/>
  <c r="D26" i="1"/>
  <c r="G52" i="1"/>
  <c r="H52" i="1"/>
  <c r="G46" i="1"/>
  <c r="F26" i="1"/>
  <c r="H26" i="1"/>
  <c r="G16" i="1"/>
  <c r="F16" i="1"/>
  <c r="F34" i="1" s="1"/>
  <c r="F36" i="1" s="1"/>
  <c r="H16" i="1"/>
  <c r="E52" i="1"/>
  <c r="D52" i="1"/>
  <c r="C52" i="1"/>
  <c r="E46" i="1"/>
  <c r="D44" i="1"/>
  <c r="E44" i="1" s="1"/>
  <c r="E16" i="1"/>
  <c r="D16" i="1"/>
  <c r="D34" i="1" s="1"/>
  <c r="C16" i="1"/>
  <c r="C34" i="1" s="1"/>
  <c r="H12" i="1"/>
  <c r="G12" i="1"/>
  <c r="F12" i="1"/>
  <c r="E12" i="1"/>
  <c r="D12" i="1"/>
  <c r="J9" i="1"/>
  <c r="K9" i="1" s="1"/>
  <c r="L9" i="1" s="1"/>
  <c r="M9" i="1" s="1"/>
  <c r="N9" i="1" s="1"/>
  <c r="O9" i="1" s="1"/>
  <c r="P9" i="1" s="1"/>
  <c r="Q9" i="1" s="1"/>
  <c r="R9" i="1" s="1"/>
  <c r="C36" i="1" l="1"/>
  <c r="H34" i="1"/>
  <c r="H36" i="1" s="1"/>
  <c r="D36" i="1"/>
  <c r="E17" i="1"/>
  <c r="E34" i="1"/>
  <c r="G17" i="1"/>
  <c r="G34" i="1"/>
  <c r="F38" i="1"/>
  <c r="I28" i="1"/>
  <c r="I36" i="1" s="1"/>
  <c r="I19" i="1"/>
  <c r="I22" i="1"/>
  <c r="I25" i="1"/>
  <c r="I45" i="1"/>
  <c r="J11" i="1"/>
  <c r="J45" i="1" s="1"/>
  <c r="C17" i="1"/>
  <c r="I54" i="1"/>
  <c r="I48" i="1"/>
  <c r="I51" i="1"/>
  <c r="F52" i="1"/>
  <c r="K12" i="2"/>
  <c r="I16" i="1"/>
  <c r="D17" i="1"/>
  <c r="H17" i="1"/>
  <c r="F17" i="1"/>
  <c r="C32" i="1"/>
  <c r="E32" i="1"/>
  <c r="G32" i="1"/>
  <c r="I57" i="1" l="1"/>
  <c r="I32" i="1"/>
  <c r="G36" i="1"/>
  <c r="E36" i="1"/>
  <c r="F54" i="1"/>
  <c r="F42" i="1"/>
  <c r="D38" i="1"/>
  <c r="K11" i="1"/>
  <c r="K28" i="1" s="1"/>
  <c r="J28" i="1"/>
  <c r="J25" i="1"/>
  <c r="J22" i="1"/>
  <c r="J19" i="1"/>
  <c r="J48" i="1"/>
  <c r="H38" i="1"/>
  <c r="H42" i="1" s="1"/>
  <c r="I14" i="1"/>
  <c r="C13" i="2"/>
  <c r="G13" i="2"/>
  <c r="G38" i="1"/>
  <c r="E38" i="1"/>
  <c r="E42" i="1" s="1"/>
  <c r="C38" i="1"/>
  <c r="C42" i="1" s="1"/>
  <c r="J38" i="1"/>
  <c r="J51" i="1"/>
  <c r="J16" i="1"/>
  <c r="K48" i="1" l="1"/>
  <c r="D54" i="1"/>
  <c r="D57" i="1" s="1"/>
  <c r="D42" i="1"/>
  <c r="G54" i="1"/>
  <c r="G57" i="1" s="1"/>
  <c r="G42" i="1"/>
  <c r="K25" i="1"/>
  <c r="J31" i="1"/>
  <c r="J32" i="1" s="1"/>
  <c r="J34" i="1"/>
  <c r="J36" i="1" s="1"/>
  <c r="K45" i="1"/>
  <c r="K19" i="1"/>
  <c r="K22" i="1"/>
  <c r="D39" i="1"/>
  <c r="E54" i="1"/>
  <c r="E57" i="1" s="1"/>
  <c r="C54" i="1"/>
  <c r="C57" i="1" s="1"/>
  <c r="F57" i="1"/>
  <c r="J41" i="1"/>
  <c r="F39" i="1"/>
  <c r="H39" i="1"/>
  <c r="K14" i="2"/>
  <c r="E5" i="1" s="1"/>
  <c r="I58" i="1" s="1"/>
  <c r="J14" i="1"/>
  <c r="K16" i="1"/>
  <c r="L11" i="1"/>
  <c r="K38" i="1"/>
  <c r="G39" i="1"/>
  <c r="C39" i="1"/>
  <c r="E39" i="1"/>
  <c r="K51" i="1"/>
  <c r="J55" i="1" l="1"/>
  <c r="J54" i="1"/>
  <c r="K14" i="1"/>
  <c r="K34" i="1"/>
  <c r="K36" i="1" s="1"/>
  <c r="K31" i="1"/>
  <c r="K32" i="1" s="1"/>
  <c r="L25" i="1"/>
  <c r="L22" i="1"/>
  <c r="L19" i="1"/>
  <c r="L28" i="1"/>
  <c r="K41" i="1"/>
  <c r="L51" i="1"/>
  <c r="L48" i="1"/>
  <c r="L45" i="1"/>
  <c r="L38" i="1"/>
  <c r="L16" i="1"/>
  <c r="M11" i="1"/>
  <c r="J57" i="1" l="1"/>
  <c r="J58" i="1" s="1"/>
  <c r="K55" i="1"/>
  <c r="K54" i="1"/>
  <c r="L31" i="1"/>
  <c r="L34" i="1"/>
  <c r="L36" i="1" s="1"/>
  <c r="L32" i="1"/>
  <c r="M28" i="1"/>
  <c r="M25" i="1"/>
  <c r="M22" i="1"/>
  <c r="M19" i="1"/>
  <c r="L41" i="1"/>
  <c r="M48" i="1"/>
  <c r="M45" i="1"/>
  <c r="L14" i="1"/>
  <c r="M38" i="1"/>
  <c r="M16" i="1"/>
  <c r="N11" i="1"/>
  <c r="M51" i="1"/>
  <c r="K57" i="1" l="1"/>
  <c r="K58" i="1" s="1"/>
  <c r="L55" i="1"/>
  <c r="L54" i="1"/>
  <c r="M31" i="1"/>
  <c r="M32" i="1" s="1"/>
  <c r="M14" i="1"/>
  <c r="M34" i="1"/>
  <c r="M36" i="1" s="1"/>
  <c r="N25" i="1"/>
  <c r="N22" i="1"/>
  <c r="N19" i="1"/>
  <c r="N28" i="1"/>
  <c r="M41" i="1"/>
  <c r="N51" i="1"/>
  <c r="N48" i="1"/>
  <c r="N45" i="1"/>
  <c r="N38" i="1"/>
  <c r="N16" i="1"/>
  <c r="N14" i="1" s="1"/>
  <c r="O11" i="1"/>
  <c r="L57" i="1" l="1"/>
  <c r="L58" i="1" s="1"/>
  <c r="N31" i="1"/>
  <c r="M54" i="1"/>
  <c r="M55" i="1"/>
  <c r="N34" i="1"/>
  <c r="N36" i="1" s="1"/>
  <c r="N32" i="1"/>
  <c r="O28" i="1"/>
  <c r="O25" i="1"/>
  <c r="O22" i="1"/>
  <c r="O19" i="1"/>
  <c r="N41" i="1"/>
  <c r="O48" i="1"/>
  <c r="O45" i="1"/>
  <c r="O16" i="1"/>
  <c r="P11" i="1"/>
  <c r="O38" i="1"/>
  <c r="O51" i="1"/>
  <c r="M57" i="1" l="1"/>
  <c r="M58" i="1" s="1"/>
  <c r="N55" i="1"/>
  <c r="N54" i="1"/>
  <c r="O31" i="1"/>
  <c r="O32" i="1" s="1"/>
  <c r="O14" i="1"/>
  <c r="O34" i="1"/>
  <c r="O36" i="1" s="1"/>
  <c r="P25" i="1"/>
  <c r="P22" i="1"/>
  <c r="P19" i="1"/>
  <c r="P28" i="1"/>
  <c r="O41" i="1"/>
  <c r="P48" i="1"/>
  <c r="P45" i="1"/>
  <c r="P38" i="1"/>
  <c r="P16" i="1"/>
  <c r="Q11" i="1"/>
  <c r="P51" i="1"/>
  <c r="N57" i="1" l="1"/>
  <c r="N58" i="1" s="1"/>
  <c r="O55" i="1"/>
  <c r="O54" i="1"/>
  <c r="P34" i="1"/>
  <c r="P36" i="1" s="1"/>
  <c r="P31" i="1"/>
  <c r="P32" i="1" s="1"/>
  <c r="Q28" i="1"/>
  <c r="Q25" i="1"/>
  <c r="Q22" i="1"/>
  <c r="Q19" i="1"/>
  <c r="P41" i="1"/>
  <c r="Q48" i="1"/>
  <c r="Q45" i="1"/>
  <c r="P14" i="1"/>
  <c r="Q38" i="1"/>
  <c r="Q16" i="1"/>
  <c r="R11" i="1"/>
  <c r="Q51" i="1"/>
  <c r="O57" i="1" l="1"/>
  <c r="O58" i="1" s="1"/>
  <c r="P55" i="1"/>
  <c r="P54" i="1"/>
  <c r="Q34" i="1"/>
  <c r="Q36" i="1" s="1"/>
  <c r="Q31" i="1"/>
  <c r="Q32" i="1" s="1"/>
  <c r="R25" i="1"/>
  <c r="R22" i="1"/>
  <c r="R19" i="1"/>
  <c r="R28" i="1"/>
  <c r="Q41" i="1"/>
  <c r="R48" i="1"/>
  <c r="R45" i="1"/>
  <c r="R38" i="1"/>
  <c r="R16" i="1"/>
  <c r="R51" i="1"/>
  <c r="Q14" i="1"/>
  <c r="P57" i="1" l="1"/>
  <c r="P58" i="1" s="1"/>
  <c r="Q55" i="1"/>
  <c r="Q54" i="1"/>
  <c r="R31" i="1"/>
  <c r="R32" i="1" s="1"/>
  <c r="R14" i="1"/>
  <c r="R34" i="1"/>
  <c r="R36" i="1" s="1"/>
  <c r="R41" i="1"/>
  <c r="Q57" i="1" l="1"/>
  <c r="Q58" i="1" s="1"/>
  <c r="R55" i="1"/>
  <c r="R54" i="1"/>
  <c r="R57" i="1" s="1"/>
  <c r="C60" i="1" l="1"/>
  <c r="C61" i="1" s="1"/>
  <c r="R58" i="1"/>
  <c r="G63" i="1" l="1"/>
  <c r="G65" i="1" s="1"/>
  <c r="G68" i="1" s="1"/>
  <c r="S55" i="1" l="1"/>
  <c r="T55" i="1" s="1"/>
  <c r="U55" i="1" s="1"/>
  <c r="V55" i="1" s="1"/>
  <c r="W55" i="1" s="1"/>
  <c r="X55" i="1" s="1"/>
  <c r="Y55" i="1" s="1"/>
  <c r="Z55" i="1" s="1"/>
  <c r="AA55" i="1" s="1"/>
  <c r="AB55" i="1" s="1"/>
  <c r="AC55" i="1" s="1"/>
  <c r="AD55" i="1" s="1"/>
  <c r="AE55" i="1" s="1"/>
  <c r="AF55" i="1" s="1"/>
  <c r="AG55" i="1" s="1"/>
  <c r="AH55" i="1" s="1"/>
  <c r="AI55" i="1" s="1"/>
  <c r="AJ55" i="1" s="1"/>
  <c r="AK55" i="1" s="1"/>
  <c r="AL55" i="1" s="1"/>
  <c r="AM55" i="1" s="1"/>
  <c r="AN55" i="1" s="1"/>
  <c r="AO55" i="1" s="1"/>
  <c r="AP55" i="1" s="1"/>
  <c r="AQ55" i="1" s="1"/>
  <c r="AR55" i="1" s="1"/>
  <c r="AS55" i="1" s="1"/>
  <c r="AT55" i="1" s="1"/>
  <c r="AU55" i="1" s="1"/>
  <c r="AV55" i="1" s="1"/>
  <c r="AW55" i="1" s="1"/>
  <c r="AX55" i="1" s="1"/>
  <c r="AY55" i="1" s="1"/>
  <c r="AZ55" i="1" s="1"/>
  <c r="BA55" i="1" s="1"/>
  <c r="BB55" i="1" s="1"/>
  <c r="BC55" i="1" s="1"/>
  <c r="BD55" i="1" s="1"/>
  <c r="BE55" i="1" s="1"/>
  <c r="BF55" i="1" s="1"/>
  <c r="BG55" i="1" s="1"/>
  <c r="BH55" i="1" s="1"/>
  <c r="BI55" i="1" s="1"/>
  <c r="BJ55" i="1" s="1"/>
  <c r="BK55" i="1" s="1"/>
  <c r="BL55" i="1" s="1"/>
  <c r="BM55" i="1" s="1"/>
  <c r="BN55" i="1" s="1"/>
  <c r="BO55" i="1" s="1"/>
  <c r="BP55" i="1" s="1"/>
  <c r="BQ55" i="1" s="1"/>
  <c r="BR55" i="1" s="1"/>
  <c r="BS55" i="1" s="1"/>
  <c r="BT55" i="1" s="1"/>
  <c r="BU55" i="1" s="1"/>
  <c r="BV55" i="1" s="1"/>
  <c r="BW55" i="1" s="1"/>
  <c r="BX55" i="1" s="1"/>
  <c r="BY55" i="1" s="1"/>
  <c r="BZ55" i="1" s="1"/>
  <c r="CA55" i="1" s="1"/>
  <c r="CB55" i="1" s="1"/>
  <c r="CC55" i="1" s="1"/>
  <c r="CD55" i="1" s="1"/>
  <c r="CE55" i="1" s="1"/>
  <c r="CF55" i="1" s="1"/>
  <c r="CG55" i="1" s="1"/>
  <c r="CH55" i="1" s="1"/>
  <c r="F60" i="1" l="1"/>
  <c r="H63" i="1" s="1"/>
  <c r="H65" i="1" s="1"/>
  <c r="H68" i="1" l="1"/>
  <c r="D68" i="1" s="1"/>
  <c r="L62" i="1" s="1"/>
  <c r="J6" i="1" l="1"/>
  <c r="N5" i="1" s="1"/>
</calcChain>
</file>

<file path=xl/sharedStrings.xml><?xml version="1.0" encoding="utf-8"?>
<sst xmlns="http://schemas.openxmlformats.org/spreadsheetml/2006/main" count="157" uniqueCount="122">
  <si>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</si>
  <si>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</si>
  <si>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</si>
  <si>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</si>
  <si>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</si>
  <si>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</si>
  <si>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</si>
  <si>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</si>
  <si>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</si>
  <si>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</si>
  <si>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</si>
  <si>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</si>
  <si>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</si>
  <si>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</si>
  <si>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</si>
  <si>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</si>
  <si>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</si>
  <si>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</si>
  <si>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</si>
  <si>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</si>
  <si>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</si>
  <si>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</si>
  <si>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</si>
  <si>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</si>
  <si>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</si>
  <si>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</si>
  <si>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</si>
  <si>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</si>
  <si>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</si>
  <si>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</si>
  <si>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</si>
  <si>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</si>
  <si>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</si>
  <si>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</si>
  <si>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</si>
  <si>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</si>
  <si>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</si>
  <si>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</si>
  <si>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</si>
  <si>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</si>
  <si>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</si>
  <si>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</si>
  <si>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</si>
  <si>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</si>
  <si>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</si>
  <si>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</si>
  <si>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</si>
  <si>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</si>
  <si>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</si>
  <si>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</si>
  <si>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</si>
  <si>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</si>
  <si>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 xml:space="preserve">                                             Terminal Growth Rate</t>
  </si>
  <si>
    <t>Last update</t>
  </si>
  <si>
    <t>Year Ended June 30,</t>
  </si>
  <si>
    <t>Revenue:</t>
  </si>
  <si>
    <t>Product</t>
  </si>
  <si>
    <t>Service and other</t>
  </si>
  <si>
    <t>Total revenue</t>
  </si>
  <si>
    <t>Cost of revenue:</t>
  </si>
  <si>
    <t>Total cost of revenue</t>
  </si>
  <si>
    <t>Gross margin</t>
  </si>
  <si>
    <t>Research and development</t>
  </si>
  <si>
    <t>Sales and marketing</t>
  </si>
  <si>
    <t>General and administrative</t>
  </si>
  <si>
    <t>Other income, net</t>
  </si>
  <si>
    <t>Income before income taxes</t>
  </si>
  <si>
    <t>Provision for income taxes</t>
  </si>
  <si>
    <t>Earnings per share:</t>
  </si>
  <si>
    <t>Basic</t>
  </si>
  <si>
    <t>Diluted</t>
  </si>
  <si>
    <t>Weighted average shares outstanding:</t>
  </si>
  <si>
    <t>S&amp;M</t>
  </si>
  <si>
    <t>G&amp;A</t>
  </si>
  <si>
    <t>Operations</t>
  </si>
  <si>
    <t>Adjustments to reconcile net income to net cash from operations:</t>
  </si>
  <si>
    <t>Depreciation, amortization, and other</t>
  </si>
  <si>
    <t>Stock-based compensation expense</t>
  </si>
  <si>
    <t>Net recognized gains on investments and derivatives</t>
  </si>
  <si>
    <t>Deferred income taxes</t>
  </si>
  <si>
    <t>Changes in operating assets and liabilities:</t>
  </si>
  <si>
    <t>Accounts receivable</t>
  </si>
  <si>
    <t>Inventories</t>
  </si>
  <si>
    <t>Other current assets</t>
  </si>
  <si>
    <t>Other long-term assets</t>
  </si>
  <si>
    <t>Accounts payable</t>
  </si>
  <si>
    <t>Unearned revenue</t>
  </si>
  <si>
    <t>Income taxes</t>
  </si>
  <si>
    <t>Other current liabilities</t>
  </si>
  <si>
    <t>Other long-term liabilities</t>
  </si>
  <si>
    <t>Net cash from operations</t>
  </si>
  <si>
    <t>Financing</t>
  </si>
  <si>
    <t>Repayments of debt</t>
  </si>
  <si>
    <t>Common stock issued</t>
  </si>
  <si>
    <t>Common stock repurchased</t>
  </si>
  <si>
    <t>Common stock cash dividends paid</t>
  </si>
  <si>
    <t>Other, net</t>
  </si>
  <si>
    <t>Investing</t>
  </si>
  <si>
    <t>Additions to property and equipment</t>
  </si>
  <si>
    <t>Acquisition of companies, net of cash acquired, and purchases of intangible and other assets</t>
  </si>
  <si>
    <t>Purchases of investments</t>
  </si>
  <si>
    <t>Maturities of investments</t>
  </si>
  <si>
    <t>Sales of investments</t>
  </si>
  <si>
    <t>Net cash used in investing</t>
  </si>
  <si>
    <t>Effect of foreign exchange rates on cash and cash equivalents</t>
  </si>
  <si>
    <t>Net change in cash and cash equivalents</t>
  </si>
  <si>
    <t>Cash and cash equivalents, beginning of period</t>
  </si>
  <si>
    <t>Cash and cash equivalents, end of period</t>
  </si>
  <si>
    <t>(In millions, except per share amounts)</t>
  </si>
  <si>
    <t>Restructuring</t>
  </si>
  <si>
    <t>$39,240</t>
  </si>
  <si>
    <t>$16,571</t>
  </si>
  <si>
    <t>$25,489</t>
  </si>
  <si>
    <t>(In millions)</t>
  </si>
  <si>
    <t>Repayments of short-term debt, maturities of 90 days or less, net</t>
  </si>
  <si>
    <t>Proceeds from issuance of debt</t>
  </si>
  <si>
    <t>Net cash from (used in) financing</t>
  </si>
  <si>
    <t>Securities lending payable</t>
  </si>
  <si>
    <t>$11,356</t>
  </si>
  <si>
    <t>$11,946</t>
  </si>
  <si>
    <t>$7,663</t>
  </si>
  <si>
    <t>Microsoft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</si>
</sst>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4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64" fontId="9" fillId="2" borderId="4" xfId="1" applyNumberFormat="1" applyFont="1" applyFill="1" applyBorder="1"/>
    <xf numFmtId="164" fontId="7" fillId="2" borderId="4" xfId="1" applyNumberFormat="1" applyFont="1" applyFill="1" applyBorder="1"/>
    <xf numFmtId="1" fontId="3" fillId="2" borderId="4" xfId="0" applyNumberFormat="1" applyFont="1" applyFill="1" applyBorder="1"/>
    <xf numFmtId="10" fontId="3" fillId="2" borderId="0" xfId="1" applyNumberFormat="1" applyFont="1" applyFill="1"/>
    <xf numFmtId="0" fontId="0" fillId="2" borderId="4" xfId="0" applyFill="1" applyBorder="1"/>
    <xf numFmtId="3" fontId="0" fillId="2" borderId="0" xfId="0" applyNumberFormat="1" applyFill="1"/>
    <xf numFmtId="3" fontId="3" fillId="0" borderId="0" xfId="0" applyNumberFormat="1" applyFont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0" fillId="2" borderId="5" xfId="0" applyNumberForma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8" xfId="0" applyFont="1" applyFill="1" applyBorder="1"/>
    <xf numFmtId="2" fontId="6" fillId="2" borderId="0" xfId="0" applyNumberFormat="1" applyFont="1" applyFill="1"/>
    <xf numFmtId="3" fontId="3" fillId="2" borderId="5" xfId="0" applyNumberFormat="1" applyFont="1" applyFill="1" applyBorder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0" fontId="10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9" xfId="0" applyFont="1" applyFill="1" applyBorder="1"/>
    <xf numFmtId="0" fontId="0" fillId="2" borderId="10" xfId="0" applyFill="1" applyBorder="1"/>
    <xf numFmtId="164" fontId="7" fillId="2" borderId="0" xfId="1" applyNumberFormat="1" applyFont="1" applyFill="1" applyBorder="1"/>
    <xf numFmtId="0" fontId="0" fillId="8" borderId="0" xfId="0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2" fontId="3" fillId="2" borderId="0" xfId="0" applyNumberFormat="1" applyFont="1" applyFill="1"/>
    <xf numFmtId="164" fontId="0" fillId="10" borderId="0" xfId="0" applyNumberFormat="1" applyFill="1"/>
    <xf numFmtId="164" fontId="0" fillId="10" borderId="0" xfId="0" applyNumberFormat="1" applyFill="1" applyAlignment="1">
      <alignment horizontal="left"/>
    </xf>
    <xf numFmtId="2" fontId="0" fillId="2" borderId="0" xfId="0" applyNumberFormat="1" applyFill="1"/>
    <xf numFmtId="2" fontId="0" fillId="3" borderId="0" xfId="0" applyNumberFormat="1" applyFill="1"/>
    <xf numFmtId="164" fontId="3" fillId="10" borderId="0" xfId="1" applyNumberFormat="1" applyFont="1" applyFill="1" applyBorder="1" applyAlignment="1">
      <alignment horizontal="left"/>
    </xf>
    <xf numFmtId="2" fontId="11" fillId="11" borderId="0" xfId="0" applyNumberFormat="1" applyFont="1" applyFill="1"/>
    <xf numFmtId="164" fontId="0" fillId="10" borderId="0" xfId="1" applyNumberFormat="1" applyFont="1" applyFill="1" applyBorder="1" applyAlignment="1">
      <alignment horizontal="left"/>
    </xf>
    <xf numFmtId="3" fontId="3" fillId="8" borderId="0" xfId="0" applyNumberFormat="1" applyFont="1" applyFill="1"/>
    <xf numFmtId="164" fontId="8" fillId="2" borderId="0" xfId="1" applyNumberFormat="1" applyFont="1" applyFill="1" applyBorder="1"/>
    <xf numFmtId="164" fontId="9" fillId="2" borderId="0" xfId="1" applyNumberFormat="1" applyFont="1" applyFill="1" applyBorder="1"/>
    <xf numFmtId="1" fontId="3" fillId="2" borderId="1" xfId="0" applyNumberFormat="1" applyFont="1" applyFill="1" applyBorder="1"/>
    <xf numFmtId="0" fontId="6" fillId="4" borderId="4" xfId="0" applyFont="1" applyFill="1" applyBorder="1"/>
    <xf numFmtId="164" fontId="8" fillId="2" borderId="4" xfId="1" applyNumberFormat="1" applyFont="1" applyFill="1" applyBorder="1"/>
    <xf numFmtId="1" fontId="3" fillId="2" borderId="12" xfId="0" applyNumberFormat="1" applyFont="1" applyFill="1" applyBorder="1"/>
    <xf numFmtId="10" fontId="8" fillId="2" borderId="4" xfId="0" applyNumberFormat="1" applyFont="1" applyFill="1" applyBorder="1"/>
    <xf numFmtId="3" fontId="3" fillId="2" borderId="4" xfId="0" applyNumberFormat="1" applyFont="1" applyFill="1" applyBorder="1"/>
    <xf numFmtId="0" fontId="6" fillId="3" borderId="4" xfId="0" applyFont="1" applyFill="1" applyBorder="1"/>
    <xf numFmtId="164" fontId="3" fillId="2" borderId="4" xfId="0" applyNumberFormat="1" applyFont="1" applyFill="1" applyBorder="1"/>
    <xf numFmtId="14" fontId="3" fillId="2" borderId="0" xfId="0" applyNumberFormat="1" applyFont="1" applyFill="1"/>
    <xf numFmtId="9" fontId="3" fillId="2" borderId="0" xfId="1" applyFont="1" applyFill="1" applyAlignment="1">
      <alignment horizontal="left"/>
    </xf>
    <xf numFmtId="165" fontId="2" fillId="2" borderId="11" xfId="0" applyNumberFormat="1" applyFont="1" applyFill="1" applyBorder="1"/>
    <xf numFmtId="1" fontId="3" fillId="2" borderId="0" xfId="0" applyNumberFormat="1" applyFont="1" applyFill="1" applyBorder="1"/>
    <xf numFmtId="10" fontId="8" fillId="2" borderId="0" xfId="0" applyNumberFormat="1" applyFont="1" applyFill="1" applyBorder="1"/>
    <xf numFmtId="3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 applyBorder="1"/>
    <xf numFmtId="164" fontId="3" fillId="2" borderId="0" xfId="0" applyNumberFormat="1" applyFont="1" applyFill="1" applyBorder="1"/>
    <xf numFmtId="3" fontId="3" fillId="0" borderId="4" xfId="0" applyNumberFormat="1" applyFont="1" applyBorder="1"/>
    <xf numFmtId="164" fontId="8" fillId="2" borderId="4" xfId="0" applyNumberFormat="1" applyFont="1" applyFill="1" applyBorder="1"/>
    <xf numFmtId="164" fontId="8" fillId="2" borderId="0" xfId="0" applyNumberFormat="1" applyFont="1" applyFill="1" applyBorder="1"/>
    <xf numFmtId="0" fontId="6" fillId="3" borderId="0" xfId="0" applyFont="1" applyFill="1" applyBorder="1"/>
    <xf numFmtId="3" fontId="3" fillId="0" borderId="0" xfId="0" applyNumberFormat="1" applyFont="1" applyBorder="1"/>
    <xf numFmtId="0" fontId="7" fillId="12" borderId="0" xfId="0" applyFont="1" applyFill="1"/>
    <xf numFmtId="164" fontId="7" fillId="12" borderId="0" xfId="1" applyNumberFormat="1" applyFont="1" applyFill="1"/>
    <xf numFmtId="164" fontId="3" fillId="1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69"/>
  <sheetViews>
    <sheetView tabSelected="1" workbookViewId="0">
      <selection activeCell="N38" sqref="N38"/>
    </sheetView>
  </sheetViews>
  <sheetFormatPr defaultRowHeight="15" x14ac:dyDescent="0.25"/>
  <cols>
    <col min="1" max="1" width="7.7109375" style="2" customWidth="1"/>
    <col min="2" max="2" width="14.5703125" style="2" customWidth="1"/>
    <col min="3" max="13" width="9.140625" style="2"/>
    <col min="14" max="14" width="10.7109375" style="2" bestFit="1" customWidth="1"/>
    <col min="15" max="15" width="9.140625" style="2"/>
    <col min="16" max="16" width="10.7109375" style="2" customWidth="1"/>
    <col min="17" max="18" width="9.140625" style="2"/>
    <col min="19" max="16384" width="9.140625" style="55"/>
  </cols>
  <sheetData>
    <row r="1" spans="1:8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86" ht="23.25" x14ac:dyDescent="0.35">
      <c r="A2" s="3"/>
      <c r="B2" s="4" t="s">
        <v>121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86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86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55"/>
      <c r="Q4" s="55"/>
    </row>
    <row r="5" spans="1:86" x14ac:dyDescent="0.25">
      <c r="A5" s="1"/>
      <c r="B5" s="1"/>
      <c r="C5" s="7" t="s">
        <v>1</v>
      </c>
      <c r="D5" s="1"/>
      <c r="E5" s="8">
        <f>WACC!K14</f>
        <v>9.5422770623237382E-2</v>
      </c>
      <c r="G5" s="1"/>
      <c r="H5" s="1" t="s">
        <v>2</v>
      </c>
      <c r="I5" s="1"/>
      <c r="J5" s="7">
        <v>310.64999999999998</v>
      </c>
      <c r="K5" s="1"/>
      <c r="L5" s="1" t="s">
        <v>3</v>
      </c>
      <c r="M5" s="1"/>
      <c r="N5" s="78">
        <f>(J6/J5)-1</f>
        <v>-0.15304254379389637</v>
      </c>
      <c r="O5" s="1"/>
      <c r="P5" s="1"/>
      <c r="Q5" s="1"/>
    </row>
    <row r="6" spans="1:86" x14ac:dyDescent="0.25">
      <c r="A6" s="1"/>
      <c r="B6" s="1"/>
      <c r="C6" s="7" t="s">
        <v>4</v>
      </c>
      <c r="D6" s="1"/>
      <c r="E6" s="8">
        <v>-0.01</v>
      </c>
      <c r="G6" s="1"/>
      <c r="H6" s="1" t="s">
        <v>5</v>
      </c>
      <c r="I6" s="1"/>
      <c r="J6" s="7">
        <f>D68</f>
        <v>263.10733377042607</v>
      </c>
      <c r="K6" s="1"/>
      <c r="L6" s="1" t="s">
        <v>53</v>
      </c>
      <c r="M6" s="1"/>
      <c r="N6" s="77">
        <v>45051</v>
      </c>
      <c r="O6" s="1"/>
      <c r="P6" s="1"/>
      <c r="Q6" s="1"/>
    </row>
    <row r="7" spans="1:86" x14ac:dyDescent="0.25">
      <c r="B7" s="77"/>
      <c r="C7" s="1"/>
      <c r="D7" s="1"/>
      <c r="E7" s="9"/>
      <c r="F7" s="1"/>
      <c r="G7" s="1"/>
      <c r="H7" s="1"/>
      <c r="I7" s="1"/>
      <c r="J7" s="1"/>
      <c r="K7" s="1"/>
      <c r="L7" s="61"/>
      <c r="M7" s="1"/>
      <c r="N7" s="1"/>
      <c r="O7" s="1"/>
      <c r="P7" s="1"/>
      <c r="Q7" s="1"/>
    </row>
    <row r="8" spans="1:86" x14ac:dyDescent="0.25">
      <c r="A8" s="1"/>
      <c r="B8" s="12"/>
      <c r="C8" s="1"/>
      <c r="D8" s="1"/>
      <c r="E8" s="41"/>
      <c r="F8" s="1"/>
      <c r="G8" s="1"/>
      <c r="H8" s="12"/>
      <c r="I8" s="1"/>
      <c r="J8" s="1"/>
      <c r="K8" s="1"/>
      <c r="L8" s="1"/>
      <c r="M8" s="1"/>
      <c r="N8" s="1"/>
      <c r="O8" s="1"/>
      <c r="P8" s="1"/>
      <c r="Q8" s="1"/>
    </row>
    <row r="9" spans="1:86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86" x14ac:dyDescent="0.25">
      <c r="A10" s="1"/>
      <c r="B10" s="10" t="s">
        <v>6</v>
      </c>
      <c r="C10" s="10">
        <v>2017</v>
      </c>
      <c r="D10" s="10">
        <v>2018</v>
      </c>
      <c r="E10" s="11">
        <v>2019</v>
      </c>
      <c r="F10" s="10">
        <v>2020</v>
      </c>
      <c r="G10" s="10">
        <v>2021</v>
      </c>
      <c r="H10" s="10">
        <v>2022</v>
      </c>
      <c r="I10" s="70">
        <v>2023</v>
      </c>
      <c r="J10" s="11">
        <v>2024</v>
      </c>
      <c r="K10" s="11">
        <v>2025</v>
      </c>
      <c r="L10" s="11">
        <v>2026</v>
      </c>
      <c r="M10" s="11">
        <v>2027</v>
      </c>
      <c r="N10" s="11">
        <v>2028</v>
      </c>
      <c r="O10" s="11">
        <v>2029</v>
      </c>
      <c r="P10" s="11">
        <v>2030</v>
      </c>
      <c r="Q10" s="11">
        <v>2031</v>
      </c>
      <c r="R10" s="11">
        <v>2032</v>
      </c>
      <c r="S10" s="10">
        <v>2033</v>
      </c>
      <c r="T10" s="10">
        <v>2034</v>
      </c>
      <c r="U10" s="10">
        <v>2035</v>
      </c>
      <c r="V10" s="10">
        <v>2036</v>
      </c>
      <c r="W10" s="10">
        <v>2037</v>
      </c>
      <c r="X10" s="10">
        <v>2038</v>
      </c>
      <c r="Y10" s="10">
        <v>2039</v>
      </c>
      <c r="Z10" s="10">
        <v>2040</v>
      </c>
      <c r="AA10" s="10">
        <v>2041</v>
      </c>
      <c r="AB10" s="10">
        <v>2042</v>
      </c>
      <c r="AC10" s="10">
        <v>2043</v>
      </c>
      <c r="AD10" s="10">
        <v>2044</v>
      </c>
      <c r="AE10" s="10">
        <v>2045</v>
      </c>
      <c r="AF10" s="10">
        <v>2046</v>
      </c>
      <c r="AG10" s="10">
        <v>2047</v>
      </c>
      <c r="AH10" s="10">
        <v>2048</v>
      </c>
      <c r="AI10" s="10">
        <v>2049</v>
      </c>
      <c r="AJ10" s="10">
        <v>2050</v>
      </c>
      <c r="AK10" s="10">
        <v>2051</v>
      </c>
      <c r="AL10" s="10">
        <v>2052</v>
      </c>
      <c r="AM10" s="10">
        <v>2053</v>
      </c>
      <c r="AN10" s="10">
        <v>2054</v>
      </c>
      <c r="AO10" s="10">
        <v>2055</v>
      </c>
      <c r="AP10" s="10">
        <v>2056</v>
      </c>
      <c r="AQ10" s="10">
        <v>2057</v>
      </c>
      <c r="AR10" s="10">
        <v>2058</v>
      </c>
      <c r="AS10" s="10">
        <v>2059</v>
      </c>
      <c r="AT10" s="10">
        <v>2060</v>
      </c>
      <c r="AU10" s="10">
        <v>2061</v>
      </c>
      <c r="AV10" s="10">
        <v>2062</v>
      </c>
      <c r="AW10" s="10">
        <v>2063</v>
      </c>
      <c r="AX10" s="10">
        <v>2064</v>
      </c>
      <c r="AY10" s="10">
        <v>2065</v>
      </c>
      <c r="AZ10" s="10">
        <v>2066</v>
      </c>
      <c r="BA10" s="10">
        <v>2067</v>
      </c>
      <c r="BB10" s="10">
        <v>2068</v>
      </c>
      <c r="BC10" s="10">
        <v>2069</v>
      </c>
      <c r="BD10" s="10">
        <v>2070</v>
      </c>
      <c r="BE10" s="10">
        <v>2071</v>
      </c>
      <c r="BF10" s="10">
        <v>2072</v>
      </c>
      <c r="BG10" s="10">
        <v>2073</v>
      </c>
      <c r="BH10" s="10">
        <v>2074</v>
      </c>
      <c r="BI10" s="10">
        <v>2075</v>
      </c>
      <c r="BJ10" s="10">
        <v>2076</v>
      </c>
      <c r="BK10" s="10">
        <v>2077</v>
      </c>
      <c r="BL10" s="10">
        <v>2078</v>
      </c>
      <c r="BM10" s="10">
        <v>2079</v>
      </c>
      <c r="BN10" s="10">
        <v>2080</v>
      </c>
      <c r="BO10" s="10">
        <v>2081</v>
      </c>
      <c r="BP10" s="10">
        <v>2082</v>
      </c>
      <c r="BQ10" s="10">
        <v>2083</v>
      </c>
      <c r="BR10" s="10">
        <v>2084</v>
      </c>
      <c r="BS10" s="10">
        <v>2085</v>
      </c>
      <c r="BT10" s="10">
        <v>2086</v>
      </c>
      <c r="BU10" s="10">
        <v>2087</v>
      </c>
      <c r="BV10" s="10">
        <v>2088</v>
      </c>
      <c r="BW10" s="10">
        <v>2089</v>
      </c>
      <c r="BX10" s="10">
        <v>2090</v>
      </c>
      <c r="BY10" s="10">
        <v>2091</v>
      </c>
      <c r="BZ10" s="10">
        <v>2092</v>
      </c>
      <c r="CA10" s="10">
        <v>2093</v>
      </c>
      <c r="CB10" s="10">
        <v>2094</v>
      </c>
      <c r="CC10" s="10">
        <v>2095</v>
      </c>
      <c r="CD10" s="10">
        <v>2096</v>
      </c>
      <c r="CE10" s="10">
        <v>2097</v>
      </c>
      <c r="CF10" s="10">
        <v>2098</v>
      </c>
      <c r="CG10" s="10">
        <v>2099</v>
      </c>
      <c r="CH10" s="10">
        <v>2100</v>
      </c>
    </row>
    <row r="11" spans="1:86" x14ac:dyDescent="0.25">
      <c r="A11" s="1"/>
      <c r="B11" s="1" t="s">
        <v>7</v>
      </c>
      <c r="C11" s="12">
        <v>96571</v>
      </c>
      <c r="D11" s="12">
        <v>110360</v>
      </c>
      <c r="E11" s="12">
        <v>125843</v>
      </c>
      <c r="F11" s="12">
        <v>143015</v>
      </c>
      <c r="G11" s="12">
        <v>168088</v>
      </c>
      <c r="H11" s="12">
        <v>198270</v>
      </c>
      <c r="I11" s="22">
        <f>H11*(1+I12)</f>
        <v>211157.55</v>
      </c>
      <c r="J11" s="80">
        <f t="shared" ref="J11:R11" si="1">I11*(1+J12)</f>
        <v>234807.19560000001</v>
      </c>
      <c r="K11" s="80">
        <f t="shared" si="1"/>
        <v>264392.90224560001</v>
      </c>
      <c r="L11" s="80">
        <f t="shared" si="1"/>
        <v>298235.19373303687</v>
      </c>
      <c r="M11" s="80">
        <f t="shared" si="1"/>
        <v>328356.94830007356</v>
      </c>
      <c r="N11" s="80">
        <f t="shared" si="1"/>
        <v>368416.49599268252</v>
      </c>
      <c r="O11" s="80">
        <f t="shared" si="1"/>
        <v>413363.30850378977</v>
      </c>
      <c r="P11" s="80">
        <f t="shared" si="1"/>
        <v>463793.63214125205</v>
      </c>
      <c r="Q11" s="80">
        <f t="shared" si="1"/>
        <v>520376.45526248473</v>
      </c>
      <c r="R11" s="80">
        <f t="shared" si="1"/>
        <v>583862.38280450786</v>
      </c>
    </row>
    <row r="12" spans="1:86" x14ac:dyDescent="0.25">
      <c r="A12" s="1"/>
      <c r="B12" s="91" t="s">
        <v>8</v>
      </c>
      <c r="C12" s="92"/>
      <c r="D12" s="92">
        <f>(D11/C11)-1</f>
        <v>0.14278613662486661</v>
      </c>
      <c r="E12" s="92">
        <f t="shared" ref="E12:H12" si="2">(E11/D11)-1</f>
        <v>0.14029539688292858</v>
      </c>
      <c r="F12" s="92">
        <f t="shared" si="2"/>
        <v>0.13645574247276371</v>
      </c>
      <c r="G12" s="92">
        <f t="shared" si="2"/>
        <v>0.17531727441177503</v>
      </c>
      <c r="H12" s="92">
        <f t="shared" si="2"/>
        <v>0.17956070629670173</v>
      </c>
      <c r="I12" s="71">
        <v>6.5000000000000002E-2</v>
      </c>
      <c r="J12" s="67">
        <v>0.112</v>
      </c>
      <c r="K12" s="67">
        <v>0.126</v>
      </c>
      <c r="L12" s="67">
        <v>0.128</v>
      </c>
      <c r="M12" s="67">
        <v>0.10100000000000001</v>
      </c>
      <c r="N12" s="67">
        <v>0.122</v>
      </c>
      <c r="O12" s="67">
        <v>0.122</v>
      </c>
      <c r="P12" s="67">
        <v>0.122</v>
      </c>
      <c r="Q12" s="67">
        <v>0.122</v>
      </c>
      <c r="R12" s="67">
        <v>0.122</v>
      </c>
    </row>
    <row r="13" spans="1:86" x14ac:dyDescent="0.25">
      <c r="A13" s="1"/>
      <c r="B13" s="6"/>
      <c r="C13" s="1"/>
      <c r="D13" s="1"/>
      <c r="E13" s="1"/>
      <c r="F13" s="1"/>
      <c r="G13" s="1"/>
      <c r="H13" s="1"/>
      <c r="I13" s="13"/>
      <c r="J13" s="83"/>
      <c r="K13" s="83"/>
      <c r="L13" s="83"/>
      <c r="M13" s="83"/>
      <c r="N13" s="83"/>
      <c r="O13" s="83"/>
      <c r="P13" s="83"/>
      <c r="Q13" s="83"/>
      <c r="R13" s="84"/>
    </row>
    <row r="14" spans="1:86" x14ac:dyDescent="0.25">
      <c r="A14" s="1"/>
      <c r="B14" s="1" t="s">
        <v>9</v>
      </c>
      <c r="C14" s="12">
        <v>34261</v>
      </c>
      <c r="D14" s="12">
        <v>38353</v>
      </c>
      <c r="E14" s="12">
        <v>42910</v>
      </c>
      <c r="F14" s="12">
        <v>46078</v>
      </c>
      <c r="G14" s="12">
        <v>52232</v>
      </c>
      <c r="H14" s="39">
        <v>62650</v>
      </c>
      <c r="I14" s="72">
        <f>I11-I16</f>
        <v>65669.998049999995</v>
      </c>
      <c r="J14" s="69">
        <f t="shared" ref="J14:K14" si="3">J11-J16</f>
        <v>73025.037831600028</v>
      </c>
      <c r="K14" s="69">
        <f t="shared" si="3"/>
        <v>82226.192598381604</v>
      </c>
      <c r="L14" s="69">
        <f t="shared" ref="L14:R14" si="4">L11-L16</f>
        <v>92751.145250974485</v>
      </c>
      <c r="M14" s="69">
        <f t="shared" si="4"/>
        <v>102119.01092132289</v>
      </c>
      <c r="N14" s="69">
        <f t="shared" si="4"/>
        <v>110524.94879780477</v>
      </c>
      <c r="O14" s="69">
        <f t="shared" si="4"/>
        <v>124008.99255113694</v>
      </c>
      <c r="P14" s="69">
        <f t="shared" si="4"/>
        <v>139138.08964237565</v>
      </c>
      <c r="Q14" s="69">
        <f t="shared" si="4"/>
        <v>156112.93657874543</v>
      </c>
      <c r="R14" s="69">
        <f t="shared" si="4"/>
        <v>175158.71484135237</v>
      </c>
    </row>
    <row r="15" spans="1:86" x14ac:dyDescent="0.25">
      <c r="A15" s="1"/>
      <c r="B15" s="18"/>
      <c r="C15" s="18"/>
      <c r="D15" s="18"/>
      <c r="E15" s="18"/>
      <c r="F15" s="18"/>
      <c r="G15" s="18"/>
      <c r="H15" s="18"/>
      <c r="I15" s="13"/>
      <c r="J15" s="83"/>
      <c r="K15" s="83"/>
      <c r="L15" s="83"/>
      <c r="M15" s="83"/>
      <c r="N15" s="83"/>
      <c r="O15" s="83"/>
      <c r="P15" s="83"/>
      <c r="Q15" s="83"/>
      <c r="R15" s="84"/>
    </row>
    <row r="16" spans="1:86" x14ac:dyDescent="0.25">
      <c r="A16" s="1"/>
      <c r="B16" s="1" t="s">
        <v>10</v>
      </c>
      <c r="C16" s="12">
        <f t="shared" ref="C16:F16" si="5">C11-C14</f>
        <v>62310</v>
      </c>
      <c r="D16" s="12">
        <f t="shared" si="5"/>
        <v>72007</v>
      </c>
      <c r="E16" s="12">
        <f t="shared" si="5"/>
        <v>82933</v>
      </c>
      <c r="F16" s="12">
        <f t="shared" si="5"/>
        <v>96937</v>
      </c>
      <c r="G16" s="12">
        <f>G11-G14</f>
        <v>115856</v>
      </c>
      <c r="H16" s="12">
        <f>H11-H14</f>
        <v>135620</v>
      </c>
      <c r="I16" s="22">
        <f>I11*I17</f>
        <v>145487.55194999999</v>
      </c>
      <c r="J16" s="80">
        <f t="shared" ref="J16:R16" si="6">J11*J17</f>
        <v>161782.15776839998</v>
      </c>
      <c r="K16" s="80">
        <f t="shared" si="6"/>
        <v>182166.70964721841</v>
      </c>
      <c r="L16" s="80">
        <f t="shared" si="6"/>
        <v>205484.04848206238</v>
      </c>
      <c r="M16" s="80">
        <f t="shared" si="6"/>
        <v>226237.93737875068</v>
      </c>
      <c r="N16" s="80">
        <f t="shared" si="6"/>
        <v>257891.54719487776</v>
      </c>
      <c r="O16" s="80">
        <f t="shared" si="6"/>
        <v>289354.31595265283</v>
      </c>
      <c r="P16" s="80">
        <f t="shared" si="6"/>
        <v>324655.5424988764</v>
      </c>
      <c r="Q16" s="80">
        <f t="shared" si="6"/>
        <v>364263.5186837393</v>
      </c>
      <c r="R16" s="80">
        <f t="shared" si="6"/>
        <v>408703.66796315549</v>
      </c>
    </row>
    <row r="17" spans="1:18" x14ac:dyDescent="0.25">
      <c r="A17" s="1"/>
      <c r="B17" s="91" t="s">
        <v>11</v>
      </c>
      <c r="C17" s="92">
        <f>C16/C11</f>
        <v>0.64522475691460168</v>
      </c>
      <c r="D17" s="92">
        <f t="shared" ref="D17:H17" si="7">D16/D11</f>
        <v>0.65247372236317502</v>
      </c>
      <c r="E17" s="92">
        <f t="shared" si="7"/>
        <v>0.65901957200638894</v>
      </c>
      <c r="F17" s="92">
        <f t="shared" si="7"/>
        <v>0.67781001992797962</v>
      </c>
      <c r="G17" s="92">
        <f t="shared" si="7"/>
        <v>0.68925800771024703</v>
      </c>
      <c r="H17" s="92">
        <f t="shared" si="7"/>
        <v>0.68401674484289099</v>
      </c>
      <c r="I17" s="87">
        <v>0.68899999999999995</v>
      </c>
      <c r="J17" s="88">
        <v>0.68899999999999995</v>
      </c>
      <c r="K17" s="88">
        <v>0.68899999999999995</v>
      </c>
      <c r="L17" s="88">
        <v>0.68899999999999995</v>
      </c>
      <c r="M17" s="88">
        <v>0.68899999999999995</v>
      </c>
      <c r="N17" s="88">
        <v>0.7</v>
      </c>
      <c r="O17" s="88">
        <v>0.7</v>
      </c>
      <c r="P17" s="88">
        <v>0.7</v>
      </c>
      <c r="Q17" s="88">
        <v>0.7</v>
      </c>
      <c r="R17" s="88">
        <v>0.7</v>
      </c>
    </row>
    <row r="18" spans="1:18" x14ac:dyDescent="0.25">
      <c r="A18" s="1"/>
      <c r="B18" s="6"/>
      <c r="C18" s="1"/>
      <c r="D18" s="1"/>
      <c r="E18" s="1"/>
      <c r="F18" s="1"/>
      <c r="G18" s="1"/>
      <c r="H18" s="1"/>
      <c r="I18" s="13"/>
      <c r="J18" s="83"/>
      <c r="K18" s="83"/>
      <c r="L18" s="83"/>
      <c r="M18" s="83"/>
      <c r="N18" s="83"/>
      <c r="O18" s="83"/>
      <c r="P18" s="83"/>
      <c r="Q18" s="83"/>
      <c r="R18" s="84"/>
    </row>
    <row r="19" spans="1:18" x14ac:dyDescent="0.25">
      <c r="A19" s="1"/>
      <c r="B19" s="1" t="s">
        <v>12</v>
      </c>
      <c r="C19" s="12">
        <v>13037</v>
      </c>
      <c r="D19" s="12">
        <v>14726</v>
      </c>
      <c r="E19" s="12">
        <v>16876</v>
      </c>
      <c r="F19" s="12">
        <v>19269</v>
      </c>
      <c r="G19" s="12">
        <v>20716</v>
      </c>
      <c r="H19" s="12">
        <v>24512</v>
      </c>
      <c r="I19" s="22">
        <f>I20*I11</f>
        <v>26183.536199999999</v>
      </c>
      <c r="J19" s="80">
        <f t="shared" ref="J19:R19" si="8">J20*J11</f>
        <v>29116.092254400002</v>
      </c>
      <c r="K19" s="80">
        <f t="shared" si="8"/>
        <v>32784.719878454402</v>
      </c>
      <c r="L19" s="80">
        <f t="shared" si="8"/>
        <v>36981.16402289657</v>
      </c>
      <c r="M19" s="80">
        <f t="shared" si="8"/>
        <v>37761.049054508461</v>
      </c>
      <c r="N19" s="80">
        <f t="shared" si="8"/>
        <v>42367.897039158495</v>
      </c>
      <c r="O19" s="80">
        <f t="shared" si="8"/>
        <v>47536.780477935827</v>
      </c>
      <c r="P19" s="80">
        <f t="shared" si="8"/>
        <v>53336.267696243987</v>
      </c>
      <c r="Q19" s="80">
        <f t="shared" si="8"/>
        <v>54639.527802560893</v>
      </c>
      <c r="R19" s="80">
        <f t="shared" si="8"/>
        <v>61305.550194473326</v>
      </c>
    </row>
    <row r="20" spans="1:18" x14ac:dyDescent="0.25">
      <c r="A20" s="1"/>
      <c r="B20" s="91" t="s">
        <v>18</v>
      </c>
      <c r="C20" s="92">
        <f>C19/C11</f>
        <v>0.13499911981857907</v>
      </c>
      <c r="D20" s="92">
        <f t="shared" ref="D20:H20" si="9">D19/D11</f>
        <v>0.13343602754621239</v>
      </c>
      <c r="E20" s="92">
        <f t="shared" si="9"/>
        <v>0.13410360528595155</v>
      </c>
      <c r="F20" s="92">
        <f t="shared" si="9"/>
        <v>0.1347341187987274</v>
      </c>
      <c r="G20" s="92">
        <f t="shared" si="9"/>
        <v>0.12324496692208843</v>
      </c>
      <c r="H20" s="92">
        <f t="shared" si="9"/>
        <v>0.12362939426035205</v>
      </c>
      <c r="I20" s="71">
        <v>0.124</v>
      </c>
      <c r="J20" s="67">
        <v>0.124</v>
      </c>
      <c r="K20" s="67">
        <v>0.124</v>
      </c>
      <c r="L20" s="67">
        <v>0.124</v>
      </c>
      <c r="M20" s="67">
        <v>0.115</v>
      </c>
      <c r="N20" s="67">
        <v>0.115</v>
      </c>
      <c r="O20" s="67">
        <v>0.115</v>
      </c>
      <c r="P20" s="67">
        <v>0.115</v>
      </c>
      <c r="Q20" s="67">
        <v>0.105</v>
      </c>
      <c r="R20" s="67">
        <v>0.105</v>
      </c>
    </row>
    <row r="21" spans="1:18" x14ac:dyDescent="0.25">
      <c r="A21" s="1"/>
      <c r="B21" s="14"/>
      <c r="C21" s="12"/>
      <c r="D21" s="12"/>
      <c r="E21" s="12"/>
      <c r="F21" s="12"/>
      <c r="G21" s="12"/>
      <c r="H21" s="12"/>
      <c r="I21" s="22"/>
      <c r="J21" s="80"/>
      <c r="K21" s="80"/>
      <c r="L21" s="80"/>
      <c r="M21" s="80"/>
      <c r="N21" s="80"/>
      <c r="O21" s="80"/>
      <c r="P21" s="80"/>
      <c r="Q21" s="80"/>
      <c r="R21" s="80"/>
    </row>
    <row r="22" spans="1:18" x14ac:dyDescent="0.25">
      <c r="A22" s="1"/>
      <c r="B22" s="1" t="s">
        <v>72</v>
      </c>
      <c r="C22" s="12">
        <v>15461</v>
      </c>
      <c r="D22" s="12">
        <v>17469</v>
      </c>
      <c r="E22" s="12">
        <v>18213</v>
      </c>
      <c r="F22" s="12">
        <v>19598</v>
      </c>
      <c r="G22" s="12">
        <v>20117</v>
      </c>
      <c r="H22" s="12">
        <v>21825</v>
      </c>
      <c r="I22" s="22">
        <f>I23*I11</f>
        <v>23227.3305</v>
      </c>
      <c r="J22" s="80">
        <f t="shared" ref="J22:R22" si="10">J23*J11</f>
        <v>25828.791516000001</v>
      </c>
      <c r="K22" s="80">
        <f t="shared" si="10"/>
        <v>26439.290224560002</v>
      </c>
      <c r="L22" s="80">
        <f t="shared" si="10"/>
        <v>29823.519373303687</v>
      </c>
      <c r="M22" s="80">
        <f t="shared" si="10"/>
        <v>32835.694830007356</v>
      </c>
      <c r="N22" s="80">
        <f t="shared" si="10"/>
        <v>36841.649599268254</v>
      </c>
      <c r="O22" s="80">
        <f t="shared" si="10"/>
        <v>41336.330850378981</v>
      </c>
      <c r="P22" s="80">
        <f t="shared" si="10"/>
        <v>41741.426892712683</v>
      </c>
      <c r="Q22" s="80">
        <f t="shared" si="10"/>
        <v>46833.880973623622</v>
      </c>
      <c r="R22" s="80">
        <f t="shared" si="10"/>
        <v>52547.614452405702</v>
      </c>
    </row>
    <row r="23" spans="1:18" x14ac:dyDescent="0.25">
      <c r="A23" s="1"/>
      <c r="B23" s="91" t="s">
        <v>18</v>
      </c>
      <c r="C23" s="92">
        <f>C22/C11</f>
        <v>0.16009982292820826</v>
      </c>
      <c r="D23" s="92">
        <f t="shared" ref="D23:H23" si="11">D22/D11</f>
        <v>0.15829104748097136</v>
      </c>
      <c r="E23" s="92">
        <f t="shared" si="11"/>
        <v>0.14472795467368069</v>
      </c>
      <c r="F23" s="92">
        <f t="shared" si="11"/>
        <v>0.13703457679264414</v>
      </c>
      <c r="G23" s="92">
        <f t="shared" si="11"/>
        <v>0.1196813573842273</v>
      </c>
      <c r="H23" s="92">
        <f t="shared" si="11"/>
        <v>0.11007716749886519</v>
      </c>
      <c r="I23" s="71">
        <v>0.11</v>
      </c>
      <c r="J23" s="67">
        <v>0.11</v>
      </c>
      <c r="K23" s="67">
        <v>0.1</v>
      </c>
      <c r="L23" s="67">
        <v>0.1</v>
      </c>
      <c r="M23" s="67">
        <v>0.1</v>
      </c>
      <c r="N23" s="67">
        <v>0.1</v>
      </c>
      <c r="O23" s="67">
        <v>0.1</v>
      </c>
      <c r="P23" s="67">
        <v>0.09</v>
      </c>
      <c r="Q23" s="67">
        <v>0.09</v>
      </c>
      <c r="R23" s="67">
        <v>0.09</v>
      </c>
    </row>
    <row r="24" spans="1:18" x14ac:dyDescent="0.25">
      <c r="A24" s="1"/>
      <c r="B24" s="14"/>
      <c r="C24" s="12"/>
      <c r="D24" s="12"/>
      <c r="E24" s="12"/>
      <c r="F24" s="12"/>
      <c r="G24" s="12"/>
      <c r="H24" s="12"/>
      <c r="I24" s="22"/>
      <c r="J24" s="80"/>
      <c r="K24" s="80"/>
      <c r="L24" s="80"/>
      <c r="M24" s="80"/>
      <c r="N24" s="80"/>
      <c r="O24" s="80"/>
      <c r="P24" s="80"/>
      <c r="Q24" s="80"/>
      <c r="R24" s="80"/>
    </row>
    <row r="25" spans="1:18" x14ac:dyDescent="0.25">
      <c r="A25" s="1"/>
      <c r="B25" s="1" t="s">
        <v>73</v>
      </c>
      <c r="C25" s="12">
        <f>4481+306</f>
        <v>4787</v>
      </c>
      <c r="D25" s="12">
        <v>4754</v>
      </c>
      <c r="E25" s="12">
        <v>4885</v>
      </c>
      <c r="F25" s="12">
        <v>5111</v>
      </c>
      <c r="G25" s="12">
        <v>5107</v>
      </c>
      <c r="H25" s="12">
        <v>5900</v>
      </c>
      <c r="I25" s="74">
        <f t="shared" ref="I25:R25" si="12">I26*I11</f>
        <v>7390.5142500000002</v>
      </c>
      <c r="J25" s="82">
        <f t="shared" si="12"/>
        <v>8218.251846000001</v>
      </c>
      <c r="K25" s="82">
        <f t="shared" si="12"/>
        <v>9253.7515785960004</v>
      </c>
      <c r="L25" s="82">
        <f t="shared" si="12"/>
        <v>11929.407749321475</v>
      </c>
      <c r="M25" s="82">
        <f t="shared" si="12"/>
        <v>13134.277932002942</v>
      </c>
      <c r="N25" s="82">
        <f t="shared" si="12"/>
        <v>14736.659839707301</v>
      </c>
      <c r="O25" s="82">
        <f t="shared" si="12"/>
        <v>16534.532340151593</v>
      </c>
      <c r="P25" s="82">
        <f t="shared" si="12"/>
        <v>18551.745285650082</v>
      </c>
      <c r="Q25" s="82">
        <f t="shared" si="12"/>
        <v>20815.058210499388</v>
      </c>
      <c r="R25" s="82">
        <f t="shared" si="12"/>
        <v>23354.495312180316</v>
      </c>
    </row>
    <row r="26" spans="1:18" x14ac:dyDescent="0.25">
      <c r="A26" s="1"/>
      <c r="B26" s="91" t="s">
        <v>18</v>
      </c>
      <c r="C26" s="92">
        <f t="shared" ref="C26:H26" si="13">C25/C11</f>
        <v>4.9569746611301528E-2</v>
      </c>
      <c r="D26" s="92">
        <f t="shared" si="13"/>
        <v>4.3077201884740846E-2</v>
      </c>
      <c r="E26" s="92">
        <f t="shared" si="13"/>
        <v>3.8818209991815199E-2</v>
      </c>
      <c r="F26" s="92">
        <f t="shared" si="13"/>
        <v>3.5737510051393209E-2</v>
      </c>
      <c r="G26" s="92">
        <f t="shared" si="13"/>
        <v>3.0382894674218265E-2</v>
      </c>
      <c r="H26" s="92">
        <f t="shared" si="13"/>
        <v>2.9757401523175468E-2</v>
      </c>
      <c r="I26" s="20">
        <v>3.5000000000000003E-2</v>
      </c>
      <c r="J26" s="68">
        <v>3.5000000000000003E-2</v>
      </c>
      <c r="K26" s="68">
        <v>3.5000000000000003E-2</v>
      </c>
      <c r="L26" s="68">
        <v>0.04</v>
      </c>
      <c r="M26" s="68">
        <v>0.04</v>
      </c>
      <c r="N26" s="68">
        <v>0.04</v>
      </c>
      <c r="O26" s="68">
        <v>0.04</v>
      </c>
      <c r="P26" s="68">
        <v>0.04</v>
      </c>
      <c r="Q26" s="68">
        <v>0.04</v>
      </c>
      <c r="R26" s="68">
        <v>0.04</v>
      </c>
    </row>
    <row r="27" spans="1:18" x14ac:dyDescent="0.25">
      <c r="A27" s="1"/>
      <c r="B27" s="14"/>
      <c r="C27" s="12"/>
      <c r="D27" s="12"/>
      <c r="E27" s="12"/>
      <c r="F27" s="12"/>
      <c r="G27" s="12"/>
      <c r="H27" s="12"/>
      <c r="I27" s="74"/>
      <c r="J27" s="82"/>
      <c r="K27" s="82"/>
      <c r="L27" s="82"/>
      <c r="M27" s="82"/>
      <c r="N27" s="82"/>
      <c r="O27" s="82"/>
      <c r="P27" s="82"/>
      <c r="Q27" s="82"/>
      <c r="R27" s="82"/>
    </row>
    <row r="28" spans="1:18" x14ac:dyDescent="0.25">
      <c r="A28" s="1"/>
      <c r="B28" s="1" t="s">
        <v>15</v>
      </c>
      <c r="C28" s="12">
        <v>876</v>
      </c>
      <c r="D28" s="12">
        <v>1416</v>
      </c>
      <c r="E28" s="12">
        <v>729</v>
      </c>
      <c r="F28" s="12">
        <v>77</v>
      </c>
      <c r="G28" s="12">
        <v>1186</v>
      </c>
      <c r="H28" s="12">
        <v>333</v>
      </c>
      <c r="I28" s="74">
        <f>I29*I11</f>
        <v>1055.78775</v>
      </c>
      <c r="J28" s="82">
        <f>J29*J11</f>
        <v>1174.0359780000001</v>
      </c>
      <c r="K28" s="82">
        <f>K29*K11</f>
        <v>1321.964511228</v>
      </c>
      <c r="L28" s="82">
        <f>L29*L11</f>
        <v>1491.1759686651844</v>
      </c>
      <c r="M28" s="82">
        <f>M29*M11</f>
        <v>1641.7847415003678</v>
      </c>
      <c r="N28" s="82">
        <f>N29*N11</f>
        <v>1842.0824799634127</v>
      </c>
      <c r="O28" s="82">
        <f>O29*O11</f>
        <v>2066.8165425189491</v>
      </c>
      <c r="P28" s="82">
        <f>P29*P11</f>
        <v>2318.9681607062603</v>
      </c>
      <c r="Q28" s="82">
        <f>Q29*Q11</f>
        <v>2601.8822763124235</v>
      </c>
      <c r="R28" s="82">
        <f>R29*R11</f>
        <v>2919.3119140225394</v>
      </c>
    </row>
    <row r="29" spans="1:18" x14ac:dyDescent="0.25">
      <c r="A29" s="1"/>
      <c r="B29" s="91" t="s">
        <v>18</v>
      </c>
      <c r="C29" s="92">
        <f>C28/C11</f>
        <v>9.0710461732818343E-3</v>
      </c>
      <c r="D29" s="92">
        <f>D28/D11</f>
        <v>1.2830735773831098E-2</v>
      </c>
      <c r="E29" s="92">
        <f>E28/E11</f>
        <v>5.7929324634663831E-3</v>
      </c>
      <c r="F29" s="92">
        <f>F28/F11</f>
        <v>5.3840506240604132E-4</v>
      </c>
      <c r="G29" s="92">
        <f>G28/G11</f>
        <v>7.0558278996716009E-3</v>
      </c>
      <c r="H29" s="92">
        <f>H28/H11</f>
        <v>1.6795279164775307E-3</v>
      </c>
      <c r="I29" s="20">
        <v>5.0000000000000001E-3</v>
      </c>
      <c r="J29" s="68">
        <v>5.0000000000000001E-3</v>
      </c>
      <c r="K29" s="68">
        <v>5.0000000000000001E-3</v>
      </c>
      <c r="L29" s="68">
        <v>5.0000000000000001E-3</v>
      </c>
      <c r="M29" s="68">
        <v>5.0000000000000001E-3</v>
      </c>
      <c r="N29" s="68">
        <v>5.0000000000000001E-3</v>
      </c>
      <c r="O29" s="68">
        <v>5.0000000000000001E-3</v>
      </c>
      <c r="P29" s="68">
        <v>5.0000000000000001E-3</v>
      </c>
      <c r="Q29" s="68">
        <v>5.0000000000000001E-3</v>
      </c>
      <c r="R29" s="68">
        <v>5.0000000000000001E-3</v>
      </c>
    </row>
    <row r="30" spans="1:18" x14ac:dyDescent="0.25">
      <c r="A30" s="1"/>
      <c r="B30" s="1"/>
      <c r="C30" s="1"/>
      <c r="D30" s="1"/>
      <c r="E30" s="1"/>
      <c r="F30" s="12"/>
      <c r="G30" s="12"/>
      <c r="H30" s="12"/>
      <c r="I30" s="13"/>
      <c r="J30" s="83"/>
      <c r="K30" s="83"/>
      <c r="L30" s="83"/>
      <c r="M30" s="83"/>
      <c r="N30" s="83"/>
      <c r="O30" s="83"/>
      <c r="P30" s="83"/>
      <c r="Q30" s="83"/>
      <c r="R30" s="84"/>
    </row>
    <row r="31" spans="1:18" x14ac:dyDescent="0.25">
      <c r="A31" s="1"/>
      <c r="B31" s="1" t="s">
        <v>13</v>
      </c>
      <c r="C31" s="12">
        <f>C19+C22+C25</f>
        <v>33285</v>
      </c>
      <c r="D31" s="12">
        <f>D19+D22+D25</f>
        <v>36949</v>
      </c>
      <c r="E31" s="12">
        <f>E19+E22+E25</f>
        <v>39974</v>
      </c>
      <c r="F31" s="12">
        <f>F19+F22+F25</f>
        <v>43978</v>
      </c>
      <c r="G31" s="12">
        <f>G19+G22+G25</f>
        <v>45940</v>
      </c>
      <c r="H31" s="12">
        <f>H19+H22+H25</f>
        <v>52237</v>
      </c>
      <c r="I31" s="74">
        <f>I19+I22+I25</f>
        <v>56801.380949999999</v>
      </c>
      <c r="J31" s="82">
        <f>J19+J22+J25</f>
        <v>63163.135616400003</v>
      </c>
      <c r="K31" s="82">
        <f>K19+K22+K25</f>
        <v>68477.761681610398</v>
      </c>
      <c r="L31" s="82">
        <f>L19+L22+L25</f>
        <v>78734.091145521728</v>
      </c>
      <c r="M31" s="82">
        <f>M19+M22+M25</f>
        <v>83731.021816518754</v>
      </c>
      <c r="N31" s="82">
        <f>N19+N22+N25</f>
        <v>93946.206478134045</v>
      </c>
      <c r="O31" s="82">
        <f>O19+O22+O25</f>
        <v>105407.64366846641</v>
      </c>
      <c r="P31" s="82">
        <f>P19+P22+P25</f>
        <v>113629.43987460676</v>
      </c>
      <c r="Q31" s="82">
        <f>Q19+Q22+Q25</f>
        <v>122288.4669866839</v>
      </c>
      <c r="R31" s="82">
        <f>R19+R22+R25</f>
        <v>137207.65995905935</v>
      </c>
    </row>
    <row r="32" spans="1:18" x14ac:dyDescent="0.25">
      <c r="A32" s="1"/>
      <c r="B32" s="91" t="s">
        <v>18</v>
      </c>
      <c r="C32" s="92">
        <f>C31/C11</f>
        <v>0.34466868935808886</v>
      </c>
      <c r="D32" s="92">
        <f>D31/D11</f>
        <v>0.3348042769119246</v>
      </c>
      <c r="E32" s="92">
        <f>E31/E11</f>
        <v>0.31764976995144745</v>
      </c>
      <c r="F32" s="92">
        <f>F31/F11</f>
        <v>0.30750620564276476</v>
      </c>
      <c r="G32" s="92">
        <f>G31/G11</f>
        <v>0.27330921898053401</v>
      </c>
      <c r="H32" s="92">
        <f>H31/H11</f>
        <v>0.26346396328239269</v>
      </c>
      <c r="I32" s="20">
        <f>I31/I11</f>
        <v>0.26900000000000002</v>
      </c>
      <c r="J32" s="68">
        <f>J31/J11</f>
        <v>0.26900000000000002</v>
      </c>
      <c r="K32" s="68">
        <f>K31/K11</f>
        <v>0.25900000000000001</v>
      </c>
      <c r="L32" s="68">
        <f>L31/L11</f>
        <v>0.26399999999999996</v>
      </c>
      <c r="M32" s="68">
        <f>M31/M11</f>
        <v>0.255</v>
      </c>
      <c r="N32" s="68">
        <f>N31/N11</f>
        <v>0.255</v>
      </c>
      <c r="O32" s="68">
        <f>O31/O11</f>
        <v>0.25500000000000006</v>
      </c>
      <c r="P32" s="68">
        <f>P31/P11</f>
        <v>0.24500000000000002</v>
      </c>
      <c r="Q32" s="68">
        <f>Q31/Q11</f>
        <v>0.23499999999999996</v>
      </c>
      <c r="R32" s="68">
        <f>R31/R11</f>
        <v>0.23500000000000001</v>
      </c>
    </row>
    <row r="33" spans="1:86" x14ac:dyDescent="0.25">
      <c r="A33" s="1"/>
      <c r="B33" s="1"/>
      <c r="C33" s="15"/>
      <c r="D33" s="15"/>
      <c r="E33" s="15"/>
      <c r="F33" s="15"/>
      <c r="G33" s="15"/>
      <c r="H33" s="15"/>
      <c r="I33" s="21"/>
      <c r="J33" s="54"/>
      <c r="K33" s="54"/>
      <c r="L33" s="54"/>
      <c r="M33" s="54"/>
      <c r="N33" s="54"/>
      <c r="O33" s="54"/>
      <c r="P33" s="54"/>
      <c r="Q33" s="54"/>
      <c r="R33" s="54"/>
    </row>
    <row r="34" spans="1:86" x14ac:dyDescent="0.25">
      <c r="A34" s="1"/>
      <c r="B34" s="1" t="s">
        <v>14</v>
      </c>
      <c r="C34" s="12">
        <f>C16-C19-C22-C25</f>
        <v>29025</v>
      </c>
      <c r="D34" s="12">
        <f>D16-D19-D22-D25</f>
        <v>35058</v>
      </c>
      <c r="E34" s="12">
        <f>E16-E19-E22-E25</f>
        <v>42959</v>
      </c>
      <c r="F34" s="12">
        <f>F16-F19-F22-F25</f>
        <v>52959</v>
      </c>
      <c r="G34" s="12">
        <f>G16-G19-G22-G25</f>
        <v>69916</v>
      </c>
      <c r="H34" s="12">
        <f>H16-H19-H22-H25</f>
        <v>83383</v>
      </c>
      <c r="I34" s="74">
        <f>I16-I19-I22-I25</f>
        <v>88686.171000000002</v>
      </c>
      <c r="J34" s="82">
        <f>J16-J19-J22-J25</f>
        <v>98619.02215199999</v>
      </c>
      <c r="K34" s="82">
        <f>K16-K19-K22-K25</f>
        <v>113688.94796560801</v>
      </c>
      <c r="L34" s="82">
        <f>L16-L19-L22-L25</f>
        <v>126749.95733654064</v>
      </c>
      <c r="M34" s="82">
        <f>M16-M19-M22-M25</f>
        <v>142506.91556223191</v>
      </c>
      <c r="N34" s="82">
        <f>N16-N19-N22-N25</f>
        <v>163945.3407167437</v>
      </c>
      <c r="O34" s="82">
        <f>O16-O19-O22-O25</f>
        <v>183946.67228418641</v>
      </c>
      <c r="P34" s="82">
        <f>P16-P19-P22-P25</f>
        <v>211026.10262426964</v>
      </c>
      <c r="Q34" s="82">
        <f>Q16-Q19-Q22-Q25</f>
        <v>241975.05169705543</v>
      </c>
      <c r="R34" s="82">
        <f>R16-R19-R22-R25</f>
        <v>271496.00800409616</v>
      </c>
    </row>
    <row r="35" spans="1:86" x14ac:dyDescent="0.25">
      <c r="A35" s="1"/>
      <c r="B35" s="1"/>
      <c r="C35" s="23"/>
      <c r="D35" s="23"/>
      <c r="E35" s="23"/>
      <c r="F35" s="23"/>
      <c r="G35" s="23"/>
      <c r="H35" s="23"/>
      <c r="I35" s="24"/>
      <c r="J35" s="84"/>
      <c r="K35" s="84"/>
      <c r="L35" s="84"/>
      <c r="M35" s="84"/>
      <c r="N35" s="84"/>
      <c r="O35" s="84"/>
      <c r="P35" s="84"/>
      <c r="Q35" s="84"/>
      <c r="R35" s="84"/>
    </row>
    <row r="36" spans="1:86" x14ac:dyDescent="0.25">
      <c r="A36" s="1"/>
      <c r="B36" s="1" t="s">
        <v>16</v>
      </c>
      <c r="C36" s="12">
        <f t="shared" ref="C36:G36" si="14">C34+C28</f>
        <v>29901</v>
      </c>
      <c r="D36" s="12">
        <f t="shared" si="14"/>
        <v>36474</v>
      </c>
      <c r="E36" s="12">
        <f t="shared" si="14"/>
        <v>43688</v>
      </c>
      <c r="F36" s="12">
        <f t="shared" si="14"/>
        <v>53036</v>
      </c>
      <c r="G36" s="12">
        <f t="shared" si="14"/>
        <v>71102</v>
      </c>
      <c r="H36" s="12">
        <f>H34+H28</f>
        <v>83716</v>
      </c>
      <c r="I36" s="74">
        <f>I34+I28</f>
        <v>89741.958750000005</v>
      </c>
      <c r="J36" s="82">
        <f t="shared" ref="I36:R36" si="15">J34+J28</f>
        <v>99793.05812999999</v>
      </c>
      <c r="K36" s="82">
        <f t="shared" si="15"/>
        <v>115010.91247683601</v>
      </c>
      <c r="L36" s="82">
        <f t="shared" si="15"/>
        <v>128241.13330520582</v>
      </c>
      <c r="M36" s="82">
        <f t="shared" si="15"/>
        <v>144148.70030373227</v>
      </c>
      <c r="N36" s="82">
        <f t="shared" si="15"/>
        <v>165787.4231967071</v>
      </c>
      <c r="O36" s="82">
        <f t="shared" si="15"/>
        <v>186013.48882670535</v>
      </c>
      <c r="P36" s="82">
        <f t="shared" si="15"/>
        <v>213345.07078497589</v>
      </c>
      <c r="Q36" s="82">
        <f t="shared" si="15"/>
        <v>244576.93397336785</v>
      </c>
      <c r="R36" s="82">
        <f t="shared" si="15"/>
        <v>274415.31991811871</v>
      </c>
    </row>
    <row r="37" spans="1:86" x14ac:dyDescent="0.25">
      <c r="A37" s="1"/>
      <c r="B37" s="1"/>
      <c r="C37" s="23"/>
      <c r="D37" s="23"/>
      <c r="E37" s="23"/>
      <c r="F37" s="23"/>
      <c r="G37" s="23"/>
      <c r="H37" s="23"/>
      <c r="I37" s="13"/>
      <c r="J37" s="83"/>
      <c r="K37" s="83"/>
      <c r="L37" s="83"/>
      <c r="M37" s="83"/>
      <c r="N37" s="83"/>
      <c r="O37" s="83"/>
      <c r="P37" s="83"/>
      <c r="Q37" s="83"/>
      <c r="R37" s="84"/>
    </row>
    <row r="38" spans="1:86" x14ac:dyDescent="0.25">
      <c r="A38" s="1"/>
      <c r="B38" s="1" t="s">
        <v>17</v>
      </c>
      <c r="C38" s="12">
        <f t="shared" ref="C38:H38" si="16">C34</f>
        <v>29025</v>
      </c>
      <c r="D38" s="12">
        <f t="shared" si="16"/>
        <v>35058</v>
      </c>
      <c r="E38" s="12">
        <f t="shared" si="16"/>
        <v>42959</v>
      </c>
      <c r="F38" s="12">
        <f>F34</f>
        <v>52959</v>
      </c>
      <c r="G38" s="12">
        <f t="shared" si="16"/>
        <v>69916</v>
      </c>
      <c r="H38" s="12">
        <f t="shared" si="16"/>
        <v>83383</v>
      </c>
      <c r="I38" s="22">
        <f>I39*I11</f>
        <v>88686.170999999988</v>
      </c>
      <c r="J38" s="80">
        <f>J39*J11</f>
        <v>98619.022152000005</v>
      </c>
      <c r="K38" s="80">
        <f>K39*K11</f>
        <v>111045.018943152</v>
      </c>
      <c r="L38" s="80">
        <f>L39*L11</f>
        <v>128241.13330520585</v>
      </c>
      <c r="M38" s="80">
        <f>M39*M11</f>
        <v>141193.48776903164</v>
      </c>
      <c r="N38" s="80">
        <f>N39*N11</f>
        <v>165787.42319670715</v>
      </c>
      <c r="O38" s="80">
        <f>O39*O11</f>
        <v>186013.4888267054</v>
      </c>
      <c r="P38" s="80">
        <f>P39*P11</f>
        <v>208707.13446356342</v>
      </c>
      <c r="Q38" s="80">
        <f>Q39*Q11</f>
        <v>234169.40486811814</v>
      </c>
      <c r="R38" s="80">
        <f>R39*R11</f>
        <v>262738.07226202852</v>
      </c>
    </row>
    <row r="39" spans="1:86" x14ac:dyDescent="0.25">
      <c r="A39" s="1"/>
      <c r="B39" s="91" t="s">
        <v>18</v>
      </c>
      <c r="C39" s="92">
        <f>C38/C11</f>
        <v>0.30055606755651282</v>
      </c>
      <c r="D39" s="92">
        <f>D38/D11</f>
        <v>0.31766944545125048</v>
      </c>
      <c r="E39" s="92">
        <f>E38/E11</f>
        <v>0.3413698020549415</v>
      </c>
      <c r="F39" s="92">
        <f>F38/F11</f>
        <v>0.37030381428521486</v>
      </c>
      <c r="G39" s="92">
        <f>G38/G11</f>
        <v>0.41594878872971303</v>
      </c>
      <c r="H39" s="92">
        <f>H38/H11</f>
        <v>0.4205527815604983</v>
      </c>
      <c r="I39" s="71">
        <v>0.42</v>
      </c>
      <c r="J39" s="67">
        <v>0.42</v>
      </c>
      <c r="K39" s="67">
        <v>0.42</v>
      </c>
      <c r="L39" s="67">
        <v>0.43</v>
      </c>
      <c r="M39" s="67">
        <v>0.43</v>
      </c>
      <c r="N39" s="67">
        <v>0.45</v>
      </c>
      <c r="O39" s="67">
        <v>0.45</v>
      </c>
      <c r="P39" s="67">
        <v>0.45</v>
      </c>
      <c r="Q39" s="67">
        <v>0.45</v>
      </c>
      <c r="R39" s="67">
        <v>0.45</v>
      </c>
    </row>
    <row r="40" spans="1:86" x14ac:dyDescent="0.25">
      <c r="A40" s="1"/>
      <c r="B40" s="14"/>
      <c r="C40" s="1"/>
      <c r="D40" s="1"/>
      <c r="F40" s="1"/>
      <c r="G40" s="1"/>
      <c r="H40" s="1"/>
      <c r="I40" s="13"/>
      <c r="J40" s="83"/>
      <c r="K40" s="83"/>
      <c r="L40" s="83"/>
      <c r="M40" s="83"/>
      <c r="N40" s="83"/>
      <c r="O40" s="84"/>
      <c r="P40" s="84"/>
      <c r="Q40" s="84"/>
      <c r="R40" s="84"/>
    </row>
    <row r="41" spans="1:86" x14ac:dyDescent="0.25">
      <c r="A41" s="1"/>
      <c r="B41" s="1" t="s">
        <v>19</v>
      </c>
      <c r="C41" s="12">
        <v>4412</v>
      </c>
      <c r="D41" s="12">
        <v>19903</v>
      </c>
      <c r="E41" s="25">
        <v>4448</v>
      </c>
      <c r="F41" s="12">
        <v>8755</v>
      </c>
      <c r="G41" s="12">
        <v>9831</v>
      </c>
      <c r="H41" s="19">
        <v>10978</v>
      </c>
      <c r="I41" s="22">
        <f>I42*I38</f>
        <v>12416.06394</v>
      </c>
      <c r="J41" s="80">
        <f t="shared" ref="J41:R41" si="17">J42*J38</f>
        <v>13806.663101280003</v>
      </c>
      <c r="K41" s="80">
        <f t="shared" si="17"/>
        <v>15546.30265204128</v>
      </c>
      <c r="L41" s="80">
        <f t="shared" si="17"/>
        <v>17953.758662728822</v>
      </c>
      <c r="M41" s="80">
        <f t="shared" si="17"/>
        <v>19767.088287664432</v>
      </c>
      <c r="N41" s="80">
        <f t="shared" si="17"/>
        <v>23210.239247539004</v>
      </c>
      <c r="O41" s="80">
        <f t="shared" si="17"/>
        <v>26041.888435738758</v>
      </c>
      <c r="P41" s="80">
        <f t="shared" si="17"/>
        <v>29218.998824898881</v>
      </c>
      <c r="Q41" s="80">
        <f t="shared" si="17"/>
        <v>32783.716681536542</v>
      </c>
      <c r="R41" s="80">
        <f t="shared" si="17"/>
        <v>36783.330116683996</v>
      </c>
    </row>
    <row r="42" spans="1:86" x14ac:dyDescent="0.25">
      <c r="A42" s="1"/>
      <c r="B42" s="91" t="s">
        <v>20</v>
      </c>
      <c r="C42" s="93">
        <f>C41/C38</f>
        <v>0.15200689061154177</v>
      </c>
      <c r="D42" s="93">
        <f t="shared" ref="D42:G42" si="18">D41/D38</f>
        <v>0.56771635575332302</v>
      </c>
      <c r="E42" s="93">
        <f t="shared" si="18"/>
        <v>0.10354058520915291</v>
      </c>
      <c r="F42" s="93">
        <f>F41/F38</f>
        <v>0.1653165656451217</v>
      </c>
      <c r="G42" s="93">
        <f t="shared" si="18"/>
        <v>0.14061159105211968</v>
      </c>
      <c r="H42" s="93">
        <f>H41/H38</f>
        <v>0.13165753211086192</v>
      </c>
      <c r="I42" s="73">
        <v>0.14000000000000001</v>
      </c>
      <c r="J42" s="81">
        <v>0.14000000000000001</v>
      </c>
      <c r="K42" s="81">
        <v>0.14000000000000001</v>
      </c>
      <c r="L42" s="81">
        <v>0.14000000000000001</v>
      </c>
      <c r="M42" s="81">
        <v>0.14000000000000001</v>
      </c>
      <c r="N42" s="81">
        <v>0.14000000000000001</v>
      </c>
      <c r="O42" s="81">
        <v>0.14000000000000001</v>
      </c>
      <c r="P42" s="81">
        <v>0.14000000000000001</v>
      </c>
      <c r="Q42" s="81">
        <v>0.14000000000000001</v>
      </c>
      <c r="R42" s="81">
        <v>0.14000000000000001</v>
      </c>
    </row>
    <row r="43" spans="1:86" x14ac:dyDescent="0.25">
      <c r="A43" s="1"/>
      <c r="B43" s="1"/>
      <c r="C43" s="1"/>
      <c r="D43" s="1"/>
      <c r="E43" s="1"/>
      <c r="F43" s="1"/>
      <c r="G43" s="1"/>
      <c r="H43" s="1"/>
      <c r="I43" s="13"/>
      <c r="J43" s="83"/>
      <c r="K43" s="83"/>
      <c r="L43" s="83"/>
      <c r="M43" s="83"/>
      <c r="N43" s="83"/>
      <c r="O43" s="83"/>
      <c r="P43" s="83"/>
      <c r="Q43" s="83"/>
      <c r="R43" s="84"/>
    </row>
    <row r="44" spans="1:86" x14ac:dyDescent="0.25">
      <c r="A44" s="1"/>
      <c r="B44" s="10" t="s">
        <v>21</v>
      </c>
      <c r="C44" s="10">
        <v>2017</v>
      </c>
      <c r="D44" s="10">
        <f>C44+1</f>
        <v>2018</v>
      </c>
      <c r="E44" s="10">
        <f>D44+1</f>
        <v>2019</v>
      </c>
      <c r="F44" s="10">
        <v>2020</v>
      </c>
      <c r="G44" s="10">
        <v>2021</v>
      </c>
      <c r="H44" s="10">
        <v>2022</v>
      </c>
      <c r="I44" s="75">
        <v>2023</v>
      </c>
      <c r="J44" s="89">
        <v>2024</v>
      </c>
      <c r="K44" s="89">
        <v>2025</v>
      </c>
      <c r="L44" s="89">
        <v>2026</v>
      </c>
      <c r="M44" s="89">
        <v>2027</v>
      </c>
      <c r="N44" s="89">
        <v>2028</v>
      </c>
      <c r="O44" s="89">
        <v>2029</v>
      </c>
      <c r="P44" s="89">
        <v>2030</v>
      </c>
      <c r="Q44" s="89">
        <v>2031</v>
      </c>
      <c r="R44" s="89">
        <v>2032</v>
      </c>
      <c r="S44" s="10">
        <v>2033</v>
      </c>
      <c r="T44" s="10">
        <v>2034</v>
      </c>
      <c r="U44" s="10">
        <v>2035</v>
      </c>
      <c r="V44" s="10">
        <v>2036</v>
      </c>
      <c r="W44" s="10">
        <v>2037</v>
      </c>
      <c r="X44" s="10">
        <v>2038</v>
      </c>
      <c r="Y44" s="10">
        <v>2039</v>
      </c>
      <c r="Z44" s="10">
        <v>2040</v>
      </c>
      <c r="AA44" s="10">
        <v>2041</v>
      </c>
      <c r="AB44" s="10">
        <v>2042</v>
      </c>
      <c r="AC44" s="10">
        <v>2043</v>
      </c>
      <c r="AD44" s="10">
        <v>2044</v>
      </c>
      <c r="AE44" s="10">
        <v>2045</v>
      </c>
      <c r="AF44" s="10">
        <v>2046</v>
      </c>
      <c r="AG44" s="10">
        <v>2047</v>
      </c>
      <c r="AH44" s="10">
        <v>2048</v>
      </c>
      <c r="AI44" s="10">
        <v>2049</v>
      </c>
      <c r="AJ44" s="10">
        <v>2050</v>
      </c>
      <c r="AK44" s="10">
        <v>2051</v>
      </c>
      <c r="AL44" s="10">
        <v>2052</v>
      </c>
      <c r="AM44" s="10">
        <v>2053</v>
      </c>
      <c r="AN44" s="10">
        <v>2054</v>
      </c>
      <c r="AO44" s="10">
        <v>2055</v>
      </c>
      <c r="AP44" s="10">
        <v>2056</v>
      </c>
      <c r="AQ44" s="10">
        <v>2057</v>
      </c>
      <c r="AR44" s="10">
        <v>2058</v>
      </c>
      <c r="AS44" s="10">
        <v>2059</v>
      </c>
      <c r="AT44" s="10">
        <v>2060</v>
      </c>
      <c r="AU44" s="10">
        <v>2061</v>
      </c>
      <c r="AV44" s="10">
        <v>2062</v>
      </c>
      <c r="AW44" s="10">
        <v>2063</v>
      </c>
      <c r="AX44" s="10">
        <v>2064</v>
      </c>
      <c r="AY44" s="10">
        <v>2065</v>
      </c>
      <c r="AZ44" s="10">
        <v>2066</v>
      </c>
      <c r="BA44" s="10">
        <v>2067</v>
      </c>
      <c r="BB44" s="10">
        <v>2068</v>
      </c>
      <c r="BC44" s="10">
        <v>2069</v>
      </c>
      <c r="BD44" s="10">
        <v>2070</v>
      </c>
      <c r="BE44" s="10">
        <v>2071</v>
      </c>
      <c r="BF44" s="10">
        <v>2072</v>
      </c>
      <c r="BG44" s="10">
        <v>2073</v>
      </c>
      <c r="BH44" s="10">
        <v>2074</v>
      </c>
      <c r="BI44" s="10">
        <v>2075</v>
      </c>
      <c r="BJ44" s="10">
        <v>2076</v>
      </c>
      <c r="BK44" s="10">
        <v>2077</v>
      </c>
      <c r="BL44" s="10">
        <v>2078</v>
      </c>
      <c r="BM44" s="10">
        <v>2079</v>
      </c>
      <c r="BN44" s="10">
        <v>2080</v>
      </c>
      <c r="BO44" s="10">
        <v>2081</v>
      </c>
      <c r="BP44" s="10">
        <v>2082</v>
      </c>
      <c r="BQ44" s="10">
        <v>2083</v>
      </c>
      <c r="BR44" s="10">
        <v>2084</v>
      </c>
      <c r="BS44" s="10">
        <v>2085</v>
      </c>
      <c r="BT44" s="10">
        <v>2086</v>
      </c>
      <c r="BU44" s="10">
        <v>2087</v>
      </c>
      <c r="BV44" s="10">
        <v>2088</v>
      </c>
      <c r="BW44" s="10">
        <v>2089</v>
      </c>
      <c r="BX44" s="10">
        <v>2090</v>
      </c>
      <c r="BY44" s="10">
        <v>2091</v>
      </c>
      <c r="BZ44" s="10">
        <v>2092</v>
      </c>
      <c r="CA44" s="10">
        <v>2093</v>
      </c>
      <c r="CB44" s="10">
        <v>2094</v>
      </c>
      <c r="CC44" s="10">
        <v>2095</v>
      </c>
      <c r="CD44" s="10">
        <v>2096</v>
      </c>
      <c r="CE44" s="10">
        <v>2097</v>
      </c>
      <c r="CF44" s="10">
        <v>2098</v>
      </c>
      <c r="CG44" s="10">
        <v>2099</v>
      </c>
      <c r="CH44" s="10">
        <v>2100</v>
      </c>
    </row>
    <row r="45" spans="1:86" x14ac:dyDescent="0.25">
      <c r="A45" s="1"/>
      <c r="B45" s="1" t="s">
        <v>22</v>
      </c>
      <c r="C45" s="12">
        <v>8778</v>
      </c>
      <c r="D45" s="12">
        <v>10261</v>
      </c>
      <c r="E45" s="25">
        <v>11682</v>
      </c>
      <c r="F45" s="12">
        <v>12796</v>
      </c>
      <c r="G45" s="12">
        <v>11686</v>
      </c>
      <c r="H45" s="12">
        <v>14460</v>
      </c>
      <c r="I45" s="22">
        <f>I46*I11</f>
        <v>16047.973799999998</v>
      </c>
      <c r="J45" s="80">
        <f>J46*J11</f>
        <v>17140.925278799998</v>
      </c>
      <c r="K45" s="80">
        <f>K46*K11</f>
        <v>18507.503157192001</v>
      </c>
      <c r="L45" s="80">
        <f>L46*L11</f>
        <v>20279.993173846509</v>
      </c>
      <c r="M45" s="80">
        <f>M46*M11</f>
        <v>22328.272484405003</v>
      </c>
      <c r="N45" s="80">
        <f>N46*N11</f>
        <v>25052.321727502414</v>
      </c>
      <c r="O45" s="80">
        <f>O46*O11</f>
        <v>28108.704978257705</v>
      </c>
      <c r="P45" s="80">
        <f>P46*P11</f>
        <v>31537.966985605141</v>
      </c>
      <c r="Q45" s="80">
        <f>Q46*Q11</f>
        <v>35385.598957848961</v>
      </c>
      <c r="R45" s="80">
        <f>R46*R11</f>
        <v>39702.642030706535</v>
      </c>
    </row>
    <row r="46" spans="1:86" x14ac:dyDescent="0.25">
      <c r="A46" s="1"/>
      <c r="B46" s="91" t="s">
        <v>18</v>
      </c>
      <c r="C46" s="92">
        <f>C45/C11</f>
        <v>9.0896853092543306E-2</v>
      </c>
      <c r="D46" s="92">
        <f>D45/D11</f>
        <v>9.2977528089887643E-2</v>
      </c>
      <c r="E46" s="92">
        <f>E45/E11</f>
        <v>9.2829954784930432E-2</v>
      </c>
      <c r="F46" s="92">
        <f>F45/F11</f>
        <v>8.9473132188931229E-2</v>
      </c>
      <c r="G46" s="92">
        <f>G45/G11</f>
        <v>6.9523106943981727E-2</v>
      </c>
      <c r="H46" s="92">
        <f>H45/H11</f>
        <v>7.2930851868663937E-2</v>
      </c>
      <c r="I46" s="21">
        <v>7.5999999999999998E-2</v>
      </c>
      <c r="J46" s="54">
        <v>7.2999999999999995E-2</v>
      </c>
      <c r="K46" s="54">
        <v>7.0000000000000007E-2</v>
      </c>
      <c r="L46" s="54">
        <v>6.8000000000000005E-2</v>
      </c>
      <c r="M46" s="54">
        <v>6.8000000000000005E-2</v>
      </c>
      <c r="N46" s="54">
        <v>6.8000000000000005E-2</v>
      </c>
      <c r="O46" s="54">
        <v>6.8000000000000005E-2</v>
      </c>
      <c r="P46" s="54">
        <v>6.8000000000000005E-2</v>
      </c>
      <c r="Q46" s="54">
        <v>6.8000000000000005E-2</v>
      </c>
      <c r="R46" s="54">
        <v>6.8000000000000005E-2</v>
      </c>
    </row>
    <row r="47" spans="1:86" x14ac:dyDescent="0.25">
      <c r="A47" s="1"/>
      <c r="B47" s="1"/>
      <c r="C47" s="1"/>
      <c r="D47" s="1"/>
      <c r="F47" s="1"/>
      <c r="G47" s="1"/>
      <c r="H47" s="1"/>
      <c r="I47" s="13"/>
      <c r="J47" s="83"/>
      <c r="K47" s="83"/>
      <c r="L47" s="83"/>
      <c r="M47" s="83"/>
      <c r="N47" s="83"/>
      <c r="O47" s="84"/>
      <c r="P47" s="84"/>
      <c r="Q47" s="84"/>
      <c r="R47" s="84"/>
    </row>
    <row r="48" spans="1:86" x14ac:dyDescent="0.25">
      <c r="A48" s="1"/>
      <c r="B48" s="1" t="s">
        <v>23</v>
      </c>
      <c r="C48" s="12">
        <v>-8129</v>
      </c>
      <c r="D48" s="12">
        <v>-11632</v>
      </c>
      <c r="E48" s="25">
        <v>-13925</v>
      </c>
      <c r="F48" s="12">
        <v>-15441</v>
      </c>
      <c r="G48" s="12">
        <v>-20622</v>
      </c>
      <c r="H48" s="12">
        <v>-23886</v>
      </c>
      <c r="I48" s="22">
        <f>I49*I11</f>
        <v>-25338.905999999999</v>
      </c>
      <c r="J48" s="80">
        <f>J49*J11</f>
        <v>-28176.863472000001</v>
      </c>
      <c r="K48" s="80">
        <f>K49*K11</f>
        <v>-29083.219247016001</v>
      </c>
      <c r="L48" s="80">
        <f>L49*L11</f>
        <v>-32805.871310634058</v>
      </c>
      <c r="M48" s="80">
        <f>M49*M11</f>
        <v>-36119.264313008091</v>
      </c>
      <c r="N48" s="80">
        <f>N49*N11</f>
        <v>-33157.484639341426</v>
      </c>
      <c r="O48" s="80">
        <f>O49*O11</f>
        <v>-37202.69776534108</v>
      </c>
      <c r="P48" s="80">
        <f>P49*P11</f>
        <v>-41741.426892712683</v>
      </c>
      <c r="Q48" s="80">
        <f>Q49*Q11</f>
        <v>-41630.116420998776</v>
      </c>
      <c r="R48" s="80">
        <f>R49*R11</f>
        <v>-46708.990624360631</v>
      </c>
    </row>
    <row r="49" spans="1:86" x14ac:dyDescent="0.25">
      <c r="A49" s="1"/>
      <c r="B49" s="91" t="s">
        <v>18</v>
      </c>
      <c r="C49" s="92">
        <f>C48/C11</f>
        <v>-8.4176409066904143E-2</v>
      </c>
      <c r="D49" s="92">
        <f>D48/D11</f>
        <v>-0.10540050743022834</v>
      </c>
      <c r="E49" s="92">
        <f>E48/E11</f>
        <v>-0.11065375110256431</v>
      </c>
      <c r="F49" s="92">
        <f>F48/F11</f>
        <v>-0.10796769569625564</v>
      </c>
      <c r="G49" s="92">
        <f>G48/G11</f>
        <v>-0.12268573604302509</v>
      </c>
      <c r="H49" s="92">
        <f>H48/H11</f>
        <v>-0.12047208352246935</v>
      </c>
      <c r="I49" s="21">
        <v>-0.12</v>
      </c>
      <c r="J49" s="54">
        <v>-0.12</v>
      </c>
      <c r="K49" s="54">
        <v>-0.11</v>
      </c>
      <c r="L49" s="54">
        <v>-0.11</v>
      </c>
      <c r="M49" s="54">
        <v>-0.11</v>
      </c>
      <c r="N49" s="54">
        <v>-0.09</v>
      </c>
      <c r="O49" s="54">
        <v>-0.09</v>
      </c>
      <c r="P49" s="54">
        <v>-0.09</v>
      </c>
      <c r="Q49" s="54">
        <v>-0.08</v>
      </c>
      <c r="R49" s="54">
        <v>-0.08</v>
      </c>
    </row>
    <row r="50" spans="1:86" x14ac:dyDescent="0.25">
      <c r="A50" s="1"/>
      <c r="B50" s="1"/>
      <c r="C50" s="1"/>
      <c r="D50" s="1"/>
      <c r="F50" s="1"/>
      <c r="G50" s="1"/>
      <c r="H50" s="1"/>
      <c r="I50" s="13"/>
      <c r="J50" s="83"/>
      <c r="K50" s="83"/>
      <c r="L50" s="83"/>
      <c r="M50" s="83"/>
      <c r="N50" s="83"/>
      <c r="O50" s="84"/>
      <c r="P50" s="84"/>
      <c r="Q50" s="84"/>
      <c r="R50" s="84"/>
    </row>
    <row r="51" spans="1:86" x14ac:dyDescent="0.25">
      <c r="A51" s="1"/>
      <c r="B51" s="1" t="s">
        <v>24</v>
      </c>
      <c r="C51" s="1">
        <v>4876</v>
      </c>
      <c r="D51" s="1">
        <v>20467</v>
      </c>
      <c r="E51" s="2">
        <v>3866</v>
      </c>
      <c r="F51" s="40">
        <v>-1483</v>
      </c>
      <c r="G51" s="40">
        <v>-936</v>
      </c>
      <c r="H51" s="40">
        <v>446</v>
      </c>
      <c r="I51" s="22">
        <f>I52*I11</f>
        <v>-2111.5754999999999</v>
      </c>
      <c r="J51" s="80">
        <f>J52*J11</f>
        <v>-4696.1439120000005</v>
      </c>
      <c r="K51" s="80">
        <f>K52*K11</f>
        <v>2643.929022456</v>
      </c>
      <c r="L51" s="80">
        <f>L52*L11</f>
        <v>5964.7038746607377</v>
      </c>
      <c r="M51" s="80">
        <f>M52*M11</f>
        <v>6567.1389660014711</v>
      </c>
      <c r="N51" s="80">
        <f>N52*N11</f>
        <v>7368.3299198536506</v>
      </c>
      <c r="O51" s="80">
        <f>O52*O11</f>
        <v>8267.2661700757963</v>
      </c>
      <c r="P51" s="80">
        <f>P52*P11</f>
        <v>9275.8726428250411</v>
      </c>
      <c r="Q51" s="80">
        <f>Q52*Q11</f>
        <v>10407.529105249694</v>
      </c>
      <c r="R51" s="80">
        <f>R52*R11</f>
        <v>11677.247656090158</v>
      </c>
    </row>
    <row r="52" spans="1:86" x14ac:dyDescent="0.25">
      <c r="A52" s="1"/>
      <c r="B52" s="91" t="s">
        <v>18</v>
      </c>
      <c r="C52" s="92">
        <f>C51/C11</f>
        <v>5.0491348334386101E-2</v>
      </c>
      <c r="D52" s="92">
        <f>D51/D11</f>
        <v>0.18545668720550923</v>
      </c>
      <c r="E52" s="92">
        <f>E51/E11</f>
        <v>3.0720818798026111E-2</v>
      </c>
      <c r="F52" s="92">
        <f>F51/F11</f>
        <v>-1.03695416564696E-2</v>
      </c>
      <c r="G52" s="92">
        <f>G51/G11</f>
        <v>-5.5685117319499312E-3</v>
      </c>
      <c r="H52" s="92">
        <f>H51/H11</f>
        <v>2.2494578100569931E-3</v>
      </c>
      <c r="I52" s="76">
        <v>-0.01</v>
      </c>
      <c r="J52" s="85">
        <v>-0.02</v>
      </c>
      <c r="K52" s="85">
        <v>0.01</v>
      </c>
      <c r="L52" s="85">
        <v>0.02</v>
      </c>
      <c r="M52" s="85">
        <v>0.02</v>
      </c>
      <c r="N52" s="85">
        <v>0.02</v>
      </c>
      <c r="O52" s="85">
        <v>0.02</v>
      </c>
      <c r="P52" s="85">
        <v>0.02</v>
      </c>
      <c r="Q52" s="85">
        <v>0.02</v>
      </c>
      <c r="R52" s="85">
        <v>0.02</v>
      </c>
    </row>
    <row r="53" spans="1:86" x14ac:dyDescent="0.25">
      <c r="A53" s="1"/>
      <c r="B53" s="1"/>
      <c r="C53" s="1"/>
      <c r="D53" s="1"/>
      <c r="E53" s="1"/>
      <c r="F53" s="1"/>
      <c r="G53" s="1"/>
      <c r="H53" s="1"/>
      <c r="I53" s="13"/>
      <c r="J53" s="83"/>
      <c r="K53" s="83"/>
      <c r="L53" s="83"/>
      <c r="M53" s="83"/>
      <c r="N53" s="83"/>
      <c r="O53" s="83"/>
      <c r="P53" s="83"/>
      <c r="Q53" s="83"/>
      <c r="R53" s="84"/>
    </row>
    <row r="54" spans="1:86" x14ac:dyDescent="0.25">
      <c r="A54" s="1"/>
      <c r="B54" s="10" t="s">
        <v>25</v>
      </c>
      <c r="C54" s="12">
        <f>C38+C41</f>
        <v>33437</v>
      </c>
      <c r="D54" s="12">
        <f t="shared" ref="D54:R54" si="19">D38+D41</f>
        <v>54961</v>
      </c>
      <c r="E54" s="12">
        <f t="shared" si="19"/>
        <v>47407</v>
      </c>
      <c r="F54" s="12">
        <f>F38+F41</f>
        <v>61714</v>
      </c>
      <c r="G54" s="12">
        <f t="shared" si="19"/>
        <v>79747</v>
      </c>
      <c r="H54" s="12">
        <f>H38+H41</f>
        <v>94361</v>
      </c>
      <c r="I54" s="74">
        <f>I38+I41</f>
        <v>101102.23493999999</v>
      </c>
      <c r="J54" s="82">
        <f t="shared" si="19"/>
        <v>112425.68525328001</v>
      </c>
      <c r="K54" s="82">
        <f t="shared" si="19"/>
        <v>126591.32159519328</v>
      </c>
      <c r="L54" s="82">
        <f t="shared" si="19"/>
        <v>146194.89196793467</v>
      </c>
      <c r="M54" s="82">
        <f t="shared" si="19"/>
        <v>160960.57605669607</v>
      </c>
      <c r="N54" s="82">
        <f t="shared" si="19"/>
        <v>188997.66244424615</v>
      </c>
      <c r="O54" s="82">
        <f t="shared" si="19"/>
        <v>212055.37726244418</v>
      </c>
      <c r="P54" s="82">
        <f t="shared" si="19"/>
        <v>237926.1332884623</v>
      </c>
      <c r="Q54" s="82">
        <f t="shared" si="19"/>
        <v>266953.12154965469</v>
      </c>
      <c r="R54" s="82">
        <f t="shared" si="19"/>
        <v>299521.40237871255</v>
      </c>
    </row>
    <row r="55" spans="1:86" x14ac:dyDescent="0.25">
      <c r="A55" s="1"/>
      <c r="B55" s="10" t="s">
        <v>26</v>
      </c>
      <c r="C55" s="12">
        <f t="shared" ref="C55:G55" si="20">C36-C41</f>
        <v>25489</v>
      </c>
      <c r="D55" s="12">
        <f t="shared" si="20"/>
        <v>16571</v>
      </c>
      <c r="E55" s="12">
        <f t="shared" si="20"/>
        <v>39240</v>
      </c>
      <c r="F55" s="12">
        <f t="shared" si="20"/>
        <v>44281</v>
      </c>
      <c r="G55" s="12">
        <f t="shared" si="20"/>
        <v>61271</v>
      </c>
      <c r="H55" s="12">
        <f>H36-H41</f>
        <v>72738</v>
      </c>
      <c r="I55" s="74">
        <f>I36-I41</f>
        <v>77325.894809999998</v>
      </c>
      <c r="J55" s="82">
        <f t="shared" ref="I55:R55" si="21">J36-J41</f>
        <v>85986.395028719984</v>
      </c>
      <c r="K55" s="82">
        <f t="shared" si="21"/>
        <v>99464.609824794723</v>
      </c>
      <c r="L55" s="82">
        <f t="shared" si="21"/>
        <v>110287.37464247699</v>
      </c>
      <c r="M55" s="82">
        <f t="shared" si="21"/>
        <v>124381.61201606784</v>
      </c>
      <c r="N55" s="82">
        <f t="shared" si="21"/>
        <v>142577.1839491681</v>
      </c>
      <c r="O55" s="82">
        <f t="shared" si="21"/>
        <v>159971.60039096657</v>
      </c>
      <c r="P55" s="82">
        <f t="shared" si="21"/>
        <v>184126.07196007701</v>
      </c>
      <c r="Q55" s="82">
        <f t="shared" si="21"/>
        <v>211793.2172918313</v>
      </c>
      <c r="R55" s="82">
        <f t="shared" si="21"/>
        <v>237631.98980143471</v>
      </c>
      <c r="S55" s="66">
        <f>R55*(1+$E$6)</f>
        <v>235255.66990342038</v>
      </c>
      <c r="T55" s="66">
        <f t="shared" ref="T55:CE55" si="22">S55*(1+$E$6)</f>
        <v>232903.11320438617</v>
      </c>
      <c r="U55" s="66">
        <f t="shared" si="22"/>
        <v>230574.08207234231</v>
      </c>
      <c r="V55" s="66">
        <f t="shared" si="22"/>
        <v>228268.3412516189</v>
      </c>
      <c r="W55" s="66">
        <f t="shared" si="22"/>
        <v>225985.6578391027</v>
      </c>
      <c r="X55" s="66">
        <f t="shared" si="22"/>
        <v>223725.80126071168</v>
      </c>
      <c r="Y55" s="66">
        <f t="shared" si="22"/>
        <v>221488.54324810457</v>
      </c>
      <c r="Z55" s="66">
        <f t="shared" si="22"/>
        <v>219273.65781562353</v>
      </c>
      <c r="AA55" s="66">
        <f t="shared" si="22"/>
        <v>217080.92123746729</v>
      </c>
      <c r="AB55" s="66">
        <f t="shared" si="22"/>
        <v>214910.11202509262</v>
      </c>
      <c r="AC55" s="66">
        <f t="shared" si="22"/>
        <v>212761.01090484168</v>
      </c>
      <c r="AD55" s="66">
        <f t="shared" si="22"/>
        <v>210633.40079579325</v>
      </c>
      <c r="AE55" s="66">
        <f t="shared" si="22"/>
        <v>208527.06678783533</v>
      </c>
      <c r="AF55" s="66">
        <f t="shared" si="22"/>
        <v>206441.79611995697</v>
      </c>
      <c r="AG55" s="66">
        <f t="shared" si="22"/>
        <v>204377.3781587574</v>
      </c>
      <c r="AH55" s="66">
        <f t="shared" si="22"/>
        <v>202333.60437716983</v>
      </c>
      <c r="AI55" s="66">
        <f t="shared" si="22"/>
        <v>200310.26833339813</v>
      </c>
      <c r="AJ55" s="66">
        <f t="shared" si="22"/>
        <v>198307.16565006415</v>
      </c>
      <c r="AK55" s="66">
        <f t="shared" si="22"/>
        <v>196324.09399356353</v>
      </c>
      <c r="AL55" s="66">
        <f t="shared" si="22"/>
        <v>194360.85305362788</v>
      </c>
      <c r="AM55" s="66">
        <f t="shared" si="22"/>
        <v>192417.24452309159</v>
      </c>
      <c r="AN55" s="66">
        <f t="shared" si="22"/>
        <v>190493.07207786068</v>
      </c>
      <c r="AO55" s="66">
        <f t="shared" si="22"/>
        <v>188588.14135708206</v>
      </c>
      <c r="AP55" s="66">
        <f t="shared" si="22"/>
        <v>186702.25994351125</v>
      </c>
      <c r="AQ55" s="66">
        <f t="shared" si="22"/>
        <v>184835.23734407613</v>
      </c>
      <c r="AR55" s="66">
        <f t="shared" si="22"/>
        <v>182986.88497063538</v>
      </c>
      <c r="AS55" s="66">
        <f t="shared" si="22"/>
        <v>181157.01612092904</v>
      </c>
      <c r="AT55" s="66">
        <f t="shared" si="22"/>
        <v>179345.44595971974</v>
      </c>
      <c r="AU55" s="66">
        <f t="shared" si="22"/>
        <v>177551.99150012253</v>
      </c>
      <c r="AV55" s="66">
        <f t="shared" si="22"/>
        <v>175776.4715851213</v>
      </c>
      <c r="AW55" s="66">
        <f t="shared" si="22"/>
        <v>174018.70686927007</v>
      </c>
      <c r="AX55" s="66">
        <f t="shared" si="22"/>
        <v>172278.51980057737</v>
      </c>
      <c r="AY55" s="66">
        <f t="shared" si="22"/>
        <v>170555.73460257158</v>
      </c>
      <c r="AZ55" s="66">
        <f t="shared" si="22"/>
        <v>168850.17725654587</v>
      </c>
      <c r="BA55" s="66">
        <f t="shared" si="22"/>
        <v>167161.67548398042</v>
      </c>
      <c r="BB55" s="66">
        <f t="shared" si="22"/>
        <v>165490.05872914061</v>
      </c>
      <c r="BC55" s="66">
        <f t="shared" si="22"/>
        <v>163835.15814184921</v>
      </c>
      <c r="BD55" s="66">
        <f t="shared" si="22"/>
        <v>162196.80656043073</v>
      </c>
      <c r="BE55" s="66">
        <f t="shared" si="22"/>
        <v>160574.83849482643</v>
      </c>
      <c r="BF55" s="66">
        <f t="shared" si="22"/>
        <v>158969.09010987816</v>
      </c>
      <c r="BG55" s="66">
        <f t="shared" si="22"/>
        <v>157379.39920877939</v>
      </c>
      <c r="BH55" s="66">
        <f t="shared" si="22"/>
        <v>155805.60521669159</v>
      </c>
      <c r="BI55" s="66">
        <f t="shared" si="22"/>
        <v>154247.54916452468</v>
      </c>
      <c r="BJ55" s="66">
        <f t="shared" si="22"/>
        <v>152705.07367287943</v>
      </c>
      <c r="BK55" s="66">
        <f t="shared" si="22"/>
        <v>151178.02293615064</v>
      </c>
      <c r="BL55" s="66">
        <f t="shared" si="22"/>
        <v>149666.24270678914</v>
      </c>
      <c r="BM55" s="66">
        <f t="shared" si="22"/>
        <v>148169.58027972124</v>
      </c>
      <c r="BN55" s="66">
        <f t="shared" si="22"/>
        <v>146687.88447692402</v>
      </c>
      <c r="BO55" s="66">
        <f t="shared" si="22"/>
        <v>145221.00563215479</v>
      </c>
      <c r="BP55" s="66">
        <f t="shared" si="22"/>
        <v>143768.79557583324</v>
      </c>
      <c r="BQ55" s="66">
        <f t="shared" si="22"/>
        <v>142331.10762007491</v>
      </c>
      <c r="BR55" s="66">
        <f t="shared" si="22"/>
        <v>140907.79654387417</v>
      </c>
      <c r="BS55" s="66">
        <f t="shared" si="22"/>
        <v>139498.71857843542</v>
      </c>
      <c r="BT55" s="66">
        <f t="shared" si="22"/>
        <v>138103.73139265107</v>
      </c>
      <c r="BU55" s="66">
        <f t="shared" si="22"/>
        <v>136722.69407872457</v>
      </c>
      <c r="BV55" s="66">
        <f t="shared" si="22"/>
        <v>135355.46713793732</v>
      </c>
      <c r="BW55" s="66">
        <f t="shared" si="22"/>
        <v>134001.91246655793</v>
      </c>
      <c r="BX55" s="66">
        <f t="shared" si="22"/>
        <v>132661.89334189234</v>
      </c>
      <c r="BY55" s="66">
        <f t="shared" si="22"/>
        <v>131335.27440847343</v>
      </c>
      <c r="BZ55" s="66">
        <f t="shared" si="22"/>
        <v>130021.92166438869</v>
      </c>
      <c r="CA55" s="66">
        <f t="shared" si="22"/>
        <v>128721.7024477448</v>
      </c>
      <c r="CB55" s="66">
        <f t="shared" si="22"/>
        <v>127434.48542326735</v>
      </c>
      <c r="CC55" s="66">
        <f t="shared" si="22"/>
        <v>126160.14056903467</v>
      </c>
      <c r="CD55" s="66">
        <f t="shared" si="22"/>
        <v>124898.53916334432</v>
      </c>
      <c r="CE55" s="66">
        <f t="shared" si="22"/>
        <v>123649.55377171088</v>
      </c>
      <c r="CF55" s="66">
        <f t="shared" ref="CF55:CH55" si="23">CE55*(1+$E$6)</f>
        <v>122413.05823399377</v>
      </c>
      <c r="CG55" s="66">
        <f t="shared" si="23"/>
        <v>121188.92765165382</v>
      </c>
      <c r="CH55" s="66">
        <f t="shared" si="23"/>
        <v>119977.03837513729</v>
      </c>
    </row>
    <row r="56" spans="1:86" x14ac:dyDescent="0.25">
      <c r="A56" s="1"/>
      <c r="B56" s="6"/>
      <c r="C56" s="23"/>
      <c r="D56" s="23"/>
      <c r="E56" s="23"/>
      <c r="F56" s="23"/>
      <c r="G56" s="23"/>
      <c r="H56" s="23"/>
      <c r="I56" s="13"/>
      <c r="J56" s="83"/>
      <c r="K56" s="83"/>
      <c r="L56" s="83"/>
      <c r="M56" s="83"/>
      <c r="N56" s="83"/>
      <c r="O56" s="83"/>
      <c r="P56" s="83"/>
      <c r="Q56" s="83"/>
      <c r="R56" s="84"/>
    </row>
    <row r="57" spans="1:86" x14ac:dyDescent="0.25">
      <c r="A57" s="1"/>
      <c r="B57" s="10" t="s">
        <v>27</v>
      </c>
      <c r="C57" s="26">
        <f>C54+C45+C48-C51</f>
        <v>29210</v>
      </c>
      <c r="D57" s="26">
        <f t="shared" ref="D57:F57" si="24">D54+D45+D48-D51</f>
        <v>33123</v>
      </c>
      <c r="E57" s="26">
        <f t="shared" si="24"/>
        <v>41298</v>
      </c>
      <c r="F57" s="26">
        <f t="shared" si="24"/>
        <v>60552</v>
      </c>
      <c r="G57" s="26">
        <f>G54+G45+G48-G51</f>
        <v>71747</v>
      </c>
      <c r="H57" s="26">
        <f>H54+H45+H48-H51</f>
        <v>84489</v>
      </c>
      <c r="I57" s="86">
        <f>I54+I45+I48-I51</f>
        <v>93922.878239999991</v>
      </c>
      <c r="J57" s="90">
        <f t="shared" ref="I57:R57" si="25">J54+J45+J48-J51</f>
        <v>106085.89097208001</v>
      </c>
      <c r="K57" s="90">
        <f t="shared" si="25"/>
        <v>113371.67648291329</v>
      </c>
      <c r="L57" s="90">
        <f t="shared" si="25"/>
        <v>127704.30995648637</v>
      </c>
      <c r="M57" s="90">
        <f t="shared" si="25"/>
        <v>140602.4452620915</v>
      </c>
      <c r="N57" s="90">
        <f t="shared" si="25"/>
        <v>173524.16961255349</v>
      </c>
      <c r="O57" s="90">
        <f t="shared" si="25"/>
        <v>194694.118305285</v>
      </c>
      <c r="P57" s="90">
        <f t="shared" si="25"/>
        <v>218446.80073852971</v>
      </c>
      <c r="Q57" s="90">
        <f t="shared" si="25"/>
        <v>250301.07498125519</v>
      </c>
      <c r="R57" s="90">
        <f t="shared" si="25"/>
        <v>280837.80612896825</v>
      </c>
    </row>
    <row r="58" spans="1:86" x14ac:dyDescent="0.25">
      <c r="A58" s="1"/>
      <c r="B58" s="27" t="s">
        <v>28</v>
      </c>
      <c r="C58" s="1"/>
      <c r="D58" s="1"/>
      <c r="E58" s="1"/>
      <c r="F58" s="1"/>
      <c r="G58" s="1"/>
      <c r="H58" s="1"/>
      <c r="I58" s="72">
        <f>I57/((1+$E$5)^I9)</f>
        <v>85741.214039729035</v>
      </c>
      <c r="J58" s="69">
        <f>J57/((1+$E$5)^J9)</f>
        <v>88408.515739338225</v>
      </c>
      <c r="K58" s="69">
        <f>K57/((1+$E$5)^K9)</f>
        <v>86250.034135870344</v>
      </c>
      <c r="L58" s="69">
        <f>L57/((1+$E$5)^L9)</f>
        <v>88690.784655302821</v>
      </c>
      <c r="M58" s="69">
        <f>M57/((1+$E$5)^M9)</f>
        <v>89142.344420986949</v>
      </c>
      <c r="N58" s="69">
        <f>N57/((1+$E$5)^N9)</f>
        <v>100431.37032834005</v>
      </c>
      <c r="O58" s="69">
        <f>O57/((1+$E$5)^O9)</f>
        <v>102868.04376385779</v>
      </c>
      <c r="P58" s="69">
        <f>P57/((1+$E$5)^P9)</f>
        <v>105363.83595292778</v>
      </c>
      <c r="Q58" s="69">
        <f>Q57/((1+$E$5)^Q9)</f>
        <v>110211.48020391888</v>
      </c>
      <c r="R58" s="69">
        <f>R57/((1+$E$5)^R9)</f>
        <v>112885.43939838182</v>
      </c>
    </row>
    <row r="59" spans="1:86" x14ac:dyDescent="0.25">
      <c r="A59" s="1"/>
      <c r="B59" s="28"/>
      <c r="C59" s="28"/>
      <c r="D59" s="28"/>
      <c r="E59" s="28"/>
      <c r="F59" s="28"/>
      <c r="G59" s="28"/>
      <c r="H59" s="28"/>
      <c r="I59" s="16"/>
      <c r="J59" s="83"/>
      <c r="K59" s="83"/>
      <c r="L59" s="83"/>
      <c r="M59" s="83"/>
      <c r="N59" s="83"/>
      <c r="O59" s="83"/>
      <c r="P59" s="83"/>
      <c r="Q59" s="83"/>
      <c r="R59" s="83"/>
    </row>
    <row r="60" spans="1:86" x14ac:dyDescent="0.25">
      <c r="A60" s="1"/>
      <c r="B60" s="1" t="s">
        <v>29</v>
      </c>
      <c r="C60" s="29">
        <f>(R57*(1+$E$6))/($E$5-$E$6)</f>
        <v>2637280.6028908817</v>
      </c>
      <c r="D60" s="1"/>
      <c r="E60" s="1" t="s">
        <v>30</v>
      </c>
      <c r="F60" s="19">
        <f>NPV($E$5,I55:CH55)</f>
        <v>1714067.0800321579</v>
      </c>
      <c r="G60" s="1"/>
      <c r="H60" s="1"/>
      <c r="I60" s="16"/>
      <c r="J60" s="1"/>
      <c r="K60" s="1"/>
      <c r="L60" s="1"/>
      <c r="M60" s="1"/>
      <c r="N60" s="1"/>
      <c r="O60" s="1"/>
      <c r="P60" s="1"/>
      <c r="Q60" s="1"/>
    </row>
    <row r="61" spans="1:86" x14ac:dyDescent="0.25">
      <c r="A61" s="1"/>
      <c r="B61" s="3" t="s">
        <v>31</v>
      </c>
      <c r="C61" s="30">
        <f>C60/((1+$E$5)^$R$9)</f>
        <v>1060080.1358541087</v>
      </c>
      <c r="D61" s="17"/>
      <c r="E61" s="3"/>
      <c r="F61" s="3"/>
      <c r="G61" s="3"/>
      <c r="H61" s="17"/>
      <c r="I61" s="13"/>
      <c r="J61" s="1"/>
      <c r="L61" s="56" t="s">
        <v>52</v>
      </c>
      <c r="M61" s="57"/>
      <c r="N61" s="57"/>
      <c r="O61" s="57"/>
      <c r="P61" s="57"/>
      <c r="Q61" s="56"/>
    </row>
    <row r="62" spans="1:86" x14ac:dyDescent="0.25">
      <c r="A62" s="1"/>
      <c r="B62" s="6" t="s">
        <v>32</v>
      </c>
      <c r="C62" s="6"/>
      <c r="D62" s="1"/>
      <c r="E62" s="6"/>
      <c r="F62" s="6"/>
      <c r="G62" s="31" t="s">
        <v>33</v>
      </c>
      <c r="H62" s="31" t="s">
        <v>30</v>
      </c>
      <c r="I62" s="16"/>
      <c r="J62" s="1"/>
      <c r="K62" s="56"/>
      <c r="L62" s="58">
        <f>D68</f>
        <v>263.10733377042607</v>
      </c>
      <c r="M62" s="59">
        <v>-0.03</v>
      </c>
      <c r="N62" s="59">
        <v>-0.02</v>
      </c>
      <c r="O62" s="59">
        <v>-0.01</v>
      </c>
      <c r="P62" s="59">
        <v>0</v>
      </c>
      <c r="Q62" s="59">
        <v>0.01</v>
      </c>
    </row>
    <row r="63" spans="1:86" x14ac:dyDescent="0.25">
      <c r="A63" s="1"/>
      <c r="B63" s="32" t="s">
        <v>34</v>
      </c>
      <c r="C63" s="1"/>
      <c r="D63" s="40">
        <v>104427</v>
      </c>
      <c r="E63" s="1"/>
      <c r="F63" s="1"/>
      <c r="G63" s="29">
        <f>C61+SUM(I58:R58)</f>
        <v>2030073.1984927626</v>
      </c>
      <c r="H63" s="19">
        <f>F60</f>
        <v>1714067.0800321579</v>
      </c>
      <c r="I63" s="16"/>
      <c r="J63" s="1"/>
      <c r="K63" s="56"/>
      <c r="L63" s="60">
        <f>L64-2%</f>
        <v>5.5422553341926875E-2</v>
      </c>
      <c r="M63" s="61">
        <f t="dataTable" ref="M63:Q67" dt2D="1" dtr="1" r1="E6" r2="E5"/>
        <v>391.29235946645025</v>
      </c>
      <c r="N63" s="61">
        <v>424.02706884589691</v>
      </c>
      <c r="O63" s="61">
        <v>466.31289514428181</v>
      </c>
      <c r="P63" s="61">
        <v>522.796138907466</v>
      </c>
      <c r="Q63" s="61">
        <v>601.61050508591143</v>
      </c>
    </row>
    <row r="64" spans="1:86" x14ac:dyDescent="0.25">
      <c r="A64" s="1"/>
      <c r="B64" s="33" t="s">
        <v>35</v>
      </c>
      <c r="C64" s="3"/>
      <c r="D64" s="34">
        <v>12664</v>
      </c>
      <c r="E64" s="3"/>
      <c r="F64" s="3"/>
      <c r="G64" s="3"/>
      <c r="H64" s="3"/>
      <c r="I64" s="16"/>
      <c r="J64" s="1"/>
      <c r="K64" s="57"/>
      <c r="L64" s="60">
        <f>L65-2%</f>
        <v>7.5422553341926879E-2</v>
      </c>
      <c r="M64" s="61">
        <v>300.10516332021746</v>
      </c>
      <c r="N64" s="62">
        <v>317.97048548754094</v>
      </c>
      <c r="O64" s="62">
        <v>339.9378495798311</v>
      </c>
      <c r="P64" s="62">
        <v>367.54989099060174</v>
      </c>
      <c r="Q64" s="61">
        <v>403.19541628537343</v>
      </c>
    </row>
    <row r="65" spans="1:17" x14ac:dyDescent="0.25">
      <c r="A65" s="1"/>
      <c r="B65" s="6" t="s">
        <v>36</v>
      </c>
      <c r="C65" s="6"/>
      <c r="D65" s="6"/>
      <c r="E65" s="6"/>
      <c r="F65" s="6"/>
      <c r="G65" s="35">
        <f>(G63+D63-D64)</f>
        <v>2121836.1984927626</v>
      </c>
      <c r="H65" s="36">
        <f>(H63+D63-D64)</f>
        <v>1805830.0800321579</v>
      </c>
      <c r="I65" s="16"/>
      <c r="J65"/>
      <c r="K65" s="56" t="s">
        <v>1</v>
      </c>
      <c r="L65" s="63">
        <v>9.5422553341926883E-2</v>
      </c>
      <c r="M65" s="61">
        <v>240.02533181234264</v>
      </c>
      <c r="N65" s="62">
        <v>250.57384659355512</v>
      </c>
      <c r="O65" s="64">
        <v>263.10800034832891</v>
      </c>
      <c r="P65" s="62">
        <v>278.23534985091919</v>
      </c>
      <c r="Q65" s="61">
        <v>296.83029522721779</v>
      </c>
    </row>
    <row r="66" spans="1:17" x14ac:dyDescent="0.25">
      <c r="A66" s="1"/>
      <c r="B66" s="3" t="s">
        <v>37</v>
      </c>
      <c r="C66" s="3"/>
      <c r="D66" s="40">
        <v>7464</v>
      </c>
      <c r="E66" s="3"/>
      <c r="F66" s="3"/>
      <c r="G66" s="3"/>
      <c r="H66" s="3"/>
      <c r="I66" s="16"/>
      <c r="J66" s="1"/>
      <c r="K66" s="56"/>
      <c r="L66" s="65">
        <f>L65+2%</f>
        <v>0.11542255334192689</v>
      </c>
      <c r="M66" s="61">
        <v>198.02015317233224</v>
      </c>
      <c r="N66" s="62">
        <v>204.61549238531336</v>
      </c>
      <c r="O66" s="62">
        <v>212.25934396683601</v>
      </c>
      <c r="P66" s="62">
        <v>221.22086297324336</v>
      </c>
      <c r="Q66" s="61">
        <v>231.86784123337679</v>
      </c>
    </row>
    <row r="67" spans="1:17" x14ac:dyDescent="0.25">
      <c r="A67" s="1"/>
      <c r="B67" s="18" t="s">
        <v>38</v>
      </c>
      <c r="C67" s="18"/>
      <c r="D67" s="18">
        <f>D66*$J$5</f>
        <v>2318691.5999999996</v>
      </c>
      <c r="E67" s="18"/>
      <c r="F67" s="18"/>
      <c r="G67" s="18"/>
      <c r="H67" s="37"/>
      <c r="I67" s="1"/>
      <c r="J67" s="1"/>
      <c r="K67" s="56"/>
      <c r="L67" s="65">
        <f>L66+2%</f>
        <v>0.13542255334192688</v>
      </c>
      <c r="M67" s="61">
        <v>167.34187862974721</v>
      </c>
      <c r="N67" s="61">
        <v>171.64840220278751</v>
      </c>
      <c r="O67" s="61">
        <v>176.54651584806874</v>
      </c>
      <c r="P67" s="61">
        <v>182.16655597600899</v>
      </c>
      <c r="Q67" s="61">
        <v>188.67969320537054</v>
      </c>
    </row>
    <row r="68" spans="1:17" x14ac:dyDescent="0.25">
      <c r="A68" s="1"/>
      <c r="B68" s="6" t="s">
        <v>39</v>
      </c>
      <c r="C68" s="6" t="s">
        <v>40</v>
      </c>
      <c r="D68" s="38">
        <f>(G68+H68)/2</f>
        <v>263.10733377042607</v>
      </c>
      <c r="F68" s="6"/>
      <c r="G68" s="38">
        <f>G65/D66</f>
        <v>284.27601801885885</v>
      </c>
      <c r="H68" s="38">
        <f>H65/D66</f>
        <v>241.93864952199328</v>
      </c>
      <c r="I68" s="16"/>
      <c r="J68" s="1"/>
    </row>
    <row r="69" spans="1:17" x14ac:dyDescent="0.25">
      <c r="A69"/>
      <c r="C69" s="1"/>
      <c r="D6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7B9D3-B7E5-46C7-8ABD-26567D06A5AF}">
  <dimension ref="A1:N41"/>
  <sheetViews>
    <sheetView topLeftCell="A4" workbookViewId="0">
      <selection activeCell="L10" sqref="L10:N10"/>
    </sheetView>
  </sheetViews>
  <sheetFormatPr defaultRowHeight="15" x14ac:dyDescent="0.25"/>
  <cols>
    <col min="1" max="1" width="15" customWidth="1"/>
    <col min="6" max="6" width="40.5703125" customWidth="1"/>
    <col min="7" max="7" width="30.28515625" customWidth="1"/>
  </cols>
  <sheetData>
    <row r="1" spans="1:14" x14ac:dyDescent="0.25">
      <c r="A1" t="s">
        <v>108</v>
      </c>
      <c r="G1" t="s">
        <v>113</v>
      </c>
    </row>
    <row r="2" spans="1:14" x14ac:dyDescent="0.25">
      <c r="A2" t="s">
        <v>54</v>
      </c>
      <c r="B2">
        <v>2017</v>
      </c>
      <c r="C2">
        <v>2018</v>
      </c>
      <c r="D2">
        <v>2019</v>
      </c>
      <c r="G2" t="s">
        <v>54</v>
      </c>
      <c r="H2">
        <v>2017</v>
      </c>
      <c r="I2">
        <v>2018</v>
      </c>
      <c r="J2">
        <v>2019</v>
      </c>
    </row>
    <row r="3" spans="1:14" x14ac:dyDescent="0.25">
      <c r="A3" t="s">
        <v>55</v>
      </c>
      <c r="G3" t="s">
        <v>74</v>
      </c>
    </row>
    <row r="4" spans="1:14" x14ac:dyDescent="0.25">
      <c r="A4" t="s">
        <v>56</v>
      </c>
      <c r="B4" s="40">
        <v>63811</v>
      </c>
      <c r="C4" s="40">
        <v>64497</v>
      </c>
      <c r="D4" s="40">
        <v>66069</v>
      </c>
      <c r="G4" t="s">
        <v>26</v>
      </c>
      <c r="H4" t="s">
        <v>112</v>
      </c>
      <c r="I4" t="s">
        <v>111</v>
      </c>
      <c r="J4" t="s">
        <v>110</v>
      </c>
    </row>
    <row r="5" spans="1:14" x14ac:dyDescent="0.25">
      <c r="A5" t="s">
        <v>57</v>
      </c>
      <c r="B5" s="40">
        <v>32760</v>
      </c>
      <c r="C5" s="40">
        <v>45863</v>
      </c>
      <c r="D5" s="40">
        <v>59774</v>
      </c>
      <c r="G5" t="s">
        <v>75</v>
      </c>
    </row>
    <row r="6" spans="1:14" x14ac:dyDescent="0.25">
      <c r="A6" t="s">
        <v>58</v>
      </c>
      <c r="B6" s="40">
        <v>96571</v>
      </c>
      <c r="C6" s="40">
        <v>110360</v>
      </c>
      <c r="D6" s="40">
        <v>125843</v>
      </c>
      <c r="G6" t="s">
        <v>76</v>
      </c>
      <c r="H6" s="40">
        <v>8778</v>
      </c>
      <c r="I6" s="40">
        <v>10261</v>
      </c>
      <c r="J6" s="40">
        <v>11682</v>
      </c>
    </row>
    <row r="7" spans="1:14" x14ac:dyDescent="0.25">
      <c r="A7" t="s">
        <v>59</v>
      </c>
      <c r="G7" t="s">
        <v>77</v>
      </c>
      <c r="H7" s="40">
        <v>3266</v>
      </c>
      <c r="I7" s="40">
        <v>3940</v>
      </c>
      <c r="J7" s="40">
        <v>4652</v>
      </c>
    </row>
    <row r="8" spans="1:14" x14ac:dyDescent="0.25">
      <c r="A8" t="s">
        <v>56</v>
      </c>
      <c r="B8" s="40">
        <v>15175</v>
      </c>
      <c r="C8" s="40">
        <v>15420</v>
      </c>
      <c r="D8" s="40">
        <v>16273</v>
      </c>
      <c r="G8" t="s">
        <v>78</v>
      </c>
      <c r="H8" s="40">
        <v>-2073</v>
      </c>
      <c r="I8" s="40">
        <v>-2212</v>
      </c>
      <c r="J8">
        <v>-792</v>
      </c>
    </row>
    <row r="9" spans="1:14" x14ac:dyDescent="0.25">
      <c r="A9" t="s">
        <v>57</v>
      </c>
      <c r="B9" s="40">
        <v>19086</v>
      </c>
      <c r="C9" s="40">
        <v>22933</v>
      </c>
      <c r="D9" s="40">
        <v>26637</v>
      </c>
      <c r="G9" t="s">
        <v>79</v>
      </c>
      <c r="H9">
        <v>-829</v>
      </c>
      <c r="I9" s="40">
        <v>-5143</v>
      </c>
      <c r="J9" s="40">
        <v>-6463</v>
      </c>
    </row>
    <row r="10" spans="1:14" x14ac:dyDescent="0.25">
      <c r="A10" t="s">
        <v>60</v>
      </c>
      <c r="B10" s="40">
        <v>34261</v>
      </c>
      <c r="C10" s="40">
        <v>38353</v>
      </c>
      <c r="D10" s="40">
        <v>42910</v>
      </c>
      <c r="G10" t="s">
        <v>80</v>
      </c>
      <c r="L10" s="40">
        <f>SUM(H11:H19)</f>
        <v>4876</v>
      </c>
      <c r="M10" s="40">
        <f>SUM(I11:I19)</f>
        <v>20467</v>
      </c>
      <c r="N10" s="40">
        <f>SUM(J11:J19)</f>
        <v>3866</v>
      </c>
    </row>
    <row r="11" spans="1:14" x14ac:dyDescent="0.25">
      <c r="A11" t="s">
        <v>61</v>
      </c>
      <c r="B11" s="40">
        <v>62310</v>
      </c>
      <c r="C11" s="40">
        <v>72007</v>
      </c>
      <c r="D11" s="40">
        <v>82933</v>
      </c>
      <c r="G11" t="s">
        <v>81</v>
      </c>
      <c r="H11" s="40">
        <v>-1216</v>
      </c>
      <c r="I11" s="40">
        <v>-3862</v>
      </c>
      <c r="J11" s="40">
        <v>-2812</v>
      </c>
    </row>
    <row r="12" spans="1:14" x14ac:dyDescent="0.25">
      <c r="A12" t="s">
        <v>62</v>
      </c>
      <c r="B12" s="40">
        <v>13037</v>
      </c>
      <c r="C12" s="40">
        <v>14726</v>
      </c>
      <c r="D12" s="40">
        <v>16876</v>
      </c>
      <c r="G12" t="s">
        <v>82</v>
      </c>
      <c r="H12">
        <v>50</v>
      </c>
      <c r="I12">
        <v>-465</v>
      </c>
      <c r="J12">
        <v>597</v>
      </c>
    </row>
    <row r="13" spans="1:14" x14ac:dyDescent="0.25">
      <c r="A13" t="s">
        <v>63</v>
      </c>
      <c r="B13" s="40">
        <v>15461</v>
      </c>
      <c r="C13" s="40">
        <v>17469</v>
      </c>
      <c r="D13" s="40">
        <v>18213</v>
      </c>
      <c r="G13" t="s">
        <v>83</v>
      </c>
      <c r="H13" s="40">
        <v>1028</v>
      </c>
      <c r="I13">
        <v>-952</v>
      </c>
      <c r="J13" s="40">
        <v>-1718</v>
      </c>
    </row>
    <row r="14" spans="1:14" x14ac:dyDescent="0.25">
      <c r="A14" t="s">
        <v>64</v>
      </c>
      <c r="B14" s="40">
        <v>4481</v>
      </c>
      <c r="C14" s="40">
        <v>4754</v>
      </c>
      <c r="D14" s="40">
        <v>4885</v>
      </c>
      <c r="G14" t="s">
        <v>84</v>
      </c>
      <c r="H14">
        <v>-917</v>
      </c>
      <c r="I14">
        <v>-285</v>
      </c>
      <c r="J14" s="40">
        <v>-1834</v>
      </c>
    </row>
    <row r="15" spans="1:14" x14ac:dyDescent="0.25">
      <c r="A15" t="s">
        <v>109</v>
      </c>
      <c r="B15">
        <v>306</v>
      </c>
      <c r="C15">
        <v>0</v>
      </c>
      <c r="D15">
        <v>0</v>
      </c>
      <c r="G15" t="s">
        <v>85</v>
      </c>
      <c r="H15">
        <v>81</v>
      </c>
      <c r="I15" s="40">
        <v>1148</v>
      </c>
      <c r="J15">
        <v>232</v>
      </c>
    </row>
    <row r="16" spans="1:14" x14ac:dyDescent="0.25">
      <c r="A16" t="s">
        <v>14</v>
      </c>
      <c r="B16" s="40">
        <v>29025</v>
      </c>
      <c r="C16" s="40">
        <v>35058</v>
      </c>
      <c r="D16" s="40">
        <v>42959</v>
      </c>
      <c r="G16" t="s">
        <v>86</v>
      </c>
      <c r="H16" s="40">
        <v>3820</v>
      </c>
      <c r="I16" s="40">
        <v>5922</v>
      </c>
      <c r="J16" s="40">
        <v>4462</v>
      </c>
    </row>
    <row r="17" spans="1:10" x14ac:dyDescent="0.25">
      <c r="A17" t="s">
        <v>65</v>
      </c>
      <c r="B17">
        <v>876</v>
      </c>
      <c r="C17" s="40">
        <v>1416</v>
      </c>
      <c r="D17">
        <v>729</v>
      </c>
      <c r="G17" t="s">
        <v>87</v>
      </c>
      <c r="H17" s="40">
        <v>1792</v>
      </c>
      <c r="I17" s="40">
        <v>18183</v>
      </c>
      <c r="J17" s="40">
        <v>2929</v>
      </c>
    </row>
    <row r="18" spans="1:10" x14ac:dyDescent="0.25">
      <c r="A18" t="s">
        <v>66</v>
      </c>
      <c r="B18" s="40">
        <v>29901</v>
      </c>
      <c r="C18" s="40">
        <v>36474</v>
      </c>
      <c r="D18" s="40">
        <v>43688</v>
      </c>
      <c r="G18" t="s">
        <v>88</v>
      </c>
      <c r="H18">
        <v>356</v>
      </c>
      <c r="I18">
        <v>798</v>
      </c>
      <c r="J18" s="40">
        <v>1419</v>
      </c>
    </row>
    <row r="19" spans="1:10" x14ac:dyDescent="0.25">
      <c r="A19" t="s">
        <v>67</v>
      </c>
      <c r="B19" s="40">
        <v>4412</v>
      </c>
      <c r="C19" s="40">
        <v>19903</v>
      </c>
      <c r="D19" s="40">
        <v>4448</v>
      </c>
      <c r="G19" t="s">
        <v>89</v>
      </c>
      <c r="H19">
        <v>-118</v>
      </c>
      <c r="I19">
        <v>-20</v>
      </c>
      <c r="J19">
        <v>591</v>
      </c>
    </row>
    <row r="20" spans="1:10" x14ac:dyDescent="0.25">
      <c r="A20" t="s">
        <v>26</v>
      </c>
      <c r="B20" s="40">
        <v>25489</v>
      </c>
      <c r="C20" s="40">
        <v>16571</v>
      </c>
      <c r="D20" s="40">
        <v>39240</v>
      </c>
      <c r="G20" t="s">
        <v>90</v>
      </c>
      <c r="H20" s="40">
        <v>39507</v>
      </c>
      <c r="I20" s="40">
        <v>43884</v>
      </c>
      <c r="J20" s="40">
        <v>52185</v>
      </c>
    </row>
    <row r="21" spans="1:10" x14ac:dyDescent="0.25">
      <c r="A21" t="s">
        <v>68</v>
      </c>
      <c r="G21" t="s">
        <v>91</v>
      </c>
    </row>
    <row r="22" spans="1:10" x14ac:dyDescent="0.25">
      <c r="A22" t="s">
        <v>69</v>
      </c>
      <c r="B22">
        <v>3.29</v>
      </c>
      <c r="C22">
        <v>2.15</v>
      </c>
      <c r="D22">
        <v>5.1100000000000003</v>
      </c>
      <c r="G22" t="s">
        <v>114</v>
      </c>
      <c r="H22" s="40">
        <v>-4963</v>
      </c>
      <c r="I22" s="40">
        <v>-7324</v>
      </c>
      <c r="J22">
        <v>0</v>
      </c>
    </row>
    <row r="23" spans="1:10" x14ac:dyDescent="0.25">
      <c r="A23" t="s">
        <v>70</v>
      </c>
      <c r="B23">
        <v>3.25</v>
      </c>
      <c r="C23">
        <v>2.13</v>
      </c>
      <c r="D23">
        <v>5.0599999999999996</v>
      </c>
      <c r="G23" t="s">
        <v>115</v>
      </c>
      <c r="H23" s="40">
        <v>44344</v>
      </c>
      <c r="I23" s="40">
        <v>7183</v>
      </c>
      <c r="J23">
        <v>0</v>
      </c>
    </row>
    <row r="24" spans="1:10" x14ac:dyDescent="0.25">
      <c r="A24" t="s">
        <v>71</v>
      </c>
      <c r="G24" t="s">
        <v>92</v>
      </c>
      <c r="H24" s="40">
        <v>-7922</v>
      </c>
      <c r="I24" s="40">
        <v>-10060</v>
      </c>
      <c r="J24" s="40">
        <v>-4000</v>
      </c>
    </row>
    <row r="25" spans="1:10" x14ac:dyDescent="0.25">
      <c r="A25" t="s">
        <v>69</v>
      </c>
      <c r="B25" s="40">
        <v>7746</v>
      </c>
      <c r="C25" s="40">
        <v>7700</v>
      </c>
      <c r="D25" s="40">
        <v>7673</v>
      </c>
      <c r="G25" t="s">
        <v>93</v>
      </c>
      <c r="H25">
        <v>772</v>
      </c>
      <c r="I25" s="40">
        <v>1002</v>
      </c>
      <c r="J25" s="40">
        <v>1142</v>
      </c>
    </row>
    <row r="26" spans="1:10" x14ac:dyDescent="0.25">
      <c r="A26" t="s">
        <v>70</v>
      </c>
      <c r="B26" s="40">
        <v>7832</v>
      </c>
      <c r="C26" s="40">
        <v>7794</v>
      </c>
      <c r="D26" s="40">
        <v>7753</v>
      </c>
      <c r="G26" t="s">
        <v>94</v>
      </c>
      <c r="H26" s="40">
        <v>-11788</v>
      </c>
      <c r="I26" s="40">
        <v>-10721</v>
      </c>
      <c r="J26" s="40">
        <v>-19543</v>
      </c>
    </row>
    <row r="27" spans="1:10" x14ac:dyDescent="0.25">
      <c r="G27" t="s">
        <v>95</v>
      </c>
      <c r="H27" s="40">
        <v>-11845</v>
      </c>
      <c r="I27" s="40">
        <v>-12699</v>
      </c>
      <c r="J27" s="40">
        <v>-13811</v>
      </c>
    </row>
    <row r="28" spans="1:10" x14ac:dyDescent="0.25">
      <c r="G28" t="s">
        <v>96</v>
      </c>
      <c r="H28">
        <v>-190</v>
      </c>
      <c r="I28">
        <v>-971</v>
      </c>
      <c r="J28">
        <v>-675</v>
      </c>
    </row>
    <row r="29" spans="1:10" x14ac:dyDescent="0.25">
      <c r="G29" t="s">
        <v>116</v>
      </c>
      <c r="H29" s="40">
        <v>8408</v>
      </c>
      <c r="I29" s="40">
        <v>-33590</v>
      </c>
      <c r="J29" s="40">
        <v>-36887</v>
      </c>
    </row>
    <row r="30" spans="1:10" x14ac:dyDescent="0.25">
      <c r="G30" t="s">
        <v>97</v>
      </c>
    </row>
    <row r="31" spans="1:10" x14ac:dyDescent="0.25">
      <c r="G31" t="s">
        <v>98</v>
      </c>
      <c r="H31" s="40">
        <v>-8129</v>
      </c>
      <c r="I31" s="40">
        <v>-11632</v>
      </c>
      <c r="J31" s="40">
        <v>-13925</v>
      </c>
    </row>
    <row r="32" spans="1:10" x14ac:dyDescent="0.25">
      <c r="G32" t="s">
        <v>99</v>
      </c>
      <c r="H32" s="40">
        <v>-25944</v>
      </c>
      <c r="I32">
        <v>-888</v>
      </c>
      <c r="J32" s="40">
        <v>-2388</v>
      </c>
    </row>
    <row r="33" spans="7:10" x14ac:dyDescent="0.25">
      <c r="G33" t="s">
        <v>100</v>
      </c>
      <c r="H33" s="40">
        <v>-176905</v>
      </c>
      <c r="I33" s="40">
        <v>-137380</v>
      </c>
      <c r="J33" s="40">
        <v>-57697</v>
      </c>
    </row>
    <row r="34" spans="7:10" x14ac:dyDescent="0.25">
      <c r="G34" t="s">
        <v>101</v>
      </c>
      <c r="H34" s="40">
        <v>28044</v>
      </c>
      <c r="I34" s="40">
        <v>26360</v>
      </c>
      <c r="J34" s="40">
        <v>20043</v>
      </c>
    </row>
    <row r="35" spans="7:10" x14ac:dyDescent="0.25">
      <c r="G35" t="s">
        <v>102</v>
      </c>
      <c r="H35" s="40">
        <v>136350</v>
      </c>
      <c r="I35" s="40">
        <v>117577</v>
      </c>
      <c r="J35" s="40">
        <v>38194</v>
      </c>
    </row>
    <row r="36" spans="7:10" x14ac:dyDescent="0.25">
      <c r="G36" t="s">
        <v>117</v>
      </c>
      <c r="H36">
        <v>-197</v>
      </c>
      <c r="I36">
        <v>-98</v>
      </c>
      <c r="J36">
        <v>0</v>
      </c>
    </row>
    <row r="37" spans="7:10" x14ac:dyDescent="0.25">
      <c r="G37" t="s">
        <v>103</v>
      </c>
      <c r="H37" s="40">
        <v>-46781</v>
      </c>
      <c r="I37" s="40">
        <v>-6061</v>
      </c>
      <c r="J37" s="40">
        <v>-15773</v>
      </c>
    </row>
    <row r="38" spans="7:10" x14ac:dyDescent="0.25">
      <c r="G38" t="s">
        <v>104</v>
      </c>
      <c r="H38">
        <v>19</v>
      </c>
      <c r="I38">
        <v>50</v>
      </c>
      <c r="J38">
        <v>-115</v>
      </c>
    </row>
    <row r="39" spans="7:10" x14ac:dyDescent="0.25">
      <c r="G39" t="s">
        <v>105</v>
      </c>
      <c r="H39" s="40">
        <v>1153</v>
      </c>
      <c r="I39" s="40">
        <v>4283</v>
      </c>
      <c r="J39">
        <v>-590</v>
      </c>
    </row>
    <row r="40" spans="7:10" x14ac:dyDescent="0.25">
      <c r="G40" t="s">
        <v>106</v>
      </c>
      <c r="H40" s="40">
        <v>6510</v>
      </c>
      <c r="I40" s="40">
        <v>7663</v>
      </c>
      <c r="J40" s="40">
        <v>11946</v>
      </c>
    </row>
    <row r="41" spans="7:10" x14ac:dyDescent="0.25">
      <c r="G41" t="s">
        <v>107</v>
      </c>
      <c r="H41" t="s">
        <v>120</v>
      </c>
      <c r="I41" t="s">
        <v>119</v>
      </c>
      <c r="J41" t="s">
        <v>118</v>
      </c>
    </row>
  </sheetData>
  <sortState xmlns:xlrd2="http://schemas.microsoft.com/office/spreadsheetml/2017/richdata2" columnSort="1" ref="H2:J41">
    <sortCondition ref="H2:J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D6" sqref="D6"/>
    </sheetView>
  </sheetViews>
  <sheetFormatPr defaultRowHeight="15" x14ac:dyDescent="0.25"/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42" t="s">
        <v>1</v>
      </c>
      <c r="C2" s="2"/>
      <c r="D2" s="2"/>
      <c r="E2" s="2"/>
      <c r="F2" s="2"/>
      <c r="G2" s="2"/>
      <c r="H2" s="2"/>
      <c r="I2" s="2"/>
      <c r="J2" s="2"/>
      <c r="K2" s="2"/>
      <c r="L2" s="43"/>
    </row>
    <row r="3" spans="1:14" x14ac:dyDescent="0.2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2"/>
    </row>
    <row r="4" spans="1:14" x14ac:dyDescent="0.25">
      <c r="A4" s="45" t="s">
        <v>42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43</v>
      </c>
      <c r="C6" s="2"/>
      <c r="D6" s="46">
        <f>'MSFT DCF'!I42</f>
        <v>0.14000000000000001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44</v>
      </c>
      <c r="C7" s="2"/>
      <c r="D7" s="46">
        <v>5.3999999999999999E-2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45</v>
      </c>
      <c r="C8" s="2"/>
      <c r="D8" s="47">
        <v>0.93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46</v>
      </c>
      <c r="C9" s="2"/>
      <c r="D9" s="46">
        <v>4.4999999999999998E-2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40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36</v>
      </c>
      <c r="B12" s="2"/>
      <c r="C12" s="25">
        <f>'MSFT DCF'!D67</f>
        <v>2318691.5999999996</v>
      </c>
      <c r="D12" s="2"/>
      <c r="E12" s="2" t="s">
        <v>35</v>
      </c>
      <c r="F12" s="2"/>
      <c r="G12" s="25">
        <f>'MSFT DCF'!D64</f>
        <v>12664</v>
      </c>
      <c r="H12" s="2"/>
      <c r="I12" s="2" t="s">
        <v>47</v>
      </c>
      <c r="J12" s="2"/>
      <c r="K12" s="25">
        <f>G12+C12</f>
        <v>2331355.5999999996</v>
      </c>
      <c r="L12" s="2"/>
    </row>
    <row r="13" spans="1:14" x14ac:dyDescent="0.25">
      <c r="A13" s="2" t="s">
        <v>48</v>
      </c>
      <c r="B13" s="2"/>
      <c r="C13" s="48">
        <f>C12/K12</f>
        <v>0.99456796723760199</v>
      </c>
      <c r="D13" s="2"/>
      <c r="E13" s="2" t="s">
        <v>49</v>
      </c>
      <c r="F13" s="2"/>
      <c r="G13" s="49">
        <f>G12/K12</f>
        <v>5.4320327623979805E-3</v>
      </c>
      <c r="H13" s="2"/>
      <c r="I13" s="2"/>
      <c r="J13" s="2"/>
      <c r="K13" s="2"/>
      <c r="L13" s="2"/>
      <c r="M13" s="40"/>
    </row>
    <row r="14" spans="1:14" x14ac:dyDescent="0.25">
      <c r="A14" s="2" t="s">
        <v>50</v>
      </c>
      <c r="B14" s="2"/>
      <c r="C14" s="50">
        <f>D7+D8*(D9)</f>
        <v>9.5849999999999991E-2</v>
      </c>
      <c r="D14" s="2"/>
      <c r="E14" s="2" t="s">
        <v>51</v>
      </c>
      <c r="F14" s="2"/>
      <c r="G14" s="51">
        <v>0.02</v>
      </c>
      <c r="H14" s="2"/>
      <c r="I14" s="52" t="s">
        <v>1</v>
      </c>
      <c r="J14" s="53"/>
      <c r="K14" s="79">
        <f>C13*C14+G14*G13*(1-D6)</f>
        <v>9.5422770623237382E-2</v>
      </c>
      <c r="L14" s="2"/>
    </row>
    <row r="15" spans="1:14" x14ac:dyDescent="0.25">
      <c r="D15" s="40"/>
      <c r="G15" s="40"/>
      <c r="J15" s="40"/>
      <c r="M15" s="40"/>
    </row>
    <row r="16" spans="1:14" x14ac:dyDescent="0.25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4:13" x14ac:dyDescent="0.25">
      <c r="D17" s="40"/>
      <c r="G17" s="40"/>
      <c r="J17" s="40"/>
      <c r="M17" s="40"/>
    </row>
    <row r="21" spans="4:13" x14ac:dyDescent="0.25">
      <c r="D21" s="40"/>
      <c r="E21" s="40"/>
      <c r="F21" s="40"/>
      <c r="G21" s="40"/>
      <c r="H21" s="40"/>
      <c r="I21" s="40"/>
      <c r="J21" s="40"/>
      <c r="K21" s="40"/>
      <c r="L21" s="40"/>
      <c r="M21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MSFT DCF</vt:lpstr>
      <vt:lpstr>Sheet1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2023-05-05T21:08:24Z</dcterms:modified>
</cp:coreProperties>
</file>