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ownloads\"/>
    </mc:Choice>
  </mc:AlternateContent>
  <xr:revisionPtr revIDLastSave="0" documentId="13_ncr:1_{E8F50A3E-52D5-4A91-934D-638AE5FAA82B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INTC DCF" sheetId="1" r:id="rId1"/>
    <sheet name="WAC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1" i="1" l="1"/>
  <c r="J27" i="1"/>
  <c r="I27" i="1"/>
  <c r="C59" i="1"/>
  <c r="H39" i="1"/>
  <c r="H37" i="1"/>
  <c r="D66" i="1"/>
  <c r="D65" i="1"/>
  <c r="I30" i="1"/>
  <c r="I12" i="1"/>
  <c r="C57" i="1"/>
  <c r="D57" i="1"/>
  <c r="E57" i="1"/>
  <c r="F57" i="1"/>
  <c r="H59" i="1"/>
  <c r="H32" i="1"/>
  <c r="C26" i="1"/>
  <c r="D26" i="1"/>
  <c r="E26" i="1"/>
  <c r="F26" i="1"/>
  <c r="G26" i="1"/>
  <c r="H26" i="1"/>
  <c r="D6" i="2"/>
  <c r="G12" i="2"/>
  <c r="D32" i="1"/>
  <c r="E32" i="1"/>
  <c r="F32" i="1"/>
  <c r="G32" i="1"/>
  <c r="H33" i="1"/>
  <c r="L66" i="1"/>
  <c r="L65" i="1" s="1"/>
  <c r="D69" i="1"/>
  <c r="C12" i="2" s="1"/>
  <c r="L68" i="1"/>
  <c r="L69" i="1" s="1"/>
  <c r="C32" i="1" l="1"/>
  <c r="D30" i="1"/>
  <c r="E30" i="1"/>
  <c r="F30" i="1"/>
  <c r="G30" i="1"/>
  <c r="H30" i="1"/>
  <c r="C30" i="1"/>
  <c r="D23" i="1"/>
  <c r="E23" i="1"/>
  <c r="F23" i="1"/>
  <c r="G23" i="1"/>
  <c r="H23" i="1"/>
  <c r="C23" i="1"/>
  <c r="D20" i="1"/>
  <c r="E20" i="1"/>
  <c r="F20" i="1"/>
  <c r="G20" i="1"/>
  <c r="H20" i="1"/>
  <c r="C20" i="1"/>
  <c r="C14" i="2"/>
  <c r="F50" i="1"/>
  <c r="G50" i="1"/>
  <c r="H50" i="1"/>
  <c r="E50" i="1"/>
  <c r="D50" i="1"/>
  <c r="C50" i="1"/>
  <c r="D47" i="1"/>
  <c r="C47" i="1"/>
  <c r="F47" i="1"/>
  <c r="H47" i="1"/>
  <c r="F33" i="1"/>
  <c r="D33" i="1"/>
  <c r="G53" i="1"/>
  <c r="H53" i="1"/>
  <c r="G47" i="1"/>
  <c r="G16" i="1"/>
  <c r="F16" i="1"/>
  <c r="F35" i="1" s="1"/>
  <c r="H16" i="1"/>
  <c r="H35" i="1" s="1"/>
  <c r="H57" i="1" s="1"/>
  <c r="E53" i="1"/>
  <c r="D53" i="1"/>
  <c r="C53" i="1"/>
  <c r="E47" i="1"/>
  <c r="D45" i="1"/>
  <c r="E45" i="1" s="1"/>
  <c r="E16" i="1"/>
  <c r="D16" i="1"/>
  <c r="D35" i="1" s="1"/>
  <c r="D37" i="1" s="1"/>
  <c r="C16" i="1"/>
  <c r="C35" i="1" s="1"/>
  <c r="C37" i="1" s="1"/>
  <c r="H12" i="1"/>
  <c r="G12" i="1"/>
  <c r="F12" i="1"/>
  <c r="E12" i="1"/>
  <c r="D12" i="1"/>
  <c r="J9" i="1"/>
  <c r="K9" i="1" s="1"/>
  <c r="L9" i="1" s="1"/>
  <c r="M9" i="1" s="1"/>
  <c r="N9" i="1" s="1"/>
  <c r="O9" i="1" s="1"/>
  <c r="P9" i="1" s="1"/>
  <c r="Q9" i="1" s="1"/>
  <c r="R9" i="1" s="1"/>
  <c r="F37" i="1" l="1"/>
  <c r="I25" i="1"/>
  <c r="E17" i="1"/>
  <c r="E35" i="1"/>
  <c r="E37" i="1" s="1"/>
  <c r="G17" i="1"/>
  <c r="G35" i="1"/>
  <c r="G37" i="1" s="1"/>
  <c r="G57" i="1" s="1"/>
  <c r="F39" i="1"/>
  <c r="I29" i="1"/>
  <c r="I19" i="1"/>
  <c r="I22" i="1"/>
  <c r="C17" i="1"/>
  <c r="I49" i="1"/>
  <c r="I52" i="1"/>
  <c r="F53" i="1"/>
  <c r="K12" i="2"/>
  <c r="I16" i="1"/>
  <c r="D17" i="1"/>
  <c r="H17" i="1"/>
  <c r="F17" i="1"/>
  <c r="C33" i="1"/>
  <c r="E33" i="1"/>
  <c r="G33" i="1"/>
  <c r="I35" i="1" l="1"/>
  <c r="I37" i="1" s="1"/>
  <c r="J25" i="1"/>
  <c r="I32" i="1"/>
  <c r="I33" i="1" s="1"/>
  <c r="F55" i="1"/>
  <c r="F43" i="1"/>
  <c r="D39" i="1"/>
  <c r="K11" i="1"/>
  <c r="K27" i="1" s="1"/>
  <c r="J29" i="1"/>
  <c r="J22" i="1"/>
  <c r="J19" i="1"/>
  <c r="J49" i="1"/>
  <c r="I14" i="1"/>
  <c r="C13" i="2"/>
  <c r="G13" i="2"/>
  <c r="G39" i="1"/>
  <c r="E39" i="1"/>
  <c r="E43" i="1" s="1"/>
  <c r="C39" i="1"/>
  <c r="C43" i="1" s="1"/>
  <c r="J52" i="1"/>
  <c r="J16" i="1"/>
  <c r="I39" i="1" l="1"/>
  <c r="I42" i="1" s="1"/>
  <c r="I40" i="1"/>
  <c r="J35" i="1"/>
  <c r="K29" i="1"/>
  <c r="K25" i="1"/>
  <c r="H43" i="1"/>
  <c r="H55" i="1"/>
  <c r="K49" i="1"/>
  <c r="D55" i="1"/>
  <c r="D59" i="1" s="1"/>
  <c r="D43" i="1"/>
  <c r="G55" i="1"/>
  <c r="G59" i="1" s="1"/>
  <c r="G43" i="1"/>
  <c r="J32" i="1"/>
  <c r="J33" i="1" s="1"/>
  <c r="K19" i="1"/>
  <c r="K22" i="1"/>
  <c r="D40" i="1"/>
  <c r="E55" i="1"/>
  <c r="E59" i="1" s="1"/>
  <c r="C55" i="1"/>
  <c r="F59" i="1"/>
  <c r="F40" i="1"/>
  <c r="H40" i="1"/>
  <c r="K14" i="2"/>
  <c r="E5" i="1" s="1"/>
  <c r="J14" i="1"/>
  <c r="K16" i="1"/>
  <c r="L27" i="1"/>
  <c r="G40" i="1"/>
  <c r="C40" i="1"/>
  <c r="E40" i="1"/>
  <c r="K52" i="1"/>
  <c r="I55" i="1" l="1"/>
  <c r="I59" i="1" s="1"/>
  <c r="I57" i="1"/>
  <c r="I60" i="1"/>
  <c r="J37" i="1"/>
  <c r="J39" i="1"/>
  <c r="L25" i="1"/>
  <c r="K35" i="1"/>
  <c r="K14" i="1"/>
  <c r="K32" i="1"/>
  <c r="K33" i="1" s="1"/>
  <c r="L22" i="1"/>
  <c r="L19" i="1"/>
  <c r="L29" i="1"/>
  <c r="L52" i="1"/>
  <c r="L49" i="1"/>
  <c r="L46" i="1"/>
  <c r="L16" i="1"/>
  <c r="M11" i="1"/>
  <c r="M27" i="1" s="1"/>
  <c r="J40" i="1" l="1"/>
  <c r="J42" i="1"/>
  <c r="J55" i="1" s="1"/>
  <c r="J59" i="1" s="1"/>
  <c r="J60" i="1" s="1"/>
  <c r="K37" i="1"/>
  <c r="K39" i="1"/>
  <c r="L35" i="1"/>
  <c r="M25" i="1"/>
  <c r="L32" i="1"/>
  <c r="L33" i="1" s="1"/>
  <c r="M29" i="1"/>
  <c r="M22" i="1"/>
  <c r="M19" i="1"/>
  <c r="M49" i="1"/>
  <c r="M46" i="1"/>
  <c r="L14" i="1"/>
  <c r="M16" i="1"/>
  <c r="N11" i="1"/>
  <c r="N27" i="1" s="1"/>
  <c r="M52" i="1"/>
  <c r="J57" i="1" l="1"/>
  <c r="K40" i="1"/>
  <c r="K42" i="1"/>
  <c r="L37" i="1"/>
  <c r="L39" i="1"/>
  <c r="M35" i="1"/>
  <c r="N25" i="1"/>
  <c r="M32" i="1"/>
  <c r="M33" i="1" s="1"/>
  <c r="M14" i="1"/>
  <c r="N22" i="1"/>
  <c r="N19" i="1"/>
  <c r="N29" i="1"/>
  <c r="N52" i="1"/>
  <c r="N49" i="1"/>
  <c r="N46" i="1"/>
  <c r="N16" i="1"/>
  <c r="N14" i="1" s="1"/>
  <c r="O11" i="1"/>
  <c r="O27" i="1" s="1"/>
  <c r="M37" i="1" l="1"/>
  <c r="M39" i="1"/>
  <c r="K55" i="1"/>
  <c r="K59" i="1" s="1"/>
  <c r="K60" i="1" s="1"/>
  <c r="K57" i="1"/>
  <c r="L40" i="1"/>
  <c r="L42" i="1"/>
  <c r="N35" i="1"/>
  <c r="O25" i="1"/>
  <c r="N32" i="1"/>
  <c r="N33" i="1" s="1"/>
  <c r="O29" i="1"/>
  <c r="O22" i="1"/>
  <c r="O19" i="1"/>
  <c r="O49" i="1"/>
  <c r="O46" i="1"/>
  <c r="O16" i="1"/>
  <c r="P11" i="1"/>
  <c r="P27" i="1" s="1"/>
  <c r="O52" i="1"/>
  <c r="M40" i="1" l="1"/>
  <c r="M42" i="1"/>
  <c r="M57" i="1" s="1"/>
  <c r="N37" i="1"/>
  <c r="N39" i="1"/>
  <c r="L57" i="1"/>
  <c r="L55" i="1"/>
  <c r="L59" i="1" s="1"/>
  <c r="L60" i="1" s="1"/>
  <c r="O35" i="1"/>
  <c r="P25" i="1"/>
  <c r="O32" i="1"/>
  <c r="O33" i="1" s="1"/>
  <c r="O14" i="1"/>
  <c r="P22" i="1"/>
  <c r="P19" i="1"/>
  <c r="P29" i="1"/>
  <c r="P49" i="1"/>
  <c r="P46" i="1"/>
  <c r="P16" i="1"/>
  <c r="Q11" i="1"/>
  <c r="Q27" i="1" s="1"/>
  <c r="P52" i="1"/>
  <c r="O37" i="1" l="1"/>
  <c r="O39" i="1"/>
  <c r="N40" i="1"/>
  <c r="N42" i="1"/>
  <c r="M55" i="1"/>
  <c r="M59" i="1" s="1"/>
  <c r="M60" i="1" s="1"/>
  <c r="P35" i="1"/>
  <c r="Q25" i="1"/>
  <c r="P32" i="1"/>
  <c r="P33" i="1" s="1"/>
  <c r="Q29" i="1"/>
  <c r="Q22" i="1"/>
  <c r="Q19" i="1"/>
  <c r="Q49" i="1"/>
  <c r="Q46" i="1"/>
  <c r="P14" i="1"/>
  <c r="Q16" i="1"/>
  <c r="R11" i="1"/>
  <c r="R27" i="1" s="1"/>
  <c r="Q52" i="1"/>
  <c r="P37" i="1" l="1"/>
  <c r="P39" i="1"/>
  <c r="N55" i="1"/>
  <c r="N59" i="1" s="1"/>
  <c r="N60" i="1" s="1"/>
  <c r="N57" i="1"/>
  <c r="O40" i="1"/>
  <c r="O42" i="1"/>
  <c r="O57" i="1" s="1"/>
  <c r="R25" i="1"/>
  <c r="Q35" i="1"/>
  <c r="Q32" i="1"/>
  <c r="Q33" i="1" s="1"/>
  <c r="R22" i="1"/>
  <c r="R19" i="1"/>
  <c r="R29" i="1"/>
  <c r="R49" i="1"/>
  <c r="R46" i="1"/>
  <c r="R16" i="1"/>
  <c r="R52" i="1"/>
  <c r="Q14" i="1"/>
  <c r="Q37" i="1" l="1"/>
  <c r="Q39" i="1"/>
  <c r="P40" i="1"/>
  <c r="P42" i="1"/>
  <c r="P57" i="1" s="1"/>
  <c r="O55" i="1"/>
  <c r="O59" i="1" s="1"/>
  <c r="O60" i="1" s="1"/>
  <c r="R35" i="1"/>
  <c r="R32" i="1"/>
  <c r="R33" i="1" s="1"/>
  <c r="R14" i="1"/>
  <c r="Q40" i="1" l="1"/>
  <c r="Q42" i="1"/>
  <c r="R37" i="1"/>
  <c r="R39" i="1"/>
  <c r="P55" i="1"/>
  <c r="P59" i="1" s="1"/>
  <c r="P60" i="1" s="1"/>
  <c r="R40" i="1" l="1"/>
  <c r="R42" i="1"/>
  <c r="Q57" i="1"/>
  <c r="Q55" i="1"/>
  <c r="Q59" i="1" s="1"/>
  <c r="Q60" i="1" s="1"/>
  <c r="R57" i="1" l="1"/>
  <c r="R55" i="1"/>
  <c r="R59" i="1" s="1"/>
  <c r="C62" i="1" l="1"/>
  <c r="C63" i="1" s="1"/>
  <c r="R60" i="1"/>
  <c r="S57" i="1"/>
  <c r="T57" i="1" s="1"/>
  <c r="U57" i="1" s="1"/>
  <c r="V57" i="1" s="1"/>
  <c r="W57" i="1" s="1"/>
  <c r="X57" i="1" s="1"/>
  <c r="Y57" i="1" s="1"/>
  <c r="Z57" i="1" s="1"/>
  <c r="AA57" i="1" s="1"/>
  <c r="AB57" i="1" s="1"/>
  <c r="AC57" i="1" s="1"/>
  <c r="AD57" i="1" s="1"/>
  <c r="AE57" i="1" s="1"/>
  <c r="AF57" i="1" s="1"/>
  <c r="AG57" i="1" s="1"/>
  <c r="AH57" i="1" s="1"/>
  <c r="AI57" i="1" s="1"/>
  <c r="AJ57" i="1" s="1"/>
  <c r="AK57" i="1" s="1"/>
  <c r="AL57" i="1" s="1"/>
  <c r="AM57" i="1" s="1"/>
  <c r="AN57" i="1" s="1"/>
  <c r="AO57" i="1" s="1"/>
  <c r="AP57" i="1" s="1"/>
  <c r="AQ57" i="1" s="1"/>
  <c r="AR57" i="1" s="1"/>
  <c r="AS57" i="1" s="1"/>
  <c r="AT57" i="1" s="1"/>
  <c r="AU57" i="1" s="1"/>
  <c r="AV57" i="1" s="1"/>
  <c r="AW57" i="1" s="1"/>
  <c r="AX57" i="1" s="1"/>
  <c r="AY57" i="1" s="1"/>
  <c r="AZ57" i="1" s="1"/>
  <c r="BA57" i="1" s="1"/>
  <c r="BB57" i="1" s="1"/>
  <c r="BC57" i="1" s="1"/>
  <c r="BD57" i="1" s="1"/>
  <c r="BE57" i="1" s="1"/>
  <c r="BF57" i="1" s="1"/>
  <c r="BG57" i="1" s="1"/>
  <c r="BH57" i="1" s="1"/>
  <c r="BI57" i="1" s="1"/>
  <c r="BJ57" i="1" s="1"/>
  <c r="BK57" i="1" s="1"/>
  <c r="BL57" i="1" s="1"/>
  <c r="BM57" i="1" s="1"/>
  <c r="BN57" i="1" s="1"/>
  <c r="BO57" i="1" s="1"/>
  <c r="BP57" i="1" s="1"/>
  <c r="BQ57" i="1" s="1"/>
  <c r="BR57" i="1" s="1"/>
  <c r="BS57" i="1" s="1"/>
  <c r="BT57" i="1" s="1"/>
  <c r="BU57" i="1" s="1"/>
  <c r="BV57" i="1" s="1"/>
  <c r="BW57" i="1" s="1"/>
  <c r="BX57" i="1" s="1"/>
  <c r="BY57" i="1" s="1"/>
  <c r="BZ57" i="1" s="1"/>
  <c r="CA57" i="1" s="1"/>
  <c r="CB57" i="1" s="1"/>
  <c r="CC57" i="1" s="1"/>
  <c r="CD57" i="1" s="1"/>
  <c r="CE57" i="1" s="1"/>
  <c r="CF57" i="1" s="1"/>
  <c r="CG57" i="1" s="1"/>
  <c r="CH57" i="1" s="1"/>
  <c r="G65" i="1" l="1"/>
  <c r="G67" i="1" s="1"/>
  <c r="G70" i="1" s="1"/>
  <c r="F62" i="1"/>
  <c r="H65" i="1" s="1"/>
  <c r="H67" i="1" s="1"/>
  <c r="H70" i="1" s="1"/>
  <c r="D70" i="1" l="1"/>
  <c r="L64" i="1" s="1"/>
  <c r="J6" i="1" l="1"/>
  <c r="N5" i="1" s="1"/>
</calcChain>
</file>

<file path=xl/sharedStrings.xml><?xml version="1.0" encoding="utf-8"?>
<sst xmlns="http://schemas.openxmlformats.org/spreadsheetml/2006/main" count="86" uniqueCount="59">
  <si>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</si>
  <si>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</si>
  <si>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</si>
  <si>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</si>
  <si>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</si>
  <si>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</si>
  <si>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</si>
  <si>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</si>
  <si>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</si>
  <si>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</si>
  <si>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</si>
  <si>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</si>
  <si>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</si>
  <si>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>Opex</t>
  </si>
  <si>
    <t>Operating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</si>
  <si>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</si>
  <si>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</si>
  <si>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</si>
  <si>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</si>
  <si>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</si>
  <si>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</si>
  <si>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</si>
  <si>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</si>
  <si>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</si>
  <si>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</si>
  <si>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</si>
  <si>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</si>
  <si>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</si>
  <si>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</si>
  <si>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</si>
  <si>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</si>
  <si>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</si>
  <si>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</si>
  <si>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</si>
  <si>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</si>
  <si>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</si>
  <si>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</si>
  <si>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</si>
  <si>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</si>
  <si>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</si>
  <si>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</si>
  <si>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</si>
  <si>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</si>
  <si>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</si>
  <si>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</si>
  <si>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</si>
  <si>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</si>
  <si>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</si>
  <si>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</si>
  <si>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</si>
  <si>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</si>
  <si>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 xml:space="preserve">                                             Terminal Growth Rate</t>
  </si>
  <si>
    <t>Last update</t>
  </si>
  <si>
    <t>Intel DCF</t>
  </si>
  <si>
    <t>SG&amp;A</t>
  </si>
  <si>
    <t>Other</t>
  </si>
  <si>
    <t>Interest</t>
  </si>
  <si>
    <t>Gains (losses) on equity investments, net</t>
  </si>
  <si>
    <t>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</si>
</sst>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7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64" fontId="9" fillId="2" borderId="4" xfId="1" applyNumberFormat="1" applyFont="1" applyFill="1" applyBorder="1"/>
    <xf numFmtId="164" fontId="7" fillId="2" borderId="4" xfId="1" applyNumberFormat="1" applyFont="1" applyFill="1" applyBorder="1"/>
    <xf numFmtId="1" fontId="3" fillId="2" borderId="4" xfId="0" applyNumberFormat="1" applyFont="1" applyFill="1" applyBorder="1"/>
    <xf numFmtId="10" fontId="3" fillId="2" borderId="0" xfId="1" applyNumberFormat="1" applyFont="1" applyFill="1"/>
    <xf numFmtId="0" fontId="0" fillId="2" borderId="4" xfId="0" applyFill="1" applyBorder="1"/>
    <xf numFmtId="3" fontId="0" fillId="2" borderId="0" xfId="0" applyNumberFormat="1" applyFill="1"/>
    <xf numFmtId="3" fontId="3" fillId="0" borderId="0" xfId="0" applyNumberFormat="1" applyFont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8" xfId="0" applyFont="1" applyFill="1" applyBorder="1"/>
    <xf numFmtId="2" fontId="6" fillId="2" borderId="0" xfId="0" applyNumberFormat="1" applyFont="1" applyFill="1"/>
    <xf numFmtId="3" fontId="3" fillId="2" borderId="5" xfId="0" applyNumberFormat="1" applyFont="1" applyFill="1" applyBorder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0" fontId="10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9" xfId="0" applyFont="1" applyFill="1" applyBorder="1"/>
    <xf numFmtId="0" fontId="0" fillId="2" borderId="10" xfId="0" applyFill="1" applyBorder="1"/>
    <xf numFmtId="164" fontId="7" fillId="2" borderId="0" xfId="1" applyNumberFormat="1" applyFont="1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10" borderId="0" xfId="0" applyNumberFormat="1" applyFill="1"/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2" fontId="11" fillId="11" borderId="0" xfId="0" applyNumberFormat="1" applyFont="1" applyFill="1"/>
    <xf numFmtId="164" fontId="0" fillId="10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64" fontId="8" fillId="2" borderId="0" xfId="1" applyNumberFormat="1" applyFont="1" applyFill="1" applyBorder="1"/>
    <xf numFmtId="164" fontId="9" fillId="2" borderId="0" xfId="1" applyNumberFormat="1" applyFont="1" applyFill="1" applyBorder="1"/>
    <xf numFmtId="1" fontId="3" fillId="2" borderId="1" xfId="0" applyNumberFormat="1" applyFont="1" applyFill="1" applyBorder="1"/>
    <xf numFmtId="0" fontId="6" fillId="4" borderId="4" xfId="0" applyFont="1" applyFill="1" applyBorder="1"/>
    <xf numFmtId="164" fontId="8" fillId="2" borderId="4" xfId="1" applyNumberFormat="1" applyFont="1" applyFill="1" applyBorder="1"/>
    <xf numFmtId="1" fontId="3" fillId="2" borderId="12" xfId="0" applyNumberFormat="1" applyFont="1" applyFill="1" applyBorder="1"/>
    <xf numFmtId="10" fontId="8" fillId="2" borderId="4" xfId="0" applyNumberFormat="1" applyFont="1" applyFill="1" applyBorder="1"/>
    <xf numFmtId="3" fontId="3" fillId="2" borderId="4" xfId="0" applyNumberFormat="1" applyFont="1" applyFill="1" applyBorder="1"/>
    <xf numFmtId="0" fontId="6" fillId="3" borderId="4" xfId="0" applyFont="1" applyFill="1" applyBorder="1"/>
    <xf numFmtId="164" fontId="3" fillId="2" borderId="4" xfId="0" applyNumberFormat="1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165" fontId="2" fillId="2" borderId="11" xfId="0" applyNumberFormat="1" applyFont="1" applyFill="1" applyBorder="1"/>
    <xf numFmtId="3" fontId="3" fillId="0" borderId="4" xfId="0" applyNumberFormat="1" applyFont="1" applyBorder="1"/>
    <xf numFmtId="164" fontId="8" fillId="2" borderId="4" xfId="0" applyNumberFormat="1" applyFont="1" applyFill="1" applyBorder="1"/>
    <xf numFmtId="164" fontId="8" fillId="2" borderId="0" xfId="0" applyNumberFormat="1" applyFont="1" applyFill="1"/>
    <xf numFmtId="0" fontId="7" fillId="12" borderId="0" xfId="0" applyFont="1" applyFill="1"/>
    <xf numFmtId="164" fontId="7" fillId="12" borderId="0" xfId="1" applyNumberFormat="1" applyFont="1" applyFill="1"/>
    <xf numFmtId="164" fontId="3" fillId="12" borderId="0" xfId="1" applyNumberFormat="1" applyFont="1" applyFill="1"/>
    <xf numFmtId="0" fontId="3" fillId="2" borderId="0" xfId="1" applyNumberFormat="1" applyFont="1" applyFill="1"/>
    <xf numFmtId="0" fontId="3" fillId="2" borderId="0" xfId="0" applyNumberFormat="1" applyFont="1" applyFill="1"/>
    <xf numFmtId="164" fontId="0" fillId="2" borderId="0" xfId="1" applyNumberFormat="1" applyFont="1" applyFill="1"/>
    <xf numFmtId="10" fontId="3" fillId="2" borderId="4" xfId="1" applyNumberFormat="1" applyFont="1" applyFill="1" applyBorder="1"/>
    <xf numFmtId="3" fontId="0" fillId="2" borderId="1" xfId="0" applyNumberFormat="1" applyFill="1" applyBorder="1"/>
    <xf numFmtId="1" fontId="3" fillId="2" borderId="0" xfId="0" applyNumberFormat="1" applyFont="1" applyFill="1" applyBorder="1"/>
    <xf numFmtId="3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 applyBorder="1"/>
    <xf numFmtId="10" fontId="8" fillId="2" borderId="0" xfId="0" applyNumberFormat="1" applyFont="1" applyFill="1" applyBorder="1"/>
    <xf numFmtId="164" fontId="3" fillId="2" borderId="0" xfId="0" applyNumberFormat="1" applyFont="1" applyFill="1" applyBorder="1"/>
    <xf numFmtId="3" fontId="3" fillId="0" borderId="0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71"/>
  <sheetViews>
    <sheetView tabSelected="1" topLeftCell="A58" workbookViewId="0">
      <selection activeCell="H10" sqref="H10"/>
    </sheetView>
  </sheetViews>
  <sheetFormatPr defaultRowHeight="15" x14ac:dyDescent="0.25"/>
  <cols>
    <col min="1" max="1" width="7.7109375" style="2" customWidth="1"/>
    <col min="2" max="2" width="14.5703125" style="2" customWidth="1"/>
    <col min="3" max="13" width="9.140625" style="2"/>
    <col min="14" max="14" width="10.7109375" style="2" bestFit="1" customWidth="1"/>
    <col min="15" max="15" width="9.140625" style="2"/>
    <col min="16" max="16" width="10.7109375" style="2" customWidth="1"/>
    <col min="17" max="18" width="9.140625" style="2"/>
    <col min="19" max="16384" width="9.140625" style="54"/>
  </cols>
  <sheetData>
    <row r="1" spans="1: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86" ht="23.25" x14ac:dyDescent="0.35">
      <c r="A2" s="3"/>
      <c r="B2" s="4" t="s">
        <v>53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86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86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54"/>
      <c r="Q4" s="54"/>
    </row>
    <row r="5" spans="1:86" x14ac:dyDescent="0.25">
      <c r="A5" s="1"/>
      <c r="B5" s="1"/>
      <c r="C5" s="7" t="s">
        <v>1</v>
      </c>
      <c r="D5" s="1"/>
      <c r="E5" s="8">
        <f>WACC!K14</f>
        <v>8.3691116542321767E-2</v>
      </c>
      <c r="G5" s="1"/>
      <c r="H5" s="1" t="s">
        <v>2</v>
      </c>
      <c r="I5" s="1"/>
      <c r="J5" s="7">
        <v>30.99</v>
      </c>
      <c r="K5" s="1"/>
      <c r="L5" s="1" t="s">
        <v>3</v>
      </c>
      <c r="M5" s="1"/>
      <c r="N5" s="77">
        <f>(J6/J5)-1</f>
        <v>-0.1484145721586273</v>
      </c>
      <c r="O5" s="1"/>
      <c r="P5" s="1"/>
      <c r="Q5" s="1"/>
    </row>
    <row r="6" spans="1:86" x14ac:dyDescent="0.25">
      <c r="A6" s="1"/>
      <c r="B6" s="1"/>
      <c r="C6" s="7" t="s">
        <v>4</v>
      </c>
      <c r="D6" s="1"/>
      <c r="E6" s="8">
        <v>-0.01</v>
      </c>
      <c r="G6" s="1"/>
      <c r="H6" s="1" t="s">
        <v>5</v>
      </c>
      <c r="I6" s="1"/>
      <c r="J6" s="7">
        <f>D70</f>
        <v>26.390632408804137</v>
      </c>
      <c r="K6" s="1"/>
      <c r="L6" s="1" t="s">
        <v>52</v>
      </c>
      <c r="M6" s="1"/>
      <c r="N6" s="76">
        <v>45052</v>
      </c>
      <c r="O6" s="1"/>
      <c r="P6" s="1"/>
      <c r="Q6" s="1"/>
    </row>
    <row r="7" spans="1:86" x14ac:dyDescent="0.25">
      <c r="B7" s="76"/>
      <c r="C7" s="1"/>
      <c r="D7" s="1"/>
      <c r="E7" s="9"/>
      <c r="F7" s="1"/>
      <c r="G7" s="1"/>
      <c r="H7" s="1"/>
      <c r="I7" s="1"/>
      <c r="J7" s="1"/>
      <c r="K7" s="1"/>
      <c r="L7" s="60"/>
      <c r="M7" s="57"/>
      <c r="N7" s="1"/>
      <c r="O7" s="1"/>
      <c r="P7" s="1"/>
      <c r="Q7" s="1"/>
    </row>
    <row r="8" spans="1:86" x14ac:dyDescent="0.25">
      <c r="A8" s="1"/>
      <c r="B8" s="12"/>
      <c r="C8" s="1"/>
      <c r="D8" s="1"/>
      <c r="E8" s="40"/>
      <c r="F8" s="1"/>
      <c r="G8" s="1"/>
      <c r="H8" s="12"/>
      <c r="I8" s="1"/>
      <c r="J8" s="1"/>
      <c r="K8" s="1"/>
      <c r="L8" s="1"/>
      <c r="M8" s="1"/>
      <c r="N8" s="1"/>
      <c r="O8" s="1"/>
      <c r="P8" s="1"/>
      <c r="Q8" s="1"/>
    </row>
    <row r="9" spans="1:86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x14ac:dyDescent="0.25">
      <c r="A10" s="1"/>
      <c r="B10" s="10" t="s">
        <v>6</v>
      </c>
      <c r="C10" s="10">
        <v>2017</v>
      </c>
      <c r="D10" s="10">
        <v>2018</v>
      </c>
      <c r="E10" s="11">
        <v>2019</v>
      </c>
      <c r="F10" s="10">
        <v>2020</v>
      </c>
      <c r="G10" s="10">
        <v>2021</v>
      </c>
      <c r="H10" s="10">
        <v>2022</v>
      </c>
      <c r="I10" s="69">
        <v>2023</v>
      </c>
      <c r="J10" s="11">
        <v>2024</v>
      </c>
      <c r="K10" s="11">
        <v>2025</v>
      </c>
      <c r="L10" s="11">
        <v>2026</v>
      </c>
      <c r="M10" s="11">
        <v>2027</v>
      </c>
      <c r="N10" s="11">
        <v>2028</v>
      </c>
      <c r="O10" s="11">
        <v>2029</v>
      </c>
      <c r="P10" s="11">
        <v>2030</v>
      </c>
      <c r="Q10" s="11">
        <v>2031</v>
      </c>
      <c r="R10" s="11">
        <v>2032</v>
      </c>
      <c r="S10" s="10">
        <v>2033</v>
      </c>
      <c r="T10" s="10">
        <v>2034</v>
      </c>
      <c r="U10" s="10">
        <v>2035</v>
      </c>
      <c r="V10" s="10">
        <v>2036</v>
      </c>
      <c r="W10" s="10">
        <v>2037</v>
      </c>
      <c r="X10" s="10">
        <v>2038</v>
      </c>
      <c r="Y10" s="10">
        <v>2039</v>
      </c>
      <c r="Z10" s="10">
        <v>2040</v>
      </c>
      <c r="AA10" s="10">
        <v>2041</v>
      </c>
      <c r="AB10" s="10">
        <v>2042</v>
      </c>
      <c r="AC10" s="10">
        <v>2043</v>
      </c>
      <c r="AD10" s="10">
        <v>2044</v>
      </c>
      <c r="AE10" s="10">
        <v>2045</v>
      </c>
      <c r="AF10" s="10">
        <v>2046</v>
      </c>
      <c r="AG10" s="10">
        <v>2047</v>
      </c>
      <c r="AH10" s="10">
        <v>2048</v>
      </c>
      <c r="AI10" s="10">
        <v>2049</v>
      </c>
      <c r="AJ10" s="10">
        <v>2050</v>
      </c>
      <c r="AK10" s="10">
        <v>2051</v>
      </c>
      <c r="AL10" s="10">
        <v>2052</v>
      </c>
      <c r="AM10" s="10">
        <v>2053</v>
      </c>
      <c r="AN10" s="10">
        <v>2054</v>
      </c>
      <c r="AO10" s="10">
        <v>2055</v>
      </c>
      <c r="AP10" s="10">
        <v>2056</v>
      </c>
      <c r="AQ10" s="10">
        <v>2057</v>
      </c>
      <c r="AR10" s="10">
        <v>2058</v>
      </c>
      <c r="AS10" s="10">
        <v>2059</v>
      </c>
      <c r="AT10" s="10">
        <v>2060</v>
      </c>
      <c r="AU10" s="10">
        <v>2061</v>
      </c>
      <c r="AV10" s="10">
        <v>2062</v>
      </c>
      <c r="AW10" s="10">
        <v>2063</v>
      </c>
      <c r="AX10" s="10">
        <v>2064</v>
      </c>
      <c r="AY10" s="10">
        <v>2065</v>
      </c>
      <c r="AZ10" s="10">
        <v>2066</v>
      </c>
      <c r="BA10" s="10">
        <v>2067</v>
      </c>
      <c r="BB10" s="10">
        <v>2068</v>
      </c>
      <c r="BC10" s="10">
        <v>2069</v>
      </c>
      <c r="BD10" s="10">
        <v>2070</v>
      </c>
      <c r="BE10" s="10">
        <v>2071</v>
      </c>
      <c r="BF10" s="10">
        <v>2072</v>
      </c>
      <c r="BG10" s="10">
        <v>2073</v>
      </c>
      <c r="BH10" s="10">
        <v>2074</v>
      </c>
      <c r="BI10" s="10">
        <v>2075</v>
      </c>
      <c r="BJ10" s="10">
        <v>2076</v>
      </c>
      <c r="BK10" s="10">
        <v>2077</v>
      </c>
      <c r="BL10" s="10">
        <v>2078</v>
      </c>
      <c r="BM10" s="10">
        <v>2079</v>
      </c>
      <c r="BN10" s="10">
        <v>2080</v>
      </c>
      <c r="BO10" s="10">
        <v>2081</v>
      </c>
      <c r="BP10" s="10">
        <v>2082</v>
      </c>
      <c r="BQ10" s="10">
        <v>2083</v>
      </c>
      <c r="BR10" s="10">
        <v>2084</v>
      </c>
      <c r="BS10" s="10">
        <v>2085</v>
      </c>
      <c r="BT10" s="10">
        <v>2086</v>
      </c>
      <c r="BU10" s="10">
        <v>2087</v>
      </c>
      <c r="BV10" s="10">
        <v>2088</v>
      </c>
      <c r="BW10" s="10">
        <v>2089</v>
      </c>
      <c r="BX10" s="10">
        <v>2090</v>
      </c>
      <c r="BY10" s="10">
        <v>2091</v>
      </c>
      <c r="BZ10" s="10">
        <v>2092</v>
      </c>
      <c r="CA10" s="10">
        <v>2093</v>
      </c>
      <c r="CB10" s="10">
        <v>2094</v>
      </c>
      <c r="CC10" s="10">
        <v>2095</v>
      </c>
      <c r="CD10" s="10">
        <v>2096</v>
      </c>
      <c r="CE10" s="10">
        <v>2097</v>
      </c>
      <c r="CF10" s="10">
        <v>2098</v>
      </c>
      <c r="CG10" s="10">
        <v>2099</v>
      </c>
      <c r="CH10" s="10">
        <v>2100</v>
      </c>
    </row>
    <row r="11" spans="1:86" x14ac:dyDescent="0.25">
      <c r="A11" s="1"/>
      <c r="B11" s="1" t="s">
        <v>7</v>
      </c>
      <c r="C11" s="12">
        <v>62761</v>
      </c>
      <c r="D11" s="12">
        <v>70848</v>
      </c>
      <c r="E11" s="12">
        <v>71965</v>
      </c>
      <c r="F11" s="12">
        <v>77867</v>
      </c>
      <c r="G11" s="12">
        <v>79024</v>
      </c>
      <c r="H11" s="12">
        <v>63054</v>
      </c>
      <c r="I11" s="22">
        <v>51370</v>
      </c>
      <c r="J11" s="19">
        <v>58300</v>
      </c>
      <c r="K11" s="19">
        <f t="shared" ref="J11:R11" si="1">J11*(1+K12)</f>
        <v>60486.250000000007</v>
      </c>
      <c r="L11" s="19">
        <f>K11*(1+L12)</f>
        <v>62754.484375000015</v>
      </c>
      <c r="M11" s="19">
        <f t="shared" si="1"/>
        <v>65107.777539062517</v>
      </c>
      <c r="N11" s="19">
        <f t="shared" si="1"/>
        <v>67549.319196777375</v>
      </c>
      <c r="O11" s="19">
        <f t="shared" si="1"/>
        <v>70082.418666656537</v>
      </c>
      <c r="P11" s="19">
        <f t="shared" si="1"/>
        <v>72710.509366656159</v>
      </c>
      <c r="Q11" s="19">
        <f t="shared" si="1"/>
        <v>75437.153467905766</v>
      </c>
      <c r="R11" s="19">
        <f t="shared" si="1"/>
        <v>78266.046722952233</v>
      </c>
    </row>
    <row r="12" spans="1:86" x14ac:dyDescent="0.25">
      <c r="A12" s="1"/>
      <c r="B12" s="82" t="s">
        <v>8</v>
      </c>
      <c r="C12" s="83"/>
      <c r="D12" s="83">
        <f>(D11/C11)-1</f>
        <v>0.12885390608817571</v>
      </c>
      <c r="E12" s="83">
        <f t="shared" ref="E12:H12" si="2">(E11/D11)-1</f>
        <v>1.576614724480585E-2</v>
      </c>
      <c r="F12" s="83">
        <f t="shared" si="2"/>
        <v>8.2012089210032668E-2</v>
      </c>
      <c r="G12" s="83">
        <f t="shared" si="2"/>
        <v>1.4858669269395275E-2</v>
      </c>
      <c r="H12" s="83">
        <f t="shared" si="2"/>
        <v>-0.20209050415063778</v>
      </c>
      <c r="I12" s="70">
        <f>(I11/H11)-1</f>
        <v>-0.18530148761379139</v>
      </c>
      <c r="J12" s="66">
        <v>3.7999999999999999E-2</v>
      </c>
      <c r="K12" s="66">
        <v>3.7499999999999999E-2</v>
      </c>
      <c r="L12" s="66">
        <v>3.7499999999999999E-2</v>
      </c>
      <c r="M12" s="66">
        <v>3.7499999999999999E-2</v>
      </c>
      <c r="N12" s="66">
        <v>3.7499999999999999E-2</v>
      </c>
      <c r="O12" s="66">
        <v>3.7499999999999999E-2</v>
      </c>
      <c r="P12" s="66">
        <v>3.7499999999999999E-2</v>
      </c>
      <c r="Q12" s="66">
        <v>3.7499999999999999E-2</v>
      </c>
      <c r="R12" s="66">
        <v>3.7499999999999999E-2</v>
      </c>
    </row>
    <row r="13" spans="1:86" x14ac:dyDescent="0.25">
      <c r="A13" s="1"/>
      <c r="B13" s="6"/>
      <c r="C13" s="1"/>
      <c r="D13" s="1"/>
      <c r="E13" s="1"/>
      <c r="F13" s="1"/>
      <c r="G13" s="1"/>
      <c r="H13" s="1"/>
      <c r="I13" s="13"/>
      <c r="J13" s="1"/>
      <c r="K13" s="1"/>
      <c r="L13" s="1"/>
      <c r="M13" s="1"/>
      <c r="N13" s="1"/>
      <c r="O13" s="1"/>
      <c r="P13" s="1"/>
      <c r="Q13" s="1"/>
    </row>
    <row r="14" spans="1:86" x14ac:dyDescent="0.25">
      <c r="A14" s="1"/>
      <c r="B14" s="1" t="s">
        <v>9</v>
      </c>
      <c r="C14" s="12">
        <v>23663</v>
      </c>
      <c r="D14" s="12">
        <v>27111</v>
      </c>
      <c r="E14" s="12">
        <v>29825</v>
      </c>
      <c r="F14" s="12">
        <v>34255</v>
      </c>
      <c r="G14" s="12">
        <v>35209</v>
      </c>
      <c r="H14" s="38">
        <v>36188</v>
      </c>
      <c r="I14" s="71">
        <f>I11-I16</f>
        <v>31335.7</v>
      </c>
      <c r="J14" s="68">
        <f t="shared" ref="J14:K14" si="3">J11-J16</f>
        <v>34397</v>
      </c>
      <c r="K14" s="68">
        <f t="shared" si="3"/>
        <v>34477.162500000006</v>
      </c>
      <c r="L14" s="68">
        <f t="shared" ref="L14:R14" si="4">L11-L16</f>
        <v>34514.966406250009</v>
      </c>
      <c r="M14" s="68">
        <f t="shared" si="4"/>
        <v>35809.277646484385</v>
      </c>
      <c r="N14" s="68">
        <f t="shared" si="4"/>
        <v>37152.125558227555</v>
      </c>
      <c r="O14" s="68">
        <f t="shared" si="4"/>
        <v>38545.330266661098</v>
      </c>
      <c r="P14" s="68">
        <f t="shared" si="4"/>
        <v>36355.254683328079</v>
      </c>
      <c r="Q14" s="68">
        <f t="shared" si="4"/>
        <v>37718.576733952883</v>
      </c>
      <c r="R14" s="68">
        <f t="shared" si="4"/>
        <v>39133.023361476116</v>
      </c>
    </row>
    <row r="15" spans="1:86" x14ac:dyDescent="0.25">
      <c r="A15" s="1"/>
      <c r="B15" s="18"/>
      <c r="C15" s="18"/>
      <c r="D15" s="18"/>
      <c r="E15" s="18"/>
      <c r="F15" s="18"/>
      <c r="G15" s="18"/>
      <c r="H15" s="18"/>
      <c r="I15" s="13"/>
      <c r="J15" s="1"/>
      <c r="K15" s="1"/>
      <c r="L15" s="1"/>
      <c r="M15" s="1"/>
      <c r="N15" s="1"/>
      <c r="O15" s="1"/>
      <c r="P15" s="1"/>
      <c r="Q15" s="1"/>
    </row>
    <row r="16" spans="1:86" x14ac:dyDescent="0.25">
      <c r="A16" s="1"/>
      <c r="B16" s="1" t="s">
        <v>10</v>
      </c>
      <c r="C16" s="12">
        <f t="shared" ref="C16:F16" si="5">C11-C14</f>
        <v>39098</v>
      </c>
      <c r="D16" s="12">
        <f t="shared" si="5"/>
        <v>43737</v>
      </c>
      <c r="E16" s="12">
        <f t="shared" si="5"/>
        <v>42140</v>
      </c>
      <c r="F16" s="12">
        <f t="shared" si="5"/>
        <v>43612</v>
      </c>
      <c r="G16" s="12">
        <f>G11-G14</f>
        <v>43815</v>
      </c>
      <c r="H16" s="12">
        <f>H11-H14</f>
        <v>26866</v>
      </c>
      <c r="I16" s="22">
        <f>I11*I17</f>
        <v>20034.3</v>
      </c>
      <c r="J16" s="19">
        <f t="shared" ref="J16:R16" si="6">J11*J17</f>
        <v>23903</v>
      </c>
      <c r="K16" s="19">
        <f t="shared" si="6"/>
        <v>26009.087500000001</v>
      </c>
      <c r="L16" s="19">
        <f t="shared" si="6"/>
        <v>28239.517968750006</v>
      </c>
      <c r="M16" s="19">
        <f t="shared" si="6"/>
        <v>29298.499892578133</v>
      </c>
      <c r="N16" s="19">
        <f t="shared" si="6"/>
        <v>30397.193638549819</v>
      </c>
      <c r="O16" s="19">
        <f t="shared" si="6"/>
        <v>31537.088399995442</v>
      </c>
      <c r="P16" s="19">
        <f t="shared" si="6"/>
        <v>36355.254683328079</v>
      </c>
      <c r="Q16" s="19">
        <f t="shared" si="6"/>
        <v>37718.576733952883</v>
      </c>
      <c r="R16" s="19">
        <f t="shared" si="6"/>
        <v>39133.023361476116</v>
      </c>
    </row>
    <row r="17" spans="1:18" x14ac:dyDescent="0.25">
      <c r="A17" s="1"/>
      <c r="B17" s="82" t="s">
        <v>11</v>
      </c>
      <c r="C17" s="83">
        <f>C16/C11</f>
        <v>0.62296649192970155</v>
      </c>
      <c r="D17" s="83">
        <f t="shared" ref="D17:H17" si="7">D16/D11</f>
        <v>0.61733570460704612</v>
      </c>
      <c r="E17" s="83">
        <f t="shared" si="7"/>
        <v>0.5855624261793928</v>
      </c>
      <c r="F17" s="83">
        <f t="shared" si="7"/>
        <v>0.5600832188218372</v>
      </c>
      <c r="G17" s="83">
        <f t="shared" si="7"/>
        <v>0.5544518121077141</v>
      </c>
      <c r="H17" s="83">
        <f t="shared" si="7"/>
        <v>0.42607923367272499</v>
      </c>
      <c r="I17" s="80">
        <v>0.39</v>
      </c>
      <c r="J17" s="81">
        <v>0.41</v>
      </c>
      <c r="K17" s="81">
        <v>0.43</v>
      </c>
      <c r="L17" s="81">
        <v>0.45</v>
      </c>
      <c r="M17" s="81">
        <v>0.45</v>
      </c>
      <c r="N17" s="81">
        <v>0.45</v>
      </c>
      <c r="O17" s="81">
        <v>0.45</v>
      </c>
      <c r="P17" s="81">
        <v>0.5</v>
      </c>
      <c r="Q17" s="81">
        <v>0.5</v>
      </c>
      <c r="R17" s="81">
        <v>0.5</v>
      </c>
    </row>
    <row r="18" spans="1:18" x14ac:dyDescent="0.25">
      <c r="A18" s="1"/>
      <c r="B18" s="6"/>
      <c r="C18" s="1"/>
      <c r="D18" s="1"/>
      <c r="E18" s="1"/>
      <c r="F18" s="1"/>
      <c r="G18" s="1"/>
      <c r="H18" s="1"/>
      <c r="I18" s="13"/>
      <c r="J18" s="1"/>
      <c r="K18" s="1"/>
      <c r="L18" s="1"/>
      <c r="M18" s="1"/>
      <c r="N18" s="1"/>
      <c r="O18" s="1"/>
      <c r="P18" s="1"/>
      <c r="Q18" s="1"/>
    </row>
    <row r="19" spans="1:18" x14ac:dyDescent="0.25">
      <c r="A19" s="1"/>
      <c r="B19" s="1" t="s">
        <v>12</v>
      </c>
      <c r="C19" s="12">
        <v>13035</v>
      </c>
      <c r="D19" s="12">
        <v>13543</v>
      </c>
      <c r="E19" s="12">
        <v>13362</v>
      </c>
      <c r="F19" s="12">
        <v>13556</v>
      </c>
      <c r="G19" s="12">
        <v>15190</v>
      </c>
      <c r="H19" s="12">
        <v>17528</v>
      </c>
      <c r="I19" s="22">
        <f>I20*I11</f>
        <v>15667.85</v>
      </c>
      <c r="J19" s="19">
        <f t="shared" ref="J19:R19" si="8">J20*J11</f>
        <v>15158</v>
      </c>
      <c r="K19" s="19">
        <f t="shared" si="8"/>
        <v>14516.7</v>
      </c>
      <c r="L19" s="19">
        <f t="shared" si="8"/>
        <v>13805.986562500004</v>
      </c>
      <c r="M19" s="19">
        <f t="shared" si="8"/>
        <v>14323.711058593753</v>
      </c>
      <c r="N19" s="19">
        <f t="shared" si="8"/>
        <v>14860.850223291023</v>
      </c>
      <c r="O19" s="19">
        <f t="shared" si="8"/>
        <v>15418.132106664438</v>
      </c>
      <c r="P19" s="19">
        <f t="shared" si="8"/>
        <v>15996.312060664355</v>
      </c>
      <c r="Q19" s="19">
        <f t="shared" si="8"/>
        <v>16596.17376293927</v>
      </c>
      <c r="R19" s="19">
        <f t="shared" si="8"/>
        <v>17218.53027904949</v>
      </c>
    </row>
    <row r="20" spans="1:18" x14ac:dyDescent="0.25">
      <c r="A20" s="1"/>
      <c r="B20" s="82" t="s">
        <v>17</v>
      </c>
      <c r="C20" s="83">
        <f>C19/C11</f>
        <v>0.20769267538758146</v>
      </c>
      <c r="D20" s="83">
        <f t="shared" ref="D20:H20" si="9">D19/D11</f>
        <v>0.19115571364046974</v>
      </c>
      <c r="E20" s="83">
        <f t="shared" si="9"/>
        <v>0.18567359132911831</v>
      </c>
      <c r="F20" s="83">
        <f t="shared" si="9"/>
        <v>0.17409172049777183</v>
      </c>
      <c r="G20" s="83">
        <f t="shared" si="9"/>
        <v>0.19222008503745697</v>
      </c>
      <c r="H20" s="83">
        <f t="shared" si="9"/>
        <v>0.27798395026485234</v>
      </c>
      <c r="I20" s="70">
        <v>0.30499999999999999</v>
      </c>
      <c r="J20" s="66">
        <v>0.26</v>
      </c>
      <c r="K20" s="66">
        <v>0.24</v>
      </c>
      <c r="L20" s="66">
        <v>0.22</v>
      </c>
      <c r="M20" s="66">
        <v>0.22</v>
      </c>
      <c r="N20" s="66">
        <v>0.22</v>
      </c>
      <c r="O20" s="66">
        <v>0.22</v>
      </c>
      <c r="P20" s="66">
        <v>0.22</v>
      </c>
      <c r="Q20" s="66">
        <v>0.22</v>
      </c>
      <c r="R20" s="66">
        <v>0.22</v>
      </c>
    </row>
    <row r="21" spans="1:18" x14ac:dyDescent="0.25">
      <c r="A21" s="1"/>
      <c r="B21" s="14"/>
      <c r="C21" s="12"/>
      <c r="D21" s="12"/>
      <c r="E21" s="12"/>
      <c r="F21" s="12"/>
      <c r="G21" s="12"/>
      <c r="H21" s="12"/>
      <c r="I21" s="22"/>
      <c r="J21" s="19"/>
      <c r="K21" s="19"/>
      <c r="L21" s="19"/>
      <c r="M21" s="19"/>
      <c r="N21" s="19"/>
      <c r="O21" s="19"/>
      <c r="P21" s="19"/>
      <c r="Q21" s="19"/>
      <c r="R21" s="19"/>
    </row>
    <row r="22" spans="1:18" x14ac:dyDescent="0.25">
      <c r="A22" s="1"/>
      <c r="B22" s="1" t="s">
        <v>54</v>
      </c>
      <c r="C22" s="12">
        <v>7452</v>
      </c>
      <c r="D22" s="12">
        <v>6750</v>
      </c>
      <c r="E22" s="12">
        <v>6150</v>
      </c>
      <c r="F22" s="12">
        <v>6180</v>
      </c>
      <c r="G22" s="12">
        <v>6543</v>
      </c>
      <c r="H22" s="12">
        <v>7002</v>
      </c>
      <c r="I22" s="22">
        <f>I23*I11</f>
        <v>6678.1</v>
      </c>
      <c r="J22" s="19">
        <f t="shared" ref="J22:R22" si="10">J23*J11</f>
        <v>6996</v>
      </c>
      <c r="K22" s="19">
        <f t="shared" si="10"/>
        <v>6653.4875000000011</v>
      </c>
      <c r="L22" s="19">
        <f t="shared" si="10"/>
        <v>6902.9932812500019</v>
      </c>
      <c r="M22" s="19">
        <f t="shared" si="10"/>
        <v>7161.8555292968767</v>
      </c>
      <c r="N22" s="19">
        <f t="shared" si="10"/>
        <v>6079.4387277099631</v>
      </c>
      <c r="O22" s="19">
        <f t="shared" si="10"/>
        <v>5957.0055866658058</v>
      </c>
      <c r="P22" s="19">
        <f t="shared" si="10"/>
        <v>6180.3932961657738</v>
      </c>
      <c r="Q22" s="19">
        <f t="shared" si="10"/>
        <v>6412.1580447719907</v>
      </c>
      <c r="R22" s="19">
        <f t="shared" si="10"/>
        <v>6652.61397145094</v>
      </c>
    </row>
    <row r="23" spans="1:18" x14ac:dyDescent="0.25">
      <c r="A23" s="1"/>
      <c r="B23" s="82" t="s">
        <v>17</v>
      </c>
      <c r="C23" s="83">
        <f>C22/C11</f>
        <v>0.11873615780500629</v>
      </c>
      <c r="D23" s="83">
        <f t="shared" ref="D23:H23" si="11">D22/D11</f>
        <v>9.527439024390244E-2</v>
      </c>
      <c r="E23" s="83">
        <f t="shared" si="11"/>
        <v>8.5458208851525053E-2</v>
      </c>
      <c r="F23" s="83">
        <f t="shared" si="11"/>
        <v>7.9366098604029947E-2</v>
      </c>
      <c r="G23" s="83">
        <f t="shared" si="11"/>
        <v>8.2797631099412836E-2</v>
      </c>
      <c r="H23" s="83">
        <f t="shared" si="11"/>
        <v>0.11104767342278048</v>
      </c>
      <c r="I23" s="70">
        <v>0.13</v>
      </c>
      <c r="J23" s="66">
        <v>0.12</v>
      </c>
      <c r="K23" s="66">
        <v>0.11</v>
      </c>
      <c r="L23" s="66">
        <v>0.11</v>
      </c>
      <c r="M23" s="66">
        <v>0.11</v>
      </c>
      <c r="N23" s="66">
        <v>0.09</v>
      </c>
      <c r="O23" s="66">
        <v>8.5000000000000006E-2</v>
      </c>
      <c r="P23" s="66">
        <v>8.5000000000000006E-2</v>
      </c>
      <c r="Q23" s="66">
        <v>8.5000000000000006E-2</v>
      </c>
      <c r="R23" s="66">
        <v>8.5000000000000006E-2</v>
      </c>
    </row>
    <row r="24" spans="1:18" x14ac:dyDescent="0.25">
      <c r="A24" s="1"/>
      <c r="B24" s="14"/>
      <c r="C24" s="12"/>
      <c r="D24" s="12"/>
      <c r="E24" s="12"/>
      <c r="F24" s="12"/>
      <c r="G24" s="12"/>
      <c r="H24" s="12"/>
      <c r="I24" s="22"/>
      <c r="J24" s="90"/>
      <c r="K24" s="90"/>
      <c r="L24" s="90"/>
      <c r="M24" s="90"/>
      <c r="N24" s="90"/>
      <c r="O24" s="90"/>
      <c r="P24" s="90"/>
      <c r="Q24" s="90"/>
      <c r="R24" s="90"/>
    </row>
    <row r="25" spans="1:18" x14ac:dyDescent="0.25">
      <c r="A25" s="1"/>
      <c r="B25" s="1" t="s">
        <v>55</v>
      </c>
      <c r="C25" s="12">
        <v>561</v>
      </c>
      <c r="D25" s="12">
        <v>128</v>
      </c>
      <c r="E25" s="12">
        <v>593</v>
      </c>
      <c r="F25" s="12">
        <v>198</v>
      </c>
      <c r="G25" s="12">
        <v>2626</v>
      </c>
      <c r="H25" s="12">
        <v>2</v>
      </c>
      <c r="I25" s="73">
        <f t="shared" ref="I25:R25" si="12">I26*I11</f>
        <v>154.11000000000001</v>
      </c>
      <c r="J25" s="91">
        <f t="shared" si="12"/>
        <v>174.9</v>
      </c>
      <c r="K25" s="91">
        <f t="shared" si="12"/>
        <v>181.45875000000004</v>
      </c>
      <c r="L25" s="91">
        <f t="shared" si="12"/>
        <v>188.26345312500004</v>
      </c>
      <c r="M25" s="91">
        <f t="shared" si="12"/>
        <v>195.32333261718756</v>
      </c>
      <c r="N25" s="91">
        <f t="shared" si="12"/>
        <v>202.64795759033214</v>
      </c>
      <c r="O25" s="91">
        <f t="shared" si="12"/>
        <v>210.24725599996961</v>
      </c>
      <c r="P25" s="91">
        <f t="shared" si="12"/>
        <v>218.13152809996848</v>
      </c>
      <c r="Q25" s="91">
        <f t="shared" si="12"/>
        <v>226.31146040371729</v>
      </c>
      <c r="R25" s="91">
        <f t="shared" si="12"/>
        <v>234.79814016885669</v>
      </c>
    </row>
    <row r="26" spans="1:18" x14ac:dyDescent="0.25">
      <c r="A26" s="1"/>
      <c r="B26" s="82" t="s">
        <v>17</v>
      </c>
      <c r="C26" s="83">
        <f t="shared" ref="C26:H26" si="13">C25/C11</f>
        <v>8.9386721052883162E-3</v>
      </c>
      <c r="D26" s="83">
        <f t="shared" si="13"/>
        <v>1.8066847335140017E-3</v>
      </c>
      <c r="E26" s="83">
        <f t="shared" si="13"/>
        <v>8.2401167234072113E-3</v>
      </c>
      <c r="F26" s="83">
        <f t="shared" si="13"/>
        <v>2.5427973339155227E-3</v>
      </c>
      <c r="G26" s="83">
        <f t="shared" si="13"/>
        <v>3.3230411014375377E-2</v>
      </c>
      <c r="H26" s="83">
        <f t="shared" si="13"/>
        <v>3.1718844165318618E-5</v>
      </c>
      <c r="I26" s="20">
        <v>3.0000000000000001E-3</v>
      </c>
      <c r="J26" s="67">
        <v>3.0000000000000001E-3</v>
      </c>
      <c r="K26" s="67">
        <v>3.0000000000000001E-3</v>
      </c>
      <c r="L26" s="67">
        <v>3.0000000000000001E-3</v>
      </c>
      <c r="M26" s="67">
        <v>3.0000000000000001E-3</v>
      </c>
      <c r="N26" s="67">
        <v>3.0000000000000001E-3</v>
      </c>
      <c r="O26" s="67">
        <v>3.0000000000000001E-3</v>
      </c>
      <c r="P26" s="67">
        <v>3.0000000000000001E-3</v>
      </c>
      <c r="Q26" s="67">
        <v>3.0000000000000001E-3</v>
      </c>
      <c r="R26" s="67">
        <v>3.0000000000000001E-3</v>
      </c>
    </row>
    <row r="27" spans="1:18" x14ac:dyDescent="0.25">
      <c r="A27" s="1"/>
      <c r="B27" s="14" t="s">
        <v>57</v>
      </c>
      <c r="C27" s="2">
        <v>2651</v>
      </c>
      <c r="D27" s="2">
        <v>-125</v>
      </c>
      <c r="E27" s="2">
        <v>1539</v>
      </c>
      <c r="F27" s="12">
        <v>1904</v>
      </c>
      <c r="G27" s="12">
        <v>2729</v>
      </c>
      <c r="H27" s="12">
        <v>4268</v>
      </c>
      <c r="I27" s="73">
        <f>I11*1.14%</f>
        <v>585.61799999999994</v>
      </c>
      <c r="J27" s="91">
        <f t="shared" ref="J27:R27" si="14">J11*1.14%</f>
        <v>664.61999999999989</v>
      </c>
      <c r="K27" s="91">
        <f t="shared" si="14"/>
        <v>689.54325000000006</v>
      </c>
      <c r="L27" s="91">
        <f t="shared" si="14"/>
        <v>715.40112187500006</v>
      </c>
      <c r="M27" s="91">
        <f t="shared" si="14"/>
        <v>742.22866394531263</v>
      </c>
      <c r="N27" s="91">
        <f t="shared" si="14"/>
        <v>770.06223884326198</v>
      </c>
      <c r="O27" s="91">
        <f t="shared" si="14"/>
        <v>798.93957279988444</v>
      </c>
      <c r="P27" s="91">
        <f t="shared" si="14"/>
        <v>828.89980677988012</v>
      </c>
      <c r="Q27" s="91">
        <f t="shared" si="14"/>
        <v>859.98354953412559</v>
      </c>
      <c r="R27" s="91">
        <f t="shared" si="14"/>
        <v>892.23293264165534</v>
      </c>
    </row>
    <row r="28" spans="1:18" x14ac:dyDescent="0.25">
      <c r="A28" s="1"/>
      <c r="B28" s="14"/>
      <c r="C28" s="87"/>
      <c r="D28" s="87"/>
      <c r="E28" s="87"/>
      <c r="F28" s="87"/>
      <c r="G28" s="87"/>
      <c r="H28" s="87"/>
      <c r="I28" s="88"/>
      <c r="J28" s="91"/>
      <c r="K28" s="91"/>
      <c r="L28" s="91"/>
      <c r="M28" s="91"/>
      <c r="N28" s="91"/>
      <c r="O28" s="91"/>
      <c r="P28" s="91"/>
      <c r="Q28" s="91"/>
      <c r="R28" s="91"/>
    </row>
    <row r="29" spans="1:18" x14ac:dyDescent="0.25">
      <c r="A29" s="1"/>
      <c r="B29" s="1" t="s">
        <v>56</v>
      </c>
      <c r="C29" s="12">
        <v>-349</v>
      </c>
      <c r="D29" s="12">
        <v>126</v>
      </c>
      <c r="E29" s="12">
        <v>484</v>
      </c>
      <c r="F29" s="12">
        <v>-504</v>
      </c>
      <c r="G29" s="12">
        <v>-482</v>
      </c>
      <c r="H29" s="12">
        <v>1166</v>
      </c>
      <c r="I29" s="73">
        <f>I30*I11</f>
        <v>75.88433705513323</v>
      </c>
      <c r="J29" s="91">
        <f>J30*J11</f>
        <v>86.121410362356769</v>
      </c>
      <c r="K29" s="91">
        <f>K30*K11</f>
        <v>89.350963250945171</v>
      </c>
      <c r="L29" s="91">
        <f>L30*L11</f>
        <v>92.701624372855619</v>
      </c>
      <c r="M29" s="91">
        <f>M30*M11</f>
        <v>96.177935286837709</v>
      </c>
      <c r="N29" s="91">
        <f>N30*N11</f>
        <v>99.784607860094141</v>
      </c>
      <c r="O29" s="91">
        <f>O30*O11</f>
        <v>103.52653065484769</v>
      </c>
      <c r="P29" s="91">
        <f>P30*P11</f>
        <v>107.40877555440447</v>
      </c>
      <c r="Q29" s="91">
        <f>Q30*Q11</f>
        <v>111.43660463769464</v>
      </c>
      <c r="R29" s="91">
        <f>R30*R11</f>
        <v>115.6154773116082</v>
      </c>
    </row>
    <row r="30" spans="1:18" x14ac:dyDescent="0.25">
      <c r="A30" s="1"/>
      <c r="B30" s="82" t="s">
        <v>17</v>
      </c>
      <c r="C30" s="83">
        <f>C29/C11</f>
        <v>-5.5607781902774012E-3</v>
      </c>
      <c r="D30" s="83">
        <f>D29/D11</f>
        <v>1.7784552845528454E-3</v>
      </c>
      <c r="E30" s="83">
        <f>E29/E11</f>
        <v>6.7254915583964429E-3</v>
      </c>
      <c r="F30" s="83">
        <f>F29/F11</f>
        <v>-6.4725750317849665E-3</v>
      </c>
      <c r="G30" s="83">
        <f>G29/G11</f>
        <v>-6.0994128366066002E-3</v>
      </c>
      <c r="H30" s="83">
        <f>H29/H11</f>
        <v>1.8492086148380753E-2</v>
      </c>
      <c r="I30" s="20">
        <f>AVERAGE(C30:H30)</f>
        <v>1.4772111554435124E-3</v>
      </c>
      <c r="J30" s="67">
        <v>1.4772111554435124E-3</v>
      </c>
      <c r="K30" s="67">
        <v>1.4772111554435124E-3</v>
      </c>
      <c r="L30" s="67">
        <v>1.4772111554435124E-3</v>
      </c>
      <c r="M30" s="67">
        <v>1.4772111554435124E-3</v>
      </c>
      <c r="N30" s="67">
        <v>1.4772111554435124E-3</v>
      </c>
      <c r="O30" s="67">
        <v>1.4772111554435124E-3</v>
      </c>
      <c r="P30" s="67">
        <v>1.4772111554435124E-3</v>
      </c>
      <c r="Q30" s="67">
        <v>1.4772111554435124E-3</v>
      </c>
      <c r="R30" s="67">
        <v>1.4772111554435124E-3</v>
      </c>
    </row>
    <row r="31" spans="1:18" x14ac:dyDescent="0.25">
      <c r="A31" s="1"/>
      <c r="B31" s="1"/>
      <c r="C31" s="1"/>
      <c r="D31" s="1"/>
      <c r="E31" s="1"/>
      <c r="F31" s="12"/>
      <c r="G31" s="12"/>
      <c r="H31" s="12"/>
      <c r="I31" s="13"/>
      <c r="J31" s="92"/>
      <c r="K31" s="92"/>
      <c r="L31" s="92"/>
      <c r="M31" s="92"/>
      <c r="N31" s="92"/>
      <c r="O31" s="92"/>
      <c r="P31" s="92"/>
      <c r="Q31" s="92"/>
      <c r="R31" s="93"/>
    </row>
    <row r="32" spans="1:18" x14ac:dyDescent="0.25">
      <c r="A32" s="1"/>
      <c r="B32" s="1" t="s">
        <v>13</v>
      </c>
      <c r="C32" s="12">
        <f>C19+C22+C25</f>
        <v>21048</v>
      </c>
      <c r="D32" s="12">
        <f>D19+D22+D25</f>
        <v>20421</v>
      </c>
      <c r="E32" s="12">
        <f>E19+E22+E25</f>
        <v>20105</v>
      </c>
      <c r="F32" s="12">
        <f>F19+F22+F25</f>
        <v>19934</v>
      </c>
      <c r="G32" s="12">
        <f>G19+G22+G25</f>
        <v>24359</v>
      </c>
      <c r="H32" s="12">
        <f>H19+H22+H25</f>
        <v>24532</v>
      </c>
      <c r="I32" s="73">
        <f>I19+I22+I25</f>
        <v>22500.06</v>
      </c>
      <c r="J32" s="91">
        <f>J19+J22+J25</f>
        <v>22328.9</v>
      </c>
      <c r="K32" s="91">
        <f>K19+K22+K25</f>
        <v>21351.646250000002</v>
      </c>
      <c r="L32" s="91">
        <f>L19+L22+L25</f>
        <v>20897.243296875007</v>
      </c>
      <c r="M32" s="91">
        <f>M19+M22+M25</f>
        <v>21680.889920507816</v>
      </c>
      <c r="N32" s="91">
        <f>N19+N22+N25</f>
        <v>21142.936908591317</v>
      </c>
      <c r="O32" s="91">
        <f>O19+O22+O25</f>
        <v>21585.384949330215</v>
      </c>
      <c r="P32" s="91">
        <f>P19+P22+P25</f>
        <v>22394.836884930097</v>
      </c>
      <c r="Q32" s="91">
        <f>Q19+Q22+Q25</f>
        <v>23234.643268114978</v>
      </c>
      <c r="R32" s="91">
        <f>R19+R22+R25</f>
        <v>24105.942390669286</v>
      </c>
    </row>
    <row r="33" spans="1:86" x14ac:dyDescent="0.25">
      <c r="A33" s="1"/>
      <c r="B33" s="82" t="s">
        <v>17</v>
      </c>
      <c r="C33" s="83">
        <f>C32/C11</f>
        <v>0.33536750529787607</v>
      </c>
      <c r="D33" s="83">
        <f>D32/D11</f>
        <v>0.28823678861788615</v>
      </c>
      <c r="E33" s="83">
        <f>E32/E11</f>
        <v>0.27937191690405055</v>
      </c>
      <c r="F33" s="83">
        <f>F32/F11</f>
        <v>0.25600061643571731</v>
      </c>
      <c r="G33" s="83">
        <f>G32/G11</f>
        <v>0.30824812715124517</v>
      </c>
      <c r="H33" s="83">
        <f>H32/H11</f>
        <v>0.38906334253179814</v>
      </c>
      <c r="I33" s="20">
        <f>I32/I11</f>
        <v>0.438</v>
      </c>
      <c r="J33" s="67">
        <f>J32/J11</f>
        <v>0.38300000000000001</v>
      </c>
      <c r="K33" s="67">
        <f>K32/K11</f>
        <v>0.35299999999999998</v>
      </c>
      <c r="L33" s="67">
        <f>L32/L11</f>
        <v>0.33300000000000002</v>
      </c>
      <c r="M33" s="67">
        <f>M32/M11</f>
        <v>0.33299999999999996</v>
      </c>
      <c r="N33" s="67">
        <f>N32/N11</f>
        <v>0.313</v>
      </c>
      <c r="O33" s="67">
        <f>O32/O11</f>
        <v>0.30800000000000005</v>
      </c>
      <c r="P33" s="67">
        <f>P32/P11</f>
        <v>0.308</v>
      </c>
      <c r="Q33" s="67">
        <f>Q32/Q11</f>
        <v>0.30800000000000005</v>
      </c>
      <c r="R33" s="67">
        <f>R32/R11</f>
        <v>0.308</v>
      </c>
    </row>
    <row r="34" spans="1:86" x14ac:dyDescent="0.25">
      <c r="A34" s="1"/>
      <c r="B34" s="1"/>
      <c r="C34" s="15"/>
      <c r="D34" s="15"/>
      <c r="E34" s="15"/>
      <c r="F34" s="15"/>
      <c r="G34" s="15"/>
      <c r="H34" s="15"/>
      <c r="I34" s="21"/>
      <c r="J34" s="53"/>
      <c r="K34" s="53"/>
      <c r="L34" s="53"/>
      <c r="M34" s="53"/>
      <c r="N34" s="53"/>
      <c r="O34" s="53"/>
      <c r="P34" s="53"/>
      <c r="Q34" s="53"/>
      <c r="R34" s="53"/>
    </row>
    <row r="35" spans="1:86" x14ac:dyDescent="0.25">
      <c r="A35" s="1"/>
      <c r="B35" s="1" t="s">
        <v>14</v>
      </c>
      <c r="C35" s="12">
        <f>C16-C19-C22-C25</f>
        <v>18050</v>
      </c>
      <c r="D35" s="12">
        <f>D16-D19-D22-D25</f>
        <v>23316</v>
      </c>
      <c r="E35" s="12">
        <f>E16-E19-E22-E25</f>
        <v>22035</v>
      </c>
      <c r="F35" s="12">
        <f>F16-F19-F22-F25</f>
        <v>23678</v>
      </c>
      <c r="G35" s="12">
        <f>G16-G19-G22-G25</f>
        <v>19456</v>
      </c>
      <c r="H35" s="12">
        <f>H16-H19-H22-H25</f>
        <v>2334</v>
      </c>
      <c r="I35" s="73">
        <f>I16-I19-I22-I25</f>
        <v>-2465.7600000000016</v>
      </c>
      <c r="J35" s="91">
        <f t="shared" ref="I35:R35" si="15">J16-J19-J22-J25</f>
        <v>1574.1</v>
      </c>
      <c r="K35" s="91">
        <f t="shared" si="15"/>
        <v>4657.4412499999999</v>
      </c>
      <c r="L35" s="91">
        <f t="shared" si="15"/>
        <v>7342.2746718750004</v>
      </c>
      <c r="M35" s="91">
        <f t="shared" si="15"/>
        <v>7617.6099720703151</v>
      </c>
      <c r="N35" s="91">
        <f t="shared" si="15"/>
        <v>9254.2567299585007</v>
      </c>
      <c r="O35" s="91">
        <f t="shared" si="15"/>
        <v>9951.703450665229</v>
      </c>
      <c r="P35" s="91">
        <f t="shared" si="15"/>
        <v>13960.417798397981</v>
      </c>
      <c r="Q35" s="91">
        <f t="shared" si="15"/>
        <v>14483.933465837907</v>
      </c>
      <c r="R35" s="91">
        <f t="shared" si="15"/>
        <v>15027.080970806828</v>
      </c>
    </row>
    <row r="36" spans="1:86" x14ac:dyDescent="0.25">
      <c r="A36" s="1"/>
      <c r="B36" s="1"/>
      <c r="C36" s="23"/>
      <c r="D36" s="23"/>
      <c r="E36" s="23"/>
      <c r="F36" s="23"/>
      <c r="G36" s="23"/>
      <c r="H36" s="23"/>
      <c r="I36" s="24"/>
      <c r="J36" s="93"/>
      <c r="K36" s="93"/>
      <c r="L36" s="93"/>
      <c r="M36" s="93"/>
      <c r="N36" s="93"/>
      <c r="O36" s="93"/>
      <c r="P36" s="93"/>
      <c r="Q36" s="93"/>
      <c r="R36" s="93"/>
    </row>
    <row r="37" spans="1:86" x14ac:dyDescent="0.25">
      <c r="A37" s="1"/>
      <c r="B37" s="1" t="s">
        <v>15</v>
      </c>
      <c r="C37" s="12">
        <f t="shared" ref="C37:G37" si="16">C35+C29+C27</f>
        <v>20352</v>
      </c>
      <c r="D37" s="12">
        <f t="shared" si="16"/>
        <v>23317</v>
      </c>
      <c r="E37" s="12">
        <f t="shared" si="16"/>
        <v>24058</v>
      </c>
      <c r="F37" s="12">
        <f t="shared" si="16"/>
        <v>25078</v>
      </c>
      <c r="G37" s="12">
        <f t="shared" si="16"/>
        <v>21703</v>
      </c>
      <c r="H37" s="12">
        <f>H35+H29+H27</f>
        <v>7768</v>
      </c>
      <c r="I37" s="73">
        <f>I35+I29+I27</f>
        <v>-1804.2576629448686</v>
      </c>
      <c r="J37" s="91">
        <f t="shared" ref="I37:R37" si="17">J35+J29+J27</f>
        <v>2324.8414103623563</v>
      </c>
      <c r="K37" s="91">
        <f t="shared" si="17"/>
        <v>5436.3354632509445</v>
      </c>
      <c r="L37" s="91">
        <f t="shared" si="17"/>
        <v>8150.3774181228564</v>
      </c>
      <c r="M37" s="91">
        <f t="shared" si="17"/>
        <v>8456.0165713024653</v>
      </c>
      <c r="N37" s="91">
        <f t="shared" si="17"/>
        <v>10124.103576661857</v>
      </c>
      <c r="O37" s="91">
        <f t="shared" si="17"/>
        <v>10854.169554119962</v>
      </c>
      <c r="P37" s="91">
        <f t="shared" si="17"/>
        <v>14896.726380732265</v>
      </c>
      <c r="Q37" s="91">
        <f t="shared" si="17"/>
        <v>15455.353620009726</v>
      </c>
      <c r="R37" s="91">
        <f t="shared" si="17"/>
        <v>16034.929380760092</v>
      </c>
    </row>
    <row r="38" spans="1:86" x14ac:dyDescent="0.25">
      <c r="A38" s="1"/>
      <c r="B38" s="1"/>
      <c r="C38" s="23"/>
      <c r="D38" s="23"/>
      <c r="E38" s="23"/>
      <c r="F38" s="23"/>
      <c r="G38" s="23"/>
      <c r="H38" s="23"/>
      <c r="I38" s="13"/>
      <c r="J38" s="92"/>
      <c r="K38" s="92"/>
      <c r="L38" s="92"/>
      <c r="M38" s="92"/>
      <c r="N38" s="92"/>
      <c r="O38" s="92"/>
      <c r="P38" s="92"/>
      <c r="Q38" s="92"/>
      <c r="R38" s="93"/>
    </row>
    <row r="39" spans="1:86" x14ac:dyDescent="0.25">
      <c r="A39" s="1"/>
      <c r="B39" s="1" t="s">
        <v>16</v>
      </c>
      <c r="C39" s="12">
        <f t="shared" ref="C39:H39" si="18">C35</f>
        <v>18050</v>
      </c>
      <c r="D39" s="12">
        <f t="shared" si="18"/>
        <v>23316</v>
      </c>
      <c r="E39" s="12">
        <f t="shared" si="18"/>
        <v>22035</v>
      </c>
      <c r="F39" s="12">
        <f>F35</f>
        <v>23678</v>
      </c>
      <c r="G39" s="12">
        <f t="shared" si="18"/>
        <v>19456</v>
      </c>
      <c r="H39" s="12">
        <f>H35</f>
        <v>2334</v>
      </c>
      <c r="I39" s="73">
        <f t="shared" ref="I39:R39" si="19">I35</f>
        <v>-2465.7600000000016</v>
      </c>
      <c r="J39" s="91">
        <f t="shared" si="19"/>
        <v>1574.1</v>
      </c>
      <c r="K39" s="91">
        <f t="shared" si="19"/>
        <v>4657.4412499999999</v>
      </c>
      <c r="L39" s="91">
        <f t="shared" si="19"/>
        <v>7342.2746718750004</v>
      </c>
      <c r="M39" s="91">
        <f t="shared" si="19"/>
        <v>7617.6099720703151</v>
      </c>
      <c r="N39" s="91">
        <f t="shared" si="19"/>
        <v>9254.2567299585007</v>
      </c>
      <c r="O39" s="91">
        <f t="shared" si="19"/>
        <v>9951.703450665229</v>
      </c>
      <c r="P39" s="91">
        <f t="shared" si="19"/>
        <v>13960.417798397981</v>
      </c>
      <c r="Q39" s="91">
        <f t="shared" si="19"/>
        <v>14483.933465837907</v>
      </c>
      <c r="R39" s="91">
        <f t="shared" si="19"/>
        <v>15027.080970806828</v>
      </c>
    </row>
    <row r="40" spans="1:86" x14ac:dyDescent="0.25">
      <c r="A40" s="1"/>
      <c r="B40" s="82" t="s">
        <v>17</v>
      </c>
      <c r="C40" s="83">
        <f>C39/C11</f>
        <v>0.28759898663182548</v>
      </c>
      <c r="D40" s="83">
        <f>D39/D11</f>
        <v>0.32909891598915991</v>
      </c>
      <c r="E40" s="83">
        <f>E39/E11</f>
        <v>0.30619050927534219</v>
      </c>
      <c r="F40" s="83">
        <f>F39/F11</f>
        <v>0.30408260238611995</v>
      </c>
      <c r="G40" s="83">
        <f>G39/G11</f>
        <v>0.24620368495646891</v>
      </c>
      <c r="H40" s="83">
        <f>H39/H11</f>
        <v>3.7015891140926828E-2</v>
      </c>
      <c r="I40" s="70">
        <f>I39/I11</f>
        <v>-4.8000000000000029E-2</v>
      </c>
      <c r="J40" s="66">
        <f t="shared" ref="J40:R40" si="20">J39/J11</f>
        <v>2.7E-2</v>
      </c>
      <c r="K40" s="66">
        <f t="shared" si="20"/>
        <v>7.6999999999999985E-2</v>
      </c>
      <c r="L40" s="66">
        <f t="shared" si="20"/>
        <v>0.11699999999999998</v>
      </c>
      <c r="M40" s="66">
        <f t="shared" si="20"/>
        <v>0.11700000000000001</v>
      </c>
      <c r="N40" s="66">
        <f t="shared" si="20"/>
        <v>0.13700000000000001</v>
      </c>
      <c r="O40" s="66">
        <f t="shared" si="20"/>
        <v>0.14200000000000002</v>
      </c>
      <c r="P40" s="66">
        <f t="shared" si="20"/>
        <v>0.19199999999999998</v>
      </c>
      <c r="Q40" s="66">
        <f t="shared" si="20"/>
        <v>0.192</v>
      </c>
      <c r="R40" s="66">
        <f t="shared" si="20"/>
        <v>0.192</v>
      </c>
    </row>
    <row r="41" spans="1:86" x14ac:dyDescent="0.25">
      <c r="A41" s="1"/>
      <c r="B41" s="14"/>
      <c r="C41" s="1"/>
      <c r="D41" s="1"/>
      <c r="F41" s="1"/>
      <c r="G41" s="1"/>
      <c r="H41" s="1"/>
      <c r="I41" s="13"/>
      <c r="J41" s="92"/>
      <c r="K41" s="92"/>
      <c r="L41" s="92"/>
      <c r="M41" s="92"/>
      <c r="N41" s="92"/>
      <c r="O41" s="93"/>
      <c r="P41" s="93"/>
      <c r="Q41" s="93"/>
      <c r="R41" s="93"/>
    </row>
    <row r="42" spans="1:86" x14ac:dyDescent="0.25">
      <c r="A42" s="1"/>
      <c r="B42" s="1" t="s">
        <v>18</v>
      </c>
      <c r="C42" s="12">
        <v>10751</v>
      </c>
      <c r="D42" s="12">
        <v>2264</v>
      </c>
      <c r="E42" s="25">
        <v>3010</v>
      </c>
      <c r="F42" s="12">
        <v>4179</v>
      </c>
      <c r="G42" s="12">
        <v>1835</v>
      </c>
      <c r="H42" s="19">
        <v>-249</v>
      </c>
      <c r="I42" s="22">
        <f>I43*I39</f>
        <v>-325.23374400000017</v>
      </c>
      <c r="J42" s="90">
        <f t="shared" ref="J42:R42" si="21">J43*J39</f>
        <v>207.62378999999999</v>
      </c>
      <c r="K42" s="90">
        <f t="shared" si="21"/>
        <v>614.31650087499997</v>
      </c>
      <c r="L42" s="90">
        <f t="shared" si="21"/>
        <v>968.44602922031243</v>
      </c>
      <c r="M42" s="90">
        <f t="shared" si="21"/>
        <v>1004.7627553160745</v>
      </c>
      <c r="N42" s="90">
        <f t="shared" si="21"/>
        <v>1220.6364626815262</v>
      </c>
      <c r="O42" s="90">
        <f t="shared" si="21"/>
        <v>1312.6296851427435</v>
      </c>
      <c r="P42" s="90">
        <f t="shared" si="21"/>
        <v>1841.3791076086934</v>
      </c>
      <c r="Q42" s="90">
        <f t="shared" si="21"/>
        <v>1910.4308241440197</v>
      </c>
      <c r="R42" s="90">
        <f t="shared" si="21"/>
        <v>1982.0719800494205</v>
      </c>
    </row>
    <row r="43" spans="1:86" x14ac:dyDescent="0.25">
      <c r="A43" s="1"/>
      <c r="B43" s="82" t="s">
        <v>19</v>
      </c>
      <c r="C43" s="84">
        <f>C42/C39</f>
        <v>0.59562326869806093</v>
      </c>
      <c r="D43" s="84">
        <f t="shared" ref="D43:G43" si="22">D42/D39</f>
        <v>9.7100703379653458E-2</v>
      </c>
      <c r="E43" s="84">
        <f t="shared" si="22"/>
        <v>0.13660086226457907</v>
      </c>
      <c r="F43" s="84">
        <f>F42/F39</f>
        <v>0.1764929470394459</v>
      </c>
      <c r="G43" s="84">
        <f t="shared" si="22"/>
        <v>9.4315378289473686E-2</v>
      </c>
      <c r="H43" s="84">
        <f>H42/H39</f>
        <v>-0.10668380462724936</v>
      </c>
      <c r="I43" s="72">
        <v>0.13189999999999999</v>
      </c>
      <c r="J43" s="94">
        <v>0.13189999999999999</v>
      </c>
      <c r="K43" s="94">
        <v>0.13189999999999999</v>
      </c>
      <c r="L43" s="94">
        <v>0.13189999999999999</v>
      </c>
      <c r="M43" s="94">
        <v>0.13189999999999999</v>
      </c>
      <c r="N43" s="94">
        <v>0.13189999999999999</v>
      </c>
      <c r="O43" s="94">
        <v>0.13189999999999999</v>
      </c>
      <c r="P43" s="94">
        <v>0.13189999999999999</v>
      </c>
      <c r="Q43" s="94">
        <v>0.13189999999999999</v>
      </c>
      <c r="R43" s="94">
        <v>0.13189999999999999</v>
      </c>
    </row>
    <row r="44" spans="1:86" x14ac:dyDescent="0.25">
      <c r="A44" s="1"/>
      <c r="B44" s="1"/>
      <c r="C44" s="1"/>
      <c r="D44" s="1"/>
      <c r="E44" s="1"/>
      <c r="F44" s="1"/>
      <c r="G44" s="1"/>
      <c r="H44" s="1"/>
      <c r="I44" s="13"/>
      <c r="J44" s="1"/>
      <c r="K44" s="1"/>
      <c r="L44" s="1"/>
      <c r="M44" s="1"/>
      <c r="N44" s="1"/>
      <c r="O44" s="1"/>
      <c r="P44" s="1"/>
      <c r="Q44" s="1"/>
    </row>
    <row r="45" spans="1:86" x14ac:dyDescent="0.25">
      <c r="A45" s="1"/>
      <c r="B45" s="10" t="s">
        <v>20</v>
      </c>
      <c r="C45" s="10">
        <v>2017</v>
      </c>
      <c r="D45" s="10">
        <f>C45+1</f>
        <v>2018</v>
      </c>
      <c r="E45" s="10">
        <f>D45+1</f>
        <v>2019</v>
      </c>
      <c r="F45" s="10">
        <v>2020</v>
      </c>
      <c r="G45" s="10">
        <v>2021</v>
      </c>
      <c r="H45" s="10">
        <v>2022</v>
      </c>
      <c r="I45" s="74">
        <v>2023</v>
      </c>
      <c r="J45" s="10">
        <v>2024</v>
      </c>
      <c r="K45" s="10">
        <v>2025</v>
      </c>
      <c r="L45" s="10">
        <v>2026</v>
      </c>
      <c r="M45" s="10">
        <v>2027</v>
      </c>
      <c r="N45" s="10">
        <v>2028</v>
      </c>
      <c r="O45" s="10">
        <v>2029</v>
      </c>
      <c r="P45" s="10">
        <v>2030</v>
      </c>
      <c r="Q45" s="10">
        <v>2031</v>
      </c>
      <c r="R45" s="10">
        <v>2032</v>
      </c>
      <c r="S45" s="10">
        <v>2033</v>
      </c>
      <c r="T45" s="10">
        <v>2034</v>
      </c>
      <c r="U45" s="10">
        <v>2035</v>
      </c>
      <c r="V45" s="10">
        <v>2036</v>
      </c>
      <c r="W45" s="10">
        <v>2037</v>
      </c>
      <c r="X45" s="10">
        <v>2038</v>
      </c>
      <c r="Y45" s="10">
        <v>2039</v>
      </c>
      <c r="Z45" s="10">
        <v>2040</v>
      </c>
      <c r="AA45" s="10">
        <v>2041</v>
      </c>
      <c r="AB45" s="10">
        <v>2042</v>
      </c>
      <c r="AC45" s="10">
        <v>2043</v>
      </c>
      <c r="AD45" s="10">
        <v>2044</v>
      </c>
      <c r="AE45" s="10">
        <v>2045</v>
      </c>
      <c r="AF45" s="10">
        <v>2046</v>
      </c>
      <c r="AG45" s="10">
        <v>2047</v>
      </c>
      <c r="AH45" s="10">
        <v>2048</v>
      </c>
      <c r="AI45" s="10">
        <v>2049</v>
      </c>
      <c r="AJ45" s="10">
        <v>2050</v>
      </c>
      <c r="AK45" s="10">
        <v>2051</v>
      </c>
      <c r="AL45" s="10">
        <v>2052</v>
      </c>
      <c r="AM45" s="10">
        <v>2053</v>
      </c>
      <c r="AN45" s="10">
        <v>2054</v>
      </c>
      <c r="AO45" s="10">
        <v>2055</v>
      </c>
      <c r="AP45" s="10">
        <v>2056</v>
      </c>
      <c r="AQ45" s="10">
        <v>2057</v>
      </c>
      <c r="AR45" s="10">
        <v>2058</v>
      </c>
      <c r="AS45" s="10">
        <v>2059</v>
      </c>
      <c r="AT45" s="10">
        <v>2060</v>
      </c>
      <c r="AU45" s="10">
        <v>2061</v>
      </c>
      <c r="AV45" s="10">
        <v>2062</v>
      </c>
      <c r="AW45" s="10">
        <v>2063</v>
      </c>
      <c r="AX45" s="10">
        <v>2064</v>
      </c>
      <c r="AY45" s="10">
        <v>2065</v>
      </c>
      <c r="AZ45" s="10">
        <v>2066</v>
      </c>
      <c r="BA45" s="10">
        <v>2067</v>
      </c>
      <c r="BB45" s="10">
        <v>2068</v>
      </c>
      <c r="BC45" s="10">
        <v>2069</v>
      </c>
      <c r="BD45" s="10">
        <v>2070</v>
      </c>
      <c r="BE45" s="10">
        <v>2071</v>
      </c>
      <c r="BF45" s="10">
        <v>2072</v>
      </c>
      <c r="BG45" s="10">
        <v>2073</v>
      </c>
      <c r="BH45" s="10">
        <v>2074</v>
      </c>
      <c r="BI45" s="10">
        <v>2075</v>
      </c>
      <c r="BJ45" s="10">
        <v>2076</v>
      </c>
      <c r="BK45" s="10">
        <v>2077</v>
      </c>
      <c r="BL45" s="10">
        <v>2078</v>
      </c>
      <c r="BM45" s="10">
        <v>2079</v>
      </c>
      <c r="BN45" s="10">
        <v>2080</v>
      </c>
      <c r="BO45" s="10">
        <v>2081</v>
      </c>
      <c r="BP45" s="10">
        <v>2082</v>
      </c>
      <c r="BQ45" s="10">
        <v>2083</v>
      </c>
      <c r="BR45" s="10">
        <v>2084</v>
      </c>
      <c r="BS45" s="10">
        <v>2085</v>
      </c>
      <c r="BT45" s="10">
        <v>2086</v>
      </c>
      <c r="BU45" s="10">
        <v>2087</v>
      </c>
      <c r="BV45" s="10">
        <v>2088</v>
      </c>
      <c r="BW45" s="10">
        <v>2089</v>
      </c>
      <c r="BX45" s="10">
        <v>2090</v>
      </c>
      <c r="BY45" s="10">
        <v>2091</v>
      </c>
      <c r="BZ45" s="10">
        <v>2092</v>
      </c>
      <c r="CA45" s="10">
        <v>2093</v>
      </c>
      <c r="CB45" s="10">
        <v>2094</v>
      </c>
      <c r="CC45" s="10">
        <v>2095</v>
      </c>
      <c r="CD45" s="10">
        <v>2096</v>
      </c>
      <c r="CE45" s="10">
        <v>2097</v>
      </c>
      <c r="CF45" s="10">
        <v>2098</v>
      </c>
      <c r="CG45" s="10">
        <v>2099</v>
      </c>
      <c r="CH45" s="10">
        <v>2100</v>
      </c>
    </row>
    <row r="46" spans="1:86" x14ac:dyDescent="0.25">
      <c r="A46" s="1"/>
      <c r="B46" s="1" t="s">
        <v>21</v>
      </c>
      <c r="C46" s="12">
        <v>8129</v>
      </c>
      <c r="D46" s="12">
        <v>9085</v>
      </c>
      <c r="E46" s="25">
        <v>10826</v>
      </c>
      <c r="F46" s="12">
        <v>12239</v>
      </c>
      <c r="G46" s="12">
        <v>11792</v>
      </c>
      <c r="H46" s="12">
        <v>13035</v>
      </c>
      <c r="I46" s="22">
        <v>12239</v>
      </c>
      <c r="J46" s="19">
        <v>11792</v>
      </c>
      <c r="K46" s="19">
        <v>13035</v>
      </c>
      <c r="L46" s="19">
        <f>L47*L11</f>
        <v>14433.531406250004</v>
      </c>
      <c r="M46" s="19">
        <f>M47*M11</f>
        <v>15625.866609375003</v>
      </c>
      <c r="N46" s="19">
        <f>N47*N11</f>
        <v>16887.329799194344</v>
      </c>
      <c r="O46" s="19">
        <f>O47*O11</f>
        <v>17520.604666664134</v>
      </c>
      <c r="P46" s="19">
        <f>P47*P11</f>
        <v>18177.62734166404</v>
      </c>
      <c r="Q46" s="19">
        <f>Q47*Q11</f>
        <v>18859.288366976441</v>
      </c>
      <c r="R46" s="19">
        <f>R47*R11</f>
        <v>19566.511680738058</v>
      </c>
    </row>
    <row r="47" spans="1:86" x14ac:dyDescent="0.25">
      <c r="A47" s="1"/>
      <c r="B47" s="82" t="s">
        <v>17</v>
      </c>
      <c r="C47" s="83">
        <f>C46/C11</f>
        <v>0.12952311148643267</v>
      </c>
      <c r="D47" s="83">
        <f>D46/D11</f>
        <v>0.12823227190605238</v>
      </c>
      <c r="E47" s="83">
        <f>E46/E11</f>
        <v>0.15043423886611548</v>
      </c>
      <c r="F47" s="83">
        <f>F46/F11</f>
        <v>0.15717826550400041</v>
      </c>
      <c r="G47" s="83">
        <f>G46/G11</f>
        <v>0.1492204899777283</v>
      </c>
      <c r="H47" s="83">
        <f>H46/H11</f>
        <v>0.20672756684746407</v>
      </c>
      <c r="I47" s="21">
        <v>0.20699999999999999</v>
      </c>
      <c r="J47" s="53">
        <v>0.22</v>
      </c>
      <c r="K47" s="53">
        <v>0.22</v>
      </c>
      <c r="L47" s="53">
        <v>0.23</v>
      </c>
      <c r="M47" s="53">
        <v>0.24</v>
      </c>
      <c r="N47" s="53">
        <v>0.25</v>
      </c>
      <c r="O47" s="53">
        <v>0.25</v>
      </c>
      <c r="P47" s="53">
        <v>0.25</v>
      </c>
      <c r="Q47" s="53">
        <v>0.25</v>
      </c>
      <c r="R47" s="53">
        <v>0.25</v>
      </c>
    </row>
    <row r="48" spans="1:86" x14ac:dyDescent="0.25">
      <c r="A48" s="1"/>
      <c r="B48" s="1"/>
      <c r="C48" s="1"/>
      <c r="D48" s="1"/>
      <c r="F48" s="1"/>
      <c r="G48" s="1"/>
      <c r="H48" s="1"/>
      <c r="I48" s="13"/>
      <c r="J48" s="92"/>
      <c r="K48" s="92"/>
      <c r="L48" s="92"/>
      <c r="M48" s="92"/>
      <c r="N48" s="92"/>
      <c r="O48" s="93"/>
      <c r="P48" s="93"/>
      <c r="Q48" s="93"/>
      <c r="R48" s="93"/>
    </row>
    <row r="49" spans="1:86" x14ac:dyDescent="0.25">
      <c r="A49" s="1"/>
      <c r="B49" s="1" t="s">
        <v>22</v>
      </c>
      <c r="C49" s="12">
        <v>-11778</v>
      </c>
      <c r="D49" s="12">
        <v>-15181</v>
      </c>
      <c r="E49" s="25">
        <v>-16213</v>
      </c>
      <c r="F49" s="12">
        <v>-14259</v>
      </c>
      <c r="G49" s="12">
        <v>-18733</v>
      </c>
      <c r="H49" s="12">
        <v>-24844</v>
      </c>
      <c r="I49" s="22">
        <f>I50*I11</f>
        <v>-20034.3</v>
      </c>
      <c r="J49" s="90">
        <f>J50*J11</f>
        <v>-14575</v>
      </c>
      <c r="K49" s="90">
        <f>K50*K11</f>
        <v>-15121.562500000002</v>
      </c>
      <c r="L49" s="90">
        <f>L50*L11</f>
        <v>-14433.531406250004</v>
      </c>
      <c r="M49" s="90">
        <f>M50*M11</f>
        <v>-14974.788833984379</v>
      </c>
      <c r="N49" s="90">
        <f>N50*N11</f>
        <v>-15536.343415258796</v>
      </c>
      <c r="O49" s="90">
        <f>O50*O11</f>
        <v>-16118.956293331004</v>
      </c>
      <c r="P49" s="90">
        <f>P50*P11</f>
        <v>-16723.417154330917</v>
      </c>
      <c r="Q49" s="90">
        <f>Q50*Q11</f>
        <v>-17350.545297618326</v>
      </c>
      <c r="R49" s="90">
        <f>R50*R11</f>
        <v>-18001.190746279015</v>
      </c>
    </row>
    <row r="50" spans="1:86" x14ac:dyDescent="0.25">
      <c r="A50" s="1"/>
      <c r="B50" s="82" t="s">
        <v>17</v>
      </c>
      <c r="C50" s="83">
        <f>C49/C11</f>
        <v>-0.18766431382546486</v>
      </c>
      <c r="D50" s="83">
        <f>D49/D11</f>
        <v>-0.21427563233965674</v>
      </c>
      <c r="E50" s="83">
        <f>E49/E11</f>
        <v>-0.22529007156256514</v>
      </c>
      <c r="F50" s="83">
        <f>F49/F11</f>
        <v>-0.18311993527424969</v>
      </c>
      <c r="G50" s="83">
        <f>G49/G11</f>
        <v>-0.23705456570155903</v>
      </c>
      <c r="H50" s="83">
        <f>H49/H11</f>
        <v>-0.39401148222158783</v>
      </c>
      <c r="I50" s="21">
        <v>-0.39</v>
      </c>
      <c r="J50" s="53">
        <v>-0.25</v>
      </c>
      <c r="K50" s="53">
        <v>-0.25</v>
      </c>
      <c r="L50" s="53">
        <v>-0.23</v>
      </c>
      <c r="M50" s="53">
        <v>-0.23</v>
      </c>
      <c r="N50" s="53">
        <v>-0.23</v>
      </c>
      <c r="O50" s="53">
        <v>-0.23</v>
      </c>
      <c r="P50" s="53">
        <v>-0.23</v>
      </c>
      <c r="Q50" s="53">
        <v>-0.23</v>
      </c>
      <c r="R50" s="53">
        <v>-0.23</v>
      </c>
    </row>
    <row r="51" spans="1:86" x14ac:dyDescent="0.25">
      <c r="A51" s="1"/>
      <c r="B51" s="1"/>
      <c r="C51" s="1"/>
      <c r="D51" s="1"/>
      <c r="F51" s="1"/>
      <c r="G51" s="1"/>
      <c r="H51" s="1"/>
      <c r="I51" s="13"/>
      <c r="J51" s="92"/>
      <c r="K51" s="92"/>
      <c r="L51" s="92"/>
      <c r="M51" s="92"/>
      <c r="N51" s="92"/>
      <c r="O51" s="93"/>
      <c r="P51" s="93"/>
      <c r="Q51" s="93"/>
      <c r="R51" s="93"/>
    </row>
    <row r="52" spans="1:86" x14ac:dyDescent="0.25">
      <c r="A52" s="1"/>
      <c r="B52" s="1" t="s">
        <v>23</v>
      </c>
      <c r="C52" s="1">
        <v>18501</v>
      </c>
      <c r="D52" s="1">
        <v>6469</v>
      </c>
      <c r="E52" s="2">
        <v>13245</v>
      </c>
      <c r="F52" s="39">
        <v>17426</v>
      </c>
      <c r="G52" s="39">
        <v>4180</v>
      </c>
      <c r="H52" s="39">
        <v>2908</v>
      </c>
      <c r="I52" s="22">
        <f>I53*I11</f>
        <v>-2568.5</v>
      </c>
      <c r="J52" s="90">
        <f>J53*J11</f>
        <v>-1166</v>
      </c>
      <c r="K52" s="90">
        <f>K53*K11</f>
        <v>604.86250000000007</v>
      </c>
      <c r="L52" s="90">
        <f>L53*L11</f>
        <v>1255.0896875000003</v>
      </c>
      <c r="M52" s="90">
        <f>M53*M11</f>
        <v>1953.2333261718754</v>
      </c>
      <c r="N52" s="90">
        <f>N53*N11</f>
        <v>2701.9727678710951</v>
      </c>
      <c r="O52" s="90">
        <f>O53*O11</f>
        <v>3504.120933332827</v>
      </c>
      <c r="P52" s="90">
        <f>P53*P11</f>
        <v>4362.6305619993691</v>
      </c>
      <c r="Q52" s="90">
        <f>Q53*Q11</f>
        <v>5280.6007427534041</v>
      </c>
      <c r="R52" s="90">
        <f>R53*R11</f>
        <v>6261.2837378361792</v>
      </c>
    </row>
    <row r="53" spans="1:86" x14ac:dyDescent="0.25">
      <c r="A53" s="1"/>
      <c r="B53" s="82" t="s">
        <v>17</v>
      </c>
      <c r="C53" s="83">
        <f>C52/C11</f>
        <v>0.2947849779321553</v>
      </c>
      <c r="D53" s="83">
        <f>D52/D11</f>
        <v>9.1308152664859976E-2</v>
      </c>
      <c r="E53" s="83">
        <f>E52/E11</f>
        <v>0.18404780101438198</v>
      </c>
      <c r="F53" s="83">
        <f>F52/F11</f>
        <v>0.22379185020612069</v>
      </c>
      <c r="G53" s="83">
        <f>G52/G11</f>
        <v>5.2895322939866367E-2</v>
      </c>
      <c r="H53" s="83">
        <f>H52/H11</f>
        <v>4.6119199416373269E-2</v>
      </c>
      <c r="I53" s="75">
        <v>-0.05</v>
      </c>
      <c r="J53" s="95">
        <v>-0.02</v>
      </c>
      <c r="K53" s="95">
        <v>0.01</v>
      </c>
      <c r="L53" s="95">
        <v>0.02</v>
      </c>
      <c r="M53" s="95">
        <v>0.03</v>
      </c>
      <c r="N53" s="95">
        <v>0.04</v>
      </c>
      <c r="O53" s="95">
        <v>0.05</v>
      </c>
      <c r="P53" s="95">
        <v>0.06</v>
      </c>
      <c r="Q53" s="95">
        <v>7.0000000000000007E-2</v>
      </c>
      <c r="R53" s="95">
        <v>0.08</v>
      </c>
    </row>
    <row r="54" spans="1:86" x14ac:dyDescent="0.25">
      <c r="A54" s="1"/>
      <c r="B54" s="1"/>
      <c r="C54" s="1"/>
      <c r="D54" s="1"/>
      <c r="E54" s="1"/>
      <c r="F54" s="1"/>
      <c r="G54" s="1"/>
      <c r="H54" s="1"/>
      <c r="I54" s="13"/>
      <c r="J54" s="92"/>
      <c r="K54" s="92"/>
      <c r="L54" s="92"/>
      <c r="M54" s="92"/>
      <c r="N54" s="92"/>
      <c r="O54" s="92"/>
      <c r="P54" s="92"/>
      <c r="Q54" s="92"/>
      <c r="R54" s="93"/>
    </row>
    <row r="55" spans="1:86" x14ac:dyDescent="0.25">
      <c r="A55" s="1"/>
      <c r="B55" s="10" t="s">
        <v>24</v>
      </c>
      <c r="C55" s="12">
        <f>C39+C42</f>
        <v>28801</v>
      </c>
      <c r="D55" s="12">
        <f t="shared" ref="D55:R55" si="23">D39+D42</f>
        <v>25580</v>
      </c>
      <c r="E55" s="12">
        <f t="shared" si="23"/>
        <v>25045</v>
      </c>
      <c r="F55" s="12">
        <f>F39+F42</f>
        <v>27857</v>
      </c>
      <c r="G55" s="12">
        <f t="shared" si="23"/>
        <v>21291</v>
      </c>
      <c r="H55" s="12">
        <f>H39+H42</f>
        <v>2085</v>
      </c>
      <c r="I55" s="73">
        <f>I39+I42</f>
        <v>-2790.9937440000017</v>
      </c>
      <c r="J55" s="91">
        <f t="shared" si="23"/>
        <v>1781.72379</v>
      </c>
      <c r="K55" s="91">
        <f t="shared" si="23"/>
        <v>5271.7577508750001</v>
      </c>
      <c r="L55" s="91">
        <f t="shared" si="23"/>
        <v>8310.7207010953134</v>
      </c>
      <c r="M55" s="91">
        <f t="shared" si="23"/>
        <v>8622.3727273863897</v>
      </c>
      <c r="N55" s="91">
        <f t="shared" si="23"/>
        <v>10474.893192640027</v>
      </c>
      <c r="O55" s="91">
        <f t="shared" si="23"/>
        <v>11264.333135807972</v>
      </c>
      <c r="P55" s="91">
        <f t="shared" si="23"/>
        <v>15801.796906006673</v>
      </c>
      <c r="Q55" s="91">
        <f t="shared" si="23"/>
        <v>16394.364289981928</v>
      </c>
      <c r="R55" s="91">
        <f t="shared" si="23"/>
        <v>17009.152950856249</v>
      </c>
    </row>
    <row r="56" spans="1:86" x14ac:dyDescent="0.25">
      <c r="A56" s="1"/>
      <c r="B56" s="10" t="s">
        <v>58</v>
      </c>
      <c r="C56" s="86">
        <v>0</v>
      </c>
      <c r="D56" s="86">
        <v>0</v>
      </c>
      <c r="E56" s="86">
        <v>0</v>
      </c>
      <c r="F56" s="86">
        <v>0</v>
      </c>
      <c r="G56" s="85">
        <v>0</v>
      </c>
      <c r="H56" s="85">
        <v>3</v>
      </c>
      <c r="I56" s="73"/>
      <c r="J56" s="91"/>
      <c r="K56" s="91"/>
      <c r="L56" s="91"/>
      <c r="M56" s="91"/>
      <c r="N56" s="91"/>
      <c r="O56" s="91"/>
      <c r="P56" s="91"/>
      <c r="Q56" s="91"/>
      <c r="R56" s="91"/>
    </row>
    <row r="57" spans="1:86" x14ac:dyDescent="0.25">
      <c r="A57" s="1"/>
      <c r="B57" s="10" t="s">
        <v>25</v>
      </c>
      <c r="C57" s="12">
        <f>C37-C42-C56</f>
        <v>9601</v>
      </c>
      <c r="D57" s="12">
        <f t="shared" ref="D57" si="24">D37-D42-D56</f>
        <v>21053</v>
      </c>
      <c r="E57" s="12">
        <f t="shared" ref="E57" si="25">E37-E42-E56</f>
        <v>21048</v>
      </c>
      <c r="F57" s="12">
        <f t="shared" ref="F57" si="26">F37-F42-F56</f>
        <v>20899</v>
      </c>
      <c r="G57" s="12">
        <f t="shared" ref="C57:G57" si="27">G37-G42-G56</f>
        <v>19868</v>
      </c>
      <c r="H57" s="12">
        <f>H37-H42-H56</f>
        <v>8014</v>
      </c>
      <c r="I57" s="73">
        <f>I37-I42</f>
        <v>-1479.0239189448685</v>
      </c>
      <c r="J57" s="91">
        <f>J37-J42</f>
        <v>2117.2176203623562</v>
      </c>
      <c r="K57" s="91">
        <f t="shared" ref="J57:R57" si="28">K37-K42</f>
        <v>4822.0189623759443</v>
      </c>
      <c r="L57" s="91">
        <f t="shared" si="28"/>
        <v>7181.9313889025443</v>
      </c>
      <c r="M57" s="91">
        <f t="shared" si="28"/>
        <v>7451.2538159863907</v>
      </c>
      <c r="N57" s="91">
        <f t="shared" si="28"/>
        <v>8903.4671139803304</v>
      </c>
      <c r="O57" s="91">
        <f t="shared" si="28"/>
        <v>9541.5398689772192</v>
      </c>
      <c r="P57" s="91">
        <f t="shared" si="28"/>
        <v>13055.347273123572</v>
      </c>
      <c r="Q57" s="91">
        <f t="shared" si="28"/>
        <v>13544.922795865707</v>
      </c>
      <c r="R57" s="91">
        <f t="shared" si="28"/>
        <v>14052.857400710671</v>
      </c>
      <c r="S57" s="65">
        <f>R57*(1+$E$6)</f>
        <v>13912.328826703564</v>
      </c>
      <c r="T57" s="65">
        <f t="shared" ref="T57:CE57" si="29">S57*(1+$E$6)</f>
        <v>13773.205538436529</v>
      </c>
      <c r="U57" s="65">
        <f t="shared" si="29"/>
        <v>13635.473483052163</v>
      </c>
      <c r="V57" s="65">
        <f t="shared" si="29"/>
        <v>13499.118748221641</v>
      </c>
      <c r="W57" s="65">
        <f t="shared" si="29"/>
        <v>13364.127560739424</v>
      </c>
      <c r="X57" s="65">
        <f t="shared" si="29"/>
        <v>13230.486285132029</v>
      </c>
      <c r="Y57" s="65">
        <f t="shared" si="29"/>
        <v>13098.181422280708</v>
      </c>
      <c r="Z57" s="65">
        <f t="shared" si="29"/>
        <v>12967.199608057901</v>
      </c>
      <c r="AA57" s="65">
        <f t="shared" si="29"/>
        <v>12837.527611977323</v>
      </c>
      <c r="AB57" s="65">
        <f t="shared" si="29"/>
        <v>12709.152335857549</v>
      </c>
      <c r="AC57" s="65">
        <f t="shared" si="29"/>
        <v>12582.060812498974</v>
      </c>
      <c r="AD57" s="65">
        <f t="shared" si="29"/>
        <v>12456.240204373984</v>
      </c>
      <c r="AE57" s="65">
        <f t="shared" si="29"/>
        <v>12331.677802330243</v>
      </c>
      <c r="AF57" s="65">
        <f t="shared" si="29"/>
        <v>12208.36102430694</v>
      </c>
      <c r="AG57" s="65">
        <f t="shared" si="29"/>
        <v>12086.27741406387</v>
      </c>
      <c r="AH57" s="65">
        <f t="shared" si="29"/>
        <v>11965.414639923232</v>
      </c>
      <c r="AI57" s="65">
        <f t="shared" si="29"/>
        <v>11845.760493524</v>
      </c>
      <c r="AJ57" s="65">
        <f t="shared" si="29"/>
        <v>11727.30288858876</v>
      </c>
      <c r="AK57" s="65">
        <f t="shared" si="29"/>
        <v>11610.029859702872</v>
      </c>
      <c r="AL57" s="65">
        <f t="shared" si="29"/>
        <v>11493.929561105844</v>
      </c>
      <c r="AM57" s="65">
        <f t="shared" si="29"/>
        <v>11378.990265494785</v>
      </c>
      <c r="AN57" s="65">
        <f t="shared" si="29"/>
        <v>11265.200362839838</v>
      </c>
      <c r="AO57" s="65">
        <f t="shared" si="29"/>
        <v>11152.54835921144</v>
      </c>
      <c r="AP57" s="65">
        <f t="shared" si="29"/>
        <v>11041.022875619325</v>
      </c>
      <c r="AQ57" s="65">
        <f t="shared" si="29"/>
        <v>10930.612646863132</v>
      </c>
      <c r="AR57" s="65">
        <f t="shared" si="29"/>
        <v>10821.306520394501</v>
      </c>
      <c r="AS57" s="65">
        <f t="shared" si="29"/>
        <v>10713.093455190556</v>
      </c>
      <c r="AT57" s="65">
        <f t="shared" si="29"/>
        <v>10605.96252063865</v>
      </c>
      <c r="AU57" s="65">
        <f t="shared" si="29"/>
        <v>10499.902895432264</v>
      </c>
      <c r="AV57" s="65">
        <f t="shared" si="29"/>
        <v>10394.903866477942</v>
      </c>
      <c r="AW57" s="65">
        <f t="shared" si="29"/>
        <v>10290.954827813162</v>
      </c>
      <c r="AX57" s="65">
        <f t="shared" si="29"/>
        <v>10188.04527953503</v>
      </c>
      <c r="AY57" s="65">
        <f t="shared" si="29"/>
        <v>10086.164826739679</v>
      </c>
      <c r="AZ57" s="65">
        <f t="shared" si="29"/>
        <v>9985.3031784722825</v>
      </c>
      <c r="BA57" s="65">
        <f t="shared" si="29"/>
        <v>9885.450146687559</v>
      </c>
      <c r="BB57" s="65">
        <f t="shared" si="29"/>
        <v>9786.5956452206829</v>
      </c>
      <c r="BC57" s="65">
        <f t="shared" si="29"/>
        <v>9688.7296887684752</v>
      </c>
      <c r="BD57" s="65">
        <f t="shared" si="29"/>
        <v>9591.8423918807912</v>
      </c>
      <c r="BE57" s="65">
        <f t="shared" si="29"/>
        <v>9495.9239679619841</v>
      </c>
      <c r="BF57" s="65">
        <f t="shared" si="29"/>
        <v>9400.9647282823644</v>
      </c>
      <c r="BG57" s="65">
        <f t="shared" si="29"/>
        <v>9306.9550809995399</v>
      </c>
      <c r="BH57" s="65">
        <f t="shared" si="29"/>
        <v>9213.8855301895437</v>
      </c>
      <c r="BI57" s="65">
        <f t="shared" si="29"/>
        <v>9121.7466748876486</v>
      </c>
      <c r="BJ57" s="65">
        <f t="shared" si="29"/>
        <v>9030.5292081387724</v>
      </c>
      <c r="BK57" s="65">
        <f t="shared" si="29"/>
        <v>8940.2239160573845</v>
      </c>
      <c r="BL57" s="65">
        <f t="shared" si="29"/>
        <v>8850.8216768968105</v>
      </c>
      <c r="BM57" s="65">
        <f t="shared" si="29"/>
        <v>8762.3134601278416</v>
      </c>
      <c r="BN57" s="65">
        <f t="shared" si="29"/>
        <v>8674.6903255265624</v>
      </c>
      <c r="BO57" s="65">
        <f t="shared" si="29"/>
        <v>8587.9434222712971</v>
      </c>
      <c r="BP57" s="65">
        <f t="shared" si="29"/>
        <v>8502.0639880485833</v>
      </c>
      <c r="BQ57" s="65">
        <f t="shared" si="29"/>
        <v>8417.0433481680975</v>
      </c>
      <c r="BR57" s="65">
        <f t="shared" si="29"/>
        <v>8332.8729146864171</v>
      </c>
      <c r="BS57" s="65">
        <f t="shared" si="29"/>
        <v>8249.5441855395529</v>
      </c>
      <c r="BT57" s="65">
        <f t="shared" si="29"/>
        <v>8167.0487436841577</v>
      </c>
      <c r="BU57" s="65">
        <f t="shared" si="29"/>
        <v>8085.3782562473161</v>
      </c>
      <c r="BV57" s="65">
        <f t="shared" si="29"/>
        <v>8004.5244736848426</v>
      </c>
      <c r="BW57" s="65">
        <f t="shared" si="29"/>
        <v>7924.4792289479938</v>
      </c>
      <c r="BX57" s="65">
        <f t="shared" si="29"/>
        <v>7845.2344366585139</v>
      </c>
      <c r="BY57" s="65">
        <f t="shared" si="29"/>
        <v>7766.7820922919291</v>
      </c>
      <c r="BZ57" s="65">
        <f t="shared" si="29"/>
        <v>7689.1142713690097</v>
      </c>
      <c r="CA57" s="65">
        <f t="shared" si="29"/>
        <v>7612.2231286553197</v>
      </c>
      <c r="CB57" s="65">
        <f t="shared" si="29"/>
        <v>7536.1008973687667</v>
      </c>
      <c r="CC57" s="65">
        <f t="shared" si="29"/>
        <v>7460.7398883950791</v>
      </c>
      <c r="CD57" s="65">
        <f t="shared" si="29"/>
        <v>7386.1324895111284</v>
      </c>
      <c r="CE57" s="65">
        <f t="shared" si="29"/>
        <v>7312.2711646160169</v>
      </c>
      <c r="CF57" s="65">
        <f t="shared" ref="CF57:CH57" si="30">CE57*(1+$E$6)</f>
        <v>7239.1484529698564</v>
      </c>
      <c r="CG57" s="65">
        <f t="shared" si="30"/>
        <v>7166.7569684401578</v>
      </c>
      <c r="CH57" s="65">
        <f t="shared" si="30"/>
        <v>7095.0893987557565</v>
      </c>
    </row>
    <row r="58" spans="1:86" x14ac:dyDescent="0.25">
      <c r="A58" s="1"/>
      <c r="B58" s="54"/>
      <c r="C58" s="54"/>
      <c r="D58" s="54"/>
      <c r="E58" s="23"/>
      <c r="F58" s="23"/>
      <c r="G58" s="23"/>
      <c r="H58" s="23"/>
      <c r="I58" s="13"/>
      <c r="J58" s="92"/>
      <c r="K58" s="92"/>
      <c r="L58" s="92"/>
      <c r="M58" s="92"/>
      <c r="N58" s="92"/>
      <c r="O58" s="92"/>
      <c r="P58" s="92"/>
      <c r="Q58" s="92"/>
      <c r="R58" s="93"/>
    </row>
    <row r="59" spans="1:86" x14ac:dyDescent="0.25">
      <c r="A59" s="1"/>
      <c r="B59" s="10" t="s">
        <v>26</v>
      </c>
      <c r="C59" s="26">
        <f>C55+C46+C49-C52</f>
        <v>6651</v>
      </c>
      <c r="D59" s="26">
        <f t="shared" ref="D59:E59" si="31">D55+D46+D49-D52</f>
        <v>13015</v>
      </c>
      <c r="E59" s="26">
        <f t="shared" si="31"/>
        <v>6413</v>
      </c>
      <c r="F59" s="26">
        <f>F55+F46+F49-F52</f>
        <v>8411</v>
      </c>
      <c r="G59" s="26">
        <f>G55+G46+G49-G52</f>
        <v>10170</v>
      </c>
      <c r="H59" s="26">
        <f>H55+H46+H49-H52</f>
        <v>-12632</v>
      </c>
      <c r="I59" s="79">
        <f>I55+I46+I49-I52</f>
        <v>-8017.7937440000005</v>
      </c>
      <c r="J59" s="96">
        <f t="shared" ref="J59:R59" si="32">J55+J46+J49-J52</f>
        <v>164.72379000000001</v>
      </c>
      <c r="K59" s="96">
        <f t="shared" si="32"/>
        <v>2580.3327508749981</v>
      </c>
      <c r="L59" s="96">
        <f t="shared" si="32"/>
        <v>7055.6310135953136</v>
      </c>
      <c r="M59" s="96">
        <f t="shared" si="32"/>
        <v>7320.217176605136</v>
      </c>
      <c r="N59" s="96">
        <f t="shared" si="32"/>
        <v>9123.9068087044816</v>
      </c>
      <c r="O59" s="96">
        <f t="shared" si="32"/>
        <v>9161.8605758082776</v>
      </c>
      <c r="P59" s="96">
        <f t="shared" si="32"/>
        <v>12893.376531340429</v>
      </c>
      <c r="Q59" s="96">
        <f t="shared" si="32"/>
        <v>12622.506616586636</v>
      </c>
      <c r="R59" s="96">
        <f t="shared" si="32"/>
        <v>12313.190147479112</v>
      </c>
    </row>
    <row r="60" spans="1:86" x14ac:dyDescent="0.25">
      <c r="A60" s="1"/>
      <c r="B60" s="27" t="s">
        <v>27</v>
      </c>
      <c r="C60" s="1"/>
      <c r="D60" s="1"/>
      <c r="E60" s="1"/>
      <c r="F60" s="1"/>
      <c r="G60" s="1"/>
      <c r="H60" s="1"/>
      <c r="I60" s="71">
        <f>I59/((1+$E$5)^I9)</f>
        <v>-7398.5969079288643</v>
      </c>
      <c r="J60" s="68">
        <f>J59/((1+$E$5)^J9)</f>
        <v>140.26370276452738</v>
      </c>
      <c r="K60" s="68">
        <f>K59/((1+$E$5)^K9)</f>
        <v>2027.4921193222688</v>
      </c>
      <c r="L60" s="68">
        <f>L59/((1+$E$5)^L9)</f>
        <v>5115.8029423165799</v>
      </c>
      <c r="M60" s="68">
        <f>M59/((1+$E$5)^M9)</f>
        <v>4897.7475884348723</v>
      </c>
      <c r="N60" s="68">
        <f>N59/((1+$E$5)^N9)</f>
        <v>5633.1038912549375</v>
      </c>
      <c r="O60" s="68">
        <f>O59/((1+$E$5)^O9)</f>
        <v>5219.6945020964931</v>
      </c>
      <c r="P60" s="68">
        <f>P59/((1+$E$5)^P9)</f>
        <v>6778.3276737740407</v>
      </c>
      <c r="Q60" s="68">
        <f>Q59/((1+$E$5)^Q9)</f>
        <v>6123.4473399952867</v>
      </c>
      <c r="R60" s="68">
        <f>R59/((1+$E$5)^R9)</f>
        <v>5512.0792525131519</v>
      </c>
    </row>
    <row r="61" spans="1:86" x14ac:dyDescent="0.25">
      <c r="A61" s="1"/>
      <c r="B61" s="28"/>
      <c r="C61" s="28"/>
      <c r="D61" s="28"/>
      <c r="E61" s="28"/>
      <c r="F61" s="28"/>
      <c r="G61" s="28"/>
      <c r="H61" s="28"/>
      <c r="I61" s="16"/>
      <c r="J61" s="1"/>
      <c r="K61" s="1"/>
      <c r="L61" s="1"/>
      <c r="M61" s="1"/>
      <c r="N61" s="1"/>
      <c r="O61" s="1"/>
      <c r="P61" s="1"/>
      <c r="Q61" s="1"/>
      <c r="R61" s="1"/>
    </row>
    <row r="62" spans="1:86" x14ac:dyDescent="0.25">
      <c r="A62" s="1"/>
      <c r="B62" s="1" t="s">
        <v>28</v>
      </c>
      <c r="C62" s="29">
        <f>(R59*(1+$E$6))/($E$5-$E$6)</f>
        <v>130109.00815231376</v>
      </c>
      <c r="D62" s="1"/>
      <c r="E62" s="1" t="s">
        <v>29</v>
      </c>
      <c r="F62" s="19">
        <f>NPV($E$5,I57:CH57)</f>
        <v>111409.15396905936</v>
      </c>
      <c r="G62" s="1"/>
      <c r="H62" s="1"/>
      <c r="I62" s="16"/>
      <c r="J62" s="1"/>
      <c r="K62" s="1"/>
      <c r="L62" s="1"/>
      <c r="M62" s="1"/>
      <c r="N62" s="1"/>
      <c r="O62" s="1"/>
      <c r="P62" s="1"/>
      <c r="Q62" s="1"/>
    </row>
    <row r="63" spans="1:86" x14ac:dyDescent="0.25">
      <c r="A63" s="1"/>
      <c r="B63" s="3" t="s">
        <v>30</v>
      </c>
      <c r="C63" s="30">
        <f>C62/((1+$E$5)^$R$9)</f>
        <v>58244.139480641439</v>
      </c>
      <c r="D63" s="17"/>
      <c r="E63" s="3"/>
      <c r="F63" s="3"/>
      <c r="G63" s="3"/>
      <c r="H63" s="17"/>
      <c r="I63" s="13"/>
      <c r="J63" s="1"/>
      <c r="L63" s="55" t="s">
        <v>51</v>
      </c>
      <c r="M63" s="56"/>
      <c r="N63" s="56"/>
      <c r="O63" s="56"/>
      <c r="P63" s="56"/>
      <c r="Q63" s="55"/>
    </row>
    <row r="64" spans="1:86" x14ac:dyDescent="0.25">
      <c r="A64" s="1"/>
      <c r="B64" s="6" t="s">
        <v>31</v>
      </c>
      <c r="C64" s="6"/>
      <c r="D64" s="1"/>
      <c r="E64" s="6"/>
      <c r="F64" s="6"/>
      <c r="G64" s="31" t="s">
        <v>32</v>
      </c>
      <c r="H64" s="31" t="s">
        <v>29</v>
      </c>
      <c r="I64" s="16"/>
      <c r="J64" s="1"/>
      <c r="K64" s="55"/>
      <c r="L64" s="57">
        <f>D70</f>
        <v>26.390632408804137</v>
      </c>
      <c r="M64" s="58">
        <v>-0.03</v>
      </c>
      <c r="N64" s="58">
        <v>-0.02</v>
      </c>
      <c r="O64" s="58">
        <v>-0.01</v>
      </c>
      <c r="P64" s="58">
        <v>0</v>
      </c>
      <c r="Q64" s="58">
        <v>0.01</v>
      </c>
    </row>
    <row r="65" spans="1:17" x14ac:dyDescent="0.25">
      <c r="A65" s="1"/>
      <c r="B65" s="32" t="s">
        <v>33</v>
      </c>
      <c r="C65" s="1"/>
      <c r="D65" s="39">
        <f>8232+19302</f>
        <v>27534</v>
      </c>
      <c r="E65" s="1"/>
      <c r="F65" s="1"/>
      <c r="G65" s="29">
        <f>C63+SUM(I60:R60)</f>
        <v>92293.501585184742</v>
      </c>
      <c r="H65" s="19">
        <f>F62</f>
        <v>111409.15396905936</v>
      </c>
      <c r="I65" s="16"/>
      <c r="J65" s="1"/>
      <c r="K65" s="55"/>
      <c r="L65" s="59">
        <f>L66-2%</f>
        <v>4.3691116542321759E-2</v>
      </c>
      <c r="M65" s="60">
        <f t="dataTable" ref="M65:Q69" dt2D="1" dtr="1" r1="E6" r2="E5"/>
        <v>41.548002437643483</v>
      </c>
      <c r="N65" s="60">
        <v>45.996738444473564</v>
      </c>
      <c r="O65" s="60">
        <v>51.962006954686117</v>
      </c>
      <c r="P65" s="60">
        <v>60.317007985863171</v>
      </c>
      <c r="Q65" s="60">
        <v>72.765503606386346</v>
      </c>
    </row>
    <row r="66" spans="1:17" x14ac:dyDescent="0.25">
      <c r="A66" s="1"/>
      <c r="B66" s="33" t="s">
        <v>34</v>
      </c>
      <c r="C66" s="3"/>
      <c r="D66" s="89">
        <f>1437+2497+4046+11330</f>
        <v>19310</v>
      </c>
      <c r="E66" s="3"/>
      <c r="F66" s="3"/>
      <c r="G66" s="3"/>
      <c r="H66" s="3"/>
      <c r="I66" s="16"/>
      <c r="J66" s="1"/>
      <c r="K66" s="56"/>
      <c r="L66" s="59">
        <f>L67-2%</f>
        <v>6.3691116542321763E-2</v>
      </c>
      <c r="M66" s="60">
        <v>30.493700630131016</v>
      </c>
      <c r="N66" s="61">
        <v>32.783431736055228</v>
      </c>
      <c r="O66" s="61">
        <v>35.671292191099553</v>
      </c>
      <c r="P66" s="61">
        <v>39.412778109377257</v>
      </c>
      <c r="Q66" s="60">
        <v>44.424300067572545</v>
      </c>
    </row>
    <row r="67" spans="1:17" x14ac:dyDescent="0.25">
      <c r="A67" s="1"/>
      <c r="B67" s="6" t="s">
        <v>35</v>
      </c>
      <c r="C67" s="6"/>
      <c r="D67" s="6"/>
      <c r="E67" s="6"/>
      <c r="F67" s="6"/>
      <c r="G67" s="34">
        <f>(G65+D65-D66)</f>
        <v>100517.50158518474</v>
      </c>
      <c r="H67" s="35">
        <f>(H65+D65-D66)</f>
        <v>119633.15396905935</v>
      </c>
      <c r="I67" s="16"/>
      <c r="J67"/>
      <c r="K67" s="55" t="s">
        <v>1</v>
      </c>
      <c r="L67" s="62">
        <v>8.3691116542321767E-2</v>
      </c>
      <c r="M67" s="60">
        <v>23.525298540201248</v>
      </c>
      <c r="N67" s="61">
        <v>24.821735917394598</v>
      </c>
      <c r="O67" s="63">
        <v>26.390632408804137</v>
      </c>
      <c r="P67" s="61">
        <v>28.324984255364697</v>
      </c>
      <c r="Q67" s="60">
        <v>30.763251657858824</v>
      </c>
    </row>
    <row r="68" spans="1:17" x14ac:dyDescent="0.25">
      <c r="A68" s="1"/>
      <c r="B68" s="3" t="s">
        <v>36</v>
      </c>
      <c r="C68" s="3"/>
      <c r="D68" s="39">
        <v>4171</v>
      </c>
      <c r="E68" s="3"/>
      <c r="F68" s="3"/>
      <c r="G68" s="3"/>
      <c r="H68" s="3"/>
      <c r="I68" s="16"/>
      <c r="J68" s="1"/>
      <c r="K68" s="55"/>
      <c r="L68" s="64">
        <f>L67+2%</f>
        <v>0.10369111654232177</v>
      </c>
      <c r="M68" s="60">
        <v>18.807020142800155</v>
      </c>
      <c r="N68" s="61">
        <v>19.592696863005379</v>
      </c>
      <c r="O68" s="61">
        <v>20.515737400719424</v>
      </c>
      <c r="P68" s="61">
        <v>21.614978758098562</v>
      </c>
      <c r="Q68" s="60">
        <v>22.94489146221887</v>
      </c>
    </row>
    <row r="69" spans="1:17" x14ac:dyDescent="0.25">
      <c r="A69" s="1"/>
      <c r="B69" s="18" t="s">
        <v>37</v>
      </c>
      <c r="C69" s="18"/>
      <c r="D69" s="18">
        <f>D68*$J$5</f>
        <v>129259.29</v>
      </c>
      <c r="E69" s="18"/>
      <c r="F69" s="18"/>
      <c r="G69" s="18"/>
      <c r="H69" s="36"/>
      <c r="I69" s="1"/>
      <c r="J69" s="1"/>
      <c r="K69" s="55"/>
      <c r="L69" s="64">
        <f>L68+2%</f>
        <v>0.12369111654232177</v>
      </c>
      <c r="M69" s="60">
        <v>15.445257722071895</v>
      </c>
      <c r="N69" s="60">
        <v>15.946123344866788</v>
      </c>
      <c r="O69" s="60">
        <v>16.521739912878886</v>
      </c>
      <c r="P69" s="60">
        <v>17.190050512068073</v>
      </c>
      <c r="Q69" s="60">
        <v>17.975118787871672</v>
      </c>
    </row>
    <row r="70" spans="1:17" x14ac:dyDescent="0.25">
      <c r="A70" s="1"/>
      <c r="B70" s="6" t="s">
        <v>38</v>
      </c>
      <c r="C70" s="6" t="s">
        <v>39</v>
      </c>
      <c r="D70" s="37">
        <f>(G70+H70)/2</f>
        <v>26.390632408804137</v>
      </c>
      <c r="F70" s="6"/>
      <c r="G70" s="37">
        <f>G67/D68</f>
        <v>24.099137277675556</v>
      </c>
      <c r="H70" s="37">
        <f>H67/D68</f>
        <v>28.682127539932715</v>
      </c>
      <c r="I70" s="16"/>
      <c r="J70" s="1"/>
    </row>
    <row r="71" spans="1:17" x14ac:dyDescent="0.25">
      <c r="A71"/>
      <c r="C71" s="1"/>
      <c r="D7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F10" sqref="F10"/>
    </sheetView>
  </sheetViews>
  <sheetFormatPr defaultRowHeight="15" x14ac:dyDescent="0.25"/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41" t="s">
        <v>1</v>
      </c>
      <c r="C2" s="2"/>
      <c r="D2" s="2"/>
      <c r="E2" s="2"/>
      <c r="F2" s="2"/>
      <c r="G2" s="2"/>
      <c r="H2" s="2"/>
      <c r="I2" s="2"/>
      <c r="J2" s="2"/>
      <c r="K2" s="2"/>
      <c r="L2" s="42"/>
    </row>
    <row r="3" spans="1:14" x14ac:dyDescent="0.2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2"/>
    </row>
    <row r="4" spans="1:14" x14ac:dyDescent="0.25">
      <c r="A4" s="44" t="s">
        <v>41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42</v>
      </c>
      <c r="C6" s="2"/>
      <c r="D6" s="45">
        <f>'INTC DCF'!I43</f>
        <v>0.13189999999999999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43</v>
      </c>
      <c r="C7" s="2"/>
      <c r="D7" s="45">
        <v>5.3999999999999999E-2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44</v>
      </c>
      <c r="C8" s="2"/>
      <c r="D8" s="46">
        <v>0.88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45</v>
      </c>
      <c r="C9" s="2"/>
      <c r="D9" s="45">
        <v>4.4999999999999998E-2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9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35</v>
      </c>
      <c r="B12" s="2"/>
      <c r="C12" s="25">
        <f>'INTC DCF'!D69</f>
        <v>129259.29</v>
      </c>
      <c r="D12" s="2"/>
      <c r="E12" s="2" t="s">
        <v>34</v>
      </c>
      <c r="F12" s="2"/>
      <c r="G12" s="25">
        <f>'INTC DCF'!D66</f>
        <v>19310</v>
      </c>
      <c r="H12" s="2"/>
      <c r="I12" s="2" t="s">
        <v>46</v>
      </c>
      <c r="J12" s="2"/>
      <c r="K12" s="25">
        <f>G12+C12</f>
        <v>148569.28999999998</v>
      </c>
      <c r="L12" s="2"/>
    </row>
    <row r="13" spans="1:14" x14ac:dyDescent="0.25">
      <c r="A13" s="2" t="s">
        <v>47</v>
      </c>
      <c r="B13" s="2"/>
      <c r="C13" s="47">
        <f>C12/K12</f>
        <v>0.8700269752921348</v>
      </c>
      <c r="D13" s="2"/>
      <c r="E13" s="2" t="s">
        <v>48</v>
      </c>
      <c r="F13" s="2"/>
      <c r="G13" s="48">
        <f>G12/K12</f>
        <v>0.12997302470786529</v>
      </c>
      <c r="H13" s="2"/>
      <c r="I13" s="2"/>
      <c r="J13" s="2"/>
      <c r="K13" s="2"/>
      <c r="L13" s="2"/>
      <c r="M13" s="39"/>
    </row>
    <row r="14" spans="1:14" x14ac:dyDescent="0.25">
      <c r="A14" s="2" t="s">
        <v>49</v>
      </c>
      <c r="B14" s="2"/>
      <c r="C14" s="49">
        <f>D7+D8*(D9)</f>
        <v>9.3599999999999989E-2</v>
      </c>
      <c r="D14" s="2"/>
      <c r="E14" s="2" t="s">
        <v>50</v>
      </c>
      <c r="F14" s="2"/>
      <c r="G14" s="50">
        <v>0.02</v>
      </c>
      <c r="H14" s="2"/>
      <c r="I14" s="51" t="s">
        <v>1</v>
      </c>
      <c r="J14" s="52"/>
      <c r="K14" s="78">
        <f>C13*C14+G14*G13*(1-D6)</f>
        <v>8.3691116542321767E-2</v>
      </c>
      <c r="L14" s="2"/>
    </row>
    <row r="15" spans="1:14" x14ac:dyDescent="0.25">
      <c r="D15" s="39"/>
      <c r="G15" s="39"/>
      <c r="J15" s="39"/>
      <c r="M15" s="39"/>
    </row>
    <row r="16" spans="1:14" x14ac:dyDescent="0.25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</row>
    <row r="17" spans="4:13" x14ac:dyDescent="0.25">
      <c r="D17" s="39"/>
      <c r="G17" s="39"/>
      <c r="J17" s="39"/>
      <c r="M17" s="39"/>
    </row>
    <row r="21" spans="4:13" x14ac:dyDescent="0.25">
      <c r="D21" s="39"/>
      <c r="E21" s="39"/>
      <c r="F21" s="39"/>
      <c r="G21" s="39"/>
      <c r="H21" s="39"/>
      <c r="I21" s="39"/>
      <c r="J21" s="39"/>
      <c r="K21" s="39"/>
      <c r="L21" s="39"/>
      <c r="M21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INTC 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2023-05-06T16:18:02Z</dcterms:modified>
</cp:coreProperties>
</file>