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45B7E31C-DA52-4816-9C09-FBC899BAC8AE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MLKN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" l="1"/>
  <c r="O20" i="1"/>
  <c r="P20" i="1" s="1"/>
  <c r="Q20" i="1" s="1"/>
  <c r="R20" i="1" s="1"/>
  <c r="M20" i="1"/>
  <c r="J11" i="1"/>
  <c r="K11" i="1"/>
  <c r="L11" i="1" s="1"/>
  <c r="I11" i="1"/>
  <c r="D63" i="1"/>
  <c r="N47" i="1"/>
  <c r="O47" i="1"/>
  <c r="P47" i="1" s="1"/>
  <c r="Q47" i="1" s="1"/>
  <c r="R47" i="1" s="1"/>
  <c r="M47" i="1"/>
  <c r="D6" i="2"/>
  <c r="D64" i="1"/>
  <c r="C12" i="2" s="1"/>
  <c r="D61" i="1"/>
  <c r="I43" i="1"/>
  <c r="J43" i="1"/>
  <c r="K43" i="1"/>
  <c r="I40" i="1"/>
  <c r="J40" i="1"/>
  <c r="K40" i="1"/>
  <c r="O23" i="1"/>
  <c r="P23" i="1"/>
  <c r="Q23" i="1" s="1"/>
  <c r="R23" i="1" s="1"/>
  <c r="N23" i="1"/>
  <c r="M23" i="1"/>
  <c r="J22" i="1"/>
  <c r="K22" i="1"/>
  <c r="I22" i="1"/>
  <c r="G46" i="1"/>
  <c r="H46" i="1"/>
  <c r="F46" i="1"/>
  <c r="D46" i="1"/>
  <c r="E46" i="1"/>
  <c r="C46" i="1"/>
  <c r="G43" i="1"/>
  <c r="H43" i="1"/>
  <c r="F43" i="1"/>
  <c r="D43" i="1"/>
  <c r="E43" i="1"/>
  <c r="C43" i="1"/>
  <c r="G40" i="1"/>
  <c r="H40" i="1"/>
  <c r="F40" i="1"/>
  <c r="D40" i="1"/>
  <c r="E40" i="1"/>
  <c r="C40" i="1"/>
  <c r="H50" i="1"/>
  <c r="G50" i="1"/>
  <c r="F50" i="1"/>
  <c r="E50" i="1"/>
  <c r="D50" i="1"/>
  <c r="C50" i="1"/>
  <c r="G36" i="1"/>
  <c r="H36" i="1"/>
  <c r="F36" i="1"/>
  <c r="D36" i="1"/>
  <c r="E36" i="1"/>
  <c r="C36" i="1"/>
  <c r="G28" i="1"/>
  <c r="H28" i="1"/>
  <c r="D28" i="1"/>
  <c r="E28" i="1"/>
  <c r="C28" i="1"/>
  <c r="G22" i="1"/>
  <c r="G23" i="1" s="1"/>
  <c r="H22" i="1"/>
  <c r="H23" i="1" s="1"/>
  <c r="F22" i="1"/>
  <c r="F23" i="1" s="1"/>
  <c r="D22" i="1"/>
  <c r="D23" i="1" s="1"/>
  <c r="E22" i="1"/>
  <c r="E23" i="1" s="1"/>
  <c r="C22" i="1"/>
  <c r="C23" i="1" s="1"/>
  <c r="G19" i="1"/>
  <c r="G25" i="1" s="1"/>
  <c r="H19" i="1"/>
  <c r="H25" i="1" s="1"/>
  <c r="F19" i="1"/>
  <c r="F25" i="1" s="1"/>
  <c r="D19" i="1"/>
  <c r="D25" i="1" s="1"/>
  <c r="E19" i="1"/>
  <c r="E25" i="1" s="1"/>
  <c r="C19" i="1"/>
  <c r="C25" i="1" s="1"/>
  <c r="G14" i="1"/>
  <c r="H14" i="1"/>
  <c r="F14" i="1"/>
  <c r="D14" i="1"/>
  <c r="E14" i="1"/>
  <c r="C14" i="1"/>
  <c r="G11" i="1"/>
  <c r="G16" i="1" s="1"/>
  <c r="G27" i="1" s="1"/>
  <c r="G31" i="1" s="1"/>
  <c r="G51" i="1" s="1"/>
  <c r="H11" i="1"/>
  <c r="F11" i="1"/>
  <c r="F16" i="1" s="1"/>
  <c r="F27" i="1" s="1"/>
  <c r="F31" i="1" s="1"/>
  <c r="D11" i="1"/>
  <c r="D16" i="1" s="1"/>
  <c r="D27" i="1" s="1"/>
  <c r="D31" i="1" s="1"/>
  <c r="D51" i="1" s="1"/>
  <c r="E11" i="1"/>
  <c r="E20" i="1" s="1"/>
  <c r="C11" i="1"/>
  <c r="C16" i="1" s="1"/>
  <c r="C27" i="1" s="1"/>
  <c r="C31" i="1" s="1"/>
  <c r="C51" i="1" s="1"/>
  <c r="L61" i="1"/>
  <c r="L60" i="1" s="1"/>
  <c r="L63" i="1"/>
  <c r="L64" i="1" s="1"/>
  <c r="C41" i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L43" i="1" l="1"/>
  <c r="L40" i="1"/>
  <c r="L22" i="1"/>
  <c r="M11" i="1"/>
  <c r="M28" i="1" s="1"/>
  <c r="F51" i="1"/>
  <c r="E16" i="1"/>
  <c r="E27" i="1" s="1"/>
  <c r="E31" i="1" s="1"/>
  <c r="E51" i="1" s="1"/>
  <c r="H16" i="1"/>
  <c r="H27" i="1" s="1"/>
  <c r="H31" i="1" s="1"/>
  <c r="H51" i="1" s="1"/>
  <c r="E41" i="1"/>
  <c r="D47" i="1"/>
  <c r="F12" i="1"/>
  <c r="F20" i="1"/>
  <c r="C29" i="1"/>
  <c r="D29" i="1"/>
  <c r="H29" i="1"/>
  <c r="E29" i="1"/>
  <c r="F29" i="1"/>
  <c r="G29" i="1"/>
  <c r="L28" i="1"/>
  <c r="J28" i="1"/>
  <c r="I28" i="1"/>
  <c r="K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I14" i="1" s="1"/>
  <c r="D17" i="1"/>
  <c r="F17" i="1"/>
  <c r="C17" i="1"/>
  <c r="H20" i="1"/>
  <c r="H41" i="1"/>
  <c r="C44" i="1"/>
  <c r="H44" i="1"/>
  <c r="H47" i="1"/>
  <c r="E12" i="1"/>
  <c r="E44" i="1"/>
  <c r="K12" i="2"/>
  <c r="G13" i="2" s="1"/>
  <c r="G33" i="1"/>
  <c r="G49" i="1" s="1"/>
  <c r="G17" i="1"/>
  <c r="N11" i="1" l="1"/>
  <c r="M22" i="1"/>
  <c r="M43" i="1"/>
  <c r="M40" i="1"/>
  <c r="E17" i="1"/>
  <c r="E33" i="1"/>
  <c r="H17" i="1"/>
  <c r="C13" i="2"/>
  <c r="K14" i="2" s="1"/>
  <c r="E5" i="1" s="1"/>
  <c r="F33" i="1"/>
  <c r="F49" i="1" s="1"/>
  <c r="D33" i="1"/>
  <c r="D49" i="1" s="1"/>
  <c r="H33" i="1"/>
  <c r="G37" i="1"/>
  <c r="G34" i="1"/>
  <c r="G54" i="1"/>
  <c r="N43" i="1" l="1"/>
  <c r="N40" i="1"/>
  <c r="O11" i="1"/>
  <c r="N22" i="1"/>
  <c r="N28" i="1"/>
  <c r="H49" i="1"/>
  <c r="H54" i="1" s="1"/>
  <c r="E49" i="1"/>
  <c r="E54" i="1" s="1"/>
  <c r="E34" i="1"/>
  <c r="E37" i="1"/>
  <c r="H34" i="1"/>
  <c r="F37" i="1"/>
  <c r="F54" i="1"/>
  <c r="D54" i="1"/>
  <c r="C33" i="1"/>
  <c r="C49" i="1" s="1"/>
  <c r="C54" i="1" s="1"/>
  <c r="D34" i="1"/>
  <c r="D37" i="1"/>
  <c r="F34" i="1"/>
  <c r="H37" i="1"/>
  <c r="P11" i="1" l="1"/>
  <c r="O43" i="1"/>
  <c r="O40" i="1"/>
  <c r="O28" i="1"/>
  <c r="O22" i="1"/>
  <c r="C37" i="1"/>
  <c r="C34" i="1"/>
  <c r="I46" i="1"/>
  <c r="P43" i="1" l="1"/>
  <c r="P40" i="1"/>
  <c r="Q11" i="1"/>
  <c r="P28" i="1"/>
  <c r="P22" i="1"/>
  <c r="I19" i="1"/>
  <c r="I25" i="1" s="1"/>
  <c r="I27" i="1" s="1"/>
  <c r="I31" i="1" s="1"/>
  <c r="R11" i="1" l="1"/>
  <c r="Q43" i="1"/>
  <c r="Q28" i="1"/>
  <c r="Q40" i="1"/>
  <c r="Q22" i="1"/>
  <c r="I33" i="1"/>
  <c r="R28" i="1" l="1"/>
  <c r="R40" i="1"/>
  <c r="R22" i="1"/>
  <c r="I34" i="1"/>
  <c r="I36" i="1"/>
  <c r="I51" i="1" l="1"/>
  <c r="I49" i="1"/>
  <c r="I54" i="1" s="1"/>
  <c r="I55" i="1" s="1"/>
  <c r="J46" i="1"/>
  <c r="J19" i="1"/>
  <c r="J25" i="1" s="1"/>
  <c r="J16" i="1"/>
  <c r="J14" i="1" s="1"/>
  <c r="J27" i="1" l="1"/>
  <c r="J31" i="1" s="1"/>
  <c r="J33" i="1" l="1"/>
  <c r="K16" i="1"/>
  <c r="K14" i="1" s="1"/>
  <c r="K46" i="1"/>
  <c r="K19" i="1"/>
  <c r="K25" i="1" s="1"/>
  <c r="J34" i="1" l="1"/>
  <c r="K27" i="1"/>
  <c r="K31" i="1" s="1"/>
  <c r="J36" i="1"/>
  <c r="J51" i="1" s="1"/>
  <c r="L16" i="1"/>
  <c r="L14" i="1" s="1"/>
  <c r="L19" i="1"/>
  <c r="L25" i="1" s="1"/>
  <c r="L46" i="1"/>
  <c r="L27" i="1" l="1"/>
  <c r="L31" i="1" s="1"/>
  <c r="J49" i="1"/>
  <c r="J54" i="1" s="1"/>
  <c r="J55" i="1" s="1"/>
  <c r="K33" i="1"/>
  <c r="L33" i="1" l="1"/>
  <c r="L36" i="1" s="1"/>
  <c r="L49" i="1" s="1"/>
  <c r="L54" i="1" s="1"/>
  <c r="L55" i="1" s="1"/>
  <c r="K36" i="1"/>
  <c r="K51" i="1" s="1"/>
  <c r="K34" i="1"/>
  <c r="M19" i="1"/>
  <c r="M25" i="1" s="1"/>
  <c r="M46" i="1"/>
  <c r="M16" i="1"/>
  <c r="M14" i="1" s="1"/>
  <c r="L34" i="1" l="1"/>
  <c r="K49" i="1"/>
  <c r="K54" i="1" s="1"/>
  <c r="K55" i="1" s="1"/>
  <c r="M27" i="1"/>
  <c r="M31" i="1" s="1"/>
  <c r="L51" i="1"/>
  <c r="M33" i="1" l="1"/>
  <c r="N19" i="1"/>
  <c r="N25" i="1" s="1"/>
  <c r="N46" i="1"/>
  <c r="N16" i="1"/>
  <c r="N14" i="1" s="1"/>
  <c r="M34" i="1" l="1"/>
  <c r="N27" i="1"/>
  <c r="N31" i="1" s="1"/>
  <c r="M36" i="1"/>
  <c r="M49" i="1" s="1"/>
  <c r="M54" i="1" l="1"/>
  <c r="M55" i="1" s="1"/>
  <c r="M51" i="1"/>
  <c r="N33" i="1"/>
  <c r="N36" i="1" l="1"/>
  <c r="N51" i="1" s="1"/>
  <c r="N34" i="1"/>
  <c r="N49" i="1" l="1"/>
  <c r="N54" i="1" s="1"/>
  <c r="N55" i="1" s="1"/>
  <c r="O46" i="1"/>
  <c r="O19" i="1"/>
  <c r="O25" i="1" s="1"/>
  <c r="O16" i="1"/>
  <c r="O14" i="1" s="1"/>
  <c r="O27" i="1" l="1"/>
  <c r="O31" i="1" s="1"/>
  <c r="P19" i="1"/>
  <c r="P25" i="1" s="1"/>
  <c r="P46" i="1"/>
  <c r="P16" i="1"/>
  <c r="P14" i="1" s="1"/>
  <c r="P27" i="1" l="1"/>
  <c r="P31" i="1" s="1"/>
  <c r="O33" i="1"/>
  <c r="O36" i="1" s="1"/>
  <c r="O51" i="1" s="1"/>
  <c r="O34" i="1" l="1"/>
  <c r="O49" i="1"/>
  <c r="O54" i="1" s="1"/>
  <c r="O55" i="1" s="1"/>
  <c r="P33" i="1"/>
  <c r="P34" i="1" l="1"/>
  <c r="P36" i="1"/>
  <c r="P51" i="1" s="1"/>
  <c r="Q16" i="1"/>
  <c r="Q14" i="1" s="1"/>
  <c r="Q19" i="1"/>
  <c r="Q25" i="1" s="1"/>
  <c r="Q46" i="1"/>
  <c r="P49" i="1" l="1"/>
  <c r="Q27" i="1"/>
  <c r="Q31" i="1" s="1"/>
  <c r="P54" i="1"/>
  <c r="P55" i="1" s="1"/>
  <c r="R19" i="1"/>
  <c r="R25" i="1" s="1"/>
  <c r="Q33" i="1" l="1"/>
  <c r="R43" i="1"/>
  <c r="R16" i="1"/>
  <c r="R14" i="1" s="1"/>
  <c r="R46" i="1"/>
  <c r="R27" i="1" l="1"/>
  <c r="R31" i="1" s="1"/>
  <c r="Q34" i="1"/>
  <c r="Q36" i="1"/>
  <c r="Q51" i="1" l="1"/>
  <c r="Q49" i="1"/>
  <c r="Q54" i="1" s="1"/>
  <c r="Q55" i="1" s="1"/>
  <c r="R33" i="1"/>
  <c r="R36" i="1" s="1"/>
  <c r="R51" i="1" s="1"/>
  <c r="R34" i="1" l="1"/>
  <c r="R49" i="1"/>
  <c r="R54" i="1" s="1"/>
  <c r="C57" i="1" s="1"/>
  <c r="C58" i="1" s="1"/>
  <c r="S51" i="1"/>
  <c r="R55" i="1" l="1"/>
  <c r="T51" i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G60" i="1"/>
  <c r="G62" i="1" s="1"/>
  <c r="G65" i="1" s="1"/>
  <c r="F57" i="1" l="1"/>
  <c r="H60" i="1" s="1"/>
  <c r="H62" i="1" s="1"/>
  <c r="H65" i="1" s="1"/>
  <c r="E65" i="1" s="1"/>
  <c r="L59" i="1" s="1"/>
  <c r="J6" i="1" l="1"/>
  <c r="N5" i="1" s="1"/>
</calcChain>
</file>

<file path=xl/sharedStrings.xml><?xml version="1.0" encoding="utf-8"?>
<sst xmlns="http://schemas.openxmlformats.org/spreadsheetml/2006/main" count="271" uniqueCount="157">
  <si>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</si>
  <si>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</si>
  <si>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</si>
  <si>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</si>
  <si>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</si>
  <si>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</si>
  <si>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</si>
  <si>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</si>
  <si>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</si>
  <si>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</si>
  <si>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</si>
  <si>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</si>
  <si>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</si>
  <si>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</si>
  <si>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</si>
  <si>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</si>
  <si>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</si>
  <si>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</si>
  <si>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</si>
  <si>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</si>
  <si>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</si>
  <si>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</si>
  <si>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</si>
  <si>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</si>
  <si>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</si>
  <si>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</si>
  <si>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</si>
  <si>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</si>
  <si>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</si>
  <si>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</si>
  <si>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</si>
  <si>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</si>
  <si>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</si>
  <si>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</si>
  <si>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</si>
  <si>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</si>
  <si>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</si>
  <si>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</si>
  <si>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</si>
  <si>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</si>
  <si>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</si>
  <si>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</si>
  <si>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</si>
  <si>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</si>
  <si>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</si>
  <si>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</si>
  <si>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</si>
  <si>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</si>
  <si>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</si>
  <si>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</si>
  <si>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</si>
  <si>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Other, net</t>
  </si>
  <si>
    <t>Interest paid</t>
  </si>
  <si>
    <t>Other</t>
  </si>
  <si>
    <t>Terminal Growth Rate</t>
  </si>
  <si>
    <t>Consolidated Statements of Comprehensive Income</t>
  </si>
  <si>
    <t>Year Ended</t>
  </si>
  <si>
    <t>(In millions, except per share data)</t>
  </si>
  <si>
    <t>Net sales</t>
  </si>
  <si>
    <t>Cost of sales</t>
  </si>
  <si>
    <t>Gross margin</t>
  </si>
  <si>
    <t>Operating expenses:</t>
  </si>
  <si>
    <t>Selling, general and administrative</t>
  </si>
  <si>
    <t>Impairment charges</t>
  </si>
  <si>
    <t>—</t>
  </si>
  <si>
    <t>Restructuring expenses</t>
  </si>
  <si>
    <t>Design and research</t>
  </si>
  <si>
    <t>Total operating expenses</t>
  </si>
  <si>
    <t>Operating earnings (loss)</t>
  </si>
  <si>
    <t>Gain on consolidation of equity method investments</t>
  </si>
  <si>
    <t>Interest expense</t>
  </si>
  <si>
    <t>Interest and other investment income</t>
  </si>
  <si>
    <t>Other expense (income), net</t>
  </si>
  <si>
    <t>(Loss) earnings before income taxes and equity income</t>
  </si>
  <si>
    <t>Income tax expense</t>
  </si>
  <si>
    <t>Equity earnings from nonconsolidated affiliates, net of tax</t>
  </si>
  <si>
    <t>Net (loss) earnings</t>
  </si>
  <si>
    <t>Net earnings (loss) attributable to redeemable noncontrolling interests</t>
  </si>
  <si>
    <t>Net (loss) earnings attributable to MillerKnoll, Inc.</t>
  </si>
  <si>
    <t>Consolidated Statements of Cash Flows</t>
  </si>
  <si>
    <t>(In millions)</t>
  </si>
  <si>
    <t>Cash Flows from Operating Activities:</t>
  </si>
  <si>
    <t>Adjustments to reconcile net earnings (loss) to net cash provided by operating activities:</t>
  </si>
  <si>
    <t>Depreciation expense</t>
  </si>
  <si>
    <t>Amortization expense</t>
  </si>
  <si>
    <t>Earnings (loss) from nonconsolidated affiliates net of dividends received</t>
  </si>
  <si>
    <t>(Gain) loss on sales of property and dealers</t>
  </si>
  <si>
    <t>Deferred taxes</t>
  </si>
  <si>
    <t>Pension contributions</t>
  </si>
  <si>
    <t>Pension and post-retirement expenses</t>
  </si>
  <si>
    <t>Loss on extinguishment of debt</t>
  </si>
  <si>
    <t>Stock-based compensation</t>
  </si>
  <si>
    <t>Decrease (increase) in long-term assets</t>
  </si>
  <si>
    <t>Increase in long-term liabilities</t>
  </si>
  <si>
    <t>Changes in current assets and liabilities:</t>
  </si>
  <si>
    <t>Decrease (increase) in accounts receivable &amp; unbilled accounts receivable</t>
  </si>
  <si>
    <t>Decrease (increase) in inventories</t>
  </si>
  <si>
    <t>Increase in prepaid expenses and other</t>
  </si>
  <si>
    <t>Increase (decrease) in accounts payable</t>
  </si>
  <si>
    <t>Increase (decrease) in accrued liabilities</t>
  </si>
  <si>
    <t>Net Cash (Used in) Provided by Operating Activities</t>
  </si>
  <si>
    <t>Cash Flows from Investing Activities:</t>
  </si>
  <si>
    <t>Marketable securities purchases</t>
  </si>
  <si>
    <t>Marketable securities sales</t>
  </si>
  <si>
    <t>Capital expenditures</t>
  </si>
  <si>
    <t>Proceeds from sales of property and dealers</t>
  </si>
  <si>
    <t>Acquisitions, net of cash received</t>
  </si>
  <si>
    <t>Equity investment in non-controlled entities</t>
  </si>
  <si>
    <t>Net Cash Used in Investing Activities</t>
  </si>
  <si>
    <t>Cash Flows from Financing Activities:</t>
  </si>
  <si>
    <t>Proceeds from issuance of debt, net of discounts</t>
  </si>
  <si>
    <t>Payments of deferred financing costs</t>
  </si>
  <si>
    <t>Repayments of long-term debt</t>
  </si>
  <si>
    <t>Proceeds from credit facility</t>
  </si>
  <si>
    <t>Repayments of credit facility</t>
  </si>
  <si>
    <t>Payment of make whole premium on debt</t>
  </si>
  <si>
    <t>Dividends paid</t>
  </si>
  <si>
    <t>Common stock issued</t>
  </si>
  <si>
    <t>Common stock repurchased and retired</t>
  </si>
  <si>
    <t>Distribution to noncontrolling interest</t>
  </si>
  <si>
    <t>Purchase of redeemable noncontrolling interests</t>
  </si>
  <si>
    <t>Net Cash Provided by (Used in) Financing Activities</t>
  </si>
  <si>
    <t>Effect of exchange rate changes on cash and cash equivalents</t>
  </si>
  <si>
    <t>Net (Decrease) Increase In Cash and Cash Equivalents</t>
  </si>
  <si>
    <t>Cash and cash equivalents, Beginning of Year</t>
  </si>
  <si>
    <t>Cash and Cash Equivalents, End of Year</t>
  </si>
  <si>
    <t>Fiscal Years Ended</t>
  </si>
  <si>
    <t>Restructuring and impairment expenses</t>
  </si>
  <si>
    <t>Operating earnings</t>
  </si>
  <si>
    <t>Other expenses (income):</t>
  </si>
  <si>
    <t>Net other expenses</t>
  </si>
  <si>
    <t>Earnings before income taxes</t>
  </si>
  <si>
    <t>Net earnings</t>
  </si>
  <si>
    <t>Net earnings attributable to noncontrolling interests</t>
  </si>
  <si>
    <t>Net earnings attributable to Herman Miller, Inc.</t>
  </si>
  <si>
    <t>Earnings per share — basic</t>
  </si>
  <si>
    <t>Earnings per share — diluted</t>
  </si>
  <si>
    <t>Adjustments to reconcile net earnings to net cash provided by operating activities:</t>
  </si>
  <si>
    <t>Earnings from nonconsolidated affiliates net of dividends received</t>
  </si>
  <si>
    <t>Investment fair value adjustment</t>
  </si>
  <si>
    <t>Loss (gain) on sales of property and dealers</t>
  </si>
  <si>
    <t>(Increase) decrease in accounts receivable &amp; unbilled accounts receivable</t>
  </si>
  <si>
    <t>Increase in inventories</t>
  </si>
  <si>
    <t>(Decrease) increase in accrued liabilities</t>
  </si>
  <si>
    <t>Net Cash Provided by Operating Activities</t>
  </si>
  <si>
    <t>Net receipts (advances) from notes receivable</t>
  </si>
  <si>
    <t>Payments of loans on cash surrender value of life insurance</t>
  </si>
  <si>
    <t>Proceeds from life insurance policy</t>
  </si>
  <si>
    <t>Purchase of HAY licensing agreement</t>
  </si>
  <si>
    <t>Purchase of noncontrolling interests</t>
  </si>
  <si>
    <t>Net Cash (Used in) Provided by Financing Activities</t>
  </si>
  <si>
    <t>Net Increase In Cash and Cash Equivalents</t>
  </si>
  <si>
    <t>Other Cash Flow Information</t>
  </si>
  <si>
    <t>Income taxes paid, net of cash received</t>
  </si>
  <si>
    <t>Other exp</t>
  </si>
  <si>
    <t>Update: 25/06/2023</t>
  </si>
  <si>
    <t>MillerKnoll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</si>
</sst>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_(\$* #,##0.00_);_(\$* \(#,##0.00\);_(\$* \-??_);_(@_)"/>
    <numFmt numFmtId="166" formatCode="\(#,##0.00_);[Red]\(#,##0.00\)"/>
    <numFmt numFmtId="167" formatCode="&quot;($&quot;#,##0.00_);[Red]&quot;($&quot;#,##0.00\)"/>
    <numFmt numFmtId="168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0" fontId="3" fillId="2" borderId="0" xfId="0" applyNumberFormat="1" applyFont="1" applyFill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7" fillId="11" borderId="0" xfId="0" applyNumberFormat="1" applyFont="1" applyFill="1"/>
    <xf numFmtId="164" fontId="0" fillId="8" borderId="0" xfId="0" applyNumberFormat="1" applyFill="1" applyAlignment="1">
      <alignment horizontal="center"/>
    </xf>
    <xf numFmtId="0" fontId="10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167" fontId="10" fillId="0" borderId="0" xfId="0" applyNumberFormat="1" applyFont="1"/>
    <xf numFmtId="165" fontId="10" fillId="0" borderId="0" xfId="0" applyNumberFormat="1" applyFont="1"/>
    <xf numFmtId="4" fontId="10" fillId="0" borderId="0" xfId="0" applyNumberFormat="1" applyFont="1"/>
    <xf numFmtId="166" fontId="10" fillId="0" borderId="0" xfId="0" applyNumberFormat="1" applyFon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8" fontId="3" fillId="2" borderId="0" xfId="0" applyNumberFormat="1" applyFont="1" applyFill="1"/>
    <xf numFmtId="4" fontId="3" fillId="2" borderId="0" xfId="0" applyNumberFormat="1" applyFont="1" applyFill="1"/>
    <xf numFmtId="1" fontId="3" fillId="2" borderId="0" xfId="1" applyNumberFormat="1" applyFont="1" applyFill="1"/>
    <xf numFmtId="1" fontId="3" fillId="2" borderId="3" xfId="1" applyNumberFormat="1" applyFont="1" applyFill="1" applyBorder="1"/>
    <xf numFmtId="3" fontId="3" fillId="2" borderId="0" xfId="1" applyNumberFormat="1" applyFont="1" applyFill="1"/>
    <xf numFmtId="0" fontId="3" fillId="9" borderId="0" xfId="0" applyFont="1" applyFill="1" applyAlignment="1">
      <alignment horizontal="center"/>
    </xf>
    <xf numFmtId="0" fontId="1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6"/>
  <sheetViews>
    <sheetView tabSelected="1" zoomScaleNormal="100" workbookViewId="0">
      <selection activeCell="G5" sqref="G5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3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3" customFormat="1" ht="23.25" x14ac:dyDescent="0.35">
      <c r="A2" s="3"/>
      <c r="B2" s="4" t="s">
        <v>156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18" s="53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3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3" customFormat="1" x14ac:dyDescent="0.25">
      <c r="A5" s="1"/>
      <c r="B5" s="1"/>
      <c r="C5" s="7" t="s">
        <v>1</v>
      </c>
      <c r="D5" s="1"/>
      <c r="E5" s="8">
        <f>WACC!K14</f>
        <v>0.12058368666473238</v>
      </c>
      <c r="F5" s="2"/>
      <c r="G5" s="1"/>
      <c r="H5" s="1" t="s">
        <v>2</v>
      </c>
      <c r="I5" s="1"/>
      <c r="J5" s="7">
        <v>14.39</v>
      </c>
      <c r="K5" s="1"/>
      <c r="L5" s="1" t="s">
        <v>3</v>
      </c>
      <c r="M5" s="1"/>
      <c r="N5" s="7">
        <f>(J6/J5)-1</f>
        <v>0.92573519725426223</v>
      </c>
      <c r="O5" s="1"/>
      <c r="P5" s="1" t="s">
        <v>155</v>
      </c>
      <c r="Q5" s="1"/>
      <c r="R5" s="2"/>
    </row>
    <row r="6" spans="1:18" s="53" customFormat="1" x14ac:dyDescent="0.25">
      <c r="A6" s="1"/>
      <c r="B6" s="1"/>
      <c r="C6" s="7" t="s">
        <v>4</v>
      </c>
      <c r="D6" s="1"/>
      <c r="E6" s="8">
        <v>0.01</v>
      </c>
      <c r="F6" s="2"/>
      <c r="G6" s="1"/>
      <c r="H6" s="1" t="s">
        <v>5</v>
      </c>
      <c r="I6" s="1"/>
      <c r="J6" s="60">
        <f>E65</f>
        <v>27.711329488488836</v>
      </c>
      <c r="K6" s="1"/>
      <c r="L6" s="1"/>
      <c r="M6" s="1"/>
      <c r="N6" s="1"/>
      <c r="O6" s="1"/>
      <c r="P6" s="1"/>
      <c r="Q6" s="1"/>
      <c r="R6" s="2"/>
    </row>
    <row r="7" spans="1:18" s="53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1"/>
      <c r="M7" s="1"/>
      <c r="N7" s="1"/>
      <c r="O7" s="1"/>
      <c r="P7" s="1"/>
      <c r="Q7" s="1"/>
      <c r="R7" s="2"/>
    </row>
    <row r="8" spans="1:18" s="53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3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3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6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3" customFormat="1" x14ac:dyDescent="0.25">
      <c r="A11" s="1"/>
      <c r="B11" s="1" t="s">
        <v>7</v>
      </c>
      <c r="C11" s="11">
        <f>'Raw IS'!J7</f>
        <v>2278.1999999999998</v>
      </c>
      <c r="D11" s="11">
        <f>'Raw IS'!K7</f>
        <v>2381.1999999999998</v>
      </c>
      <c r="E11" s="11">
        <f>'Raw IS'!L7</f>
        <v>2567.1999999999998</v>
      </c>
      <c r="F11" s="11">
        <f>'Raw IS'!D6</f>
        <v>2486.6</v>
      </c>
      <c r="G11" s="11">
        <f>'Raw IS'!E6</f>
        <v>2465.1</v>
      </c>
      <c r="H11" s="11">
        <f>'Raw IS'!F6</f>
        <v>3946</v>
      </c>
      <c r="I11" s="20">
        <f>H11*(1+I12)</f>
        <v>4070</v>
      </c>
      <c r="J11" s="20">
        <f t="shared" ref="J11:R11" si="1">I11*(1+J12)</f>
        <v>3870</v>
      </c>
      <c r="K11" s="20">
        <f t="shared" si="1"/>
        <v>4110</v>
      </c>
      <c r="L11" s="20">
        <f t="shared" si="1"/>
        <v>4233.3</v>
      </c>
      <c r="M11" s="20">
        <f t="shared" si="1"/>
        <v>4322.8505769230769</v>
      </c>
      <c r="N11" s="20">
        <f t="shared" si="1"/>
        <v>4453.105961538462</v>
      </c>
      <c r="O11" s="20">
        <f t="shared" si="1"/>
        <v>4567.0794230769234</v>
      </c>
      <c r="P11" s="20">
        <f t="shared" si="1"/>
        <v>4672.9119230769238</v>
      </c>
      <c r="Q11" s="20">
        <f t="shared" si="1"/>
        <v>4780.3888973076928</v>
      </c>
      <c r="R11" s="20">
        <f t="shared" si="1"/>
        <v>4890.3378419457695</v>
      </c>
    </row>
    <row r="12" spans="1:18" s="53" customFormat="1" x14ac:dyDescent="0.25">
      <c r="A12" s="1"/>
      <c r="B12" s="75" t="s">
        <v>8</v>
      </c>
      <c r="C12" s="76"/>
      <c r="D12" s="76">
        <f>(D11/C11)-1</f>
        <v>4.5211131595118914E-2</v>
      </c>
      <c r="E12" s="76">
        <f>(E11/D11)-1</f>
        <v>7.8111876364858057E-2</v>
      </c>
      <c r="F12" s="76">
        <f>(F11/E11)-1</f>
        <v>-3.1396073543159875E-2</v>
      </c>
      <c r="G12" s="76">
        <f>(G11/F11)-1</f>
        <v>-8.6463444060161931E-3</v>
      </c>
      <c r="H12" s="76">
        <f>(H11/G11)-1</f>
        <v>0.60074642002352863</v>
      </c>
      <c r="I12" s="76">
        <v>3.1424227065382615E-2</v>
      </c>
      <c r="J12" s="76">
        <v>-4.9140049140049102E-2</v>
      </c>
      <c r="K12" s="76">
        <v>6.2015503875969102E-2</v>
      </c>
      <c r="L12" s="76">
        <v>0.03</v>
      </c>
      <c r="M12" s="76">
        <v>2.1153846153846079E-2</v>
      </c>
      <c r="N12" s="76">
        <v>3.0131826741996326E-2</v>
      </c>
      <c r="O12" s="76">
        <v>2.5594149908592323E-2</v>
      </c>
      <c r="P12" s="76">
        <v>2.3172905525846721E-2</v>
      </c>
      <c r="Q12" s="78">
        <v>2.3E-2</v>
      </c>
      <c r="R12" s="78">
        <v>2.3E-2</v>
      </c>
    </row>
    <row r="13" spans="1:18" s="53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71"/>
      <c r="K13" s="71"/>
      <c r="L13" s="71"/>
      <c r="M13" s="71"/>
      <c r="N13" s="71"/>
      <c r="O13" s="71"/>
      <c r="P13" s="71"/>
      <c r="Q13" s="71"/>
      <c r="R13" s="71"/>
    </row>
    <row r="14" spans="1:18" s="53" customFormat="1" x14ac:dyDescent="0.25">
      <c r="A14" s="1"/>
      <c r="B14" s="1" t="s">
        <v>9</v>
      </c>
      <c r="C14" s="11">
        <f>'Raw IS'!J8</f>
        <v>1414</v>
      </c>
      <c r="D14" s="11">
        <f>'Raw IS'!K8</f>
        <v>1508.2</v>
      </c>
      <c r="E14" s="11">
        <f>'Raw IS'!L8</f>
        <v>1637.3</v>
      </c>
      <c r="F14" s="11">
        <f>'Raw IS'!D7</f>
        <v>1575.4</v>
      </c>
      <c r="G14" s="11">
        <f>'Raw IS'!E7</f>
        <v>1514</v>
      </c>
      <c r="H14" s="11">
        <f>'Raw IS'!F7</f>
        <v>2593.3000000000002</v>
      </c>
      <c r="I14" s="72">
        <f>I11-I16</f>
        <v>2643.4650000000001</v>
      </c>
      <c r="J14" s="72">
        <f t="shared" ref="J14:R14" si="2">J11-J16</f>
        <v>2443.9049999999997</v>
      </c>
      <c r="K14" s="72">
        <f t="shared" si="2"/>
        <v>2571.627</v>
      </c>
      <c r="L14" s="72">
        <f t="shared" si="2"/>
        <v>2624.6460000000002</v>
      </c>
      <c r="M14" s="72">
        <f t="shared" si="2"/>
        <v>2658.5531048076923</v>
      </c>
      <c r="N14" s="72">
        <f t="shared" si="2"/>
        <v>2711.9415305769235</v>
      </c>
      <c r="O14" s="72">
        <f t="shared" si="2"/>
        <v>2781.3513686538463</v>
      </c>
      <c r="P14" s="72">
        <f t="shared" si="2"/>
        <v>2845.8033611538467</v>
      </c>
      <c r="Q14" s="72">
        <f t="shared" si="2"/>
        <v>2911.2568384603846</v>
      </c>
      <c r="R14" s="72">
        <f t="shared" si="2"/>
        <v>2978.2157457449734</v>
      </c>
    </row>
    <row r="15" spans="1:18" s="53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"/>
      <c r="K15" s="1"/>
      <c r="L15" s="1"/>
      <c r="M15" s="1"/>
      <c r="N15" s="1"/>
      <c r="O15" s="1"/>
      <c r="P15" s="1"/>
      <c r="Q15" s="1"/>
      <c r="R15" s="1"/>
    </row>
    <row r="16" spans="1:18" s="53" customFormat="1" x14ac:dyDescent="0.25">
      <c r="A16" s="1"/>
      <c r="B16" s="1" t="s">
        <v>10</v>
      </c>
      <c r="C16" s="11">
        <f>C11-C14</f>
        <v>864.19999999999982</v>
      </c>
      <c r="D16" s="11">
        <f t="shared" ref="D16:H16" si="3">D11-D14</f>
        <v>872.99999999999977</v>
      </c>
      <c r="E16" s="11">
        <f t="shared" si="3"/>
        <v>929.89999999999986</v>
      </c>
      <c r="F16" s="11">
        <f t="shared" si="3"/>
        <v>911.19999999999982</v>
      </c>
      <c r="G16" s="11">
        <f t="shared" si="3"/>
        <v>951.09999999999991</v>
      </c>
      <c r="H16" s="11">
        <f t="shared" si="3"/>
        <v>1352.6999999999998</v>
      </c>
      <c r="I16" s="20">
        <f>I11*I17</f>
        <v>1426.5349999999999</v>
      </c>
      <c r="J16" s="18">
        <f t="shared" ref="J16:R16" si="4">J11*J17</f>
        <v>1426.095</v>
      </c>
      <c r="K16" s="18">
        <f>K11*K17</f>
        <v>1538.373</v>
      </c>
      <c r="L16" s="18">
        <f t="shared" si="4"/>
        <v>1608.654</v>
      </c>
      <c r="M16" s="18">
        <f t="shared" si="4"/>
        <v>1664.2974721153846</v>
      </c>
      <c r="N16" s="18">
        <f t="shared" si="4"/>
        <v>1741.1644309615388</v>
      </c>
      <c r="O16" s="18">
        <f t="shared" si="4"/>
        <v>1785.7280544230771</v>
      </c>
      <c r="P16" s="18">
        <f t="shared" si="4"/>
        <v>1827.1085619230773</v>
      </c>
      <c r="Q16" s="18">
        <f t="shared" si="4"/>
        <v>1869.1320588473079</v>
      </c>
      <c r="R16" s="18">
        <f t="shared" si="4"/>
        <v>1912.122096200796</v>
      </c>
    </row>
    <row r="17" spans="1:18" s="53" customFormat="1" x14ac:dyDescent="0.25">
      <c r="A17" s="1"/>
      <c r="B17" s="75" t="s">
        <v>11</v>
      </c>
      <c r="C17" s="76">
        <f t="shared" ref="C17:H17" si="5">C16/C11</f>
        <v>0.37933456237380381</v>
      </c>
      <c r="D17" s="76">
        <f t="shared" si="5"/>
        <v>0.3666218713253821</v>
      </c>
      <c r="E17" s="76">
        <f t="shared" si="5"/>
        <v>0.36222343409161728</v>
      </c>
      <c r="F17" s="76">
        <f t="shared" si="5"/>
        <v>0.36644414059358155</v>
      </c>
      <c r="G17" s="76">
        <f t="shared" si="5"/>
        <v>0.38582613281408462</v>
      </c>
      <c r="H17" s="76">
        <f t="shared" si="5"/>
        <v>0.34280283831728325</v>
      </c>
      <c r="I17" s="80">
        <v>0.35049999999999998</v>
      </c>
      <c r="J17" s="81">
        <v>0.36849999999999999</v>
      </c>
      <c r="K17" s="81">
        <v>0.37430000000000002</v>
      </c>
      <c r="L17" s="81">
        <v>0.38</v>
      </c>
      <c r="M17" s="81">
        <v>0.38500000000000001</v>
      </c>
      <c r="N17" s="81">
        <v>0.39100000000000001</v>
      </c>
      <c r="O17" s="81">
        <v>0.39100000000000001</v>
      </c>
      <c r="P17" s="81">
        <v>0.39100000000000001</v>
      </c>
      <c r="Q17" s="81">
        <v>0.39100000000000001</v>
      </c>
      <c r="R17" s="81">
        <v>0.39100000000000001</v>
      </c>
    </row>
    <row r="18" spans="1:18" s="53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53" customFormat="1" x14ac:dyDescent="0.25">
      <c r="A19" s="1"/>
      <c r="B19" s="1" t="s">
        <v>39</v>
      </c>
      <c r="C19" s="11">
        <f>'Raw IS'!J11</f>
        <v>587.5</v>
      </c>
      <c r="D19" s="11">
        <f>'Raw IS'!K11</f>
        <v>615.29999999999995</v>
      </c>
      <c r="E19" s="11">
        <f>'Raw IS'!L11</f>
        <v>639.29999999999995</v>
      </c>
      <c r="F19" s="11">
        <f>'Raw IS'!D10</f>
        <v>643.29999999999995</v>
      </c>
      <c r="G19" s="11">
        <f>'Raw IS'!E10</f>
        <v>643.79999999999995</v>
      </c>
      <c r="H19" s="11">
        <f>'Raw IS'!F10</f>
        <v>1204.2</v>
      </c>
      <c r="I19" s="20">
        <f t="shared" ref="I19:R19" si="6">I20*I11</f>
        <v>1188.4399999999998</v>
      </c>
      <c r="J19" s="18">
        <f t="shared" si="6"/>
        <v>1122.3</v>
      </c>
      <c r="K19" s="18">
        <f t="shared" si="6"/>
        <v>1179.57</v>
      </c>
      <c r="L19" s="18">
        <f t="shared" si="6"/>
        <v>1185.3240000000001</v>
      </c>
      <c r="M19" s="18">
        <f t="shared" si="6"/>
        <v>1201.7524603846155</v>
      </c>
      <c r="N19" s="18">
        <f t="shared" si="6"/>
        <v>1229.0572453846157</v>
      </c>
      <c r="O19" s="18">
        <f t="shared" si="6"/>
        <v>1251.379761923077</v>
      </c>
      <c r="P19" s="18">
        <f t="shared" si="6"/>
        <v>1271.0320430769234</v>
      </c>
      <c r="Q19" s="18">
        <f t="shared" si="6"/>
        <v>1290.7050022730771</v>
      </c>
      <c r="R19" s="18">
        <f t="shared" si="6"/>
        <v>1310.6105416414664</v>
      </c>
    </row>
    <row r="20" spans="1:18" s="53" customFormat="1" x14ac:dyDescent="0.25">
      <c r="A20" s="1"/>
      <c r="B20" s="75" t="s">
        <v>16</v>
      </c>
      <c r="C20" s="76">
        <f t="shared" ref="C20:H20" si="7">C19/C11</f>
        <v>0.2578790273022562</v>
      </c>
      <c r="D20" s="76">
        <f t="shared" si="7"/>
        <v>0.25839912649084495</v>
      </c>
      <c r="E20" s="76">
        <f t="shared" si="7"/>
        <v>0.24902617637893426</v>
      </c>
      <c r="F20" s="76">
        <f t="shared" si="7"/>
        <v>0.25870666773908146</v>
      </c>
      <c r="G20" s="76">
        <f t="shared" si="7"/>
        <v>0.26116587562370697</v>
      </c>
      <c r="H20" s="76">
        <f t="shared" si="7"/>
        <v>0.30516979219462748</v>
      </c>
      <c r="I20" s="77">
        <v>0.29199999999999998</v>
      </c>
      <c r="J20" s="77">
        <v>0.28999999999999998</v>
      </c>
      <c r="K20" s="77">
        <v>0.28699999999999998</v>
      </c>
      <c r="L20" s="77">
        <v>0.28000000000000003</v>
      </c>
      <c r="M20" s="77">
        <f>L20-0.2%</f>
        <v>0.27800000000000002</v>
      </c>
      <c r="N20" s="77">
        <f t="shared" ref="N20:R20" si="8">M20-0.2%</f>
        <v>0.27600000000000002</v>
      </c>
      <c r="O20" s="77">
        <f t="shared" si="8"/>
        <v>0.27400000000000002</v>
      </c>
      <c r="P20" s="77">
        <f t="shared" si="8"/>
        <v>0.27200000000000002</v>
      </c>
      <c r="Q20" s="77">
        <f t="shared" si="8"/>
        <v>0.27</v>
      </c>
      <c r="R20" s="77">
        <f t="shared" si="8"/>
        <v>0.26800000000000002</v>
      </c>
    </row>
    <row r="21" spans="1:18" s="53" customFormat="1" x14ac:dyDescent="0.25">
      <c r="A21" s="1"/>
      <c r="B21" s="13"/>
      <c r="C21" s="14"/>
      <c r="D21" s="14"/>
      <c r="E21" s="14"/>
      <c r="F21" s="14"/>
      <c r="G21" s="14"/>
      <c r="H21" s="14"/>
      <c r="I21" s="19"/>
      <c r="J21" s="70"/>
      <c r="K21" s="70"/>
      <c r="L21" s="70"/>
      <c r="M21" s="70"/>
      <c r="N21" s="70"/>
      <c r="O21" s="70"/>
      <c r="P21" s="70"/>
      <c r="Q21" s="70"/>
      <c r="R21" s="70"/>
    </row>
    <row r="22" spans="1:18" s="53" customFormat="1" x14ac:dyDescent="0.25">
      <c r="A22" s="1"/>
      <c r="B22" s="1" t="s">
        <v>53</v>
      </c>
      <c r="C22" s="95">
        <f>SUM('Raw IS'!J12:J13)</f>
        <v>85.6</v>
      </c>
      <c r="D22" s="95">
        <f>SUM('Raw IS'!K12:K13)</f>
        <v>78.8</v>
      </c>
      <c r="E22" s="95">
        <f>SUM('Raw IS'!L12:L13)</f>
        <v>87.100000000000009</v>
      </c>
      <c r="F22" s="95">
        <f>SUM('Raw IS'!D11:D13)</f>
        <v>305.8</v>
      </c>
      <c r="G22" s="95">
        <f>SUM('Raw IS'!E11:E13)</f>
        <v>74.8</v>
      </c>
      <c r="H22" s="95">
        <f>SUM('Raw IS'!F11:F13)</f>
        <v>108.7</v>
      </c>
      <c r="I22" s="96">
        <f>I23*I11</f>
        <v>122.1</v>
      </c>
      <c r="J22" s="96">
        <f t="shared" ref="J22:R22" si="9">J23*J11</f>
        <v>116.1</v>
      </c>
      <c r="K22" s="96">
        <f t="shared" si="9"/>
        <v>123.3</v>
      </c>
      <c r="L22" s="96">
        <f t="shared" si="9"/>
        <v>84.666000000000011</v>
      </c>
      <c r="M22" s="96">
        <f t="shared" si="9"/>
        <v>82.134160961538456</v>
      </c>
      <c r="N22" s="96">
        <f t="shared" si="9"/>
        <v>89.062119230769241</v>
      </c>
      <c r="O22" s="96">
        <f t="shared" si="9"/>
        <v>95.908667884615397</v>
      </c>
      <c r="P22" s="96">
        <f t="shared" si="9"/>
        <v>102.80406230769233</v>
      </c>
      <c r="Q22" s="96">
        <f t="shared" si="9"/>
        <v>109.94894463807695</v>
      </c>
      <c r="R22" s="96">
        <f t="shared" si="9"/>
        <v>117.36810820669848</v>
      </c>
    </row>
    <row r="23" spans="1:18" s="53" customFormat="1" x14ac:dyDescent="0.25">
      <c r="A23" s="1"/>
      <c r="B23" s="75" t="s">
        <v>16</v>
      </c>
      <c r="C23" s="76">
        <f>C22/C11</f>
        <v>3.7573522956720215E-2</v>
      </c>
      <c r="D23" s="76">
        <f t="shared" ref="D23:H23" si="10">D22/D11</f>
        <v>3.3092558373929111E-2</v>
      </c>
      <c r="E23" s="76">
        <f t="shared" si="10"/>
        <v>3.3928014957930824E-2</v>
      </c>
      <c r="F23" s="76">
        <f t="shared" si="10"/>
        <v>0.12297916834231482</v>
      </c>
      <c r="G23" s="76">
        <f t="shared" si="10"/>
        <v>3.0343596608656851E-2</v>
      </c>
      <c r="H23" s="76">
        <f t="shared" si="10"/>
        <v>2.7546882919412062E-2</v>
      </c>
      <c r="I23" s="77">
        <v>0.03</v>
      </c>
      <c r="J23" s="77">
        <v>0.03</v>
      </c>
      <c r="K23" s="77">
        <v>0.03</v>
      </c>
      <c r="L23" s="77">
        <v>0.02</v>
      </c>
      <c r="M23" s="77">
        <f>L23-0.1%</f>
        <v>1.9E-2</v>
      </c>
      <c r="N23" s="77">
        <f>M23+0.1%</f>
        <v>0.02</v>
      </c>
      <c r="O23" s="77">
        <f t="shared" ref="O23:R23" si="11">N23+0.1%</f>
        <v>2.1000000000000001E-2</v>
      </c>
      <c r="P23" s="77">
        <f t="shared" si="11"/>
        <v>2.2000000000000002E-2</v>
      </c>
      <c r="Q23" s="77">
        <f t="shared" si="11"/>
        <v>2.3000000000000003E-2</v>
      </c>
      <c r="R23" s="77">
        <f t="shared" si="11"/>
        <v>2.4000000000000004E-2</v>
      </c>
    </row>
    <row r="24" spans="1:18" s="53" customFormat="1" ht="16.5" customHeight="1" x14ac:dyDescent="0.25">
      <c r="A24" s="1"/>
      <c r="B24" s="1"/>
      <c r="C24" s="11"/>
      <c r="D24" s="11"/>
      <c r="E24" s="11"/>
      <c r="F24" s="11"/>
      <c r="G24" s="11"/>
      <c r="H24" s="11"/>
      <c r="I24" s="39"/>
      <c r="J24" s="11"/>
      <c r="K24" s="11"/>
      <c r="L24" s="11"/>
      <c r="M24" s="11"/>
      <c r="N24" s="11"/>
      <c r="O24" s="11"/>
      <c r="P24" s="11"/>
      <c r="Q24" s="11"/>
      <c r="R24" s="11"/>
    </row>
    <row r="25" spans="1:18" s="53" customFormat="1" x14ac:dyDescent="0.25">
      <c r="A25" s="1"/>
      <c r="B25" s="1" t="s">
        <v>12</v>
      </c>
      <c r="C25" s="11">
        <f>C19+C22</f>
        <v>673.1</v>
      </c>
      <c r="D25" s="11">
        <f t="shared" ref="D25:R25" si="12">D19+D22</f>
        <v>694.09999999999991</v>
      </c>
      <c r="E25" s="11">
        <f t="shared" si="12"/>
        <v>726.4</v>
      </c>
      <c r="F25" s="11">
        <f t="shared" si="12"/>
        <v>949.09999999999991</v>
      </c>
      <c r="G25" s="11">
        <f t="shared" si="12"/>
        <v>718.59999999999991</v>
      </c>
      <c r="H25" s="11">
        <f t="shared" si="12"/>
        <v>1312.9</v>
      </c>
      <c r="I25" s="11">
        <f t="shared" si="12"/>
        <v>1310.5399999999997</v>
      </c>
      <c r="J25" s="11">
        <f t="shared" si="12"/>
        <v>1238.3999999999999</v>
      </c>
      <c r="K25" s="11">
        <f t="shared" si="12"/>
        <v>1302.8699999999999</v>
      </c>
      <c r="L25" s="11">
        <f t="shared" si="12"/>
        <v>1269.99</v>
      </c>
      <c r="M25" s="11">
        <f t="shared" si="12"/>
        <v>1283.886621346154</v>
      </c>
      <c r="N25" s="11">
        <f t="shared" si="12"/>
        <v>1318.1193646153849</v>
      </c>
      <c r="O25" s="11">
        <f t="shared" si="12"/>
        <v>1347.2884298076924</v>
      </c>
      <c r="P25" s="11">
        <f t="shared" si="12"/>
        <v>1373.8361053846156</v>
      </c>
      <c r="Q25" s="11">
        <f t="shared" si="12"/>
        <v>1400.653946911154</v>
      </c>
      <c r="R25" s="11">
        <f t="shared" si="12"/>
        <v>1427.9786498481649</v>
      </c>
    </row>
    <row r="26" spans="1:18" s="53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70"/>
      <c r="K26" s="70"/>
      <c r="L26" s="70"/>
      <c r="M26" s="70"/>
      <c r="N26" s="70"/>
      <c r="O26" s="70"/>
      <c r="P26" s="70"/>
      <c r="Q26" s="70"/>
      <c r="R26" s="70"/>
    </row>
    <row r="27" spans="1:18" s="53" customFormat="1" x14ac:dyDescent="0.25">
      <c r="A27" s="1"/>
      <c r="B27" s="1" t="s">
        <v>13</v>
      </c>
      <c r="C27" s="11">
        <f>C16-C25</f>
        <v>191.0999999999998</v>
      </c>
      <c r="D27" s="11">
        <f t="shared" ref="D27:R27" si="13">D16-D25</f>
        <v>178.89999999999986</v>
      </c>
      <c r="E27" s="11">
        <f t="shared" si="13"/>
        <v>203.49999999999989</v>
      </c>
      <c r="F27" s="11">
        <f>F16-F25</f>
        <v>-37.900000000000091</v>
      </c>
      <c r="G27" s="11">
        <f t="shared" si="13"/>
        <v>232.5</v>
      </c>
      <c r="H27" s="11">
        <f t="shared" si="13"/>
        <v>39.799999999999727</v>
      </c>
      <c r="I27" s="11">
        <f t="shared" si="13"/>
        <v>115.99500000000012</v>
      </c>
      <c r="J27" s="11">
        <f t="shared" si="13"/>
        <v>187.69500000000016</v>
      </c>
      <c r="K27" s="11">
        <f t="shared" si="13"/>
        <v>235.50300000000016</v>
      </c>
      <c r="L27" s="11">
        <f t="shared" si="13"/>
        <v>338.66399999999999</v>
      </c>
      <c r="M27" s="11">
        <f t="shared" si="13"/>
        <v>380.41085076923059</v>
      </c>
      <c r="N27" s="11">
        <f t="shared" si="13"/>
        <v>423.04506634615382</v>
      </c>
      <c r="O27" s="11">
        <f t="shared" si="13"/>
        <v>438.43962461538467</v>
      </c>
      <c r="P27" s="11">
        <f t="shared" si="13"/>
        <v>453.27245653846171</v>
      </c>
      <c r="Q27" s="11">
        <f t="shared" si="13"/>
        <v>468.47811193615394</v>
      </c>
      <c r="R27" s="11">
        <f t="shared" si="13"/>
        <v>484.14344635263114</v>
      </c>
    </row>
    <row r="28" spans="1:18" s="53" customFormat="1" x14ac:dyDescent="0.25">
      <c r="A28" s="1"/>
      <c r="B28" s="1" t="s">
        <v>154</v>
      </c>
      <c r="C28" s="97">
        <f>'Raw IS'!J20</f>
        <v>13.5</v>
      </c>
      <c r="D28" s="97">
        <f>'Raw IS'!K20</f>
        <v>10.8</v>
      </c>
      <c r="E28" s="97">
        <f>'Raw IS'!L20</f>
        <v>8.4</v>
      </c>
      <c r="F28" s="97">
        <v>-25</v>
      </c>
      <c r="G28" s="97">
        <f>SUM('Raw IS'!E16:E19)</f>
        <v>4.2000000000000011</v>
      </c>
      <c r="H28" s="97">
        <f>SUM('Raw IS'!F16:F19)</f>
        <v>48.399999999999991</v>
      </c>
      <c r="I28" s="20">
        <f t="shared" ref="I28:R28" si="14">I29*I11</f>
        <v>20.350000000000001</v>
      </c>
      <c r="J28" s="18">
        <f t="shared" si="14"/>
        <v>19.350000000000001</v>
      </c>
      <c r="K28" s="18">
        <f t="shared" si="14"/>
        <v>20.55</v>
      </c>
      <c r="L28" s="18">
        <f t="shared" si="14"/>
        <v>8.4665999999999997</v>
      </c>
      <c r="M28" s="18">
        <f t="shared" si="14"/>
        <v>21.614252884615386</v>
      </c>
      <c r="N28" s="18">
        <f t="shared" si="14"/>
        <v>22.26552980769231</v>
      </c>
      <c r="O28" s="18">
        <f t="shared" si="14"/>
        <v>22.835397115384616</v>
      </c>
      <c r="P28" s="18">
        <f t="shared" si="14"/>
        <v>23.364559615384618</v>
      </c>
      <c r="Q28" s="18">
        <f t="shared" si="14"/>
        <v>23.901944486538465</v>
      </c>
      <c r="R28" s="18">
        <f t="shared" si="14"/>
        <v>24.451689209728848</v>
      </c>
    </row>
    <row r="29" spans="1:18" s="53" customFormat="1" x14ac:dyDescent="0.25">
      <c r="A29" s="1"/>
      <c r="B29" s="75" t="s">
        <v>16</v>
      </c>
      <c r="C29" s="76">
        <f t="shared" ref="C29:H29" si="15">C28/C11</f>
        <v>5.925730840136951E-3</v>
      </c>
      <c r="D29" s="76">
        <f t="shared" si="15"/>
        <v>4.535528305056275E-3</v>
      </c>
      <c r="E29" s="76">
        <f t="shared" si="15"/>
        <v>3.2720473667809291E-3</v>
      </c>
      <c r="F29" s="76">
        <f t="shared" si="15"/>
        <v>-1.0053888844204939E-2</v>
      </c>
      <c r="G29" s="76">
        <f t="shared" si="15"/>
        <v>1.7037848363149572E-3</v>
      </c>
      <c r="H29" s="76">
        <f t="shared" si="15"/>
        <v>1.2265585402939684E-2</v>
      </c>
      <c r="I29" s="80">
        <v>5.0000000000000001E-3</v>
      </c>
      <c r="J29" s="80">
        <v>5.0000000000000001E-3</v>
      </c>
      <c r="K29" s="80">
        <v>5.0000000000000001E-3</v>
      </c>
      <c r="L29" s="80">
        <v>2E-3</v>
      </c>
      <c r="M29" s="80">
        <v>5.0000000000000001E-3</v>
      </c>
      <c r="N29" s="80">
        <v>5.0000000000000001E-3</v>
      </c>
      <c r="O29" s="80">
        <v>5.0000000000000001E-3</v>
      </c>
      <c r="P29" s="80">
        <v>5.0000000000000001E-3</v>
      </c>
      <c r="Q29" s="80">
        <v>5.0000000000000001E-3</v>
      </c>
      <c r="R29" s="80">
        <v>5.0000000000000001E-3</v>
      </c>
    </row>
    <row r="30" spans="1:18" s="53" customFormat="1" x14ac:dyDescent="0.25">
      <c r="A30" s="1"/>
      <c r="B30" s="1"/>
      <c r="C30" s="68"/>
      <c r="D30" s="68"/>
      <c r="E30" s="68"/>
      <c r="F30" s="68"/>
      <c r="G30" s="68"/>
      <c r="H30" s="68"/>
      <c r="I30" s="12"/>
      <c r="J30" s="1"/>
      <c r="K30" s="1"/>
      <c r="L30" s="1"/>
      <c r="M30" s="1"/>
      <c r="N30" s="1"/>
      <c r="O30" s="1"/>
      <c r="P30" s="1"/>
      <c r="Q30" s="1"/>
      <c r="R30" s="1"/>
    </row>
    <row r="31" spans="1:18" s="53" customFormat="1" x14ac:dyDescent="0.25">
      <c r="A31" s="1"/>
      <c r="B31" s="1" t="s">
        <v>14</v>
      </c>
      <c r="C31" s="11">
        <f>C27-C28</f>
        <v>177.5999999999998</v>
      </c>
      <c r="D31" s="11">
        <f t="shared" ref="D31:R31" si="16">D27-D28</f>
        <v>168.09999999999985</v>
      </c>
      <c r="E31" s="11">
        <f t="shared" si="16"/>
        <v>195.09999999999988</v>
      </c>
      <c r="F31" s="11">
        <f t="shared" si="16"/>
        <v>-12.900000000000091</v>
      </c>
      <c r="G31" s="11">
        <f t="shared" si="16"/>
        <v>228.3</v>
      </c>
      <c r="H31" s="11">
        <f t="shared" si="16"/>
        <v>-8.6000000000002643</v>
      </c>
      <c r="I31" s="11">
        <f>I27-I28</f>
        <v>95.645000000000124</v>
      </c>
      <c r="J31" s="11">
        <f t="shared" si="16"/>
        <v>168.34500000000017</v>
      </c>
      <c r="K31" s="11">
        <f t="shared" si="16"/>
        <v>214.95300000000015</v>
      </c>
      <c r="L31" s="11">
        <f t="shared" si="16"/>
        <v>330.19740000000002</v>
      </c>
      <c r="M31" s="11">
        <f t="shared" si="16"/>
        <v>358.79659788461521</v>
      </c>
      <c r="N31" s="11">
        <f t="shared" si="16"/>
        <v>400.77953653846151</v>
      </c>
      <c r="O31" s="11">
        <f t="shared" si="16"/>
        <v>415.60422750000004</v>
      </c>
      <c r="P31" s="11">
        <f t="shared" si="16"/>
        <v>429.90789692307709</v>
      </c>
      <c r="Q31" s="11">
        <f t="shared" si="16"/>
        <v>444.57616744961547</v>
      </c>
      <c r="R31" s="11">
        <f t="shared" si="16"/>
        <v>459.6917571429023</v>
      </c>
    </row>
    <row r="32" spans="1:18" s="53" customFormat="1" x14ac:dyDescent="0.25">
      <c r="A32" s="1"/>
      <c r="B32" s="1"/>
      <c r="C32" s="21"/>
      <c r="D32" s="21"/>
      <c r="E32" s="21"/>
      <c r="F32" s="21"/>
      <c r="G32" s="21"/>
      <c r="H32" s="68"/>
      <c r="I32" s="12"/>
      <c r="J32" s="1"/>
      <c r="K32" s="1"/>
      <c r="L32" s="1"/>
      <c r="M32" s="1"/>
      <c r="N32" s="1"/>
      <c r="O32" s="1"/>
      <c r="P32" s="1"/>
      <c r="Q32" s="1"/>
      <c r="R32" s="1"/>
    </row>
    <row r="33" spans="1:86" s="53" customFormat="1" x14ac:dyDescent="0.25">
      <c r="A33" s="1"/>
      <c r="B33" s="1" t="s">
        <v>15</v>
      </c>
      <c r="C33" s="11">
        <f t="shared" ref="C33:R33" si="17">C27</f>
        <v>191.0999999999998</v>
      </c>
      <c r="D33" s="11">
        <f t="shared" si="17"/>
        <v>178.89999999999986</v>
      </c>
      <c r="E33" s="11">
        <f t="shared" si="17"/>
        <v>203.49999999999989</v>
      </c>
      <c r="F33" s="11">
        <f t="shared" si="17"/>
        <v>-37.900000000000091</v>
      </c>
      <c r="G33" s="11">
        <f t="shared" si="17"/>
        <v>232.5</v>
      </c>
      <c r="H33" s="11">
        <f t="shared" si="17"/>
        <v>39.799999999999727</v>
      </c>
      <c r="I33" s="39">
        <f t="shared" si="17"/>
        <v>115.99500000000012</v>
      </c>
      <c r="J33" s="11">
        <f t="shared" si="17"/>
        <v>187.69500000000016</v>
      </c>
      <c r="K33" s="11">
        <f t="shared" si="17"/>
        <v>235.50300000000016</v>
      </c>
      <c r="L33" s="11">
        <f t="shared" si="17"/>
        <v>338.66399999999999</v>
      </c>
      <c r="M33" s="11">
        <f t="shared" si="17"/>
        <v>380.41085076923059</v>
      </c>
      <c r="N33" s="11">
        <f t="shared" si="17"/>
        <v>423.04506634615382</v>
      </c>
      <c r="O33" s="11">
        <f t="shared" si="17"/>
        <v>438.43962461538467</v>
      </c>
      <c r="P33" s="11">
        <f t="shared" si="17"/>
        <v>453.27245653846171</v>
      </c>
      <c r="Q33" s="11">
        <f t="shared" si="17"/>
        <v>468.47811193615394</v>
      </c>
      <c r="R33" s="11">
        <f t="shared" si="17"/>
        <v>484.14344635263114</v>
      </c>
    </row>
    <row r="34" spans="1:86" s="53" customFormat="1" x14ac:dyDescent="0.25">
      <c r="A34" s="1"/>
      <c r="B34" s="75" t="s">
        <v>16</v>
      </c>
      <c r="C34" s="76">
        <f t="shared" ref="C34:R34" si="18">C33/C11</f>
        <v>8.3882012114827417E-2</v>
      </c>
      <c r="D34" s="76">
        <f t="shared" si="18"/>
        <v>7.5130186460608039E-2</v>
      </c>
      <c r="E34" s="76">
        <f t="shared" si="18"/>
        <v>7.9269242754752223E-2</v>
      </c>
      <c r="F34" s="76">
        <f t="shared" si="18"/>
        <v>-1.5241695487814724E-2</v>
      </c>
      <c r="G34" s="76">
        <f t="shared" si="18"/>
        <v>9.4316660581720821E-2</v>
      </c>
      <c r="H34" s="76">
        <f t="shared" si="18"/>
        <v>1.0086163203243723E-2</v>
      </c>
      <c r="I34" s="77">
        <f t="shared" si="18"/>
        <v>2.8500000000000029E-2</v>
      </c>
      <c r="J34" s="78">
        <f t="shared" si="18"/>
        <v>4.8500000000000043E-2</v>
      </c>
      <c r="K34" s="78">
        <f t="shared" si="18"/>
        <v>5.7300000000000038E-2</v>
      </c>
      <c r="L34" s="78">
        <f t="shared" si="18"/>
        <v>7.9999999999999988E-2</v>
      </c>
      <c r="M34" s="78">
        <f t="shared" si="18"/>
        <v>8.7999999999999953E-2</v>
      </c>
      <c r="N34" s="78">
        <f t="shared" si="18"/>
        <v>9.4999999999999987E-2</v>
      </c>
      <c r="O34" s="78">
        <f t="shared" si="18"/>
        <v>9.6000000000000002E-2</v>
      </c>
      <c r="P34" s="78">
        <f t="shared" si="18"/>
        <v>9.7000000000000017E-2</v>
      </c>
      <c r="Q34" s="78">
        <f t="shared" si="18"/>
        <v>9.8000000000000004E-2</v>
      </c>
      <c r="R34" s="78">
        <f t="shared" si="18"/>
        <v>9.8999999999999991E-2</v>
      </c>
    </row>
    <row r="35" spans="1:86" s="53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/>
    </row>
    <row r="36" spans="1:86" s="53" customFormat="1" x14ac:dyDescent="0.25">
      <c r="A36" s="1"/>
      <c r="B36" s="1" t="s">
        <v>17</v>
      </c>
      <c r="C36" s="11">
        <f>'Raw IS'!J22</f>
        <v>55.1</v>
      </c>
      <c r="D36" s="11">
        <f>'Raw IS'!K22</f>
        <v>42.4</v>
      </c>
      <c r="E36" s="11">
        <f>'Raw IS'!L22</f>
        <v>39.6</v>
      </c>
      <c r="F36" s="11">
        <f>'Raw IS'!D21</f>
        <v>6.1</v>
      </c>
      <c r="G36" s="11">
        <f>'Raw IS'!E21</f>
        <v>48.3</v>
      </c>
      <c r="H36" s="11">
        <f>'Raw IS'!F21</f>
        <v>11.1</v>
      </c>
      <c r="I36" s="20">
        <f>I33*I37</f>
        <v>24.938925000000026</v>
      </c>
      <c r="J36" s="18">
        <f t="shared" ref="J36:R36" si="19">J33*J37</f>
        <v>43.169850000000039</v>
      </c>
      <c r="K36" s="18">
        <f t="shared" si="19"/>
        <v>54.165690000000041</v>
      </c>
      <c r="L36" s="18">
        <f t="shared" si="19"/>
        <v>77.892719999999997</v>
      </c>
      <c r="M36" s="18">
        <f t="shared" si="19"/>
        <v>87.494495676923037</v>
      </c>
      <c r="N36" s="18">
        <f t="shared" si="19"/>
        <v>97.300365259615376</v>
      </c>
      <c r="O36" s="18">
        <f t="shared" si="19"/>
        <v>100.84111366153849</v>
      </c>
      <c r="P36" s="18">
        <f t="shared" si="19"/>
        <v>104.2526650038462</v>
      </c>
      <c r="Q36" s="18">
        <f t="shared" si="19"/>
        <v>107.74996574531541</v>
      </c>
      <c r="R36" s="18">
        <f t="shared" si="19"/>
        <v>111.35299266110516</v>
      </c>
    </row>
    <row r="37" spans="1:86" s="53" customFormat="1" x14ac:dyDescent="0.25">
      <c r="A37" s="1"/>
      <c r="B37" s="75" t="s">
        <v>18</v>
      </c>
      <c r="C37" s="79">
        <f>C36/C33</f>
        <v>0.28833071690214579</v>
      </c>
      <c r="D37" s="79">
        <f t="shared" ref="D37:H37" si="20">D36/D33</f>
        <v>0.23700391280044736</v>
      </c>
      <c r="E37" s="79">
        <f t="shared" si="20"/>
        <v>0.19459459459459472</v>
      </c>
      <c r="F37" s="79">
        <f t="shared" si="20"/>
        <v>-0.16094986807387823</v>
      </c>
      <c r="G37" s="79">
        <f t="shared" si="20"/>
        <v>0.20774193548387096</v>
      </c>
      <c r="H37" s="79">
        <f t="shared" si="20"/>
        <v>0.27889447236181097</v>
      </c>
      <c r="I37" s="80">
        <v>0.215</v>
      </c>
      <c r="J37" s="81">
        <v>0.23</v>
      </c>
      <c r="K37" s="81">
        <v>0.23</v>
      </c>
      <c r="L37" s="81">
        <v>0.23</v>
      </c>
      <c r="M37" s="81">
        <v>0.23</v>
      </c>
      <c r="N37" s="81">
        <v>0.23</v>
      </c>
      <c r="O37" s="81">
        <v>0.23</v>
      </c>
      <c r="P37" s="81">
        <v>0.23</v>
      </c>
      <c r="Q37" s="81">
        <v>0.23</v>
      </c>
      <c r="R37" s="81">
        <v>0.23</v>
      </c>
    </row>
    <row r="38" spans="1:86" s="53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/>
    </row>
    <row r="39" spans="1:86" s="53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7">
        <v>2023</v>
      </c>
      <c r="J39" s="9">
        <v>2024</v>
      </c>
      <c r="K39" s="9">
        <v>2025</v>
      </c>
      <c r="L39" s="9">
        <v>2026</v>
      </c>
      <c r="M39" s="9">
        <v>2027</v>
      </c>
      <c r="N39" s="9">
        <v>2028</v>
      </c>
      <c r="O39" s="9">
        <v>2029</v>
      </c>
      <c r="P39" s="9">
        <v>2030</v>
      </c>
      <c r="Q39" s="9">
        <v>2031</v>
      </c>
      <c r="R39" s="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3" customFormat="1" x14ac:dyDescent="0.25">
      <c r="A40" s="1"/>
      <c r="B40" s="1" t="s">
        <v>20</v>
      </c>
      <c r="C40" s="11">
        <f>'Raw CF'!J10+'Raw CF'!J11</f>
        <v>58.9</v>
      </c>
      <c r="D40" s="11">
        <f>'Raw CF'!K10+'Raw CF'!K11</f>
        <v>66.900000000000006</v>
      </c>
      <c r="E40" s="11">
        <f>'Raw CF'!L10+'Raw CF'!L11</f>
        <v>72.100000000000009</v>
      </c>
      <c r="F40" s="11">
        <f>'Raw CF'!D9+'Raw CF'!D10</f>
        <v>79.5</v>
      </c>
      <c r="G40" s="11">
        <f>'Raw CF'!E9+'Raw CF'!E10</f>
        <v>87.2</v>
      </c>
      <c r="H40" s="11">
        <f>'Raw CF'!F9+'Raw CF'!F10</f>
        <v>190.6</v>
      </c>
      <c r="I40" s="18">
        <f t="shared" ref="I40" si="21">I41*I11</f>
        <v>153.53</v>
      </c>
      <c r="J40" s="18">
        <f t="shared" ref="J40" si="22">J41*J11</f>
        <v>153.38</v>
      </c>
      <c r="K40" s="18">
        <f t="shared" ref="K40" si="23">K41*K11</f>
        <v>149.63</v>
      </c>
      <c r="L40" s="18">
        <f t="shared" ref="L40" si="24">L41*L11</f>
        <v>147.5956326923077</v>
      </c>
      <c r="M40" s="18">
        <f t="shared" ref="M40" si="25">M41*M11</f>
        <v>137.98929807692306</v>
      </c>
      <c r="N40" s="18">
        <f t="shared" ref="N40" si="26">N41*N11</f>
        <v>142.14118846153846</v>
      </c>
      <c r="O40" s="18">
        <f t="shared" ref="O40" si="27">O41*O11</f>
        <v>145.64180192307694</v>
      </c>
      <c r="P40" s="18">
        <f t="shared" ref="P40" si="28">P41*P11</f>
        <v>149.30523461538465</v>
      </c>
      <c r="Q40" s="18">
        <f t="shared" ref="Q40" si="29">Q41*Q11</f>
        <v>152.97244471384616</v>
      </c>
      <c r="R40" s="18">
        <f t="shared" ref="R40" si="30">R41*R11</f>
        <v>156.49081094226463</v>
      </c>
    </row>
    <row r="41" spans="1:86" s="53" customFormat="1" x14ac:dyDescent="0.25">
      <c r="A41" s="1"/>
      <c r="B41" s="75" t="s">
        <v>16</v>
      </c>
      <c r="C41" s="76">
        <f t="shared" ref="C41:H41" si="31">C40/C11</f>
        <v>2.5853744184004917E-2</v>
      </c>
      <c r="D41" s="76">
        <f t="shared" si="31"/>
        <v>2.8095078111876368E-2</v>
      </c>
      <c r="E41" s="76">
        <f t="shared" si="31"/>
        <v>2.808507323153631E-2</v>
      </c>
      <c r="F41" s="76">
        <f t="shared" si="31"/>
        <v>3.1971366524571707E-2</v>
      </c>
      <c r="G41" s="76">
        <f t="shared" si="31"/>
        <v>3.5373818506348631E-2</v>
      </c>
      <c r="H41" s="76">
        <f t="shared" si="31"/>
        <v>4.8302078053725293E-2</v>
      </c>
      <c r="I41" s="76">
        <v>3.7722358722358726E-2</v>
      </c>
      <c r="J41" s="76">
        <v>3.9633074935400518E-2</v>
      </c>
      <c r="K41" s="76">
        <v>3.6406326034063262E-2</v>
      </c>
      <c r="L41" s="76">
        <v>3.4865384615384618E-2</v>
      </c>
      <c r="M41" s="76">
        <v>3.1920903954802259E-2</v>
      </c>
      <c r="N41" s="76">
        <v>3.191956124314442E-2</v>
      </c>
      <c r="O41" s="76">
        <v>3.1889483065953655E-2</v>
      </c>
      <c r="P41" s="76">
        <v>3.1951219512195123E-2</v>
      </c>
      <c r="Q41" s="78">
        <v>3.2000000000000001E-2</v>
      </c>
      <c r="R41" s="78">
        <v>3.2000000000000001E-2</v>
      </c>
    </row>
    <row r="42" spans="1:86" s="53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/>
    </row>
    <row r="43" spans="1:86" s="53" customFormat="1" x14ac:dyDescent="0.25">
      <c r="A43" s="1"/>
      <c r="B43" s="1" t="s">
        <v>21</v>
      </c>
      <c r="C43" s="11">
        <f>'Raw CF'!J34</f>
        <v>-87.3</v>
      </c>
      <c r="D43" s="11">
        <f>'Raw CF'!K34</f>
        <v>-70.599999999999994</v>
      </c>
      <c r="E43" s="11">
        <f>'Raw CF'!L34</f>
        <v>-85.8</v>
      </c>
      <c r="F43" s="38">
        <f>'Raw CF'!D38</f>
        <v>-69</v>
      </c>
      <c r="G43" s="38">
        <f>'Raw CF'!E38</f>
        <v>-59.8</v>
      </c>
      <c r="H43" s="38">
        <f>'Raw CF'!F38</f>
        <v>-94.7</v>
      </c>
      <c r="I43" s="18">
        <f t="shared" ref="I43:Q43" si="32">I44*I11</f>
        <v>-104</v>
      </c>
      <c r="J43" s="18">
        <f t="shared" si="32"/>
        <v>-106.28</v>
      </c>
      <c r="K43" s="18">
        <f t="shared" si="32"/>
        <v>-111.93</v>
      </c>
      <c r="L43" s="18">
        <f t="shared" si="32"/>
        <v>-139.86171923076924</v>
      </c>
      <c r="M43" s="18">
        <f t="shared" si="32"/>
        <v>-68.953944230769224</v>
      </c>
      <c r="N43" s="18">
        <f t="shared" si="32"/>
        <v>-71.070594230769231</v>
      </c>
      <c r="O43" s="18">
        <f t="shared" si="32"/>
        <v>-72.861605769230778</v>
      </c>
      <c r="P43" s="18">
        <f t="shared" si="32"/>
        <v>-74.652617307692324</v>
      </c>
      <c r="Q43" s="18">
        <f t="shared" si="32"/>
        <v>-76.486222356923079</v>
      </c>
      <c r="R43" s="18">
        <f>R44*R11</f>
        <v>-78.245405471132315</v>
      </c>
    </row>
    <row r="44" spans="1:86" s="53" customFormat="1" x14ac:dyDescent="0.25">
      <c r="A44" s="1"/>
      <c r="B44" s="75" t="s">
        <v>16</v>
      </c>
      <c r="C44" s="76">
        <f t="shared" ref="C44:H44" si="33">C43/C11</f>
        <v>-3.8319726099552281E-2</v>
      </c>
      <c r="D44" s="76">
        <f t="shared" si="33"/>
        <v>-2.9648916512682682E-2</v>
      </c>
      <c r="E44" s="76">
        <f t="shared" si="33"/>
        <v>-3.3421626674976626E-2</v>
      </c>
      <c r="F44" s="76">
        <f t="shared" si="33"/>
        <v>-2.7748733210005632E-2</v>
      </c>
      <c r="G44" s="76">
        <f t="shared" si="33"/>
        <v>-2.4258650764674861E-2</v>
      </c>
      <c r="H44" s="76">
        <f t="shared" si="33"/>
        <v>-2.3998986315255957E-2</v>
      </c>
      <c r="I44" s="76">
        <v>-2.5552825552825554E-2</v>
      </c>
      <c r="J44" s="76">
        <v>-2.7462532299741601E-2</v>
      </c>
      <c r="K44" s="76">
        <v>-2.7233576642335767E-2</v>
      </c>
      <c r="L44" s="76">
        <v>-3.3038461538461537E-2</v>
      </c>
      <c r="M44" s="76">
        <v>-1.5951035781544255E-2</v>
      </c>
      <c r="N44" s="76">
        <v>-1.595978062157221E-2</v>
      </c>
      <c r="O44" s="76">
        <v>-1.5953654188948306E-2</v>
      </c>
      <c r="P44" s="76">
        <v>-1.5975609756097561E-2</v>
      </c>
      <c r="Q44" s="78">
        <v>-1.6E-2</v>
      </c>
      <c r="R44" s="78">
        <v>-1.6E-2</v>
      </c>
    </row>
    <row r="45" spans="1:86" s="53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/>
    </row>
    <row r="46" spans="1:86" s="53" customFormat="1" x14ac:dyDescent="0.25">
      <c r="A46" s="1"/>
      <c r="B46" s="1" t="s">
        <v>22</v>
      </c>
      <c r="C46" s="94">
        <f>SUM('Raw CF'!J22:J27)</f>
        <v>-20.999999999999996</v>
      </c>
      <c r="D46" s="94">
        <f>SUM('Raw CF'!K22:K27)</f>
        <v>-33.9</v>
      </c>
      <c r="E46" s="94">
        <f>SUM('Raw CF'!L22:L27)</f>
        <v>-33.000000000000007</v>
      </c>
      <c r="F46" s="69">
        <f>SUM('Raw CF'!D26:D31)</f>
        <v>-13.900000000000009</v>
      </c>
      <c r="G46" s="69">
        <f>SUM('Raw CF'!E26:E31)</f>
        <v>31.6</v>
      </c>
      <c r="H46" s="69">
        <f>SUM('Raw CF'!F26:F31)</f>
        <v>-208.40000000000003</v>
      </c>
      <c r="I46" s="20">
        <f t="shared" ref="I46:R46" si="34">I47*I11</f>
        <v>-20.350000000000001</v>
      </c>
      <c r="J46" s="18">
        <f t="shared" si="34"/>
        <v>-19.350000000000001</v>
      </c>
      <c r="K46" s="18">
        <f t="shared" si="34"/>
        <v>41.1</v>
      </c>
      <c r="L46" s="18">
        <f t="shared" si="34"/>
        <v>126.999</v>
      </c>
      <c r="M46" s="18">
        <f t="shared" si="34"/>
        <v>118.87839086538462</v>
      </c>
      <c r="N46" s="18">
        <f t="shared" si="34"/>
        <v>111.32764903846156</v>
      </c>
      <c r="O46" s="18">
        <f t="shared" si="34"/>
        <v>102.75928701923078</v>
      </c>
      <c r="P46" s="18">
        <f t="shared" si="34"/>
        <v>93.4582384615385</v>
      </c>
      <c r="Q46" s="18">
        <f t="shared" si="34"/>
        <v>83.656805702884654</v>
      </c>
      <c r="R46" s="18">
        <f t="shared" si="34"/>
        <v>73.355067629186564</v>
      </c>
    </row>
    <row r="47" spans="1:86" s="53" customFormat="1" x14ac:dyDescent="0.25">
      <c r="A47" s="1"/>
      <c r="B47" s="75" t="s">
        <v>16</v>
      </c>
      <c r="C47" s="76">
        <f t="shared" ref="C47:H47" si="35">C46/C11</f>
        <v>-9.2178035291019221E-3</v>
      </c>
      <c r="D47" s="76">
        <f t="shared" si="35"/>
        <v>-1.4236519401982194E-2</v>
      </c>
      <c r="E47" s="76">
        <f t="shared" si="35"/>
        <v>-1.2854471798067937E-2</v>
      </c>
      <c r="F47" s="76">
        <f t="shared" si="35"/>
        <v>-5.5899621973779495E-3</v>
      </c>
      <c r="G47" s="76">
        <f t="shared" si="35"/>
        <v>1.2818952577988724E-2</v>
      </c>
      <c r="H47" s="76">
        <f t="shared" si="35"/>
        <v>-5.2812975164723781E-2</v>
      </c>
      <c r="I47" s="80">
        <v>-5.0000000000000001E-3</v>
      </c>
      <c r="J47" s="80">
        <v>-5.0000000000000001E-3</v>
      </c>
      <c r="K47" s="80">
        <v>0.01</v>
      </c>
      <c r="L47" s="80">
        <v>0.03</v>
      </c>
      <c r="M47" s="80">
        <f>L47-0.25%</f>
        <v>2.75E-2</v>
      </c>
      <c r="N47" s="80">
        <f t="shared" ref="N47:R47" si="36">M47-0.25%</f>
        <v>2.5000000000000001E-2</v>
      </c>
      <c r="O47" s="80">
        <f t="shared" si="36"/>
        <v>2.2500000000000003E-2</v>
      </c>
      <c r="P47" s="80">
        <f t="shared" si="36"/>
        <v>2.0000000000000004E-2</v>
      </c>
      <c r="Q47" s="80">
        <f t="shared" si="36"/>
        <v>1.7500000000000005E-2</v>
      </c>
      <c r="R47" s="80">
        <f t="shared" si="36"/>
        <v>1.5000000000000005E-2</v>
      </c>
    </row>
    <row r="48" spans="1:86" s="53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/>
    </row>
    <row r="49" spans="1:86" s="53" customFormat="1" x14ac:dyDescent="0.25">
      <c r="A49" s="1"/>
      <c r="B49" s="9" t="s">
        <v>23</v>
      </c>
      <c r="C49" s="11">
        <f>C33-C36</f>
        <v>135.9999999999998</v>
      </c>
      <c r="D49" s="11">
        <f t="shared" ref="D49:R49" si="37">D33-D36</f>
        <v>136.49999999999986</v>
      </c>
      <c r="E49" s="11">
        <f t="shared" si="37"/>
        <v>163.89999999999989</v>
      </c>
      <c r="F49" s="11">
        <f t="shared" si="37"/>
        <v>-44.000000000000092</v>
      </c>
      <c r="G49" s="11">
        <f t="shared" si="37"/>
        <v>184.2</v>
      </c>
      <c r="H49" s="11">
        <f t="shared" si="37"/>
        <v>28.699999999999726</v>
      </c>
      <c r="I49" s="11">
        <f t="shared" si="37"/>
        <v>91.056075000000092</v>
      </c>
      <c r="J49" s="11">
        <f t="shared" si="37"/>
        <v>144.52515000000011</v>
      </c>
      <c r="K49" s="11">
        <f t="shared" si="37"/>
        <v>181.33731000000012</v>
      </c>
      <c r="L49" s="11">
        <f t="shared" si="37"/>
        <v>260.77127999999999</v>
      </c>
      <c r="M49" s="11">
        <f t="shared" si="37"/>
        <v>292.91635509230753</v>
      </c>
      <c r="N49" s="11">
        <f t="shared" si="37"/>
        <v>325.74470108653844</v>
      </c>
      <c r="O49" s="11">
        <f t="shared" si="37"/>
        <v>337.59851095384619</v>
      </c>
      <c r="P49" s="11">
        <f t="shared" si="37"/>
        <v>349.01979153461548</v>
      </c>
      <c r="Q49" s="11">
        <f t="shared" si="37"/>
        <v>360.72814619083852</v>
      </c>
      <c r="R49" s="11">
        <f t="shared" si="37"/>
        <v>372.79045369152595</v>
      </c>
    </row>
    <row r="50" spans="1:86" s="53" customFormat="1" x14ac:dyDescent="0.25">
      <c r="A50" s="1"/>
      <c r="B50" s="9" t="s">
        <v>50</v>
      </c>
      <c r="C50" s="11">
        <f>'Raw IS'!J23-'Raw IS'!J25</f>
        <v>1.4000000000000001</v>
      </c>
      <c r="D50" s="11">
        <f>'Raw IS'!K23-'Raw IS'!K25</f>
        <v>2.4</v>
      </c>
      <c r="E50" s="11">
        <f>'Raw IS'!L23</f>
        <v>5</v>
      </c>
      <c r="F50" s="11">
        <f>'Raw IS'!D22-'Raw IS'!D24</f>
        <v>10.3</v>
      </c>
      <c r="G50" s="11">
        <f>'Raw IS'!E22-'Raw IS'!E24</f>
        <v>-5.4</v>
      </c>
      <c r="H50" s="11">
        <f>-'Raw IS'!F24</f>
        <v>-7.4</v>
      </c>
      <c r="I50" s="39">
        <v>-5</v>
      </c>
      <c r="J50" s="39">
        <v>-5</v>
      </c>
      <c r="K50" s="39">
        <v>-5</v>
      </c>
      <c r="L50" s="39">
        <v>-5</v>
      </c>
      <c r="M50" s="39">
        <v>-5</v>
      </c>
      <c r="N50" s="39">
        <v>-5</v>
      </c>
      <c r="O50" s="39">
        <v>-5</v>
      </c>
      <c r="P50" s="39">
        <v>-5</v>
      </c>
      <c r="Q50" s="39">
        <v>-5</v>
      </c>
      <c r="R50" s="39">
        <v>-5</v>
      </c>
    </row>
    <row r="51" spans="1:86" s="53" customFormat="1" x14ac:dyDescent="0.25">
      <c r="A51" s="1"/>
      <c r="B51" s="9" t="s">
        <v>24</v>
      </c>
      <c r="C51" s="11">
        <f>C31-C36+C50</f>
        <v>123.89999999999981</v>
      </c>
      <c r="D51" s="11">
        <f t="shared" ref="D51:E51" si="38">D31-D36+D50</f>
        <v>128.09999999999985</v>
      </c>
      <c r="E51" s="11">
        <f t="shared" si="38"/>
        <v>160.49999999999989</v>
      </c>
      <c r="F51" s="93">
        <f t="shared" ref="F51" si="39">F31-F36+F50</f>
        <v>-8.7000000000000917</v>
      </c>
      <c r="G51" s="11">
        <f>G31-G36+G50</f>
        <v>174.6</v>
      </c>
      <c r="H51" s="11">
        <f t="shared" ref="H51" si="40">H31-H36+H50</f>
        <v>-27.100000000000264</v>
      </c>
      <c r="I51" s="11">
        <f t="shared" ref="I51" si="41">I31-I36+I50</f>
        <v>65.706075000000098</v>
      </c>
      <c r="J51" s="11">
        <f t="shared" ref="J51" si="42">J31-J36+J50</f>
        <v>120.17515000000013</v>
      </c>
      <c r="K51" s="11">
        <f t="shared" ref="K51" si="43">K31-K36+K50</f>
        <v>155.7873100000001</v>
      </c>
      <c r="L51" s="11">
        <f t="shared" ref="L51" si="44">L31-L36+L50</f>
        <v>247.30468000000002</v>
      </c>
      <c r="M51" s="11">
        <f t="shared" ref="M51" si="45">M31-M36+M50</f>
        <v>266.3021022076922</v>
      </c>
      <c r="N51" s="11">
        <f t="shared" ref="N51" si="46">N31-N36+N50</f>
        <v>298.47917127884614</v>
      </c>
      <c r="O51" s="11">
        <f t="shared" ref="O51" si="47">O31-O36+O50</f>
        <v>309.76311383846155</v>
      </c>
      <c r="P51" s="11">
        <f t="shared" ref="P51" si="48">P31-P36+P50</f>
        <v>320.65523191923091</v>
      </c>
      <c r="Q51" s="11">
        <f t="shared" ref="Q51" si="49">Q31-Q36+Q50</f>
        <v>331.82620170430005</v>
      </c>
      <c r="R51" s="11">
        <f t="shared" ref="R51" si="50">R31-R36+R50</f>
        <v>343.33876448179717</v>
      </c>
      <c r="S51" s="54">
        <f>R51*(1+$E$6)</f>
        <v>346.77215212661514</v>
      </c>
      <c r="T51" s="54">
        <f t="shared" ref="T51:CE51" si="51">S51*(1+$E$6)</f>
        <v>350.23987364788127</v>
      </c>
      <c r="U51" s="54">
        <f t="shared" si="51"/>
        <v>353.74227238436009</v>
      </c>
      <c r="V51" s="54">
        <f t="shared" si="51"/>
        <v>357.27969510820367</v>
      </c>
      <c r="W51" s="54">
        <f t="shared" si="51"/>
        <v>360.85249205928568</v>
      </c>
      <c r="X51" s="54">
        <f t="shared" si="51"/>
        <v>364.46101697987854</v>
      </c>
      <c r="Y51" s="54">
        <f t="shared" si="51"/>
        <v>368.10562714967733</v>
      </c>
      <c r="Z51" s="54">
        <f t="shared" si="51"/>
        <v>371.78668342117413</v>
      </c>
      <c r="AA51" s="54">
        <f t="shared" si="51"/>
        <v>375.50455025538588</v>
      </c>
      <c r="AB51" s="54">
        <f t="shared" si="51"/>
        <v>379.25959575793973</v>
      </c>
      <c r="AC51" s="54">
        <f t="shared" si="51"/>
        <v>383.05219171551914</v>
      </c>
      <c r="AD51" s="54">
        <f t="shared" si="51"/>
        <v>386.88271363267432</v>
      </c>
      <c r="AE51" s="54">
        <f t="shared" si="51"/>
        <v>390.75154076900105</v>
      </c>
      <c r="AF51" s="54">
        <f t="shared" si="51"/>
        <v>394.65905617669108</v>
      </c>
      <c r="AG51" s="54">
        <f t="shared" si="51"/>
        <v>398.60564673845801</v>
      </c>
      <c r="AH51" s="54">
        <f t="shared" si="51"/>
        <v>402.59170320584258</v>
      </c>
      <c r="AI51" s="54">
        <f t="shared" si="51"/>
        <v>406.61762023790101</v>
      </c>
      <c r="AJ51" s="54">
        <f t="shared" si="51"/>
        <v>410.68379644028005</v>
      </c>
      <c r="AK51" s="54">
        <f t="shared" si="51"/>
        <v>414.79063440468286</v>
      </c>
      <c r="AL51" s="54">
        <f t="shared" si="51"/>
        <v>418.93854074872968</v>
      </c>
      <c r="AM51" s="54">
        <f t="shared" si="51"/>
        <v>423.12792615621697</v>
      </c>
      <c r="AN51" s="54">
        <f t="shared" si="51"/>
        <v>427.35920541777915</v>
      </c>
      <c r="AO51" s="54">
        <f t="shared" si="51"/>
        <v>431.63279747195696</v>
      </c>
      <c r="AP51" s="54">
        <f t="shared" si="51"/>
        <v>435.94912544667653</v>
      </c>
      <c r="AQ51" s="54">
        <f t="shared" si="51"/>
        <v>440.30861670114331</v>
      </c>
      <c r="AR51" s="54">
        <f t="shared" si="51"/>
        <v>444.71170286815476</v>
      </c>
      <c r="AS51" s="54">
        <f t="shared" si="51"/>
        <v>449.15881989683629</v>
      </c>
      <c r="AT51" s="54">
        <f t="shared" si="51"/>
        <v>453.65040809580466</v>
      </c>
      <c r="AU51" s="54">
        <f t="shared" si="51"/>
        <v>458.18691217676269</v>
      </c>
      <c r="AV51" s="54">
        <f t="shared" si="51"/>
        <v>462.76878129853031</v>
      </c>
      <c r="AW51" s="54">
        <f t="shared" si="51"/>
        <v>467.39646911151561</v>
      </c>
      <c r="AX51" s="54">
        <f t="shared" si="51"/>
        <v>472.07043380263076</v>
      </c>
      <c r="AY51" s="54">
        <f t="shared" si="51"/>
        <v>476.7911381406571</v>
      </c>
      <c r="AZ51" s="54">
        <f t="shared" si="51"/>
        <v>481.55904952206367</v>
      </c>
      <c r="BA51" s="54">
        <f t="shared" si="51"/>
        <v>486.37464001728432</v>
      </c>
      <c r="BB51" s="54">
        <f t="shared" si="51"/>
        <v>491.23838641745715</v>
      </c>
      <c r="BC51" s="54">
        <f t="shared" si="51"/>
        <v>496.15077028163171</v>
      </c>
      <c r="BD51" s="54">
        <f t="shared" si="51"/>
        <v>501.11227798444804</v>
      </c>
      <c r="BE51" s="54">
        <f t="shared" si="51"/>
        <v>506.12340076429251</v>
      </c>
      <c r="BF51" s="54">
        <f t="shared" si="51"/>
        <v>511.18463477193546</v>
      </c>
      <c r="BG51" s="54">
        <f t="shared" si="51"/>
        <v>516.2964811196548</v>
      </c>
      <c r="BH51" s="54">
        <f t="shared" si="51"/>
        <v>521.4594459308513</v>
      </c>
      <c r="BI51" s="54">
        <f t="shared" si="51"/>
        <v>526.6740403901598</v>
      </c>
      <c r="BJ51" s="54">
        <f t="shared" si="51"/>
        <v>531.94078079406142</v>
      </c>
      <c r="BK51" s="54">
        <f t="shared" si="51"/>
        <v>537.26018860200202</v>
      </c>
      <c r="BL51" s="54">
        <f t="shared" si="51"/>
        <v>542.63279048802201</v>
      </c>
      <c r="BM51" s="54">
        <f t="shared" si="51"/>
        <v>548.05911839290229</v>
      </c>
      <c r="BN51" s="54">
        <f t="shared" si="51"/>
        <v>553.53970957683134</v>
      </c>
      <c r="BO51" s="54">
        <f t="shared" si="51"/>
        <v>559.07510667259965</v>
      </c>
      <c r="BP51" s="54">
        <f t="shared" si="51"/>
        <v>564.6658577393257</v>
      </c>
      <c r="BQ51" s="54">
        <f t="shared" si="51"/>
        <v>570.31251631671898</v>
      </c>
      <c r="BR51" s="54">
        <f t="shared" si="51"/>
        <v>576.0156414798862</v>
      </c>
      <c r="BS51" s="54">
        <f t="shared" si="51"/>
        <v>581.77579789468507</v>
      </c>
      <c r="BT51" s="54">
        <f t="shared" si="51"/>
        <v>587.59355587363189</v>
      </c>
      <c r="BU51" s="54">
        <f t="shared" si="51"/>
        <v>593.46949143236816</v>
      </c>
      <c r="BV51" s="54">
        <f t="shared" si="51"/>
        <v>599.40418634669186</v>
      </c>
      <c r="BW51" s="54">
        <f t="shared" si="51"/>
        <v>605.39822821015878</v>
      </c>
      <c r="BX51" s="54">
        <f t="shared" si="51"/>
        <v>611.45221049226041</v>
      </c>
      <c r="BY51" s="54">
        <f t="shared" si="51"/>
        <v>617.56673259718298</v>
      </c>
      <c r="BZ51" s="54">
        <f t="shared" si="51"/>
        <v>623.74239992315484</v>
      </c>
      <c r="CA51" s="54">
        <f t="shared" si="51"/>
        <v>629.97982392238634</v>
      </c>
      <c r="CB51" s="54">
        <f t="shared" si="51"/>
        <v>636.27962216161018</v>
      </c>
      <c r="CC51" s="54">
        <f t="shared" si="51"/>
        <v>642.6424183832263</v>
      </c>
      <c r="CD51" s="54">
        <f t="shared" si="51"/>
        <v>649.0688425670586</v>
      </c>
      <c r="CE51" s="54">
        <f t="shared" si="51"/>
        <v>655.55953099272915</v>
      </c>
      <c r="CF51" s="54">
        <f t="shared" ref="CF51:CH51" si="52">CE51*(1+$E$6)</f>
        <v>662.11512630265645</v>
      </c>
      <c r="CG51" s="54">
        <f t="shared" si="52"/>
        <v>668.73627756568305</v>
      </c>
      <c r="CH51" s="54">
        <f t="shared" si="52"/>
        <v>675.42364034133993</v>
      </c>
    </row>
    <row r="52" spans="1:86" s="53" customFormat="1" x14ac:dyDescent="0.25">
      <c r="A52" s="1"/>
      <c r="B52" s="9"/>
      <c r="C52" s="11"/>
      <c r="D52" s="11"/>
      <c r="E52" s="11"/>
      <c r="F52" s="11"/>
      <c r="G52" s="11"/>
      <c r="H52" s="11"/>
      <c r="I52" s="39"/>
      <c r="J52" s="11"/>
      <c r="K52" s="11"/>
      <c r="L52" s="11"/>
      <c r="M52" s="11"/>
      <c r="N52" s="11"/>
      <c r="O52" s="11"/>
      <c r="P52" s="11"/>
      <c r="Q52" s="11"/>
      <c r="R52" s="11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</row>
    <row r="53" spans="1:86" s="53" customFormat="1" x14ac:dyDescent="0.25">
      <c r="A53" s="1"/>
      <c r="B53" s="6"/>
      <c r="C53" s="11"/>
      <c r="D53" s="11"/>
      <c r="E53" s="11"/>
      <c r="F53" s="11"/>
      <c r="G53" s="11"/>
      <c r="H53" s="11"/>
      <c r="I53" s="12"/>
      <c r="J53" s="1"/>
      <c r="K53" s="1"/>
      <c r="L53" s="1"/>
      <c r="M53" s="1"/>
      <c r="N53" s="1"/>
      <c r="O53" s="1"/>
      <c r="P53" s="1"/>
      <c r="Q53" s="1"/>
      <c r="R53" s="1"/>
    </row>
    <row r="54" spans="1:86" s="53" customFormat="1" x14ac:dyDescent="0.25">
      <c r="A54" s="1"/>
      <c r="B54" s="9" t="s">
        <v>25</v>
      </c>
      <c r="C54" s="24">
        <f t="shared" ref="C54:R54" si="53">C49+C40+C43-C46</f>
        <v>128.5999999999998</v>
      </c>
      <c r="D54" s="24">
        <f t="shared" si="53"/>
        <v>166.69999999999987</v>
      </c>
      <c r="E54" s="24">
        <f t="shared" si="53"/>
        <v>183.19999999999987</v>
      </c>
      <c r="F54" s="24">
        <f t="shared" si="53"/>
        <v>-19.600000000000083</v>
      </c>
      <c r="G54" s="24">
        <f t="shared" si="53"/>
        <v>179.99999999999997</v>
      </c>
      <c r="H54" s="24">
        <f t="shared" si="53"/>
        <v>332.99999999999977</v>
      </c>
      <c r="I54" s="55">
        <f t="shared" si="53"/>
        <v>160.9360750000001</v>
      </c>
      <c r="J54" s="24">
        <f t="shared" si="53"/>
        <v>210.9751500000001</v>
      </c>
      <c r="K54" s="24">
        <f t="shared" si="53"/>
        <v>177.93731000000011</v>
      </c>
      <c r="L54" s="24">
        <f t="shared" si="53"/>
        <v>141.5061934615384</v>
      </c>
      <c r="M54" s="24">
        <f t="shared" si="53"/>
        <v>243.07331807307673</v>
      </c>
      <c r="N54" s="24">
        <f t="shared" si="53"/>
        <v>285.48764627884606</v>
      </c>
      <c r="O54" s="24">
        <f t="shared" si="53"/>
        <v>307.61942008846154</v>
      </c>
      <c r="P54" s="24">
        <f t="shared" si="53"/>
        <v>330.2141703807693</v>
      </c>
      <c r="Q54" s="24">
        <f t="shared" si="53"/>
        <v>353.55756284487694</v>
      </c>
      <c r="R54" s="24">
        <f t="shared" si="53"/>
        <v>377.68079153347168</v>
      </c>
    </row>
    <row r="55" spans="1:86" s="53" customFormat="1" x14ac:dyDescent="0.25">
      <c r="A55" s="1"/>
      <c r="B55" s="25" t="s">
        <v>26</v>
      </c>
      <c r="C55" s="1"/>
      <c r="D55" s="1"/>
      <c r="E55" s="1"/>
      <c r="F55" s="1"/>
      <c r="G55" s="1"/>
      <c r="H55" s="1"/>
      <c r="I55" s="72">
        <f t="shared" ref="I55:R55" si="54">I54/((1+$E$5)^I9)</f>
        <v>143.61807771716261</v>
      </c>
      <c r="J55" s="73">
        <f t="shared" si="54"/>
        <v>168.01293278452417</v>
      </c>
      <c r="K55" s="73">
        <f t="shared" si="54"/>
        <v>126.45445479048668</v>
      </c>
      <c r="L55" s="73">
        <f t="shared" si="54"/>
        <v>89.742521026575105</v>
      </c>
      <c r="M55" s="73">
        <f t="shared" si="54"/>
        <v>137.56748909594918</v>
      </c>
      <c r="N55" s="73">
        <f t="shared" si="54"/>
        <v>144.18548594041269</v>
      </c>
      <c r="O55" s="73">
        <f t="shared" si="54"/>
        <v>138.64482973490368</v>
      </c>
      <c r="P55" s="73">
        <f t="shared" si="54"/>
        <v>132.81323034778515</v>
      </c>
      <c r="Q55" s="73">
        <f t="shared" si="54"/>
        <v>126.8999554564014</v>
      </c>
      <c r="R55" s="73">
        <f t="shared" si="54"/>
        <v>120.97118640735306</v>
      </c>
    </row>
    <row r="56" spans="1:86" s="53" customFormat="1" x14ac:dyDescent="0.25">
      <c r="A56" s="1"/>
      <c r="B56" s="26"/>
      <c r="C56" s="26"/>
      <c r="D56" s="26"/>
      <c r="E56" s="26"/>
      <c r="F56" s="26"/>
      <c r="G56" s="26"/>
      <c r="H56" s="26"/>
      <c r="I56" s="74"/>
      <c r="J56" s="1"/>
      <c r="K56" s="1"/>
      <c r="L56" s="1"/>
      <c r="M56" s="1"/>
      <c r="N56" s="1"/>
      <c r="O56" s="1"/>
      <c r="P56" s="1"/>
      <c r="Q56" s="1"/>
      <c r="R56" s="1"/>
    </row>
    <row r="57" spans="1:86" s="53" customFormat="1" x14ac:dyDescent="0.25">
      <c r="A57" s="1"/>
      <c r="B57" s="1" t="s">
        <v>27</v>
      </c>
      <c r="C57" s="27">
        <f>(R54*(1+$E$6))/($E$5-$E$6)</f>
        <v>3449.4925151601205</v>
      </c>
      <c r="D57" s="1"/>
      <c r="E57" s="1" t="s">
        <v>28</v>
      </c>
      <c r="F57" s="18">
        <f>NPV($E$5,I51:CH51)</f>
        <v>2224.552954706091</v>
      </c>
      <c r="G57" s="1"/>
      <c r="H57" s="1"/>
      <c r="I57" s="15"/>
      <c r="J57" s="1"/>
      <c r="K57" s="1"/>
      <c r="L57" s="1"/>
      <c r="M57" s="1"/>
      <c r="N57" s="1"/>
      <c r="O57" s="1"/>
      <c r="P57" s="1"/>
      <c r="Q57" s="1"/>
      <c r="R57" s="2"/>
    </row>
    <row r="58" spans="1:86" s="53" customFormat="1" x14ac:dyDescent="0.25">
      <c r="A58" s="1"/>
      <c r="B58" s="3" t="s">
        <v>29</v>
      </c>
      <c r="C58" s="28">
        <f>C57/((1+$E$5)^$R$9)</f>
        <v>1104.872716369591</v>
      </c>
      <c r="D58" s="16"/>
      <c r="E58" s="3"/>
      <c r="F58" s="3"/>
      <c r="G58" s="3"/>
      <c r="H58" s="16"/>
      <c r="I58" s="12"/>
      <c r="J58" s="1"/>
      <c r="K58" s="2"/>
      <c r="L58" s="98" t="s">
        <v>54</v>
      </c>
      <c r="M58" s="98"/>
      <c r="N58" s="98"/>
      <c r="O58" s="98"/>
      <c r="P58" s="98"/>
      <c r="Q58" s="98"/>
      <c r="R58" s="2"/>
    </row>
    <row r="59" spans="1:86" x14ac:dyDescent="0.25">
      <c r="A59" s="1"/>
      <c r="B59" s="6" t="s">
        <v>30</v>
      </c>
      <c r="C59" s="6"/>
      <c r="D59" s="1"/>
      <c r="E59" s="6"/>
      <c r="F59" s="6"/>
      <c r="G59" s="29" t="s">
        <v>31</v>
      </c>
      <c r="H59" s="29" t="s">
        <v>28</v>
      </c>
      <c r="I59" s="15"/>
      <c r="J59" s="1"/>
      <c r="K59" s="56"/>
      <c r="L59" s="61">
        <f>E65</f>
        <v>27.711329488488836</v>
      </c>
      <c r="M59" s="82">
        <v>-0.02</v>
      </c>
      <c r="N59" s="82">
        <v>-0.01</v>
      </c>
      <c r="O59" s="82">
        <v>0.01</v>
      </c>
      <c r="P59" s="82">
        <v>1.4999999999999999E-2</v>
      </c>
      <c r="Q59" s="82">
        <v>0.02</v>
      </c>
    </row>
    <row r="60" spans="1:86" x14ac:dyDescent="0.25">
      <c r="A60" s="1"/>
      <c r="B60" s="30" t="s">
        <v>32</v>
      </c>
      <c r="C60" s="1"/>
      <c r="D60" s="23">
        <v>217.1</v>
      </c>
      <c r="E60" s="1"/>
      <c r="F60" s="1"/>
      <c r="G60" s="27">
        <f>C58+SUM(I55:R55)</f>
        <v>2433.7828796711447</v>
      </c>
      <c r="H60" s="18">
        <f>F57</f>
        <v>2224.552954706091</v>
      </c>
      <c r="I60" s="15"/>
      <c r="K60" s="56"/>
      <c r="L60" s="58">
        <f>L61-1%</f>
        <v>0.10058368666473239</v>
      </c>
      <c r="M60" s="62">
        <f t="dataTable" ref="M60:Q64" dt2D="1" dtr="1" r1="E6" r2="E5"/>
        <v>30.428534265289574</v>
      </c>
      <c r="N60" s="62">
        <v>31.934208790979099</v>
      </c>
      <c r="O60" s="62">
        <v>35.928904205508829</v>
      </c>
      <c r="P60" s="62">
        <v>37.212765094980483</v>
      </c>
      <c r="Q60" s="62">
        <v>38.650822732881466</v>
      </c>
    </row>
    <row r="61" spans="1:86" x14ac:dyDescent="0.25">
      <c r="A61" s="1"/>
      <c r="B61" s="31" t="s">
        <v>33</v>
      </c>
      <c r="C61" s="3"/>
      <c r="D61" s="40">
        <f>733.2-282.7</f>
        <v>450.50000000000006</v>
      </c>
      <c r="E61" s="3"/>
      <c r="F61" s="3"/>
      <c r="G61" s="3"/>
      <c r="H61" s="3"/>
      <c r="I61" s="15"/>
      <c r="K61" s="57"/>
      <c r="L61" s="58">
        <f>L62-1%</f>
        <v>0.11058368666473238</v>
      </c>
      <c r="M61" s="62">
        <v>27.172379722004973</v>
      </c>
      <c r="N61" s="63">
        <v>28.348808986753156</v>
      </c>
      <c r="O61" s="63">
        <v>31.397216347828085</v>
      </c>
      <c r="P61" s="63">
        <v>32.355755894456138</v>
      </c>
      <c r="Q61" s="62">
        <v>33.417862649453056</v>
      </c>
      <c r="R61" s="49"/>
    </row>
    <row r="62" spans="1:86" x14ac:dyDescent="0.25">
      <c r="A62" s="1"/>
      <c r="B62" s="6" t="s">
        <v>34</v>
      </c>
      <c r="C62" s="6"/>
      <c r="D62" s="6"/>
      <c r="E62" s="6"/>
      <c r="F62" s="6"/>
      <c r="G62" s="32">
        <f>G60+D60-D61</f>
        <v>2200.3828796711446</v>
      </c>
      <c r="H62" s="33">
        <f>H60+D60-D61</f>
        <v>1991.1529547060909</v>
      </c>
      <c r="I62" s="15"/>
      <c r="K62" s="56" t="s">
        <v>1</v>
      </c>
      <c r="L62" s="58">
        <v>0.12058368666473238</v>
      </c>
      <c r="M62" s="62">
        <v>24.414819981705342</v>
      </c>
      <c r="N62" s="63">
        <v>25.346153101865081</v>
      </c>
      <c r="O62" s="64">
        <v>27.711329488488836</v>
      </c>
      <c r="P62" s="63">
        <v>28.441329026401927</v>
      </c>
      <c r="Q62" s="62">
        <v>29.242897442729355</v>
      </c>
    </row>
    <row r="63" spans="1:86" x14ac:dyDescent="0.25">
      <c r="A63" s="1"/>
      <c r="B63" s="3" t="s">
        <v>35</v>
      </c>
      <c r="C63" s="3"/>
      <c r="D63" s="38">
        <f>75628559/1000000</f>
        <v>75.628558999999996</v>
      </c>
      <c r="E63" s="3"/>
      <c r="F63" s="3"/>
      <c r="G63" s="3"/>
      <c r="H63" s="34"/>
      <c r="I63" s="15"/>
      <c r="K63" s="56"/>
      <c r="L63" s="59">
        <f>L62+0.5%</f>
        <v>0.12558368666473238</v>
      </c>
      <c r="M63" s="62">
        <v>23.190229541775757</v>
      </c>
      <c r="N63" s="63">
        <v>24.022530148488553</v>
      </c>
      <c r="O63" s="63">
        <v>26.117283637696843</v>
      </c>
      <c r="P63" s="63">
        <v>26.758486409289574</v>
      </c>
      <c r="Q63" s="62">
        <v>27.459740342392124</v>
      </c>
    </row>
    <row r="64" spans="1:86" x14ac:dyDescent="0.25">
      <c r="A64" s="1"/>
      <c r="B64" s="17" t="s">
        <v>36</v>
      </c>
      <c r="C64" s="17"/>
      <c r="D64" s="65">
        <f>D63*$J$5</f>
        <v>1088.2949640100001</v>
      </c>
      <c r="E64" s="17"/>
      <c r="F64" s="17"/>
      <c r="G64" s="17"/>
      <c r="H64" s="35"/>
      <c r="I64" s="1"/>
      <c r="K64" s="56"/>
      <c r="L64" s="59">
        <f>L63+0.5%</f>
        <v>0.13058368666473238</v>
      </c>
      <c r="M64" s="62">
        <v>22.054434389128691</v>
      </c>
      <c r="N64" s="62">
        <v>22.800227783113016</v>
      </c>
      <c r="O64" s="62">
        <v>24.661618292731148</v>
      </c>
      <c r="P64" s="62">
        <v>25.227023455434768</v>
      </c>
      <c r="Q64" s="62">
        <v>25.843099529667235</v>
      </c>
    </row>
    <row r="65" spans="1:9" x14ac:dyDescent="0.25">
      <c r="A65" s="1"/>
      <c r="B65" s="6" t="s">
        <v>37</v>
      </c>
      <c r="D65" s="6" t="s">
        <v>38</v>
      </c>
      <c r="E65" s="36">
        <f>(G65+H65)/2</f>
        <v>27.711329488488836</v>
      </c>
      <c r="F65" s="6"/>
      <c r="G65" s="36">
        <f>G62/D63</f>
        <v>29.094602736925673</v>
      </c>
      <c r="H65" s="37">
        <f>H62/D63</f>
        <v>26.328056240052003</v>
      </c>
      <c r="I65" s="15"/>
    </row>
    <row r="66" spans="1:9" x14ac:dyDescent="0.25">
      <c r="B66" s="42"/>
      <c r="C66" s="42"/>
      <c r="D66" s="42"/>
      <c r="E66" s="42"/>
      <c r="F66" s="42"/>
      <c r="G66" s="42"/>
      <c r="H66" s="42"/>
      <c r="I66" s="22"/>
    </row>
  </sheetData>
  <sortState xmlns:xlrd2="http://schemas.microsoft.com/office/spreadsheetml/2017/richdata2" columnSort="1" ref="C10:H55">
    <sortCondition ref="C10:H10"/>
  </sortState>
  <mergeCells count="1">
    <mergeCell ref="L58:Q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T29"/>
  <sheetViews>
    <sheetView topLeftCell="A10" workbookViewId="0">
      <selection activeCell="D26" sqref="D26"/>
    </sheetView>
  </sheetViews>
  <sheetFormatPr defaultRowHeight="15" x14ac:dyDescent="0.25"/>
  <cols>
    <col min="1" max="1" width="43.28515625" customWidth="1"/>
    <col min="4" max="6" width="13.42578125" customWidth="1"/>
    <col min="9" max="9" width="58" customWidth="1"/>
    <col min="10" max="12" width="14" customWidth="1"/>
  </cols>
  <sheetData>
    <row r="1" spans="1:20" x14ac:dyDescent="0.25">
      <c r="A1" s="99" t="s">
        <v>55</v>
      </c>
      <c r="B1" s="99"/>
      <c r="C1" s="99"/>
      <c r="D1" s="99"/>
      <c r="E1" s="99"/>
      <c r="F1" s="99"/>
      <c r="I1" s="99" t="s">
        <v>55</v>
      </c>
      <c r="J1" s="99"/>
      <c r="K1" s="99"/>
      <c r="L1" s="99"/>
      <c r="M1" s="99"/>
      <c r="N1" s="99"/>
    </row>
    <row r="3" spans="1:20" x14ac:dyDescent="0.25"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100"/>
      <c r="B4" s="100"/>
      <c r="C4" s="100"/>
      <c r="D4" s="99" t="s">
        <v>56</v>
      </c>
      <c r="E4" s="99"/>
      <c r="F4" s="99"/>
      <c r="G4" s="99"/>
      <c r="H4" s="99"/>
    </row>
    <row r="5" spans="1:20" x14ac:dyDescent="0.25">
      <c r="A5" s="102" t="s">
        <v>57</v>
      </c>
      <c r="B5" s="102"/>
      <c r="C5" s="102"/>
      <c r="D5" s="83">
        <v>2020</v>
      </c>
      <c r="E5" s="83">
        <v>2021</v>
      </c>
      <c r="F5" s="83">
        <v>2022</v>
      </c>
      <c r="G5" s="83"/>
      <c r="H5" s="83"/>
      <c r="J5" s="101" t="s">
        <v>126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 spans="1:20" x14ac:dyDescent="0.25">
      <c r="A6" s="99" t="s">
        <v>58</v>
      </c>
      <c r="B6" s="99"/>
      <c r="C6" s="99"/>
      <c r="D6" s="87">
        <v>2486.6</v>
      </c>
      <c r="E6" s="87">
        <v>2465.1</v>
      </c>
      <c r="F6" s="87">
        <v>3946</v>
      </c>
      <c r="G6" s="87"/>
      <c r="I6" t="s">
        <v>57</v>
      </c>
      <c r="J6">
        <v>2017</v>
      </c>
      <c r="K6">
        <v>2018</v>
      </c>
      <c r="L6">
        <v>2019</v>
      </c>
    </row>
    <row r="7" spans="1:20" x14ac:dyDescent="0.25">
      <c r="A7" s="99" t="s">
        <v>59</v>
      </c>
      <c r="B7" s="99"/>
      <c r="C7" s="99"/>
      <c r="D7" s="88">
        <v>1575.4</v>
      </c>
      <c r="E7" s="88">
        <v>1514</v>
      </c>
      <c r="F7" s="88">
        <v>2593.3000000000002</v>
      </c>
      <c r="G7" s="88"/>
      <c r="I7" t="s">
        <v>58</v>
      </c>
      <c r="J7" s="90">
        <v>2278.1999999999998</v>
      </c>
      <c r="K7" s="90">
        <v>2381.1999999999998</v>
      </c>
      <c r="L7" s="90">
        <v>2567.1999999999998</v>
      </c>
      <c r="M7" s="90"/>
      <c r="O7" s="84"/>
      <c r="P7" s="90"/>
      <c r="R7" s="84"/>
      <c r="S7" s="90"/>
    </row>
    <row r="8" spans="1:20" x14ac:dyDescent="0.25">
      <c r="A8" s="99" t="s">
        <v>60</v>
      </c>
      <c r="B8" s="99"/>
      <c r="C8" s="99"/>
      <c r="D8" s="88">
        <v>911.2</v>
      </c>
      <c r="E8" s="88">
        <v>951.1</v>
      </c>
      <c r="F8" s="88">
        <v>1352.7</v>
      </c>
      <c r="G8" s="88"/>
      <c r="I8" t="s">
        <v>59</v>
      </c>
      <c r="J8" s="91">
        <v>1414</v>
      </c>
      <c r="K8" s="91">
        <v>1508.2</v>
      </c>
      <c r="L8" s="91">
        <v>1637.3</v>
      </c>
      <c r="M8" s="91"/>
      <c r="P8" s="91"/>
      <c r="S8" s="91"/>
    </row>
    <row r="9" spans="1:20" x14ac:dyDescent="0.25">
      <c r="A9" s="99" t="s">
        <v>61</v>
      </c>
      <c r="B9" s="99"/>
      <c r="C9" s="99"/>
      <c r="I9" s="83" t="s">
        <v>60</v>
      </c>
      <c r="J9" s="88">
        <v>864.2</v>
      </c>
      <c r="K9" s="88">
        <v>873</v>
      </c>
      <c r="L9" s="88">
        <v>929.9</v>
      </c>
      <c r="M9" s="88"/>
      <c r="O9" s="83"/>
      <c r="P9" s="88"/>
      <c r="R9" s="83"/>
      <c r="S9" s="88"/>
    </row>
    <row r="10" spans="1:20" x14ac:dyDescent="0.25">
      <c r="A10" s="99" t="s">
        <v>62</v>
      </c>
      <c r="B10" s="99"/>
      <c r="C10" s="99"/>
      <c r="D10" s="88">
        <v>643.29999999999995</v>
      </c>
      <c r="E10" s="88">
        <v>643.79999999999995</v>
      </c>
      <c r="F10" s="88">
        <v>1204.2</v>
      </c>
      <c r="G10" s="88"/>
      <c r="I10" t="s">
        <v>61</v>
      </c>
    </row>
    <row r="11" spans="1:20" x14ac:dyDescent="0.25">
      <c r="A11" s="99" t="s">
        <v>63</v>
      </c>
      <c r="B11" s="99"/>
      <c r="C11" s="99"/>
      <c r="D11" s="88">
        <v>205.4</v>
      </c>
      <c r="E11" s="83" t="s">
        <v>64</v>
      </c>
      <c r="F11" s="83" t="s">
        <v>64</v>
      </c>
      <c r="G11" s="83"/>
      <c r="I11" t="s">
        <v>62</v>
      </c>
      <c r="J11" s="91">
        <v>587.5</v>
      </c>
      <c r="K11" s="91">
        <v>615.29999999999995</v>
      </c>
      <c r="L11" s="91">
        <v>639.29999999999995</v>
      </c>
      <c r="M11" s="91"/>
      <c r="P11" s="91"/>
      <c r="S11" s="91"/>
    </row>
    <row r="12" spans="1:20" x14ac:dyDescent="0.25">
      <c r="A12" s="99" t="s">
        <v>65</v>
      </c>
      <c r="B12" s="99"/>
      <c r="C12" s="99"/>
      <c r="D12" s="88">
        <v>26.4</v>
      </c>
      <c r="E12" s="88">
        <v>2.7</v>
      </c>
      <c r="F12" s="83" t="s">
        <v>64</v>
      </c>
      <c r="G12" s="83"/>
      <c r="I12" t="s">
        <v>127</v>
      </c>
      <c r="J12" s="91">
        <v>12.5</v>
      </c>
      <c r="K12" s="91">
        <v>5.7</v>
      </c>
      <c r="L12" s="91">
        <v>10.199999999999999</v>
      </c>
      <c r="M12" s="91"/>
      <c r="P12" s="91"/>
      <c r="S12" s="91"/>
    </row>
    <row r="13" spans="1:20" x14ac:dyDescent="0.25">
      <c r="A13" s="99" t="s">
        <v>66</v>
      </c>
      <c r="B13" s="99"/>
      <c r="C13" s="99"/>
      <c r="D13" s="88">
        <v>74</v>
      </c>
      <c r="E13" s="88">
        <v>72.099999999999994</v>
      </c>
      <c r="F13" s="88">
        <v>108.7</v>
      </c>
      <c r="G13" s="88"/>
      <c r="I13" t="s">
        <v>66</v>
      </c>
      <c r="J13" s="91">
        <v>73.099999999999994</v>
      </c>
      <c r="K13" s="91">
        <v>73.099999999999994</v>
      </c>
      <c r="L13" s="91">
        <v>76.900000000000006</v>
      </c>
      <c r="M13" s="91"/>
      <c r="P13" s="91"/>
      <c r="S13" s="91"/>
    </row>
    <row r="14" spans="1:20" x14ac:dyDescent="0.25">
      <c r="A14" s="99" t="s">
        <v>67</v>
      </c>
      <c r="B14" s="99"/>
      <c r="C14" s="99"/>
      <c r="D14" s="88">
        <v>949.1</v>
      </c>
      <c r="E14" s="88">
        <v>718.6</v>
      </c>
      <c r="F14" s="88">
        <v>1312.9</v>
      </c>
      <c r="G14" s="88"/>
      <c r="I14" s="83" t="s">
        <v>67</v>
      </c>
      <c r="J14" s="91">
        <v>673.1</v>
      </c>
      <c r="K14" s="91">
        <v>694.1</v>
      </c>
      <c r="L14" s="91">
        <v>726.4</v>
      </c>
      <c r="M14" s="91"/>
      <c r="P14" s="91"/>
      <c r="S14" s="91"/>
    </row>
    <row r="15" spans="1:20" x14ac:dyDescent="0.25">
      <c r="A15" s="99" t="s">
        <v>68</v>
      </c>
      <c r="B15" s="99"/>
      <c r="C15" s="99"/>
      <c r="D15" s="89">
        <v>-37.9</v>
      </c>
      <c r="E15" s="88">
        <v>232.5</v>
      </c>
      <c r="F15" s="88">
        <v>39.799999999999997</v>
      </c>
      <c r="G15" s="88"/>
      <c r="I15" s="83" t="s">
        <v>128</v>
      </c>
      <c r="J15" s="88">
        <v>191.1</v>
      </c>
      <c r="K15" s="88">
        <v>178.9</v>
      </c>
      <c r="L15" s="88">
        <v>203.5</v>
      </c>
      <c r="M15" s="88"/>
      <c r="P15" s="88"/>
      <c r="S15" s="88"/>
    </row>
    <row r="16" spans="1:20" x14ac:dyDescent="0.25">
      <c r="A16" s="99" t="s">
        <v>69</v>
      </c>
      <c r="B16" s="99"/>
      <c r="C16" s="99"/>
      <c r="D16" s="88">
        <v>36.200000000000003</v>
      </c>
      <c r="E16" s="83" t="s">
        <v>64</v>
      </c>
      <c r="F16" s="83" t="s">
        <v>64</v>
      </c>
      <c r="G16" s="88"/>
      <c r="I16" t="s">
        <v>129</v>
      </c>
    </row>
    <row r="17" spans="1:19" x14ac:dyDescent="0.25">
      <c r="A17" s="99" t="s">
        <v>70</v>
      </c>
      <c r="B17" s="99"/>
      <c r="C17" s="99"/>
      <c r="D17" s="88">
        <v>12.5</v>
      </c>
      <c r="E17" s="88">
        <v>13.9</v>
      </c>
      <c r="F17" s="88">
        <v>37.799999999999997</v>
      </c>
      <c r="G17" s="88"/>
      <c r="I17" t="s">
        <v>70</v>
      </c>
      <c r="J17" s="91">
        <v>15.2</v>
      </c>
      <c r="K17" s="91">
        <v>13.5</v>
      </c>
      <c r="L17" s="91">
        <v>12.1</v>
      </c>
      <c r="M17" s="91"/>
      <c r="P17" s="91"/>
      <c r="S17" s="91"/>
    </row>
    <row r="18" spans="1:19" x14ac:dyDescent="0.25">
      <c r="A18" s="99" t="s">
        <v>71</v>
      </c>
      <c r="B18" s="99"/>
      <c r="C18" s="99"/>
      <c r="D18" s="89">
        <v>-2.2999999999999998</v>
      </c>
      <c r="E18" s="89">
        <v>-2.1</v>
      </c>
      <c r="F18" s="89">
        <v>-1.6</v>
      </c>
      <c r="G18" s="89"/>
      <c r="I18" t="s">
        <v>71</v>
      </c>
      <c r="J18" s="92">
        <v>-2.2000000000000002</v>
      </c>
      <c r="K18" s="92">
        <v>-4.4000000000000004</v>
      </c>
      <c r="L18" s="92">
        <v>-2.1</v>
      </c>
      <c r="M18" s="92"/>
      <c r="P18" s="92"/>
      <c r="S18" s="92"/>
    </row>
    <row r="19" spans="1:19" x14ac:dyDescent="0.25">
      <c r="A19" s="99" t="s">
        <v>72</v>
      </c>
      <c r="B19" s="99"/>
      <c r="C19" s="99"/>
      <c r="D19" s="88">
        <v>1</v>
      </c>
      <c r="E19" s="89">
        <v>-7.6</v>
      </c>
      <c r="F19" s="88">
        <v>12.2</v>
      </c>
      <c r="G19" s="88"/>
      <c r="I19" t="s">
        <v>51</v>
      </c>
      <c r="J19" s="91">
        <v>0.5</v>
      </c>
      <c r="K19" s="91">
        <v>1.7000000000000002</v>
      </c>
      <c r="L19" s="92">
        <v>-1.6</v>
      </c>
      <c r="M19" s="92"/>
      <c r="P19" s="91"/>
      <c r="S19" s="91"/>
    </row>
    <row r="20" spans="1:19" x14ac:dyDescent="0.25">
      <c r="A20" s="99" t="s">
        <v>73</v>
      </c>
      <c r="B20" s="99"/>
      <c r="C20" s="99"/>
      <c r="D20" s="89">
        <v>-12.9</v>
      </c>
      <c r="E20" s="88">
        <v>228.3</v>
      </c>
      <c r="F20" s="89">
        <v>-8.6</v>
      </c>
      <c r="G20" s="89"/>
      <c r="I20" t="s">
        <v>130</v>
      </c>
      <c r="J20" s="91">
        <v>13.5</v>
      </c>
      <c r="K20" s="91">
        <v>10.8</v>
      </c>
      <c r="L20" s="91">
        <v>8.4</v>
      </c>
      <c r="M20" s="91"/>
      <c r="P20" s="91"/>
      <c r="S20" s="91"/>
    </row>
    <row r="21" spans="1:19" x14ac:dyDescent="0.25">
      <c r="A21" s="99" t="s">
        <v>74</v>
      </c>
      <c r="B21" s="99"/>
      <c r="C21" s="99"/>
      <c r="D21" s="88">
        <v>6.1</v>
      </c>
      <c r="E21" s="88">
        <v>48.3</v>
      </c>
      <c r="F21" s="88">
        <v>11.1</v>
      </c>
      <c r="G21" s="88"/>
      <c r="I21" s="83" t="s">
        <v>131</v>
      </c>
      <c r="J21" s="88">
        <v>177.6</v>
      </c>
      <c r="K21" s="88">
        <v>168.1</v>
      </c>
      <c r="L21" s="88">
        <v>195.1</v>
      </c>
      <c r="M21" s="88"/>
      <c r="P21" s="88"/>
      <c r="S21" s="88"/>
    </row>
    <row r="22" spans="1:19" x14ac:dyDescent="0.25">
      <c r="A22" s="99" t="s">
        <v>75</v>
      </c>
      <c r="B22" s="99"/>
      <c r="C22" s="99"/>
      <c r="D22" s="88">
        <v>5</v>
      </c>
      <c r="E22" s="88">
        <v>0.30000000000000004</v>
      </c>
      <c r="F22" s="83" t="s">
        <v>64</v>
      </c>
      <c r="G22" s="83"/>
      <c r="I22" t="s">
        <v>74</v>
      </c>
      <c r="J22" s="91">
        <v>55.1</v>
      </c>
      <c r="K22" s="91">
        <v>42.4</v>
      </c>
      <c r="L22" s="91">
        <v>39.6</v>
      </c>
      <c r="M22" s="91"/>
      <c r="P22" s="91"/>
      <c r="S22" s="91"/>
    </row>
    <row r="23" spans="1:19" x14ac:dyDescent="0.25">
      <c r="A23" s="99" t="s">
        <v>76</v>
      </c>
      <c r="B23" s="99"/>
      <c r="C23" s="99"/>
      <c r="D23" s="89">
        <v>-14</v>
      </c>
      <c r="E23" s="88">
        <v>180.3</v>
      </c>
      <c r="F23" s="89">
        <v>-19.7</v>
      </c>
      <c r="G23" s="89"/>
      <c r="I23" t="s">
        <v>75</v>
      </c>
      <c r="J23" s="91">
        <v>1.6</v>
      </c>
      <c r="K23" s="91">
        <v>3</v>
      </c>
      <c r="L23" s="91">
        <v>5</v>
      </c>
      <c r="M23" s="91"/>
      <c r="P23" s="91"/>
      <c r="S23" s="91"/>
    </row>
    <row r="24" spans="1:19" x14ac:dyDescent="0.25">
      <c r="A24" s="99" t="s">
        <v>77</v>
      </c>
      <c r="B24" s="99"/>
      <c r="C24" s="99"/>
      <c r="D24" s="89">
        <v>-5.3</v>
      </c>
      <c r="E24" s="88">
        <v>5.7</v>
      </c>
      <c r="F24" s="88">
        <v>7.4</v>
      </c>
      <c r="G24" s="88"/>
      <c r="H24" s="91"/>
      <c r="I24" s="83" t="s">
        <v>132</v>
      </c>
      <c r="J24" s="88">
        <v>124.1</v>
      </c>
      <c r="K24" s="88">
        <v>128.69999999999999</v>
      </c>
      <c r="L24" s="88">
        <v>160.5</v>
      </c>
      <c r="M24" s="88"/>
      <c r="O24" s="85"/>
      <c r="P24" s="88"/>
      <c r="R24" s="85"/>
      <c r="S24" s="88"/>
    </row>
    <row r="25" spans="1:19" x14ac:dyDescent="0.25">
      <c r="A25" s="99" t="s">
        <v>78</v>
      </c>
      <c r="B25" s="99"/>
      <c r="C25" s="99"/>
      <c r="D25" s="86">
        <v>-8.6999999999999993</v>
      </c>
      <c r="E25" s="87">
        <v>174.6</v>
      </c>
      <c r="F25" s="86">
        <v>-27.1</v>
      </c>
      <c r="G25" s="86"/>
      <c r="I25" t="s">
        <v>133</v>
      </c>
      <c r="J25" s="91">
        <v>0.2</v>
      </c>
      <c r="K25" s="91">
        <v>0.60000000000000009</v>
      </c>
      <c r="L25" t="s">
        <v>64</v>
      </c>
      <c r="P25" s="91"/>
      <c r="S25" s="91"/>
    </row>
    <row r="26" spans="1:19" x14ac:dyDescent="0.25">
      <c r="I26" s="83" t="s">
        <v>134</v>
      </c>
      <c r="J26" s="87">
        <v>123.9</v>
      </c>
      <c r="K26" s="87">
        <v>128.1</v>
      </c>
      <c r="L26" s="87">
        <v>160.5</v>
      </c>
      <c r="M26" s="87"/>
      <c r="P26" s="87"/>
      <c r="S26" s="87"/>
    </row>
    <row r="28" spans="1:19" x14ac:dyDescent="0.25">
      <c r="I28" t="s">
        <v>135</v>
      </c>
      <c r="J28" s="90">
        <v>2.0699999999999998</v>
      </c>
      <c r="K28" s="90">
        <v>2.15</v>
      </c>
      <c r="L28" s="90">
        <v>2.72</v>
      </c>
      <c r="M28" s="90"/>
      <c r="O28" s="84"/>
      <c r="P28" s="90"/>
      <c r="R28" s="84"/>
      <c r="S28" s="90"/>
    </row>
    <row r="29" spans="1:19" x14ac:dyDescent="0.25">
      <c r="I29" t="s">
        <v>136</v>
      </c>
      <c r="J29" s="90">
        <v>2.0499999999999998</v>
      </c>
      <c r="K29" s="90">
        <v>2.12</v>
      </c>
      <c r="L29" s="90">
        <v>2.7</v>
      </c>
      <c r="M29" s="90"/>
      <c r="O29" s="84"/>
      <c r="P29" s="90"/>
      <c r="R29" s="84"/>
      <c r="S29" s="90"/>
    </row>
  </sheetData>
  <sortState xmlns:xlrd2="http://schemas.microsoft.com/office/spreadsheetml/2017/richdata2" columnSort="1" ref="J6:T29">
    <sortCondition ref="J6:T6"/>
  </sortState>
  <mergeCells count="27">
    <mergeCell ref="A7:C7"/>
    <mergeCell ref="A6:C6"/>
    <mergeCell ref="A1:F1"/>
    <mergeCell ref="A4:C4"/>
    <mergeCell ref="D4:H4"/>
    <mergeCell ref="A5:C5"/>
    <mergeCell ref="A12:C12"/>
    <mergeCell ref="A11:C11"/>
    <mergeCell ref="A10:C10"/>
    <mergeCell ref="A9:C9"/>
    <mergeCell ref="A8:C8"/>
    <mergeCell ref="I1:N1"/>
    <mergeCell ref="I3:T3"/>
    <mergeCell ref="J5:T5"/>
    <mergeCell ref="A25:C25"/>
    <mergeCell ref="A24:C24"/>
    <mergeCell ref="A23:C23"/>
    <mergeCell ref="A22:C22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T69"/>
  <sheetViews>
    <sheetView topLeftCell="A25" workbookViewId="0">
      <selection activeCell="A27" sqref="A27:C27"/>
    </sheetView>
  </sheetViews>
  <sheetFormatPr defaultRowHeight="15" x14ac:dyDescent="0.25"/>
  <cols>
    <col min="1" max="1" width="18.85546875" customWidth="1"/>
    <col min="3" max="3" width="10.85546875" customWidth="1"/>
    <col min="9" max="9" width="61.85546875" customWidth="1"/>
  </cols>
  <sheetData>
    <row r="1" spans="1:20" x14ac:dyDescent="0.25">
      <c r="A1" s="99" t="s">
        <v>79</v>
      </c>
      <c r="B1" s="99"/>
      <c r="C1" s="99"/>
      <c r="D1" s="99"/>
      <c r="E1" s="99"/>
      <c r="F1" s="99"/>
      <c r="I1" s="99" t="s">
        <v>79</v>
      </c>
      <c r="J1" s="99"/>
      <c r="K1" s="99"/>
      <c r="L1" s="99"/>
      <c r="M1" s="99"/>
      <c r="N1" s="99"/>
    </row>
    <row r="3" spans="1:20" x14ac:dyDescent="0.25"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100"/>
      <c r="B4" s="100"/>
      <c r="C4" s="100"/>
      <c r="D4" s="99" t="s">
        <v>56</v>
      </c>
      <c r="E4" s="99"/>
      <c r="F4" s="99"/>
      <c r="G4" s="99"/>
    </row>
    <row r="5" spans="1:20" x14ac:dyDescent="0.25">
      <c r="A5" s="102" t="s">
        <v>80</v>
      </c>
      <c r="B5" s="102"/>
      <c r="C5" s="102"/>
      <c r="D5" s="83">
        <v>2020</v>
      </c>
      <c r="E5" s="83">
        <v>2021</v>
      </c>
      <c r="F5" s="83">
        <v>2022</v>
      </c>
      <c r="G5" s="83"/>
      <c r="J5" s="101" t="s">
        <v>126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 spans="1:20" x14ac:dyDescent="0.25">
      <c r="A6" s="99" t="s">
        <v>81</v>
      </c>
      <c r="B6" s="99"/>
      <c r="C6" s="99"/>
      <c r="I6" t="s">
        <v>80</v>
      </c>
      <c r="J6">
        <v>2017</v>
      </c>
      <c r="K6">
        <v>2018</v>
      </c>
      <c r="L6">
        <v>2019</v>
      </c>
    </row>
    <row r="7" spans="1:20" x14ac:dyDescent="0.25">
      <c r="A7" s="99" t="s">
        <v>76</v>
      </c>
      <c r="B7" s="99"/>
      <c r="C7" s="99"/>
      <c r="D7" s="86">
        <v>-14</v>
      </c>
      <c r="E7" s="87">
        <v>180.3</v>
      </c>
      <c r="F7" s="86">
        <v>-19.7</v>
      </c>
      <c r="G7" s="86"/>
      <c r="I7" t="s">
        <v>81</v>
      </c>
      <c r="R7" s="84"/>
    </row>
    <row r="8" spans="1:20" x14ac:dyDescent="0.25">
      <c r="A8" s="99" t="s">
        <v>82</v>
      </c>
      <c r="B8" s="99"/>
      <c r="C8" s="99"/>
      <c r="I8" t="s">
        <v>132</v>
      </c>
      <c r="J8" s="90">
        <v>124.1</v>
      </c>
      <c r="K8" s="90">
        <v>128.69999999999999</v>
      </c>
      <c r="L8" s="90">
        <v>160.5</v>
      </c>
      <c r="M8" s="90"/>
      <c r="P8" s="90"/>
      <c r="S8" s="90"/>
    </row>
    <row r="9" spans="1:20" x14ac:dyDescent="0.25">
      <c r="A9" s="99" t="s">
        <v>83</v>
      </c>
      <c r="B9" s="99"/>
      <c r="C9" s="99"/>
      <c r="D9" s="88">
        <v>68.099999999999994</v>
      </c>
      <c r="E9" s="88">
        <v>72</v>
      </c>
      <c r="F9" s="88">
        <v>112</v>
      </c>
      <c r="G9" s="88"/>
      <c r="I9" t="s">
        <v>137</v>
      </c>
    </row>
    <row r="10" spans="1:20" x14ac:dyDescent="0.25">
      <c r="A10" s="99" t="s">
        <v>84</v>
      </c>
      <c r="B10" s="99"/>
      <c r="C10" s="99"/>
      <c r="D10" s="88">
        <v>11.4</v>
      </c>
      <c r="E10" s="88">
        <v>15.2</v>
      </c>
      <c r="F10" s="88">
        <v>78.599999999999994</v>
      </c>
      <c r="G10" s="88"/>
      <c r="I10" t="s">
        <v>83</v>
      </c>
      <c r="J10" s="91">
        <v>52.9</v>
      </c>
      <c r="K10" s="91">
        <v>60.9</v>
      </c>
      <c r="L10" s="91">
        <v>65.900000000000006</v>
      </c>
      <c r="M10" s="91"/>
      <c r="P10" s="91"/>
      <c r="R10" s="84"/>
      <c r="S10" s="91"/>
    </row>
    <row r="11" spans="1:20" x14ac:dyDescent="0.25">
      <c r="A11" s="99" t="s">
        <v>85</v>
      </c>
      <c r="B11" s="99"/>
      <c r="C11" s="99"/>
      <c r="D11" s="89">
        <v>-4.8</v>
      </c>
      <c r="E11" s="89">
        <v>-0.4</v>
      </c>
      <c r="F11" s="88">
        <v>0.8</v>
      </c>
      <c r="G11" s="88"/>
      <c r="I11" t="s">
        <v>84</v>
      </c>
      <c r="J11" s="91">
        <v>6</v>
      </c>
      <c r="K11" s="91">
        <v>6</v>
      </c>
      <c r="L11" s="91">
        <v>6.2</v>
      </c>
      <c r="M11" s="91"/>
      <c r="P11" s="91"/>
      <c r="S11" s="91"/>
    </row>
    <row r="12" spans="1:20" x14ac:dyDescent="0.25">
      <c r="I12" t="s">
        <v>138</v>
      </c>
      <c r="J12" s="92">
        <v>-1.5</v>
      </c>
      <c r="K12" s="92">
        <v>-0.2</v>
      </c>
      <c r="L12" s="92">
        <v>-2.1</v>
      </c>
      <c r="M12" s="92"/>
      <c r="P12" s="92"/>
      <c r="S12" s="92"/>
    </row>
    <row r="13" spans="1:20" x14ac:dyDescent="0.25">
      <c r="A13" s="99" t="s">
        <v>69</v>
      </c>
      <c r="B13" s="99"/>
      <c r="C13" s="99"/>
      <c r="D13" s="89">
        <v>-36.200000000000003</v>
      </c>
      <c r="E13" s="83" t="s">
        <v>64</v>
      </c>
      <c r="F13" s="83" t="s">
        <v>64</v>
      </c>
      <c r="G13" s="83"/>
      <c r="I13" t="s">
        <v>139</v>
      </c>
      <c r="J13" t="s">
        <v>64</v>
      </c>
      <c r="K13" t="s">
        <v>64</v>
      </c>
      <c r="L13" s="92">
        <v>-2.1</v>
      </c>
      <c r="M13" s="92"/>
    </row>
    <row r="14" spans="1:20" x14ac:dyDescent="0.25">
      <c r="A14" s="99" t="s">
        <v>86</v>
      </c>
      <c r="B14" s="99"/>
      <c r="C14" s="99"/>
      <c r="D14" s="83" t="s">
        <v>64</v>
      </c>
      <c r="E14" s="83" t="s">
        <v>64</v>
      </c>
      <c r="F14" s="89">
        <v>-1</v>
      </c>
      <c r="G14" s="89"/>
      <c r="I14" t="s">
        <v>140</v>
      </c>
      <c r="J14" t="s">
        <v>64</v>
      </c>
      <c r="K14" s="92">
        <v>-0.5</v>
      </c>
      <c r="L14" s="91">
        <v>0.8</v>
      </c>
      <c r="M14" s="91"/>
      <c r="P14" s="92"/>
    </row>
    <row r="15" spans="1:20" x14ac:dyDescent="0.25">
      <c r="A15" s="99" t="s">
        <v>87</v>
      </c>
      <c r="B15" s="99"/>
      <c r="C15" s="99"/>
      <c r="D15" s="89">
        <v>-25.1</v>
      </c>
      <c r="E15" s="88">
        <v>7.1</v>
      </c>
      <c r="F15" s="89">
        <v>-21.7</v>
      </c>
      <c r="G15" s="89"/>
      <c r="I15" t="s">
        <v>87</v>
      </c>
      <c r="J15" s="91">
        <v>14.8</v>
      </c>
      <c r="K15" s="92">
        <v>-0.8</v>
      </c>
      <c r="L15" s="91">
        <v>0.8</v>
      </c>
      <c r="M15" s="91"/>
      <c r="P15" s="92"/>
      <c r="S15" s="91"/>
    </row>
    <row r="16" spans="1:20" x14ac:dyDescent="0.25">
      <c r="A16" s="99" t="s">
        <v>88</v>
      </c>
      <c r="B16" s="99"/>
      <c r="C16" s="99"/>
      <c r="D16" s="89">
        <v>-0.9</v>
      </c>
      <c r="E16" s="89">
        <v>-5.4</v>
      </c>
      <c r="F16" s="89">
        <v>-5</v>
      </c>
      <c r="G16" s="89"/>
      <c r="I16" t="s">
        <v>88</v>
      </c>
      <c r="J16" s="92">
        <v>-1.1000000000000001</v>
      </c>
      <c r="K16" s="92">
        <v>-13.4</v>
      </c>
      <c r="L16" s="92">
        <v>-0.9</v>
      </c>
      <c r="M16" s="92"/>
      <c r="P16" s="92"/>
      <c r="S16" s="92"/>
    </row>
    <row r="17" spans="1:19" x14ac:dyDescent="0.25">
      <c r="A17" s="99" t="s">
        <v>89</v>
      </c>
      <c r="B17" s="99"/>
      <c r="C17" s="99"/>
      <c r="D17" s="88">
        <v>1.6</v>
      </c>
      <c r="E17" s="88">
        <v>3</v>
      </c>
      <c r="F17" s="89">
        <v>-4.0999999999999996</v>
      </c>
      <c r="G17" s="89"/>
      <c r="I17" t="s">
        <v>89</v>
      </c>
      <c r="J17" s="91">
        <v>0.5</v>
      </c>
      <c r="K17" s="91">
        <v>2.9</v>
      </c>
      <c r="L17" s="91">
        <v>1.2</v>
      </c>
      <c r="M17" s="91"/>
      <c r="P17" s="91"/>
      <c r="S17" s="91"/>
    </row>
    <row r="18" spans="1:19" x14ac:dyDescent="0.25">
      <c r="A18" s="99" t="s">
        <v>63</v>
      </c>
      <c r="B18" s="99"/>
      <c r="C18" s="99"/>
      <c r="D18" s="88">
        <v>205.4</v>
      </c>
      <c r="E18" s="83" t="s">
        <v>64</v>
      </c>
      <c r="F18" s="88">
        <v>15.5</v>
      </c>
      <c r="G18" s="88"/>
      <c r="I18" t="s">
        <v>127</v>
      </c>
      <c r="J18" s="91">
        <v>12.5</v>
      </c>
      <c r="K18" s="91">
        <v>5.7</v>
      </c>
      <c r="L18" s="91">
        <v>10.199999999999999</v>
      </c>
      <c r="M18" s="91"/>
      <c r="P18" s="91"/>
      <c r="S18" s="91"/>
    </row>
    <row r="19" spans="1:19" x14ac:dyDescent="0.25">
      <c r="A19" s="99" t="s">
        <v>90</v>
      </c>
      <c r="B19" s="99"/>
      <c r="C19" s="99"/>
      <c r="D19" s="83" t="s">
        <v>64</v>
      </c>
      <c r="E19" s="83" t="s">
        <v>64</v>
      </c>
      <c r="F19" s="88">
        <v>13.4</v>
      </c>
      <c r="G19" s="88"/>
      <c r="I19" t="s">
        <v>91</v>
      </c>
      <c r="J19" s="91">
        <v>8.6999999999999993</v>
      </c>
      <c r="K19" s="91">
        <v>7.7</v>
      </c>
      <c r="L19" s="91">
        <v>7.3</v>
      </c>
      <c r="M19" s="91"/>
      <c r="P19" s="91"/>
      <c r="S19" s="91"/>
    </row>
    <row r="20" spans="1:19" x14ac:dyDescent="0.25">
      <c r="A20" s="99" t="s">
        <v>65</v>
      </c>
      <c r="B20" s="99"/>
      <c r="C20" s="99"/>
      <c r="D20" s="88">
        <v>26.4</v>
      </c>
      <c r="E20" s="88">
        <v>2.7</v>
      </c>
      <c r="F20" s="83" t="s">
        <v>64</v>
      </c>
      <c r="G20" s="83"/>
      <c r="I20" t="s">
        <v>93</v>
      </c>
      <c r="J20" s="91">
        <v>6.2</v>
      </c>
      <c r="K20" s="91">
        <v>3.4</v>
      </c>
      <c r="L20" s="91">
        <v>1.6</v>
      </c>
      <c r="M20" s="91"/>
      <c r="P20" s="91"/>
      <c r="S20" s="91"/>
    </row>
    <row r="21" spans="1:19" x14ac:dyDescent="0.25">
      <c r="A21" s="99" t="s">
        <v>91</v>
      </c>
      <c r="B21" s="99"/>
      <c r="C21" s="99"/>
      <c r="D21" s="88">
        <v>2.7</v>
      </c>
      <c r="E21" s="88">
        <v>9</v>
      </c>
      <c r="F21" s="88">
        <v>31.4</v>
      </c>
      <c r="G21" s="88"/>
      <c r="I21" t="s">
        <v>94</v>
      </c>
    </row>
    <row r="22" spans="1:19" x14ac:dyDescent="0.25">
      <c r="I22" t="s">
        <v>141</v>
      </c>
      <c r="J22" s="91">
        <v>17.3</v>
      </c>
      <c r="K22" s="92">
        <v>-33.1</v>
      </c>
      <c r="L22" s="92">
        <v>-24.8</v>
      </c>
      <c r="M22" s="92"/>
      <c r="P22" s="92"/>
      <c r="S22" s="91"/>
    </row>
    <row r="23" spans="1:19" x14ac:dyDescent="0.25">
      <c r="A23" s="99" t="s">
        <v>92</v>
      </c>
      <c r="B23" s="99"/>
      <c r="C23" s="99"/>
      <c r="D23" s="89">
        <v>-4.7</v>
      </c>
      <c r="E23" s="88">
        <v>1.2</v>
      </c>
      <c r="F23" s="89">
        <v>-1.6</v>
      </c>
      <c r="G23" s="89"/>
      <c r="I23" t="s">
        <v>142</v>
      </c>
      <c r="J23" s="92">
        <v>-29.9</v>
      </c>
      <c r="K23" s="92">
        <v>-12.4</v>
      </c>
      <c r="L23" s="92">
        <v>-31.9</v>
      </c>
      <c r="M23" s="92"/>
      <c r="P23" s="92"/>
      <c r="S23" s="92"/>
    </row>
    <row r="24" spans="1:19" x14ac:dyDescent="0.25">
      <c r="A24" s="99" t="s">
        <v>93</v>
      </c>
      <c r="B24" s="99"/>
      <c r="C24" s="99"/>
      <c r="D24" s="88">
        <v>5.8</v>
      </c>
      <c r="E24" s="88">
        <v>16</v>
      </c>
      <c r="F24" s="89">
        <v>-2.1</v>
      </c>
      <c r="G24" s="89"/>
      <c r="I24" t="s">
        <v>97</v>
      </c>
      <c r="J24" s="92">
        <v>-0.5</v>
      </c>
      <c r="K24" s="92">
        <v>-3</v>
      </c>
      <c r="L24" s="92">
        <v>-0.60000000000000009</v>
      </c>
      <c r="M24" s="92"/>
      <c r="P24" s="92"/>
      <c r="S24" s="92"/>
    </row>
    <row r="25" spans="1:19" x14ac:dyDescent="0.25">
      <c r="A25" s="99" t="s">
        <v>94</v>
      </c>
      <c r="B25" s="99"/>
      <c r="C25" s="99"/>
      <c r="I25" t="s">
        <v>98</v>
      </c>
      <c r="J25" s="92">
        <v>-11.2</v>
      </c>
      <c r="K25" s="91">
        <v>16</v>
      </c>
      <c r="L25" s="91">
        <v>0.5</v>
      </c>
      <c r="M25" s="91"/>
      <c r="P25" s="91"/>
      <c r="S25" s="92"/>
    </row>
    <row r="26" spans="1:19" x14ac:dyDescent="0.25">
      <c r="A26" s="99" t="s">
        <v>95</v>
      </c>
      <c r="B26" s="99"/>
      <c r="C26" s="99"/>
      <c r="D26" s="88">
        <v>68.599999999999994</v>
      </c>
      <c r="E26" s="89">
        <v>-14.8</v>
      </c>
      <c r="F26" s="89">
        <v>-92.4</v>
      </c>
      <c r="G26" s="89"/>
      <c r="I26" t="s">
        <v>143</v>
      </c>
      <c r="J26" s="91">
        <v>0.8</v>
      </c>
      <c r="K26" s="92">
        <v>-0.30000000000000004</v>
      </c>
      <c r="L26" s="91">
        <v>22.7</v>
      </c>
      <c r="M26" s="91"/>
      <c r="P26" s="92"/>
      <c r="S26" s="91"/>
    </row>
    <row r="27" spans="1:19" x14ac:dyDescent="0.25">
      <c r="A27" s="99" t="s">
        <v>96</v>
      </c>
      <c r="B27" s="99"/>
      <c r="C27" s="99"/>
      <c r="D27" s="88">
        <v>5.5</v>
      </c>
      <c r="E27" s="89">
        <v>-10.4</v>
      </c>
      <c r="F27" s="89">
        <v>-166.4</v>
      </c>
      <c r="G27" s="89"/>
      <c r="I27" t="s">
        <v>53</v>
      </c>
      <c r="J27" s="91">
        <v>2.5</v>
      </c>
      <c r="K27" s="92">
        <v>-1.1000000000000001</v>
      </c>
      <c r="L27" s="91">
        <v>1.1000000000000001</v>
      </c>
      <c r="M27" s="91"/>
      <c r="P27" s="92"/>
      <c r="S27" s="91"/>
    </row>
    <row r="28" spans="1:19" x14ac:dyDescent="0.25">
      <c r="A28" s="99" t="s">
        <v>97</v>
      </c>
      <c r="B28" s="99"/>
      <c r="C28" s="99"/>
      <c r="D28" s="89">
        <v>-2.2000000000000002</v>
      </c>
      <c r="E28" s="89">
        <v>-3.9</v>
      </c>
      <c r="F28" s="89">
        <v>-39.6</v>
      </c>
      <c r="G28" s="89"/>
      <c r="I28" s="83" t="s">
        <v>144</v>
      </c>
      <c r="J28" s="88">
        <v>202.1</v>
      </c>
      <c r="K28" s="88">
        <v>166.5</v>
      </c>
      <c r="L28" s="88">
        <v>216.4</v>
      </c>
      <c r="M28" s="88"/>
      <c r="P28" s="88"/>
      <c r="S28" s="88"/>
    </row>
    <row r="29" spans="1:19" x14ac:dyDescent="0.25">
      <c r="A29" s="99" t="s">
        <v>98</v>
      </c>
      <c r="B29" s="99"/>
      <c r="C29" s="99"/>
      <c r="D29" s="89">
        <v>-59.5</v>
      </c>
      <c r="E29" s="88">
        <v>43.2</v>
      </c>
      <c r="F29" s="88">
        <v>51.5</v>
      </c>
      <c r="G29" s="88"/>
    </row>
    <row r="30" spans="1:19" x14ac:dyDescent="0.25">
      <c r="A30" s="99" t="s">
        <v>99</v>
      </c>
      <c r="B30" s="99"/>
      <c r="C30" s="99"/>
      <c r="D30" s="89">
        <v>-32</v>
      </c>
      <c r="E30" s="88">
        <v>15.1</v>
      </c>
      <c r="F30" s="88">
        <v>47.2</v>
      </c>
      <c r="G30" s="88"/>
      <c r="I30" t="s">
        <v>101</v>
      </c>
    </row>
    <row r="31" spans="1:19" x14ac:dyDescent="0.25">
      <c r="A31" s="99" t="s">
        <v>51</v>
      </c>
      <c r="B31" s="99"/>
      <c r="C31" s="99"/>
      <c r="D31" s="88">
        <v>5.7</v>
      </c>
      <c r="E31" s="88">
        <v>2.4</v>
      </c>
      <c r="F31" s="89">
        <v>-8.6999999999999993</v>
      </c>
      <c r="G31" s="89"/>
      <c r="I31" t="s">
        <v>145</v>
      </c>
      <c r="J31" s="91">
        <v>2.4</v>
      </c>
      <c r="K31" s="92">
        <v>-1.1000000000000001</v>
      </c>
      <c r="L31" s="91">
        <v>1.1000000000000001</v>
      </c>
      <c r="M31" s="91"/>
      <c r="P31" s="92"/>
      <c r="S31" s="91"/>
    </row>
    <row r="32" spans="1:19" x14ac:dyDescent="0.25">
      <c r="A32" s="99" t="s">
        <v>100</v>
      </c>
      <c r="B32" s="99"/>
      <c r="C32" s="99"/>
      <c r="D32" s="88">
        <v>221.8</v>
      </c>
      <c r="E32" s="88">
        <v>332.3</v>
      </c>
      <c r="F32" s="89">
        <v>-11.9</v>
      </c>
      <c r="G32" s="89"/>
      <c r="I32" t="s">
        <v>102</v>
      </c>
      <c r="J32" s="92">
        <v>-2</v>
      </c>
      <c r="K32" s="92">
        <v>-1</v>
      </c>
      <c r="L32" s="92">
        <v>-1.9</v>
      </c>
      <c r="M32" s="92"/>
      <c r="P32" s="92"/>
      <c r="S32" s="92"/>
    </row>
    <row r="33" spans="1:20" x14ac:dyDescent="0.25">
      <c r="A33" s="99"/>
      <c r="B33" s="99"/>
      <c r="C33" s="99"/>
      <c r="I33" t="s">
        <v>103</v>
      </c>
      <c r="J33" s="91">
        <v>0.9</v>
      </c>
      <c r="K33" s="91">
        <v>1</v>
      </c>
      <c r="L33" s="91">
        <v>1.7000000000000002</v>
      </c>
      <c r="M33" s="91"/>
      <c r="P33" s="91"/>
      <c r="S33" s="91"/>
    </row>
    <row r="34" spans="1:20" x14ac:dyDescent="0.25">
      <c r="A34" s="99" t="s">
        <v>101</v>
      </c>
      <c r="B34" s="99"/>
      <c r="C34" s="99"/>
      <c r="I34" t="s">
        <v>104</v>
      </c>
      <c r="J34" s="92">
        <v>-87.3</v>
      </c>
      <c r="K34" s="92">
        <v>-70.599999999999994</v>
      </c>
      <c r="L34" s="92">
        <v>-85.8</v>
      </c>
      <c r="M34" s="92"/>
      <c r="P34" s="92"/>
      <c r="S34" s="92"/>
    </row>
    <row r="35" spans="1:20" x14ac:dyDescent="0.25">
      <c r="I35" t="s">
        <v>105</v>
      </c>
      <c r="J35" t="s">
        <v>64</v>
      </c>
      <c r="K35" s="91">
        <v>2.1</v>
      </c>
      <c r="L35" s="91">
        <v>0.5</v>
      </c>
      <c r="M35" s="91"/>
      <c r="P35" s="91"/>
    </row>
    <row r="36" spans="1:20" x14ac:dyDescent="0.25">
      <c r="A36" s="99" t="s">
        <v>102</v>
      </c>
      <c r="B36" s="99"/>
      <c r="C36" s="99"/>
      <c r="D36" s="89">
        <v>-3.1</v>
      </c>
      <c r="E36" s="89">
        <v>-5.9</v>
      </c>
      <c r="F36" s="83" t="s">
        <v>64</v>
      </c>
      <c r="G36" s="83"/>
      <c r="I36" t="s">
        <v>146</v>
      </c>
      <c r="J36" s="92">
        <v>-15.3</v>
      </c>
      <c r="K36" t="s">
        <v>64</v>
      </c>
      <c r="L36" t="s">
        <v>64</v>
      </c>
      <c r="S36" s="92"/>
    </row>
    <row r="37" spans="1:20" x14ac:dyDescent="0.25">
      <c r="A37" s="99" t="s">
        <v>103</v>
      </c>
      <c r="B37" s="99"/>
      <c r="C37" s="99"/>
      <c r="D37" s="88">
        <v>5</v>
      </c>
      <c r="E37" s="88">
        <v>5.3</v>
      </c>
      <c r="F37" s="88">
        <v>7.7</v>
      </c>
      <c r="G37" s="88"/>
      <c r="I37" t="s">
        <v>147</v>
      </c>
      <c r="J37" t="s">
        <v>64</v>
      </c>
      <c r="K37" s="91">
        <v>8.1</v>
      </c>
      <c r="L37" t="s">
        <v>64</v>
      </c>
      <c r="P37" s="91"/>
    </row>
    <row r="38" spans="1:20" x14ac:dyDescent="0.25">
      <c r="A38" s="99" t="s">
        <v>104</v>
      </c>
      <c r="B38" s="99"/>
      <c r="C38" s="99"/>
      <c r="D38" s="89">
        <v>-69</v>
      </c>
      <c r="E38" s="89">
        <v>-59.8</v>
      </c>
      <c r="F38" s="89">
        <v>-94.7</v>
      </c>
      <c r="G38" s="89"/>
      <c r="I38" t="s">
        <v>148</v>
      </c>
      <c r="J38" t="s">
        <v>64</v>
      </c>
      <c r="K38" t="s">
        <v>64</v>
      </c>
      <c r="L38" s="92">
        <v>-4.8</v>
      </c>
      <c r="M38" s="92"/>
    </row>
    <row r="39" spans="1:20" x14ac:dyDescent="0.25">
      <c r="A39" s="99" t="s">
        <v>105</v>
      </c>
      <c r="B39" s="99"/>
      <c r="C39" s="99"/>
      <c r="D39" s="88">
        <v>0.2</v>
      </c>
      <c r="E39" s="88">
        <v>14</v>
      </c>
      <c r="F39" s="88">
        <v>2.8</v>
      </c>
      <c r="G39" s="88"/>
      <c r="I39" t="s">
        <v>107</v>
      </c>
      <c r="J39" s="92">
        <v>-13.1</v>
      </c>
      <c r="K39" t="s">
        <v>64</v>
      </c>
      <c r="L39" s="92">
        <v>-73.599999999999994</v>
      </c>
      <c r="M39" s="92"/>
      <c r="S39" s="92"/>
    </row>
    <row r="40" spans="1:20" x14ac:dyDescent="0.25">
      <c r="I40" t="s">
        <v>51</v>
      </c>
      <c r="J40" s="92">
        <v>-1.9</v>
      </c>
      <c r="K40" s="92">
        <v>-1.2</v>
      </c>
      <c r="L40" s="92">
        <v>-2.2000000000000002</v>
      </c>
      <c r="M40" s="92"/>
      <c r="P40" s="92"/>
      <c r="S40" s="92"/>
    </row>
    <row r="41" spans="1:20" x14ac:dyDescent="0.25">
      <c r="I41" s="83" t="s">
        <v>108</v>
      </c>
      <c r="J41" s="89">
        <v>-116.3</v>
      </c>
      <c r="K41" s="89">
        <v>-62.7</v>
      </c>
      <c r="L41" s="89">
        <v>-165</v>
      </c>
      <c r="M41" s="89"/>
      <c r="N41" s="83"/>
      <c r="P41" s="89"/>
      <c r="Q41" s="83"/>
      <c r="S41" s="89"/>
      <c r="T41" s="83"/>
    </row>
    <row r="43" spans="1:20" x14ac:dyDescent="0.25">
      <c r="A43" s="99" t="s">
        <v>106</v>
      </c>
      <c r="B43" s="99"/>
      <c r="C43" s="99"/>
      <c r="D43" s="89">
        <v>-111.2</v>
      </c>
      <c r="E43" s="83" t="s">
        <v>64</v>
      </c>
      <c r="F43" s="89">
        <v>-1088.5</v>
      </c>
      <c r="G43" s="89"/>
      <c r="I43" t="s">
        <v>109</v>
      </c>
    </row>
    <row r="44" spans="1:20" x14ac:dyDescent="0.25">
      <c r="A44" s="99" t="s">
        <v>107</v>
      </c>
      <c r="B44" s="99"/>
      <c r="C44" s="99"/>
      <c r="D44" s="89">
        <v>-3.3</v>
      </c>
      <c r="E44" s="83" t="s">
        <v>64</v>
      </c>
      <c r="F44" s="83" t="s">
        <v>64</v>
      </c>
      <c r="G44" s="83"/>
      <c r="I44" t="s">
        <v>112</v>
      </c>
      <c r="J44" t="s">
        <v>64</v>
      </c>
      <c r="K44" s="92">
        <v>-150</v>
      </c>
      <c r="L44" t="s">
        <v>64</v>
      </c>
      <c r="P44" s="92"/>
    </row>
    <row r="45" spans="1:20" x14ac:dyDescent="0.25">
      <c r="A45" s="99" t="s">
        <v>51</v>
      </c>
      <c r="B45" s="99"/>
      <c r="C45" s="99"/>
      <c r="D45" s="88">
        <v>13.3</v>
      </c>
      <c r="E45" s="89">
        <v>-13.5</v>
      </c>
      <c r="F45" s="88">
        <v>0.30000000000000004</v>
      </c>
      <c r="G45" s="88"/>
      <c r="I45" t="s">
        <v>113</v>
      </c>
      <c r="J45" s="91">
        <v>794.4</v>
      </c>
      <c r="K45" s="91">
        <v>340.4</v>
      </c>
      <c r="L45" t="s">
        <v>64</v>
      </c>
      <c r="P45" s="91"/>
      <c r="S45" s="91"/>
    </row>
    <row r="46" spans="1:20" x14ac:dyDescent="0.25">
      <c r="A46" s="99" t="s">
        <v>108</v>
      </c>
      <c r="B46" s="99"/>
      <c r="C46" s="99"/>
      <c r="D46" s="89">
        <v>-168.1</v>
      </c>
      <c r="E46" s="89">
        <v>-59.9</v>
      </c>
      <c r="F46" s="89">
        <v>-1172.4000000000001</v>
      </c>
      <c r="G46" s="89"/>
      <c r="I46" t="s">
        <v>114</v>
      </c>
      <c r="J46" s="92">
        <v>-816.4</v>
      </c>
      <c r="K46" s="92">
        <v>-115.4</v>
      </c>
      <c r="L46" t="s">
        <v>64</v>
      </c>
      <c r="P46" s="92"/>
      <c r="S46" s="92"/>
    </row>
    <row r="47" spans="1:20" x14ac:dyDescent="0.25">
      <c r="A47" s="99"/>
      <c r="B47" s="99"/>
      <c r="C47" s="99"/>
      <c r="I47" t="s">
        <v>116</v>
      </c>
      <c r="J47" s="92">
        <v>-39.4</v>
      </c>
      <c r="K47" s="92">
        <v>-42.4</v>
      </c>
      <c r="L47" s="92">
        <v>-45.6</v>
      </c>
      <c r="M47" s="92"/>
      <c r="P47" s="92"/>
      <c r="S47" s="92"/>
    </row>
    <row r="48" spans="1:20" x14ac:dyDescent="0.25">
      <c r="A48" s="99" t="s">
        <v>109</v>
      </c>
      <c r="B48" s="99"/>
      <c r="C48" s="99"/>
      <c r="I48" t="s">
        <v>117</v>
      </c>
      <c r="J48" s="91">
        <v>11.7</v>
      </c>
      <c r="K48" s="91">
        <v>17</v>
      </c>
      <c r="L48" s="91">
        <v>12.3</v>
      </c>
      <c r="M48" s="91"/>
      <c r="P48" s="91"/>
      <c r="S48" s="91"/>
    </row>
    <row r="49" spans="1:20" x14ac:dyDescent="0.25">
      <c r="I49" t="s">
        <v>118</v>
      </c>
      <c r="J49" s="92">
        <v>-23.7</v>
      </c>
      <c r="K49" s="92">
        <v>-46.5</v>
      </c>
      <c r="L49" s="92">
        <v>-47.9</v>
      </c>
      <c r="M49" s="92"/>
      <c r="P49" s="92"/>
      <c r="S49" s="92"/>
    </row>
    <row r="50" spans="1:20" x14ac:dyDescent="0.25">
      <c r="I50" t="s">
        <v>149</v>
      </c>
      <c r="J50" s="92">
        <v>-1.5</v>
      </c>
      <c r="K50" s="92">
        <v>-1</v>
      </c>
      <c r="L50" s="92">
        <v>-10.1</v>
      </c>
      <c r="M50" s="92"/>
      <c r="P50" s="92"/>
      <c r="S50" s="92"/>
    </row>
    <row r="51" spans="1:20" x14ac:dyDescent="0.25">
      <c r="A51" s="99" t="s">
        <v>110</v>
      </c>
      <c r="B51" s="99"/>
      <c r="C51" s="99"/>
      <c r="D51" s="88">
        <v>50</v>
      </c>
      <c r="E51" s="83" t="s">
        <v>64</v>
      </c>
      <c r="F51" s="88">
        <v>1007</v>
      </c>
      <c r="G51" s="88"/>
      <c r="I51" t="s">
        <v>51</v>
      </c>
      <c r="J51" s="91">
        <v>0.30000000000000004</v>
      </c>
      <c r="K51" s="91">
        <v>0.4</v>
      </c>
      <c r="L51" s="92">
        <v>-0.60000000000000009</v>
      </c>
      <c r="M51" s="92"/>
      <c r="P51" s="91"/>
      <c r="S51" s="91"/>
    </row>
    <row r="52" spans="1:20" x14ac:dyDescent="0.25">
      <c r="A52" s="99" t="s">
        <v>111</v>
      </c>
      <c r="B52" s="99"/>
      <c r="C52" s="99"/>
      <c r="D52" s="83" t="s">
        <v>64</v>
      </c>
      <c r="E52" s="83" t="s">
        <v>64</v>
      </c>
      <c r="F52" s="89">
        <v>-9.3000000000000007</v>
      </c>
      <c r="G52" s="89"/>
      <c r="I52" s="83" t="s">
        <v>150</v>
      </c>
      <c r="J52" s="89">
        <v>-74.599999999999994</v>
      </c>
      <c r="K52" s="88">
        <v>2.5</v>
      </c>
      <c r="L52" s="89">
        <v>-91.9</v>
      </c>
      <c r="M52" s="89"/>
      <c r="N52" s="83"/>
      <c r="P52" s="88"/>
      <c r="S52" s="89"/>
      <c r="T52" s="83"/>
    </row>
    <row r="53" spans="1:20" x14ac:dyDescent="0.25">
      <c r="A53" s="99" t="s">
        <v>112</v>
      </c>
      <c r="B53" s="99"/>
      <c r="C53" s="99"/>
      <c r="D53" s="83" t="s">
        <v>64</v>
      </c>
      <c r="E53" s="89">
        <v>-50</v>
      </c>
      <c r="F53" s="89">
        <v>-63.1</v>
      </c>
      <c r="G53" s="89"/>
      <c r="I53" t="s">
        <v>122</v>
      </c>
      <c r="J53" s="91">
        <v>0.1</v>
      </c>
      <c r="K53" s="91">
        <v>1.4</v>
      </c>
      <c r="L53" s="92">
        <v>-4.2</v>
      </c>
      <c r="M53" s="92"/>
      <c r="P53" s="91"/>
      <c r="S53" s="91"/>
    </row>
    <row r="54" spans="1:20" x14ac:dyDescent="0.25">
      <c r="A54" s="99" t="s">
        <v>113</v>
      </c>
      <c r="B54" s="99"/>
      <c r="C54" s="99"/>
      <c r="D54" s="88">
        <v>265</v>
      </c>
      <c r="E54" s="83" t="s">
        <v>64</v>
      </c>
      <c r="F54" s="88">
        <v>1026.5</v>
      </c>
      <c r="G54" s="88"/>
      <c r="I54" s="83" t="s">
        <v>151</v>
      </c>
      <c r="J54" s="88">
        <v>11.3</v>
      </c>
      <c r="K54" s="88">
        <v>107.7</v>
      </c>
      <c r="L54" s="89">
        <v>-44.7</v>
      </c>
      <c r="M54" s="89"/>
      <c r="N54" s="83"/>
      <c r="P54" s="88"/>
      <c r="S54" s="88"/>
    </row>
    <row r="55" spans="1:20" x14ac:dyDescent="0.25">
      <c r="A55" s="99" t="s">
        <v>114</v>
      </c>
      <c r="B55" s="99"/>
      <c r="C55" s="99"/>
      <c r="D55" s="83" t="s">
        <v>64</v>
      </c>
      <c r="E55" s="89">
        <v>-265</v>
      </c>
      <c r="F55" s="89">
        <v>-838.5</v>
      </c>
      <c r="G55" s="89"/>
      <c r="I55" t="s">
        <v>124</v>
      </c>
      <c r="J55" s="91">
        <v>84.9</v>
      </c>
      <c r="K55" s="91">
        <v>96.2</v>
      </c>
      <c r="L55" s="91">
        <v>203.9</v>
      </c>
      <c r="M55" s="91"/>
      <c r="P55" s="91"/>
      <c r="S55" s="91"/>
    </row>
    <row r="56" spans="1:20" x14ac:dyDescent="0.25">
      <c r="A56" s="99" t="s">
        <v>115</v>
      </c>
      <c r="B56" s="99"/>
      <c r="C56" s="99"/>
      <c r="D56" s="83" t="s">
        <v>64</v>
      </c>
      <c r="E56" s="83" t="s">
        <v>64</v>
      </c>
      <c r="F56" s="89">
        <v>-13.4</v>
      </c>
      <c r="G56" s="89"/>
      <c r="I56" s="83" t="s">
        <v>125</v>
      </c>
      <c r="J56" s="87">
        <v>96.2</v>
      </c>
      <c r="K56" s="87">
        <v>203.9</v>
      </c>
      <c r="L56" s="87">
        <v>159.19999999999999</v>
      </c>
      <c r="M56" s="87"/>
      <c r="P56" s="87"/>
      <c r="S56" s="87"/>
    </row>
    <row r="57" spans="1:20" x14ac:dyDescent="0.25">
      <c r="A57" s="99" t="s">
        <v>116</v>
      </c>
      <c r="B57" s="99"/>
      <c r="C57" s="99"/>
      <c r="D57" s="89">
        <v>-36.4</v>
      </c>
      <c r="E57" s="89">
        <v>-34.5</v>
      </c>
      <c r="F57" s="89">
        <v>-54.5</v>
      </c>
      <c r="G57" s="89"/>
    </row>
    <row r="58" spans="1:20" x14ac:dyDescent="0.25">
      <c r="A58" s="99" t="s">
        <v>117</v>
      </c>
      <c r="B58" s="99"/>
      <c r="C58" s="99"/>
      <c r="D58" s="88">
        <v>15.6</v>
      </c>
      <c r="E58" s="88">
        <v>5</v>
      </c>
      <c r="F58" s="88">
        <v>7.5</v>
      </c>
      <c r="G58" s="88"/>
      <c r="I58" s="83" t="s">
        <v>152</v>
      </c>
    </row>
    <row r="59" spans="1:20" x14ac:dyDescent="0.25">
      <c r="A59" s="99" t="s">
        <v>118</v>
      </c>
      <c r="B59" s="99"/>
      <c r="C59" s="99"/>
      <c r="D59" s="89">
        <v>-26.6</v>
      </c>
      <c r="E59" s="89">
        <v>-0.9</v>
      </c>
      <c r="F59" s="89">
        <v>-16.2</v>
      </c>
      <c r="G59" s="89"/>
      <c r="I59" t="s">
        <v>52</v>
      </c>
      <c r="J59" s="90">
        <v>13.4</v>
      </c>
      <c r="K59" s="90">
        <v>16.399999999999999</v>
      </c>
      <c r="L59" s="90">
        <v>11.5</v>
      </c>
      <c r="M59" s="90"/>
      <c r="P59" s="90"/>
      <c r="S59" s="90"/>
    </row>
    <row r="60" spans="1:20" x14ac:dyDescent="0.25">
      <c r="I60" t="s">
        <v>153</v>
      </c>
      <c r="J60" s="90">
        <v>35.6</v>
      </c>
      <c r="K60" s="90">
        <v>34.200000000000003</v>
      </c>
      <c r="L60" s="90">
        <v>41</v>
      </c>
      <c r="M60" s="90"/>
      <c r="P60" s="90"/>
      <c r="S60" s="90"/>
    </row>
    <row r="62" spans="1:20" x14ac:dyDescent="0.25">
      <c r="A62" s="99" t="s">
        <v>119</v>
      </c>
      <c r="B62" s="99"/>
      <c r="C62" s="99"/>
      <c r="D62" s="83" t="s">
        <v>64</v>
      </c>
      <c r="E62" s="83" t="s">
        <v>64</v>
      </c>
      <c r="F62" s="89">
        <v>-6.8</v>
      </c>
      <c r="G62" s="89"/>
    </row>
    <row r="63" spans="1:20" x14ac:dyDescent="0.25">
      <c r="A63" s="99" t="s">
        <v>120</v>
      </c>
      <c r="B63" s="99"/>
      <c r="C63" s="99"/>
      <c r="D63" s="89">
        <v>-20.3</v>
      </c>
      <c r="E63" s="83" t="s">
        <v>64</v>
      </c>
      <c r="F63" s="83" t="s">
        <v>64</v>
      </c>
      <c r="G63" s="83"/>
    </row>
    <row r="64" spans="1:20" x14ac:dyDescent="0.25">
      <c r="A64" s="99" t="s">
        <v>51</v>
      </c>
      <c r="B64" s="99"/>
      <c r="C64" s="99"/>
      <c r="D64" s="89">
        <v>-3.3</v>
      </c>
      <c r="E64" s="89">
        <v>-2.2999999999999998</v>
      </c>
      <c r="F64" s="88">
        <v>0.7</v>
      </c>
      <c r="G64" s="88"/>
    </row>
    <row r="65" spans="1:7" x14ac:dyDescent="0.25">
      <c r="A65" s="99" t="s">
        <v>121</v>
      </c>
      <c r="B65" s="99"/>
      <c r="C65" s="99"/>
      <c r="D65" s="88">
        <v>244</v>
      </c>
      <c r="E65" s="89">
        <v>-347.7</v>
      </c>
      <c r="F65" s="88">
        <v>1039.9000000000001</v>
      </c>
      <c r="G65" s="88"/>
    </row>
    <row r="66" spans="1:7" x14ac:dyDescent="0.25">
      <c r="A66" s="99" t="s">
        <v>122</v>
      </c>
      <c r="B66" s="99"/>
      <c r="C66" s="99"/>
      <c r="D66" s="89">
        <v>-2.9</v>
      </c>
      <c r="E66" s="88">
        <v>17.7</v>
      </c>
      <c r="F66" s="89">
        <v>-21.7</v>
      </c>
      <c r="G66" s="89"/>
    </row>
    <row r="67" spans="1:7" x14ac:dyDescent="0.25">
      <c r="A67" s="99" t="s">
        <v>123</v>
      </c>
      <c r="B67" s="99"/>
      <c r="C67" s="99"/>
      <c r="D67" s="88">
        <v>294.8</v>
      </c>
      <c r="E67" s="89">
        <v>-57.6</v>
      </c>
      <c r="F67" s="89">
        <v>-166.1</v>
      </c>
      <c r="G67" s="89"/>
    </row>
    <row r="68" spans="1:7" x14ac:dyDescent="0.25">
      <c r="A68" s="99" t="s">
        <v>124</v>
      </c>
      <c r="B68" s="99"/>
      <c r="C68" s="99"/>
      <c r="D68" s="88">
        <v>159.19999999999999</v>
      </c>
      <c r="E68" s="88">
        <v>454</v>
      </c>
      <c r="F68" s="88">
        <v>396.4</v>
      </c>
      <c r="G68" s="88"/>
    </row>
    <row r="69" spans="1:7" x14ac:dyDescent="0.25">
      <c r="A69" s="99" t="s">
        <v>125</v>
      </c>
      <c r="B69" s="99"/>
      <c r="C69" s="99"/>
      <c r="D69" s="87">
        <v>454</v>
      </c>
      <c r="E69" s="87">
        <v>396.4</v>
      </c>
      <c r="F69" s="87">
        <v>230.3</v>
      </c>
      <c r="G69" s="87"/>
    </row>
  </sheetData>
  <sortState xmlns:xlrd2="http://schemas.microsoft.com/office/spreadsheetml/2017/richdata2" columnSort="1" ref="J6:T60">
    <sortCondition ref="J6:T6"/>
  </sortState>
  <mergeCells count="61">
    <mergeCell ref="A6:C6"/>
    <mergeCell ref="A5:C5"/>
    <mergeCell ref="A1:F1"/>
    <mergeCell ref="A4:C4"/>
    <mergeCell ref="D4:G4"/>
    <mergeCell ref="A11:C11"/>
    <mergeCell ref="A10:C10"/>
    <mergeCell ref="A9:C9"/>
    <mergeCell ref="A8:C8"/>
    <mergeCell ref="A7:C7"/>
    <mergeCell ref="A17:C17"/>
    <mergeCell ref="A16:C16"/>
    <mergeCell ref="A15:C15"/>
    <mergeCell ref="A14:C14"/>
    <mergeCell ref="A13:C13"/>
    <mergeCell ref="A23:C23"/>
    <mergeCell ref="A21:C21"/>
    <mergeCell ref="A20:C20"/>
    <mergeCell ref="A19:C19"/>
    <mergeCell ref="A18:C18"/>
    <mergeCell ref="A28:C28"/>
    <mergeCell ref="A27:C27"/>
    <mergeCell ref="A26:C26"/>
    <mergeCell ref="A25:C25"/>
    <mergeCell ref="A24:C24"/>
    <mergeCell ref="A33:C33"/>
    <mergeCell ref="A32:C32"/>
    <mergeCell ref="A31:C31"/>
    <mergeCell ref="A30:C30"/>
    <mergeCell ref="A29:C29"/>
    <mergeCell ref="A39:C39"/>
    <mergeCell ref="A38:C38"/>
    <mergeCell ref="A37:C37"/>
    <mergeCell ref="A36:C36"/>
    <mergeCell ref="A34:C34"/>
    <mergeCell ref="A47:C47"/>
    <mergeCell ref="A46:C46"/>
    <mergeCell ref="A45:C45"/>
    <mergeCell ref="A44:C44"/>
    <mergeCell ref="A43:C43"/>
    <mergeCell ref="A54:C54"/>
    <mergeCell ref="A53:C53"/>
    <mergeCell ref="A52:C52"/>
    <mergeCell ref="A51:C51"/>
    <mergeCell ref="A48:C48"/>
    <mergeCell ref="I1:N1"/>
    <mergeCell ref="I3:T3"/>
    <mergeCell ref="J5:T5"/>
    <mergeCell ref="A69:C69"/>
    <mergeCell ref="A68:C68"/>
    <mergeCell ref="A67:C67"/>
    <mergeCell ref="A66:C66"/>
    <mergeCell ref="A65:C65"/>
    <mergeCell ref="A64:C64"/>
    <mergeCell ref="A63:C63"/>
    <mergeCell ref="A62:C62"/>
    <mergeCell ref="A59:C59"/>
    <mergeCell ref="A58:C58"/>
    <mergeCell ref="A57:C57"/>
    <mergeCell ref="A56:C56"/>
    <mergeCell ref="A55:C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8" sqref="E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2" x14ac:dyDescent="0.25">
      <c r="A4" s="44" t="s">
        <v>40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5">
        <f>'MLKN DCF'!J37</f>
        <v>0.23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5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6">
        <v>1.8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'MLKN DCF'!D64</f>
        <v>1088.2949640100001</v>
      </c>
      <c r="D12" s="2"/>
      <c r="E12" s="2" t="s">
        <v>33</v>
      </c>
      <c r="F12" s="2"/>
      <c r="G12" s="23">
        <f>'MLKN DCF'!D61</f>
        <v>450.50000000000006</v>
      </c>
      <c r="H12" s="2"/>
      <c r="I12" s="2" t="s">
        <v>45</v>
      </c>
      <c r="J12" s="2"/>
      <c r="K12" s="23">
        <f>G12+C12</f>
        <v>1538.7949640100001</v>
      </c>
      <c r="L12" s="2"/>
    </row>
    <row r="13" spans="1:12" x14ac:dyDescent="0.25">
      <c r="A13" s="2" t="s">
        <v>46</v>
      </c>
      <c r="B13" s="2"/>
      <c r="C13" s="47">
        <f>C12/K12</f>
        <v>0.70723844921741474</v>
      </c>
      <c r="D13" s="2"/>
      <c r="E13" s="2" t="s">
        <v>47</v>
      </c>
      <c r="F13" s="2"/>
      <c r="G13" s="48">
        <f>G12/K12</f>
        <v>0.29276155078258526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9">
        <f>D7+D8*(D9)</f>
        <v>0.14499999999999999</v>
      </c>
      <c r="D14" s="2"/>
      <c r="E14" s="2" t="s">
        <v>49</v>
      </c>
      <c r="F14" s="2"/>
      <c r="G14" s="48">
        <v>0.08</v>
      </c>
      <c r="H14" s="2"/>
      <c r="I14" s="50" t="s">
        <v>1</v>
      </c>
      <c r="J14" s="51"/>
      <c r="K14" s="52">
        <f>C13*C14+G14*G13*(1-D6)</f>
        <v>0.12058368666473238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MLKN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2023-06-26T12:56:27Z</dcterms:modified>
</cp:coreProperties>
</file>