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1\Desktop\DCFs\"/>
    </mc:Choice>
  </mc:AlternateContent>
  <xr:revisionPtr revIDLastSave="0" documentId="8_{2BAF8142-A453-4BF7-83B6-CA4D22967AE7}" xr6:coauthVersionLast="47" xr6:coauthVersionMax="47" xr10:uidLastSave="{00000000-0000-0000-0000-000000000000}"/>
  <bookViews>
    <workbookView xWindow="-120" yWindow="-120" windowWidth="20730" windowHeight="11040" xr2:uid="{3F256251-7061-49B2-9B0B-301EC1E08ECF}"/>
  </bookViews>
  <sheets>
    <sheet name="EL DCF" sheetId="1" r:id="rId1"/>
    <sheet name="Raw IS" sheetId="3" r:id="rId2"/>
    <sheet name="Raw CF" sheetId="4" r:id="rId3"/>
    <sheet name="WACC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" l="1"/>
  <c r="L63" i="1" l="1"/>
  <c r="L62" i="1"/>
  <c r="D6" i="2"/>
  <c r="D60" i="1"/>
  <c r="D62" i="1"/>
  <c r="J51" i="1"/>
  <c r="K51" i="1"/>
  <c r="L51" i="1"/>
  <c r="M51" i="1"/>
  <c r="N51" i="1"/>
  <c r="O51" i="1"/>
  <c r="P51" i="1"/>
  <c r="Q51" i="1"/>
  <c r="R51" i="1"/>
  <c r="I51" i="1"/>
  <c r="I33" i="1"/>
  <c r="J33" i="1"/>
  <c r="K33" i="1"/>
  <c r="L33" i="1"/>
  <c r="M33" i="1"/>
  <c r="N33" i="1"/>
  <c r="O33" i="1"/>
  <c r="P33" i="1"/>
  <c r="Q33" i="1"/>
  <c r="R33" i="1"/>
  <c r="J25" i="1"/>
  <c r="K25" i="1"/>
  <c r="L25" i="1"/>
  <c r="M25" i="1"/>
  <c r="N25" i="1"/>
  <c r="O25" i="1"/>
  <c r="P25" i="1"/>
  <c r="Q25" i="1"/>
  <c r="R25" i="1"/>
  <c r="I25" i="1"/>
  <c r="J22" i="1"/>
  <c r="K22" i="1"/>
  <c r="L22" i="1"/>
  <c r="M22" i="1"/>
  <c r="N22" i="1"/>
  <c r="O22" i="1"/>
  <c r="P22" i="1"/>
  <c r="Q22" i="1"/>
  <c r="R22" i="1"/>
  <c r="I22" i="1"/>
  <c r="J19" i="1"/>
  <c r="K19" i="1"/>
  <c r="L19" i="1"/>
  <c r="M19" i="1"/>
  <c r="N19" i="1"/>
  <c r="O19" i="1"/>
  <c r="P19" i="1"/>
  <c r="Q19" i="1"/>
  <c r="R19" i="1"/>
  <c r="I19" i="1"/>
  <c r="H24" i="1"/>
  <c r="H21" i="1"/>
  <c r="I44" i="1"/>
  <c r="J44" i="1"/>
  <c r="K44" i="1"/>
  <c r="L44" i="1"/>
  <c r="M44" i="1"/>
  <c r="N44" i="1"/>
  <c r="O44" i="1"/>
  <c r="P44" i="1"/>
  <c r="Q44" i="1"/>
  <c r="R44" i="1"/>
  <c r="I41" i="1" l="1"/>
  <c r="J41" i="1"/>
  <c r="K41" i="1"/>
  <c r="L41" i="1"/>
  <c r="M41" i="1"/>
  <c r="N41" i="1"/>
  <c r="O41" i="1"/>
  <c r="P41" i="1"/>
  <c r="Q41" i="1"/>
  <c r="I28" i="1"/>
  <c r="C53" i="1"/>
  <c r="G46" i="1"/>
  <c r="H46" i="1"/>
  <c r="F46" i="1"/>
  <c r="D46" i="1"/>
  <c r="E46" i="1"/>
  <c r="C46" i="1"/>
  <c r="G43" i="1"/>
  <c r="H43" i="1"/>
  <c r="F43" i="1"/>
  <c r="D43" i="1"/>
  <c r="E43" i="1"/>
  <c r="C43" i="1"/>
  <c r="G40" i="1"/>
  <c r="H40" i="1"/>
  <c r="F40" i="1"/>
  <c r="D40" i="1"/>
  <c r="E40" i="1"/>
  <c r="C40" i="1"/>
  <c r="D49" i="1"/>
  <c r="E49" i="1"/>
  <c r="F49" i="1"/>
  <c r="G49" i="1"/>
  <c r="H49" i="1"/>
  <c r="C49" i="1"/>
  <c r="C33" i="3"/>
  <c r="B33" i="3"/>
  <c r="G36" i="1"/>
  <c r="H36" i="1"/>
  <c r="F36" i="1"/>
  <c r="D36" i="1"/>
  <c r="E36" i="1"/>
  <c r="C36" i="1"/>
  <c r="E25" i="1"/>
  <c r="G25" i="1"/>
  <c r="G22" i="1"/>
  <c r="H22" i="1"/>
  <c r="H23" i="1" s="1"/>
  <c r="F22" i="1"/>
  <c r="D22" i="1"/>
  <c r="D23" i="1" s="1"/>
  <c r="E22" i="1"/>
  <c r="E23" i="1" s="1"/>
  <c r="C22" i="1"/>
  <c r="C23" i="1" s="1"/>
  <c r="G19" i="1"/>
  <c r="H19" i="1"/>
  <c r="H25" i="1" s="1"/>
  <c r="F19" i="1"/>
  <c r="F25" i="1" s="1"/>
  <c r="D19" i="1"/>
  <c r="D25" i="1" s="1"/>
  <c r="D27" i="1" s="1"/>
  <c r="D31" i="1" s="1"/>
  <c r="D51" i="1" s="1"/>
  <c r="E19" i="1"/>
  <c r="C19" i="1"/>
  <c r="C25" i="1" s="1"/>
  <c r="G14" i="1"/>
  <c r="H14" i="1"/>
  <c r="F14" i="1"/>
  <c r="D14" i="1"/>
  <c r="E14" i="1"/>
  <c r="C14" i="1"/>
  <c r="G11" i="1"/>
  <c r="G16" i="1" s="1"/>
  <c r="G27" i="1" s="1"/>
  <c r="G31" i="1" s="1"/>
  <c r="G51" i="1" s="1"/>
  <c r="H11" i="1"/>
  <c r="R28" i="1" s="1"/>
  <c r="F11" i="1"/>
  <c r="F16" i="1" s="1"/>
  <c r="F27" i="1" s="1"/>
  <c r="F31" i="1" s="1"/>
  <c r="F51" i="1" s="1"/>
  <c r="D11" i="1"/>
  <c r="D16" i="1" s="1"/>
  <c r="E11" i="1"/>
  <c r="E20" i="1" s="1"/>
  <c r="C11" i="1"/>
  <c r="C16" i="1" s="1"/>
  <c r="C27" i="1" s="1"/>
  <c r="C31" i="1" s="1"/>
  <c r="C51" i="1" s="1"/>
  <c r="L60" i="1"/>
  <c r="L59" i="1" s="1"/>
  <c r="G12" i="2"/>
  <c r="D63" i="1"/>
  <c r="C12" i="2" s="1"/>
  <c r="C14" i="2"/>
  <c r="J9" i="1"/>
  <c r="K9" i="1" s="1"/>
  <c r="L9" i="1" s="1"/>
  <c r="M9" i="1" s="1"/>
  <c r="N9" i="1" s="1"/>
  <c r="O9" i="1" s="1"/>
  <c r="P9" i="1" s="1"/>
  <c r="Q9" i="1" s="1"/>
  <c r="R9" i="1" s="1"/>
  <c r="G23" i="1" l="1"/>
  <c r="E41" i="1"/>
  <c r="F23" i="1"/>
  <c r="C41" i="1"/>
  <c r="E16" i="1"/>
  <c r="E27" i="1" s="1"/>
  <c r="E31" i="1" s="1"/>
  <c r="E51" i="1" s="1"/>
  <c r="H16" i="1"/>
  <c r="H27" i="1" s="1"/>
  <c r="H31" i="1" s="1"/>
  <c r="H51" i="1" s="1"/>
  <c r="D47" i="1"/>
  <c r="F12" i="1"/>
  <c r="F20" i="1"/>
  <c r="C29" i="1"/>
  <c r="D29" i="1"/>
  <c r="H29" i="1"/>
  <c r="E29" i="1"/>
  <c r="F29" i="1"/>
  <c r="G29" i="1"/>
  <c r="R40" i="1"/>
  <c r="P28" i="1"/>
  <c r="N28" i="1"/>
  <c r="L28" i="1"/>
  <c r="J28" i="1"/>
  <c r="Q28" i="1"/>
  <c r="O28" i="1"/>
  <c r="M28" i="1"/>
  <c r="K28" i="1"/>
  <c r="C47" i="1"/>
  <c r="D41" i="1"/>
  <c r="F44" i="1"/>
  <c r="F47" i="1"/>
  <c r="G44" i="1"/>
  <c r="E47" i="1"/>
  <c r="G47" i="1"/>
  <c r="G41" i="1"/>
  <c r="G12" i="1"/>
  <c r="F41" i="1"/>
  <c r="G20" i="1"/>
  <c r="D20" i="1"/>
  <c r="C20" i="1"/>
  <c r="D12" i="1"/>
  <c r="D44" i="1"/>
  <c r="H12" i="1"/>
  <c r="I16" i="1"/>
  <c r="D17" i="1"/>
  <c r="F17" i="1"/>
  <c r="C17" i="1"/>
  <c r="H20" i="1"/>
  <c r="H41" i="1"/>
  <c r="C44" i="1"/>
  <c r="H44" i="1"/>
  <c r="H47" i="1"/>
  <c r="E12" i="1"/>
  <c r="E44" i="1"/>
  <c r="K12" i="2"/>
  <c r="G13" i="2" s="1"/>
  <c r="G17" i="1"/>
  <c r="G33" i="1" l="1"/>
  <c r="E17" i="1"/>
  <c r="E33" i="1"/>
  <c r="E53" i="1" s="1"/>
  <c r="I14" i="1"/>
  <c r="H17" i="1"/>
  <c r="C13" i="2"/>
  <c r="K14" i="2" s="1"/>
  <c r="F33" i="1"/>
  <c r="D33" i="1"/>
  <c r="H33" i="1"/>
  <c r="H53" i="1" s="1"/>
  <c r="G37" i="1"/>
  <c r="G53" i="1"/>
  <c r="G34" i="1" l="1"/>
  <c r="E34" i="1"/>
  <c r="E37" i="1"/>
  <c r="H34" i="1"/>
  <c r="F37" i="1"/>
  <c r="F53" i="1"/>
  <c r="D53" i="1"/>
  <c r="C33" i="1"/>
  <c r="D34" i="1"/>
  <c r="D37" i="1"/>
  <c r="F34" i="1"/>
  <c r="H37" i="1"/>
  <c r="C37" i="1" l="1"/>
  <c r="C34" i="1"/>
  <c r="I46" i="1"/>
  <c r="I27" i="1" l="1"/>
  <c r="I31" i="1" s="1"/>
  <c r="I34" i="1" l="1"/>
  <c r="I36" i="1"/>
  <c r="I49" i="1" l="1"/>
  <c r="I53" i="1" s="1"/>
  <c r="I54" i="1" s="1"/>
  <c r="J46" i="1"/>
  <c r="J27" i="1"/>
  <c r="J16" i="1"/>
  <c r="J14" i="1" s="1"/>
  <c r="J31" i="1" l="1"/>
  <c r="J36" i="1" l="1"/>
  <c r="K16" i="1"/>
  <c r="K14" i="1" s="1"/>
  <c r="K46" i="1"/>
  <c r="K27" i="1"/>
  <c r="J34" i="1" l="1"/>
  <c r="K31" i="1"/>
  <c r="J49" i="1"/>
  <c r="J53" i="1" s="1"/>
  <c r="J54" i="1" s="1"/>
  <c r="L16" i="1"/>
  <c r="L14" i="1" s="1"/>
  <c r="L27" i="1"/>
  <c r="L46" i="1"/>
  <c r="L31" i="1" l="1"/>
  <c r="K36" i="1" l="1"/>
  <c r="K34" i="1"/>
  <c r="L36" i="1"/>
  <c r="L34" i="1"/>
  <c r="L49" i="1"/>
  <c r="L53" i="1" s="1"/>
  <c r="L54" i="1" s="1"/>
  <c r="M27" i="1"/>
  <c r="M46" i="1"/>
  <c r="M16" i="1"/>
  <c r="M14" i="1" s="1"/>
  <c r="M31" i="1" l="1"/>
  <c r="K49" i="1"/>
  <c r="K53" i="1" s="1"/>
  <c r="K54" i="1" s="1"/>
  <c r="M34" i="1" l="1"/>
  <c r="N27" i="1"/>
  <c r="N46" i="1"/>
  <c r="N16" i="1"/>
  <c r="N14" i="1" s="1"/>
  <c r="M36" i="1" l="1"/>
  <c r="M49" i="1" s="1"/>
  <c r="M53" i="1" s="1"/>
  <c r="M54" i="1" s="1"/>
  <c r="N31" i="1"/>
  <c r="N36" i="1" l="1"/>
  <c r="N34" i="1"/>
  <c r="N49" i="1" l="1"/>
  <c r="N53" i="1" s="1"/>
  <c r="N54" i="1" s="1"/>
  <c r="O46" i="1"/>
  <c r="O27" i="1"/>
  <c r="O16" i="1"/>
  <c r="O14" i="1" s="1"/>
  <c r="O31" i="1" l="1"/>
  <c r="O34" i="1" l="1"/>
  <c r="P27" i="1"/>
  <c r="P46" i="1"/>
  <c r="P16" i="1"/>
  <c r="P14" i="1" s="1"/>
  <c r="O36" i="1" l="1"/>
  <c r="P31" i="1"/>
  <c r="O49" i="1" l="1"/>
  <c r="O53" i="1" s="1"/>
  <c r="O54" i="1" s="1"/>
  <c r="P34" i="1"/>
  <c r="P36" i="1" l="1"/>
  <c r="Q16" i="1"/>
  <c r="Q14" i="1" s="1"/>
  <c r="Q27" i="1"/>
  <c r="Q46" i="1"/>
  <c r="P49" i="1" l="1"/>
  <c r="P53" i="1" s="1"/>
  <c r="P54" i="1" s="1"/>
  <c r="Q31" i="1"/>
  <c r="R27" i="1"/>
  <c r="R16" i="1" l="1"/>
  <c r="R14" i="1" s="1"/>
  <c r="R46" i="1"/>
  <c r="R31" i="1" l="1"/>
  <c r="Q34" i="1"/>
  <c r="Q36" i="1"/>
  <c r="Q49" i="1" s="1"/>
  <c r="Q53" i="1" s="1"/>
  <c r="Q54" i="1" s="1"/>
  <c r="R34" i="1" l="1"/>
  <c r="R36" i="1"/>
  <c r="R49" i="1" l="1"/>
  <c r="R53" i="1" s="1"/>
  <c r="C56" i="1" s="1"/>
  <c r="C57" i="1" s="1"/>
  <c r="S51" i="1"/>
  <c r="R54" i="1" l="1"/>
  <c r="T51" i="1"/>
  <c r="U51" i="1" s="1"/>
  <c r="V51" i="1" s="1"/>
  <c r="W51" i="1" s="1"/>
  <c r="X51" i="1" s="1"/>
  <c r="Y51" i="1" s="1"/>
  <c r="Z51" i="1" s="1"/>
  <c r="AA51" i="1" s="1"/>
  <c r="AB51" i="1" s="1"/>
  <c r="AC51" i="1" s="1"/>
  <c r="AD51" i="1" s="1"/>
  <c r="AE51" i="1" s="1"/>
  <c r="AF51" i="1" s="1"/>
  <c r="AG51" i="1" s="1"/>
  <c r="AH51" i="1" s="1"/>
  <c r="AI51" i="1" s="1"/>
  <c r="AJ51" i="1" s="1"/>
  <c r="AK51" i="1" s="1"/>
  <c r="AL51" i="1" s="1"/>
  <c r="AM51" i="1" s="1"/>
  <c r="AN51" i="1" s="1"/>
  <c r="AO51" i="1" s="1"/>
  <c r="AP51" i="1" s="1"/>
  <c r="AQ51" i="1" s="1"/>
  <c r="AR51" i="1" s="1"/>
  <c r="AS51" i="1" s="1"/>
  <c r="AT51" i="1" s="1"/>
  <c r="AU51" i="1" s="1"/>
  <c r="AV51" i="1" s="1"/>
  <c r="AW51" i="1" s="1"/>
  <c r="AX51" i="1" s="1"/>
  <c r="AY51" i="1" s="1"/>
  <c r="AZ51" i="1" s="1"/>
  <c r="BA51" i="1" s="1"/>
  <c r="BB51" i="1" s="1"/>
  <c r="BC51" i="1" s="1"/>
  <c r="BD51" i="1" s="1"/>
  <c r="BE51" i="1" s="1"/>
  <c r="BF51" i="1" s="1"/>
  <c r="BG51" i="1" s="1"/>
  <c r="BH51" i="1" s="1"/>
  <c r="BI51" i="1" s="1"/>
  <c r="BJ51" i="1" s="1"/>
  <c r="BK51" i="1" s="1"/>
  <c r="BL51" i="1" s="1"/>
  <c r="BM51" i="1" s="1"/>
  <c r="BN51" i="1" s="1"/>
  <c r="BO51" i="1" s="1"/>
  <c r="BP51" i="1" s="1"/>
  <c r="BQ51" i="1" s="1"/>
  <c r="BR51" i="1" s="1"/>
  <c r="BS51" i="1" s="1"/>
  <c r="BT51" i="1" s="1"/>
  <c r="BU51" i="1" s="1"/>
  <c r="BV51" i="1" s="1"/>
  <c r="BW51" i="1" s="1"/>
  <c r="BX51" i="1" s="1"/>
  <c r="BY51" i="1" s="1"/>
  <c r="BZ51" i="1" s="1"/>
  <c r="CA51" i="1" s="1"/>
  <c r="CB51" i="1" s="1"/>
  <c r="CC51" i="1" s="1"/>
  <c r="CD51" i="1" s="1"/>
  <c r="CE51" i="1" s="1"/>
  <c r="CF51" i="1" s="1"/>
  <c r="CG51" i="1" s="1"/>
  <c r="CH51" i="1" s="1"/>
  <c r="G59" i="1"/>
  <c r="G61" i="1" s="1"/>
  <c r="G64" i="1" s="1"/>
  <c r="F56" i="1" l="1"/>
  <c r="H59" i="1" s="1"/>
  <c r="H61" i="1" s="1"/>
  <c r="H64" i="1" s="1"/>
  <c r="E64" i="1" s="1"/>
  <c r="L58" i="1" s="1"/>
  <c r="J6" i="1" l="1"/>
  <c r="N5" i="1" s="1"/>
</calcChain>
</file>

<file path=xl/sharedStrings.xml><?xml version="1.0" encoding="utf-8"?>
<sst xmlns="http://schemas.openxmlformats.org/spreadsheetml/2006/main" count="289" uniqueCount="154">
  <si>
    <t xml:space="preserve">Valuation Assumptions: </t>
  </si>
  <si>
    <t>WACC</t>
  </si>
  <si>
    <t>Current price   :</t>
  </si>
  <si>
    <t xml:space="preserve">Upside/Downside : </t>
  </si>
  <si>
    <t>Terminal rate</t>
  </si>
  <si>
    <t xml:space="preserve">Implied price   : </t>
  </si>
  <si>
    <t>Income Statement</t>
  </si>
  <si>
    <t>Revenue</t>
  </si>
  <si>
    <t>% growth</t>
  </si>
  <si>
    <t>COGS</t>
  </si>
  <si>
    <t>Gross Profit</t>
  </si>
  <si>
    <t>% Gross Margin</t>
  </si>
  <si>
    <t>Opex</t>
  </si>
  <si>
    <t>Operating income</t>
  </si>
  <si>
    <t>Pre-tax income</t>
  </si>
  <si>
    <t>EBIT</t>
  </si>
  <si>
    <t>% Revenue</t>
  </si>
  <si>
    <t>Taxes</t>
  </si>
  <si>
    <t>% EBIT</t>
  </si>
  <si>
    <t>Cash Flow Statement</t>
  </si>
  <si>
    <t>D&amp;A</t>
  </si>
  <si>
    <t>CapEx</t>
  </si>
  <si>
    <t>change NWC</t>
  </si>
  <si>
    <t>EBIAT</t>
  </si>
  <si>
    <t>Net income</t>
  </si>
  <si>
    <t>FCF</t>
  </si>
  <si>
    <t>Present value FCF</t>
  </si>
  <si>
    <t>TV</t>
  </si>
  <si>
    <t>DNI</t>
  </si>
  <si>
    <t>PV of TV</t>
  </si>
  <si>
    <t>Enterprise Value</t>
  </si>
  <si>
    <t>DCF</t>
  </si>
  <si>
    <t>Cash</t>
  </si>
  <si>
    <t>Debt</t>
  </si>
  <si>
    <t>Equity Value</t>
  </si>
  <si>
    <t>Shares</t>
  </si>
  <si>
    <t xml:space="preserve">Current market cap </t>
  </si>
  <si>
    <t>Share Price</t>
  </si>
  <si>
    <t>Mean:</t>
  </si>
  <si>
    <t>SG&amp;A</t>
  </si>
  <si>
    <t xml:space="preserve">Assumpions: </t>
  </si>
  <si>
    <t>Tax Rate</t>
  </si>
  <si>
    <t>Risk Free Rate</t>
  </si>
  <si>
    <t>Beta</t>
  </si>
  <si>
    <t>Market Risk Premium</t>
  </si>
  <si>
    <t>D+E</t>
  </si>
  <si>
    <t>% Equity</t>
  </si>
  <si>
    <t>% Debt</t>
  </si>
  <si>
    <t>Cost of Equity</t>
  </si>
  <si>
    <t>Cost of Debt</t>
  </si>
  <si>
    <t>NCI</t>
  </si>
  <si>
    <t>Depreciation and amortization</t>
  </si>
  <si>
    <t>Diluted</t>
  </si>
  <si>
    <t>Basic</t>
  </si>
  <si>
    <t>Weighted average number of common and common equivalent</t>
  </si>
  <si>
    <t>shares outstanding:</t>
  </si>
  <si>
    <t>CONSOLIDATED STATEMENTS OF CASH FLOWS</t>
  </si>
  <si>
    <t>Deferred income taxes</t>
  </si>
  <si>
    <t>Cash, cash equivalents and restricted cash,</t>
  </si>
  <si>
    <t>beginning of year</t>
  </si>
  <si>
    <t>Cash, cash equivalents and restricted cash, end of</t>
  </si>
  <si>
    <t>year</t>
  </si>
  <si>
    <t>Supplemental disclosure of cash flow information:</t>
  </si>
  <si>
    <t>Interest paid</t>
  </si>
  <si>
    <t>Income taxes paid</t>
  </si>
  <si>
    <t>Other income, net</t>
  </si>
  <si>
    <t>Other</t>
  </si>
  <si>
    <t>liabilities</t>
  </si>
  <si>
    <t>Other income</t>
  </si>
  <si>
    <t>Update: 09/06/2023</t>
  </si>
  <si>
    <t>Terminal Growth Rate</t>
  </si>
  <si>
    <t>THE ESTÉE LAUDER COMPANIES INC.</t>
  </si>
  <si>
    <t>CONSOLIDATED STATEMENTS OF EARNINGS</t>
  </si>
  <si>
    <t>Year Ended June 30</t>
  </si>
  <si>
    <t>(In millions, except per share data)</t>
  </si>
  <si>
    <t>Net sales</t>
  </si>
  <si>
    <t>Cost of sales</t>
  </si>
  <si>
    <t>Gross profit</t>
  </si>
  <si>
    <t>Operating expenses</t>
  </si>
  <si>
    <t>Selling, general and administrative</t>
  </si>
  <si>
    <t>Restructuring and other charges</t>
  </si>
  <si>
    <t>Goodwill impairment</t>
  </si>
  <si>
    <t xml:space="preserve">                     -  </t>
  </si>
  <si>
    <t xml:space="preserve">                                 -  </t>
  </si>
  <si>
    <t>Impairment of other intangible and long-lived assets</t>
  </si>
  <si>
    <t>Total operating expenses</t>
  </si>
  <si>
    <t>Interest expense</t>
  </si>
  <si>
    <t>Interest income and investment income, net</t>
  </si>
  <si>
    <t>Other components of net periodic benefit cost</t>
  </si>
  <si>
    <t>Earnings before income taxes</t>
  </si>
  <si>
    <t>Provision for income taxes</t>
  </si>
  <si>
    <t>Net earnings</t>
  </si>
  <si>
    <t>Net earnings attributable to noncontrolling interests</t>
  </si>
  <si>
    <t>Net loss (earnings) attributable to redeemable</t>
  </si>
  <si>
    <t>noncontrolling interest</t>
  </si>
  <si>
    <t>Net earnings attributable to The Estée Lauder Companies Inc.</t>
  </si>
  <si>
    <t>per common share</t>
  </si>
  <si>
    <t>Weighted-average common shares outstanding</t>
  </si>
  <si>
    <t>(In millions)</t>
  </si>
  <si>
    <t>Cash flows from operating activities</t>
  </si>
  <si>
    <t>Adjustments to reconcile net earnings to net cash flows</t>
  </si>
  <si>
    <t>from operating activities:</t>
  </si>
  <si>
    <t>Non-cash stock-based compensation</t>
  </si>
  <si>
    <t>Net loss on disposal of property, plant and equipment</t>
  </si>
  <si>
    <t>Non-cash restructuring and other charges</t>
  </si>
  <si>
    <t>Pension and post-retirement benefit expense</t>
  </si>
  <si>
    <t>Pension and post-retirement benefit contributions</t>
  </si>
  <si>
    <t>Goodwill, other intangible and long-lived asset impairments</t>
  </si>
  <si>
    <t>Changes in fair value of contingent consideration</t>
  </si>
  <si>
    <t>Gain on previously held equity method investment</t>
  </si>
  <si>
    <t>Other non-cash items</t>
  </si>
  <si>
    <t>Changes in operating assets and liabilities:</t>
  </si>
  <si>
    <t>Decrease (increase) in accounts receivable, net</t>
  </si>
  <si>
    <t>Increase in inventory and promotional merchandise</t>
  </si>
  <si>
    <t>Decrease (increase) in other assets, net</t>
  </si>
  <si>
    <t>Increase (decrease) in accounts payable</t>
  </si>
  <si>
    <t>Increase (decrease) in other accrued and noncurrent</t>
  </si>
  <si>
    <t>Decrease in operating lease assets and liabilities, net</t>
  </si>
  <si>
    <t>Net cash flows provided by operating activities</t>
  </si>
  <si>
    <t>Cash flows from investing activities</t>
  </si>
  <si>
    <t>Capital expenditures</t>
  </si>
  <si>
    <t>Proceeds from purchase price refund</t>
  </si>
  <si>
    <t>Payments for acquired businesses, net of cash acquired</t>
  </si>
  <si>
    <t>Purchases of other intangible assets</t>
  </si>
  <si>
    <t>Purchases of investments</t>
  </si>
  <si>
    <t>Settlement of net investment hedges</t>
  </si>
  <si>
    <t>Net cash flows used for investing activities</t>
  </si>
  <si>
    <t>Cash flows from financing activities</t>
  </si>
  <si>
    <t>Proceeds (repayments) of current debt, net (Note 11)</t>
  </si>
  <si>
    <t>Proceeds from issuance of long-term debt, net</t>
  </si>
  <si>
    <t>Debt issuance costs</t>
  </si>
  <si>
    <t>Repayments and redemptions of long-term debt</t>
  </si>
  <si>
    <t>Net proceeds from stock-based compensation transactions</t>
  </si>
  <si>
    <t>Payment for acquisition of noncontrolling interest</t>
  </si>
  <si>
    <t>Payments to acquire treasury stock</t>
  </si>
  <si>
    <t>Dividends paid to stockholders</t>
  </si>
  <si>
    <t>Payments to noncontrolling interest holders for dividends</t>
  </si>
  <si>
    <t>Payments of contingent consideration</t>
  </si>
  <si>
    <t>Net cash flows provided by (used for) financing activities</t>
  </si>
  <si>
    <t>Effect of exchange rate changes on Cash and cash</t>
  </si>
  <si>
    <t>equivalents</t>
  </si>
  <si>
    <t>Net increase (decrease) in Cash and cash equivalents</t>
  </si>
  <si>
    <t>Cash and cash equivalents at beginning of year</t>
  </si>
  <si>
    <t>Cash and cash equivalents at end of year</t>
  </si>
  <si>
    <t>Impairments of other intangible and long-lived assets</t>
  </si>
  <si>
    <t>Gain on liquidation of an investment in a foreign</t>
  </si>
  <si>
    <t>subsidiary, net</t>
  </si>
  <si>
    <t>Increase in operating lease assets and liabilities, net</t>
  </si>
  <si>
    <t>Proceeds from the disposition of investments</t>
  </si>
  <si>
    <t>Proceeds from sale of property, plant and equipment</t>
  </si>
  <si>
    <t>Net cash flows provided by (used for) investing activities</t>
  </si>
  <si>
    <t>Proceeds (repayments) of current debt, net</t>
  </si>
  <si>
    <t>Net increase in Cash and cash equivalents</t>
  </si>
  <si>
    <t>Estée Lauder DCF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</si>
</sst>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_(&quot;$&quot;* #,##0_);_(&quot;$&quot;* \(#,##0\);_(&quot;$&quot;* &quot;-&quot;_);_(@_)"/>
    <numFmt numFmtId="166" formatCode="_(&quot;$&quot;* #,##0.00_);_(&quot;$&quot;* \(#,##0.00\);_(&quot;$&quot;* &quot;-&quot;??_);_(@_)"/>
    <numFmt numFmtId="167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1"/>
      </right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4">
    <xf numFmtId="0" fontId="0" fillId="0" borderId="0" xfId="0"/>
    <xf numFmtId="0" fontId="3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0" xfId="0" applyFont="1" applyFill="1"/>
    <xf numFmtId="0" fontId="6" fillId="2" borderId="0" xfId="0" applyFont="1" applyFill="1"/>
    <xf numFmtId="0" fontId="3" fillId="2" borderId="0" xfId="0" applyFont="1" applyFill="1" applyAlignment="1">
      <alignment horizontal="left"/>
    </xf>
    <xf numFmtId="164" fontId="3" fillId="2" borderId="0" xfId="0" applyNumberFormat="1" applyFont="1" applyFill="1" applyAlignment="1">
      <alignment horizontal="center"/>
    </xf>
    <xf numFmtId="0" fontId="6" fillId="3" borderId="0" xfId="0" applyFont="1" applyFill="1"/>
    <xf numFmtId="0" fontId="6" fillId="4" borderId="0" xfId="0" applyFont="1" applyFill="1"/>
    <xf numFmtId="3" fontId="3" fillId="2" borderId="0" xfId="0" applyNumberFormat="1" applyFont="1" applyFill="1"/>
    <xf numFmtId="0" fontId="3" fillId="2" borderId="3" xfId="0" applyFont="1" applyFill="1" applyBorder="1"/>
    <xf numFmtId="0" fontId="7" fillId="2" borderId="0" xfId="0" applyFont="1" applyFill="1"/>
    <xf numFmtId="164" fontId="7" fillId="2" borderId="0" xfId="1" applyNumberFormat="1" applyFont="1" applyFill="1"/>
    <xf numFmtId="0" fontId="3" fillId="2" borderId="2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1" fontId="3" fillId="2" borderId="0" xfId="0" applyNumberFormat="1" applyFont="1" applyFill="1"/>
    <xf numFmtId="164" fontId="7" fillId="2" borderId="3" xfId="1" applyNumberFormat="1" applyFont="1" applyFill="1" applyBorder="1"/>
    <xf numFmtId="1" fontId="3" fillId="2" borderId="3" xfId="0" applyNumberFormat="1" applyFont="1" applyFill="1" applyBorder="1"/>
    <xf numFmtId="10" fontId="3" fillId="2" borderId="0" xfId="1" applyNumberFormat="1" applyFont="1" applyFill="1"/>
    <xf numFmtId="0" fontId="0" fillId="2" borderId="3" xfId="0" applyFill="1" applyBorder="1"/>
    <xf numFmtId="3" fontId="0" fillId="2" borderId="0" xfId="0" applyNumberFormat="1" applyFill="1"/>
    <xf numFmtId="3" fontId="3" fillId="0" borderId="0" xfId="0" applyNumberFormat="1" applyFont="1"/>
    <xf numFmtId="0" fontId="3" fillId="4" borderId="0" xfId="0" applyFont="1" applyFill="1"/>
    <xf numFmtId="0" fontId="3" fillId="2" borderId="7" xfId="0" applyFont="1" applyFill="1" applyBorder="1"/>
    <xf numFmtId="1" fontId="0" fillId="2" borderId="0" xfId="0" applyNumberFormat="1" applyFill="1"/>
    <xf numFmtId="1" fontId="0" fillId="2" borderId="4" xfId="0" applyNumberFormat="1" applyFill="1" applyBorder="1"/>
    <xf numFmtId="0" fontId="0" fillId="5" borderId="0" xfId="0" applyFill="1"/>
    <xf numFmtId="0" fontId="3" fillId="2" borderId="0" xfId="0" quotePrefix="1" applyFont="1" applyFill="1"/>
    <xf numFmtId="0" fontId="3" fillId="2" borderId="1" xfId="0" quotePrefix="1" applyFont="1" applyFill="1" applyBorder="1"/>
    <xf numFmtId="3" fontId="6" fillId="2" borderId="0" xfId="0" applyNumberFormat="1" applyFont="1" applyFill="1"/>
    <xf numFmtId="3" fontId="2" fillId="2" borderId="0" xfId="0" applyNumberFormat="1" applyFont="1" applyFill="1"/>
    <xf numFmtId="0" fontId="0" fillId="2" borderId="6" xfId="0" applyFill="1" applyBorder="1"/>
    <xf numFmtId="0" fontId="3" fillId="2" borderId="8" xfId="0" applyFont="1" applyFill="1" applyBorder="1"/>
    <xf numFmtId="2" fontId="6" fillId="2" borderId="0" xfId="0" applyNumberFormat="1" applyFont="1" applyFill="1"/>
    <xf numFmtId="2" fontId="2" fillId="2" borderId="0" xfId="0" applyNumberFormat="1" applyFont="1" applyFill="1"/>
    <xf numFmtId="3" fontId="0" fillId="0" borderId="0" xfId="0" applyNumberFormat="1"/>
    <xf numFmtId="3" fontId="3" fillId="2" borderId="3" xfId="0" applyNumberFormat="1" applyFont="1" applyFill="1" applyBorder="1"/>
    <xf numFmtId="3" fontId="0" fillId="2" borderId="1" xfId="0" applyNumberFormat="1" applyFill="1" applyBorder="1"/>
    <xf numFmtId="0" fontId="8" fillId="2" borderId="0" xfId="0" applyFont="1" applyFill="1"/>
    <xf numFmtId="0" fontId="0" fillId="2" borderId="1" xfId="0" applyFill="1" applyBorder="1"/>
    <xf numFmtId="0" fontId="0" fillId="2" borderId="5" xfId="0" applyFill="1" applyBorder="1"/>
    <xf numFmtId="0" fontId="0" fillId="6" borderId="0" xfId="0" applyFill="1"/>
    <xf numFmtId="164" fontId="0" fillId="7" borderId="0" xfId="0" applyNumberFormat="1" applyFill="1" applyAlignment="1">
      <alignment horizontal="right"/>
    </xf>
    <xf numFmtId="0" fontId="0" fillId="7" borderId="0" xfId="0" applyFill="1" applyAlignment="1">
      <alignment horizontal="right"/>
    </xf>
    <xf numFmtId="9" fontId="0" fillId="2" borderId="0" xfId="1" applyFont="1" applyFill="1"/>
    <xf numFmtId="164" fontId="0" fillId="2" borderId="0" xfId="0" applyNumberFormat="1" applyFill="1" applyAlignment="1">
      <alignment horizontal="right"/>
    </xf>
    <xf numFmtId="164" fontId="0" fillId="2" borderId="0" xfId="0" applyNumberFormat="1" applyFill="1"/>
    <xf numFmtId="0" fontId="2" fillId="2" borderId="9" xfId="0" applyFont="1" applyFill="1" applyBorder="1"/>
    <xf numFmtId="0" fontId="0" fillId="2" borderId="10" xfId="0" applyFill="1" applyBorder="1"/>
    <xf numFmtId="10" fontId="2" fillId="2" borderId="11" xfId="0" applyNumberFormat="1" applyFont="1" applyFill="1" applyBorder="1"/>
    <xf numFmtId="0" fontId="0" fillId="8" borderId="0" xfId="0" applyFill="1"/>
    <xf numFmtId="1" fontId="3" fillId="8" borderId="0" xfId="0" applyNumberFormat="1" applyFont="1" applyFill="1"/>
    <xf numFmtId="3" fontId="3" fillId="0" borderId="3" xfId="0" applyNumberFormat="1" applyFont="1" applyBorder="1"/>
    <xf numFmtId="0" fontId="3" fillId="9" borderId="0" xfId="0" applyFont="1" applyFill="1"/>
    <xf numFmtId="0" fontId="3" fillId="9" borderId="0" xfId="0" applyFont="1" applyFill="1" applyAlignment="1">
      <alignment horizontal="center"/>
    </xf>
    <xf numFmtId="164" fontId="0" fillId="8" borderId="0" xfId="0" applyNumberFormat="1" applyFill="1" applyAlignment="1">
      <alignment horizontal="left"/>
    </xf>
    <xf numFmtId="164" fontId="0" fillId="8" borderId="0" xfId="1" applyNumberFormat="1" applyFont="1" applyFill="1" applyAlignment="1">
      <alignment horizontal="left"/>
    </xf>
    <xf numFmtId="2" fontId="3" fillId="2" borderId="0" xfId="0" applyNumberFormat="1" applyFont="1" applyFill="1" applyAlignment="1">
      <alignment horizontal="left"/>
    </xf>
    <xf numFmtId="2" fontId="3" fillId="2" borderId="0" xfId="0" applyNumberFormat="1" applyFont="1" applyFill="1"/>
    <xf numFmtId="2" fontId="0" fillId="2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9" fillId="10" borderId="0" xfId="0" applyNumberFormat="1" applyFont="1" applyFill="1" applyAlignment="1">
      <alignment horizontal="center"/>
    </xf>
    <xf numFmtId="1" fontId="3" fillId="2" borderId="5" xfId="0" applyNumberFormat="1" applyFont="1" applyFill="1" applyBorder="1"/>
    <xf numFmtId="0" fontId="6" fillId="4" borderId="3" xfId="0" applyFont="1" applyFill="1" applyBorder="1"/>
    <xf numFmtId="0" fontId="6" fillId="3" borderId="3" xfId="0" applyFont="1" applyFill="1" applyBorder="1"/>
    <xf numFmtId="0" fontId="10" fillId="0" borderId="0" xfId="0" applyFont="1" applyAlignment="1">
      <alignment vertical="top"/>
    </xf>
    <xf numFmtId="0" fontId="0" fillId="0" borderId="0" xfId="0" applyAlignment="1">
      <alignment vertical="top"/>
    </xf>
    <xf numFmtId="165" fontId="10" fillId="0" borderId="0" xfId="0" applyNumberFormat="1" applyFont="1" applyAlignment="1">
      <alignment vertical="top"/>
    </xf>
    <xf numFmtId="37" fontId="10" fillId="0" borderId="0" xfId="0" applyNumberFormat="1" applyFont="1" applyAlignment="1">
      <alignment vertical="top"/>
    </xf>
    <xf numFmtId="166" fontId="10" fillId="0" borderId="0" xfId="0" applyNumberFormat="1" applyFont="1" applyAlignment="1">
      <alignment vertical="top"/>
    </xf>
    <xf numFmtId="39" fontId="10" fillId="0" borderId="0" xfId="0" applyNumberFormat="1" applyFont="1" applyAlignment="1">
      <alignment vertical="top"/>
    </xf>
    <xf numFmtId="0" fontId="10" fillId="0" borderId="0" xfId="0" applyFont="1" applyAlignment="1">
      <alignment horizontal="center" vertical="top" shrinkToFit="1"/>
    </xf>
    <xf numFmtId="167" fontId="10" fillId="0" borderId="0" xfId="0" applyNumberFormat="1" applyFont="1" applyAlignment="1">
      <alignment vertical="top"/>
    </xf>
    <xf numFmtId="0" fontId="3" fillId="2" borderId="0" xfId="1" applyNumberFormat="1" applyFont="1" applyFill="1"/>
    <xf numFmtId="37" fontId="3" fillId="2" borderId="0" xfId="0" applyNumberFormat="1" applyFont="1" applyFill="1"/>
    <xf numFmtId="164" fontId="7" fillId="2" borderId="0" xfId="1" applyNumberFormat="1" applyFont="1" applyFill="1" applyBorder="1"/>
    <xf numFmtId="10" fontId="3" fillId="2" borderId="0" xfId="0" applyNumberFormat="1" applyFont="1" applyFill="1"/>
    <xf numFmtId="1" fontId="3" fillId="2" borderId="12" xfId="0" applyNumberFormat="1" applyFont="1" applyFill="1" applyBorder="1"/>
    <xf numFmtId="1" fontId="3" fillId="2" borderId="1" xfId="0" applyNumberFormat="1" applyFont="1" applyFill="1" applyBorder="1"/>
    <xf numFmtId="0" fontId="3" fillId="2" borderId="13" xfId="0" applyFont="1" applyFill="1" applyBorder="1"/>
    <xf numFmtId="0" fontId="7" fillId="11" borderId="0" xfId="0" applyFont="1" applyFill="1"/>
    <xf numFmtId="164" fontId="7" fillId="11" borderId="0" xfId="1" applyNumberFormat="1" applyFont="1" applyFill="1"/>
    <xf numFmtId="164" fontId="7" fillId="11" borderId="3" xfId="1" applyNumberFormat="1" applyFont="1" applyFill="1" applyBorder="1"/>
    <xf numFmtId="164" fontId="7" fillId="11" borderId="0" xfId="1" applyNumberFormat="1" applyFont="1" applyFill="1" applyBorder="1"/>
    <xf numFmtId="164" fontId="3" fillId="11" borderId="0" xfId="1" applyNumberFormat="1" applyFont="1" applyFill="1"/>
    <xf numFmtId="164" fontId="7" fillId="11" borderId="3" xfId="0" applyNumberFormat="1" applyFont="1" applyFill="1" applyBorder="1"/>
    <xf numFmtId="164" fontId="7" fillId="11" borderId="0" xfId="0" applyNumberFormat="1" applyFont="1" applyFill="1"/>
    <xf numFmtId="164" fontId="0" fillId="8" borderId="0" xfId="0" applyNumberFormat="1" applyFill="1" applyAlignment="1">
      <alignment horizontal="center"/>
    </xf>
    <xf numFmtId="0" fontId="3" fillId="9" borderId="0" xfId="0" applyFont="1" applyFill="1" applyAlignment="1">
      <alignment horizontal="center"/>
    </xf>
    <xf numFmtId="3" fontId="0" fillId="0" borderId="0" xfId="0" applyNumberFormat="1" applyAlignment="1">
      <alignment vertical="top"/>
    </xf>
    <xf numFmtId="3" fontId="3" fillId="2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84064-8197-4774-A1FA-A1F3B33925A7}">
  <dimension ref="A1:CH65"/>
  <sheetViews>
    <sheetView tabSelected="1" zoomScaleNormal="100" workbookViewId="0">
      <selection activeCell="F8" sqref="F8"/>
    </sheetView>
  </sheetViews>
  <sheetFormatPr defaultRowHeight="15" x14ac:dyDescent="0.25"/>
  <cols>
    <col min="1" max="1" width="9.140625" style="2"/>
    <col min="2" max="2" width="17.28515625" style="2" customWidth="1"/>
    <col min="3" max="3" width="9.85546875" style="2" bestFit="1" customWidth="1"/>
    <col min="4" max="4" width="11.140625" style="2" bestFit="1" customWidth="1"/>
    <col min="5" max="5" width="9.140625" style="2"/>
    <col min="6" max="6" width="11.85546875" style="2" bestFit="1" customWidth="1"/>
    <col min="7" max="7" width="10.140625" style="2" bestFit="1" customWidth="1"/>
    <col min="8" max="8" width="11.140625" style="2" bestFit="1" customWidth="1"/>
    <col min="9" max="9" width="8.42578125" style="2" customWidth="1"/>
    <col min="10" max="10" width="10.5703125" style="2" bestFit="1" customWidth="1"/>
    <col min="11" max="11" width="9.42578125" style="2" customWidth="1"/>
    <col min="12" max="12" width="10.5703125" style="2" bestFit="1" customWidth="1"/>
    <col min="13" max="15" width="11.5703125" style="2" bestFit="1" customWidth="1"/>
    <col min="16" max="17" width="12.5703125" style="2" bestFit="1" customWidth="1"/>
    <col min="18" max="18" width="10.5703125" style="2" bestFit="1" customWidth="1"/>
    <col min="19" max="16384" width="9.140625" style="2"/>
  </cols>
  <sheetData>
    <row r="1" spans="1:18" s="53" customForma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</row>
    <row r="2" spans="1:18" s="53" customFormat="1" ht="23.25" x14ac:dyDescent="0.35">
      <c r="A2" s="3"/>
      <c r="B2" s="4" t="s">
        <v>153</v>
      </c>
      <c r="C2" s="3"/>
      <c r="D2" s="3"/>
      <c r="E2" s="3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2"/>
    </row>
    <row r="3" spans="1:18" s="53" customFormat="1" ht="21" x14ac:dyDescent="0.35">
      <c r="A3" s="1"/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"/>
    </row>
    <row r="4" spans="1:18" s="53" customFormat="1" x14ac:dyDescent="0.25">
      <c r="A4" s="1"/>
      <c r="B4" s="6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2"/>
    </row>
    <row r="5" spans="1:18" s="53" customFormat="1" x14ac:dyDescent="0.25">
      <c r="A5" s="1"/>
      <c r="B5" s="1"/>
      <c r="C5" s="7" t="s">
        <v>1</v>
      </c>
      <c r="D5" s="1"/>
      <c r="E5" s="8">
        <f>WACC!K14</f>
        <v>0.1058920287051639</v>
      </c>
      <c r="F5" s="2"/>
      <c r="G5" s="1"/>
      <c r="H5" s="1" t="s">
        <v>2</v>
      </c>
      <c r="I5" s="1"/>
      <c r="J5" s="7">
        <v>137.68</v>
      </c>
      <c r="K5" s="1"/>
      <c r="L5" s="1" t="s">
        <v>3</v>
      </c>
      <c r="M5" s="1"/>
      <c r="N5" s="7">
        <f>(J6/J5)-1</f>
        <v>-8.2264332816522567E-2</v>
      </c>
      <c r="O5" s="1"/>
      <c r="P5" s="1" t="s">
        <v>69</v>
      </c>
      <c r="Q5" s="1"/>
      <c r="R5" s="2"/>
    </row>
    <row r="6" spans="1:18" s="53" customFormat="1" x14ac:dyDescent="0.25">
      <c r="A6" s="1"/>
      <c r="B6" s="1"/>
      <c r="C6" s="7" t="s">
        <v>4</v>
      </c>
      <c r="D6" s="1"/>
      <c r="E6" s="8">
        <v>0.03</v>
      </c>
      <c r="F6" s="2"/>
      <c r="G6" s="1"/>
      <c r="H6" s="1" t="s">
        <v>5</v>
      </c>
      <c r="I6" s="1"/>
      <c r="J6" s="60">
        <f>E64</f>
        <v>126.35384665782118</v>
      </c>
      <c r="K6" s="1"/>
      <c r="L6" s="1"/>
      <c r="M6" s="1"/>
      <c r="N6" s="1"/>
      <c r="O6" s="1"/>
      <c r="P6" s="1"/>
      <c r="Q6" s="1"/>
      <c r="R6" s="2"/>
    </row>
    <row r="7" spans="1:18" s="53" customFormat="1" x14ac:dyDescent="0.25">
      <c r="A7" s="1"/>
      <c r="B7" s="1"/>
      <c r="C7" s="1"/>
      <c r="D7" s="1"/>
      <c r="E7" s="8"/>
      <c r="F7" s="1"/>
      <c r="G7" s="1"/>
      <c r="H7" s="1"/>
      <c r="I7" s="1"/>
      <c r="J7" s="1"/>
      <c r="K7" s="18"/>
      <c r="L7" s="61"/>
      <c r="M7" s="1"/>
      <c r="N7" s="1"/>
      <c r="O7" s="1"/>
      <c r="P7" s="1"/>
      <c r="Q7" s="1"/>
      <c r="R7" s="2"/>
    </row>
    <row r="8" spans="1:18" s="53" customFormat="1" x14ac:dyDescent="0.25">
      <c r="A8" s="1"/>
      <c r="B8" s="1"/>
      <c r="C8" s="1"/>
      <c r="D8" s="1"/>
      <c r="E8" s="8"/>
      <c r="F8" s="1"/>
      <c r="G8" s="1"/>
      <c r="H8" s="1"/>
      <c r="I8" s="1"/>
      <c r="J8" s="1"/>
      <c r="K8" s="18"/>
      <c r="L8" s="1"/>
      <c r="M8" s="1"/>
      <c r="N8" s="1"/>
      <c r="O8" s="1"/>
      <c r="P8" s="1"/>
      <c r="Q8" s="1"/>
      <c r="R8" s="2"/>
    </row>
    <row r="9" spans="1:18" s="53" customFormat="1" x14ac:dyDescent="0.25">
      <c r="A9" s="1"/>
      <c r="B9" s="1"/>
      <c r="C9" s="1"/>
      <c r="D9" s="1"/>
      <c r="E9" s="1"/>
      <c r="F9" s="1"/>
      <c r="G9" s="1"/>
      <c r="H9" s="1"/>
      <c r="I9" s="1">
        <v>1</v>
      </c>
      <c r="J9" s="1">
        <f>I9+1</f>
        <v>2</v>
      </c>
      <c r="K9" s="1">
        <f t="shared" ref="K9:R9" si="0">J9+1</f>
        <v>3</v>
      </c>
      <c r="L9" s="1">
        <f t="shared" si="0"/>
        <v>4</v>
      </c>
      <c r="M9" s="1">
        <f t="shared" si="0"/>
        <v>5</v>
      </c>
      <c r="N9" s="1">
        <f t="shared" si="0"/>
        <v>6</v>
      </c>
      <c r="O9" s="1">
        <f t="shared" si="0"/>
        <v>7</v>
      </c>
      <c r="P9" s="1">
        <f t="shared" si="0"/>
        <v>8</v>
      </c>
      <c r="Q9" s="1">
        <f t="shared" si="0"/>
        <v>9</v>
      </c>
      <c r="R9" s="1">
        <f t="shared" si="0"/>
        <v>10</v>
      </c>
    </row>
    <row r="10" spans="1:18" s="53" customFormat="1" x14ac:dyDescent="0.25">
      <c r="A10" s="1"/>
      <c r="B10" s="9" t="s">
        <v>6</v>
      </c>
      <c r="C10" s="9">
        <v>2017</v>
      </c>
      <c r="D10" s="9">
        <v>2018</v>
      </c>
      <c r="E10" s="9">
        <v>2019</v>
      </c>
      <c r="F10" s="9">
        <v>2020</v>
      </c>
      <c r="G10" s="9">
        <v>2021</v>
      </c>
      <c r="H10" s="9">
        <v>2022</v>
      </c>
      <c r="I10" s="66">
        <v>2023</v>
      </c>
      <c r="J10" s="10">
        <v>2024</v>
      </c>
      <c r="K10" s="10">
        <v>2025</v>
      </c>
      <c r="L10" s="10">
        <v>2026</v>
      </c>
      <c r="M10" s="10">
        <v>2027</v>
      </c>
      <c r="N10" s="10">
        <v>2028</v>
      </c>
      <c r="O10" s="10">
        <v>2029</v>
      </c>
      <c r="P10" s="10">
        <v>2030</v>
      </c>
      <c r="Q10" s="10">
        <v>2031</v>
      </c>
      <c r="R10" s="10">
        <v>2032</v>
      </c>
    </row>
    <row r="11" spans="1:18" s="53" customFormat="1" x14ac:dyDescent="0.25">
      <c r="A11" s="1"/>
      <c r="B11" s="1" t="s">
        <v>7</v>
      </c>
      <c r="C11" s="11">
        <f>'Raw IS'!G6</f>
        <v>13683</v>
      </c>
      <c r="D11" s="11">
        <f>'Raw IS'!H6</f>
        <v>14863</v>
      </c>
      <c r="E11" s="11">
        <f>'Raw IS'!I6</f>
        <v>14294</v>
      </c>
      <c r="F11" s="11">
        <f>'Raw IS'!B9</f>
        <v>16215</v>
      </c>
      <c r="G11" s="11">
        <f>'Raw IS'!C9</f>
        <v>17737</v>
      </c>
      <c r="H11" s="11">
        <f>'Raw IS'!D9</f>
        <v>15910</v>
      </c>
      <c r="I11" s="20">
        <v>16850</v>
      </c>
      <c r="J11" s="18">
        <v>18190</v>
      </c>
      <c r="K11" s="18">
        <v>19780</v>
      </c>
      <c r="L11" s="18">
        <v>21150</v>
      </c>
      <c r="M11" s="18">
        <v>22520</v>
      </c>
      <c r="N11" s="18">
        <v>24430</v>
      </c>
      <c r="O11" s="18">
        <v>26190</v>
      </c>
      <c r="P11" s="18">
        <v>28040</v>
      </c>
      <c r="Q11" s="18">
        <v>29980</v>
      </c>
      <c r="R11" s="18">
        <v>32050</v>
      </c>
    </row>
    <row r="12" spans="1:18" s="53" customFormat="1" x14ac:dyDescent="0.25">
      <c r="A12" s="1"/>
      <c r="B12" s="83" t="s">
        <v>8</v>
      </c>
      <c r="C12" s="84"/>
      <c r="D12" s="84">
        <f>(D11/C11)-1</f>
        <v>8.6238398012131734E-2</v>
      </c>
      <c r="E12" s="84">
        <f>(E11/D11)-1</f>
        <v>-3.8282984592612479E-2</v>
      </c>
      <c r="F12" s="84">
        <f>(F11/E11)-1</f>
        <v>0.13439205260948639</v>
      </c>
      <c r="G12" s="84">
        <f>(G11/F11)-1</f>
        <v>9.3863706444649919E-2</v>
      </c>
      <c r="H12" s="84">
        <f>(H11/G11)-1</f>
        <v>-0.10300501775948578</v>
      </c>
      <c r="I12" s="85">
        <v>8.4233940185198586E-2</v>
      </c>
      <c r="J12" s="86">
        <v>6.0653361578771214E-2</v>
      </c>
      <c r="K12" s="86">
        <v>5.8761694523283836E-2</v>
      </c>
      <c r="L12" s="86">
        <v>4.3586179507545619E-2</v>
      </c>
      <c r="M12" s="86">
        <v>1.9313100561316743E-2</v>
      </c>
      <c r="N12" s="86">
        <v>2.5000000000000001E-2</v>
      </c>
      <c r="O12" s="86">
        <v>2.5000000000000001E-2</v>
      </c>
      <c r="P12" s="86">
        <v>2.5000000000000001E-2</v>
      </c>
      <c r="Q12" s="86">
        <v>2.5000000000000001E-2</v>
      </c>
      <c r="R12" s="86">
        <v>2.5000000000000001E-2</v>
      </c>
    </row>
    <row r="13" spans="1:18" s="53" customFormat="1" x14ac:dyDescent="0.25">
      <c r="A13" s="1"/>
      <c r="B13" s="6"/>
      <c r="C13" s="1"/>
      <c r="D13" s="1"/>
      <c r="E13" s="1"/>
      <c r="F13" s="1"/>
      <c r="G13" s="1"/>
      <c r="H13" s="1"/>
      <c r="I13" s="12"/>
      <c r="J13" s="79"/>
      <c r="K13" s="79"/>
      <c r="L13" s="79"/>
      <c r="M13" s="79"/>
      <c r="N13" s="79"/>
      <c r="O13" s="79"/>
      <c r="P13" s="79"/>
      <c r="Q13" s="79"/>
      <c r="R13" s="79"/>
    </row>
    <row r="14" spans="1:18" s="53" customFormat="1" x14ac:dyDescent="0.25">
      <c r="A14" s="1"/>
      <c r="B14" s="1" t="s">
        <v>9</v>
      </c>
      <c r="C14" s="11">
        <f>'Raw IS'!G7</f>
        <v>2844</v>
      </c>
      <c r="D14" s="11">
        <f>'Raw IS'!H7</f>
        <v>3387</v>
      </c>
      <c r="E14" s="11">
        <f>'Raw IS'!I7</f>
        <v>3552</v>
      </c>
      <c r="F14" s="11">
        <f>'Raw IS'!B10</f>
        <v>3834</v>
      </c>
      <c r="G14" s="11">
        <f>'Raw IS'!C10</f>
        <v>4305</v>
      </c>
      <c r="H14" s="11">
        <f>'Raw IS'!D10</f>
        <v>4564</v>
      </c>
      <c r="I14" s="80">
        <f>I16-I11</f>
        <v>-4729.7949999999983</v>
      </c>
      <c r="J14" s="81">
        <f t="shared" ref="J14:R14" si="1">J16-J11</f>
        <v>-4749.4089999999997</v>
      </c>
      <c r="K14" s="81">
        <f t="shared" si="1"/>
        <v>-4907.4179999999997</v>
      </c>
      <c r="L14" s="81">
        <f t="shared" si="1"/>
        <v>-5076</v>
      </c>
      <c r="M14" s="81">
        <f t="shared" si="1"/>
        <v>-5224.6399999999994</v>
      </c>
      <c r="N14" s="81">
        <f t="shared" si="1"/>
        <v>-5594.4700000000012</v>
      </c>
      <c r="O14" s="81">
        <f t="shared" si="1"/>
        <v>-5918.9399999999987</v>
      </c>
      <c r="P14" s="81">
        <f t="shared" si="1"/>
        <v>-6252.9199999999983</v>
      </c>
      <c r="Q14" s="81">
        <f t="shared" si="1"/>
        <v>-6655.5599999999977</v>
      </c>
      <c r="R14" s="81">
        <f t="shared" si="1"/>
        <v>-7083.0499999999993</v>
      </c>
    </row>
    <row r="15" spans="1:18" s="53" customFormat="1" x14ac:dyDescent="0.25">
      <c r="A15" s="1"/>
      <c r="B15" s="17"/>
      <c r="C15" s="17"/>
      <c r="D15" s="17"/>
      <c r="E15" s="17"/>
      <c r="F15" s="17"/>
      <c r="G15" s="17"/>
      <c r="H15" s="17"/>
      <c r="I15" s="12"/>
      <c r="J15" s="1"/>
      <c r="K15" s="1"/>
      <c r="L15" s="1"/>
      <c r="M15" s="1"/>
      <c r="N15" s="1"/>
      <c r="O15" s="1"/>
      <c r="P15" s="1"/>
      <c r="Q15" s="1"/>
      <c r="R15" s="1"/>
    </row>
    <row r="16" spans="1:18" s="53" customFormat="1" x14ac:dyDescent="0.25">
      <c r="A16" s="1"/>
      <c r="B16" s="1" t="s">
        <v>10</v>
      </c>
      <c r="C16" s="11">
        <f>C11-C14</f>
        <v>10839</v>
      </c>
      <c r="D16" s="11">
        <f t="shared" ref="D16:H16" si="2">D11-D14</f>
        <v>11476</v>
      </c>
      <c r="E16" s="11">
        <f t="shared" si="2"/>
        <v>10742</v>
      </c>
      <c r="F16" s="11">
        <f t="shared" si="2"/>
        <v>12381</v>
      </c>
      <c r="G16" s="11">
        <f t="shared" si="2"/>
        <v>13432</v>
      </c>
      <c r="H16" s="11">
        <f t="shared" si="2"/>
        <v>11346</v>
      </c>
      <c r="I16" s="20">
        <f>I11*I17</f>
        <v>12120.205000000002</v>
      </c>
      <c r="J16" s="18">
        <f t="shared" ref="J16:R16" si="3">J11*J17</f>
        <v>13440.591</v>
      </c>
      <c r="K16" s="18">
        <f>K11*K17</f>
        <v>14872.582</v>
      </c>
      <c r="L16" s="18">
        <f t="shared" si="3"/>
        <v>16074</v>
      </c>
      <c r="M16" s="18">
        <f t="shared" si="3"/>
        <v>17295.36</v>
      </c>
      <c r="N16" s="18">
        <f t="shared" si="3"/>
        <v>18835.53</v>
      </c>
      <c r="O16" s="18">
        <f t="shared" si="3"/>
        <v>20271.060000000001</v>
      </c>
      <c r="P16" s="18">
        <f t="shared" si="3"/>
        <v>21787.08</v>
      </c>
      <c r="Q16" s="18">
        <f t="shared" si="3"/>
        <v>23324.440000000002</v>
      </c>
      <c r="R16" s="18">
        <f t="shared" si="3"/>
        <v>24966.95</v>
      </c>
    </row>
    <row r="17" spans="1:18" s="53" customFormat="1" x14ac:dyDescent="0.25">
      <c r="A17" s="1"/>
      <c r="B17" s="83" t="s">
        <v>11</v>
      </c>
      <c r="C17" s="84">
        <f t="shared" ref="C17:H17" si="4">C16/C11</f>
        <v>0.79215084411313308</v>
      </c>
      <c r="D17" s="84">
        <f t="shared" si="4"/>
        <v>0.77211868398035388</v>
      </c>
      <c r="E17" s="84">
        <f t="shared" si="4"/>
        <v>0.7515041276059885</v>
      </c>
      <c r="F17" s="84">
        <f t="shared" si="4"/>
        <v>0.76355226641998153</v>
      </c>
      <c r="G17" s="84">
        <f t="shared" si="4"/>
        <v>0.75728702711845297</v>
      </c>
      <c r="H17" s="84">
        <f t="shared" si="4"/>
        <v>0.71313639220615965</v>
      </c>
      <c r="I17" s="88">
        <v>0.71930000000000005</v>
      </c>
      <c r="J17" s="89">
        <v>0.7389</v>
      </c>
      <c r="K17" s="89">
        <v>0.75190000000000001</v>
      </c>
      <c r="L17" s="89">
        <v>0.76</v>
      </c>
      <c r="M17" s="89">
        <v>0.76800000000000002</v>
      </c>
      <c r="N17" s="89">
        <v>0.77100000000000002</v>
      </c>
      <c r="O17" s="89">
        <v>0.77400000000000002</v>
      </c>
      <c r="P17" s="89">
        <v>0.77700000000000002</v>
      </c>
      <c r="Q17" s="89">
        <v>0.77800000000000002</v>
      </c>
      <c r="R17" s="89">
        <v>0.77900000000000003</v>
      </c>
    </row>
    <row r="18" spans="1:18" s="53" customFormat="1" x14ac:dyDescent="0.25">
      <c r="A18" s="1"/>
      <c r="B18" s="1"/>
      <c r="C18" s="11"/>
      <c r="D18" s="11"/>
      <c r="E18" s="11"/>
      <c r="F18" s="11"/>
      <c r="G18" s="11"/>
      <c r="H18" s="11"/>
      <c r="I18" s="20"/>
      <c r="J18" s="18"/>
      <c r="K18" s="18"/>
      <c r="L18" s="18"/>
      <c r="M18" s="18"/>
      <c r="N18" s="18"/>
      <c r="O18" s="18"/>
      <c r="P18" s="18"/>
      <c r="Q18" s="18"/>
      <c r="R18" s="18"/>
    </row>
    <row r="19" spans="1:18" s="53" customFormat="1" x14ac:dyDescent="0.25">
      <c r="A19" s="1"/>
      <c r="B19" s="1" t="s">
        <v>39</v>
      </c>
      <c r="C19" s="11">
        <f>'Raw IS'!G12</f>
        <v>8553</v>
      </c>
      <c r="D19" s="11">
        <f>'Raw IS'!H12</f>
        <v>8857</v>
      </c>
      <c r="E19" s="11">
        <f>'Raw IS'!I12</f>
        <v>8637</v>
      </c>
      <c r="F19" s="11">
        <f>'Raw IS'!B15</f>
        <v>9371</v>
      </c>
      <c r="G19" s="11">
        <f>'Raw IS'!C15</f>
        <v>9888</v>
      </c>
      <c r="H19" s="11">
        <f>'Raw IS'!D15</f>
        <v>9575</v>
      </c>
      <c r="I19" s="20">
        <f>I20*I11</f>
        <v>9758.4071625716369</v>
      </c>
      <c r="J19" s="20">
        <f t="shared" ref="J19:R19" si="5">J20*J11</f>
        <v>10113.461206759906</v>
      </c>
      <c r="K19" s="20">
        <f t="shared" si="5"/>
        <v>10739.557339577528</v>
      </c>
      <c r="L19" s="20">
        <f t="shared" si="5"/>
        <v>11658.72817597002</v>
      </c>
      <c r="M19" s="20">
        <f t="shared" si="5"/>
        <v>12271.277111530297</v>
      </c>
      <c r="N19" s="20">
        <f t="shared" si="5"/>
        <v>13196.575035062317</v>
      </c>
      <c r="O19" s="20">
        <f t="shared" si="5"/>
        <v>14048.479074819692</v>
      </c>
      <c r="P19" s="20">
        <f t="shared" si="5"/>
        <v>14938.630752354044</v>
      </c>
      <c r="Q19" s="20">
        <f t="shared" si="5"/>
        <v>15796.66486101911</v>
      </c>
      <c r="R19" s="20">
        <f t="shared" si="5"/>
        <v>16792.926067602311</v>
      </c>
    </row>
    <row r="20" spans="1:18" s="53" customFormat="1" x14ac:dyDescent="0.25">
      <c r="A20" s="1"/>
      <c r="B20" s="83" t="s">
        <v>16</v>
      </c>
      <c r="C20" s="84">
        <f t="shared" ref="C20:R20" si="6">C19/C11</f>
        <v>0.62508221881166415</v>
      </c>
      <c r="D20" s="84">
        <f t="shared" si="6"/>
        <v>0.59590930498553452</v>
      </c>
      <c r="E20" s="84">
        <f t="shared" si="6"/>
        <v>0.60423954106618161</v>
      </c>
      <c r="F20" s="84">
        <f t="shared" si="6"/>
        <v>0.5779216774591428</v>
      </c>
      <c r="G20" s="84">
        <f t="shared" si="6"/>
        <v>0.55747871680667527</v>
      </c>
      <c r="H20" s="84">
        <f t="shared" si="6"/>
        <v>0.60182275298554366</v>
      </c>
      <c r="I20" s="84">
        <v>0.5791339562357054</v>
      </c>
      <c r="J20" s="84">
        <v>0.55599017079493718</v>
      </c>
      <c r="K20" s="84">
        <v>0.54295032050442504</v>
      </c>
      <c r="L20" s="84">
        <v>0.55124010288274328</v>
      </c>
      <c r="M20" s="84">
        <v>0.54490573319406288</v>
      </c>
      <c r="N20" s="84">
        <v>0.54017908452977148</v>
      </c>
      <c r="O20" s="84">
        <v>0.53640622660632653</v>
      </c>
      <c r="P20" s="84">
        <v>0.53276143909964491</v>
      </c>
      <c r="Q20" s="84">
        <v>0.52690676654500035</v>
      </c>
      <c r="R20" s="84">
        <v>0.52396025171926086</v>
      </c>
    </row>
    <row r="21" spans="1:18" s="53" customFormat="1" x14ac:dyDescent="0.25">
      <c r="A21" s="1"/>
      <c r="B21" s="1"/>
      <c r="C21" s="11"/>
      <c r="D21" s="11"/>
      <c r="E21" s="11"/>
      <c r="F21" s="11"/>
      <c r="G21" s="11"/>
      <c r="H21" s="11">
        <f>H19/H25</f>
        <v>0.97336586357629362</v>
      </c>
      <c r="I21" s="39"/>
      <c r="J21" s="11"/>
      <c r="K21" s="11"/>
      <c r="L21" s="11"/>
      <c r="M21" s="11"/>
      <c r="N21" s="11"/>
      <c r="O21" s="11"/>
      <c r="P21" s="11"/>
      <c r="Q21" s="11"/>
      <c r="R21" s="11"/>
    </row>
    <row r="22" spans="1:18" s="53" customFormat="1" x14ac:dyDescent="0.25">
      <c r="A22" s="1"/>
      <c r="B22" s="1" t="s">
        <v>66</v>
      </c>
      <c r="C22" s="11">
        <f>SUM('Raw IS'!G13:G15)</f>
        <v>231</v>
      </c>
      <c r="D22" s="11">
        <f>SUM('Raw IS'!H13:H15)</f>
        <v>306</v>
      </c>
      <c r="E22" s="11">
        <f>SUM('Raw IS'!I13:I15)</f>
        <v>1499</v>
      </c>
      <c r="F22" s="11">
        <f>SUM('Raw IS'!B16:B18)</f>
        <v>392</v>
      </c>
      <c r="G22" s="11">
        <f>SUM('Raw IS'!C16:C18)</f>
        <v>374</v>
      </c>
      <c r="H22" s="11">
        <f>SUM('Raw IS'!D16:D18)</f>
        <v>262</v>
      </c>
      <c r="I22" s="39">
        <f>I23*I11</f>
        <v>267.01855630222127</v>
      </c>
      <c r="J22" s="39">
        <f t="shared" ref="J22:R22" si="7">J23*J11</f>
        <v>276.73387322935724</v>
      </c>
      <c r="K22" s="39">
        <f t="shared" si="7"/>
        <v>293.86569430488896</v>
      </c>
      <c r="L22" s="39">
        <f t="shared" si="7"/>
        <v>319.01689630330497</v>
      </c>
      <c r="M22" s="39">
        <f t="shared" si="7"/>
        <v>335.77802644605089</v>
      </c>
      <c r="N22" s="39">
        <f t="shared" si="7"/>
        <v>361.09688346593492</v>
      </c>
      <c r="O22" s="39">
        <f t="shared" si="7"/>
        <v>384.40746920133256</v>
      </c>
      <c r="P22" s="39">
        <f t="shared" si="7"/>
        <v>408.76462215318628</v>
      </c>
      <c r="Q22" s="39">
        <f t="shared" si="7"/>
        <v>432.24294449994841</v>
      </c>
      <c r="R22" s="39">
        <f t="shared" si="7"/>
        <v>459.50356446076296</v>
      </c>
    </row>
    <row r="23" spans="1:18" s="53" customFormat="1" x14ac:dyDescent="0.25">
      <c r="A23" s="1"/>
      <c r="B23" s="13" t="s">
        <v>16</v>
      </c>
      <c r="C23" s="14">
        <f>C22/C11</f>
        <v>1.6882262661696998E-2</v>
      </c>
      <c r="D23" s="14">
        <f t="shared" ref="D23:H23" si="8">D22/D11</f>
        <v>2.0588037408329408E-2</v>
      </c>
      <c r="E23" s="14">
        <f t="shared" si="8"/>
        <v>0.10486917587799076</v>
      </c>
      <c r="F23" s="14">
        <f t="shared" si="8"/>
        <v>2.4175146469318533E-2</v>
      </c>
      <c r="G23" s="14">
        <f t="shared" si="8"/>
        <v>2.1085865704459604E-2</v>
      </c>
      <c r="H23" s="14">
        <f t="shared" si="8"/>
        <v>1.6467630421118793E-2</v>
      </c>
      <c r="I23" s="14">
        <v>1.5846798593603637E-2</v>
      </c>
      <c r="J23" s="14">
        <v>1.5213516944989403E-2</v>
      </c>
      <c r="K23" s="14">
        <v>1.4856708508841706E-2</v>
      </c>
      <c r="L23" s="14">
        <v>1.5083541196373758E-2</v>
      </c>
      <c r="M23" s="14">
        <v>1.4910214318208298E-2</v>
      </c>
      <c r="N23" s="14">
        <v>1.4780879388699751E-2</v>
      </c>
      <c r="O23" s="14">
        <v>1.4677642963013843E-2</v>
      </c>
      <c r="P23" s="14">
        <v>1.4577910918444589E-2</v>
      </c>
      <c r="Q23" s="14">
        <v>1.4417709956636037E-2</v>
      </c>
      <c r="R23" s="14">
        <v>1.4337084694563587E-2</v>
      </c>
    </row>
    <row r="24" spans="1:18" s="53" customFormat="1" x14ac:dyDescent="0.25">
      <c r="A24" s="1"/>
      <c r="B24" s="1"/>
      <c r="C24" s="11"/>
      <c r="D24" s="11"/>
      <c r="E24" s="11"/>
      <c r="F24" s="11"/>
      <c r="G24" s="11"/>
      <c r="H24" s="11">
        <f>H22/H25</f>
        <v>2.6634136423706413E-2</v>
      </c>
      <c r="I24" s="39"/>
      <c r="J24" s="11"/>
      <c r="K24" s="11"/>
      <c r="L24" s="11"/>
      <c r="M24" s="11"/>
      <c r="N24" s="11"/>
      <c r="O24" s="11"/>
      <c r="P24" s="11"/>
      <c r="Q24" s="11"/>
      <c r="R24" s="11"/>
    </row>
    <row r="25" spans="1:18" s="53" customFormat="1" x14ac:dyDescent="0.25">
      <c r="A25" s="1"/>
      <c r="B25" s="1" t="s">
        <v>12</v>
      </c>
      <c r="C25" s="11">
        <f>C19+C22</f>
        <v>8784</v>
      </c>
      <c r="D25" s="11">
        <f t="shared" ref="D25:H25" si="9">D19+D22</f>
        <v>9163</v>
      </c>
      <c r="E25" s="11">
        <f t="shared" si="9"/>
        <v>10136</v>
      </c>
      <c r="F25" s="11">
        <f t="shared" si="9"/>
        <v>9763</v>
      </c>
      <c r="G25" s="11">
        <f t="shared" si="9"/>
        <v>10262</v>
      </c>
      <c r="H25" s="11">
        <f t="shared" si="9"/>
        <v>9837</v>
      </c>
      <c r="I25" s="39">
        <f>I19+I22</f>
        <v>10025.425718873857</v>
      </c>
      <c r="J25" s="39">
        <f t="shared" ref="J25:R25" si="10">J19+J22</f>
        <v>10390.195079989264</v>
      </c>
      <c r="K25" s="39">
        <f t="shared" si="10"/>
        <v>11033.423033882416</v>
      </c>
      <c r="L25" s="39">
        <f t="shared" si="10"/>
        <v>11977.745072273325</v>
      </c>
      <c r="M25" s="39">
        <f t="shared" si="10"/>
        <v>12607.055137976347</v>
      </c>
      <c r="N25" s="39">
        <f t="shared" si="10"/>
        <v>13557.671918528251</v>
      </c>
      <c r="O25" s="39">
        <f t="shared" si="10"/>
        <v>14432.886544021025</v>
      </c>
      <c r="P25" s="39">
        <f t="shared" si="10"/>
        <v>15347.39537450723</v>
      </c>
      <c r="Q25" s="39">
        <f t="shared" si="10"/>
        <v>16228.907805519058</v>
      </c>
      <c r="R25" s="39">
        <f t="shared" si="10"/>
        <v>17252.429632063075</v>
      </c>
    </row>
    <row r="26" spans="1:18" s="53" customFormat="1" x14ac:dyDescent="0.25">
      <c r="A26" s="1"/>
      <c r="B26" s="1"/>
      <c r="C26" s="14"/>
      <c r="D26" s="14"/>
      <c r="E26" s="14"/>
      <c r="F26" s="14"/>
      <c r="G26" s="14"/>
      <c r="H26" s="14"/>
      <c r="I26" s="19"/>
      <c r="J26" s="78"/>
      <c r="K26" s="78"/>
      <c r="L26" s="78"/>
      <c r="M26" s="78"/>
      <c r="N26" s="78"/>
      <c r="O26" s="78"/>
      <c r="P26" s="78"/>
      <c r="Q26" s="78"/>
      <c r="R26" s="78"/>
    </row>
    <row r="27" spans="1:18" s="53" customFormat="1" x14ac:dyDescent="0.25">
      <c r="A27" s="1"/>
      <c r="B27" s="1" t="s">
        <v>13</v>
      </c>
      <c r="C27" s="11">
        <f>C16-C25</f>
        <v>2055</v>
      </c>
      <c r="D27" s="11">
        <f t="shared" ref="D27:H27" si="11">D16-D25</f>
        <v>2313</v>
      </c>
      <c r="E27" s="11">
        <f t="shared" si="11"/>
        <v>606</v>
      </c>
      <c r="F27" s="11">
        <f t="shared" si="11"/>
        <v>2618</v>
      </c>
      <c r="G27" s="11">
        <f t="shared" si="11"/>
        <v>3170</v>
      </c>
      <c r="H27" s="11">
        <f t="shared" si="11"/>
        <v>1509</v>
      </c>
      <c r="I27" s="39">
        <f>I16-I25</f>
        <v>2094.7792811261443</v>
      </c>
      <c r="J27" s="39">
        <f t="shared" ref="J27:R27" si="12">J16-J25</f>
        <v>3050.3959200107365</v>
      </c>
      <c r="K27" s="39">
        <f t="shared" si="12"/>
        <v>3839.158966117584</v>
      </c>
      <c r="L27" s="39">
        <f t="shared" si="12"/>
        <v>4096.2549277266753</v>
      </c>
      <c r="M27" s="39">
        <f t="shared" si="12"/>
        <v>4688.3048620236532</v>
      </c>
      <c r="N27" s="39">
        <f t="shared" si="12"/>
        <v>5277.8580814717479</v>
      </c>
      <c r="O27" s="39">
        <f t="shared" si="12"/>
        <v>5838.1734559789766</v>
      </c>
      <c r="P27" s="39">
        <f t="shared" si="12"/>
        <v>6439.6846254927714</v>
      </c>
      <c r="Q27" s="39">
        <f t="shared" si="12"/>
        <v>7095.5321944809439</v>
      </c>
      <c r="R27" s="39">
        <f t="shared" si="12"/>
        <v>7714.520367936926</v>
      </c>
    </row>
    <row r="28" spans="1:18" s="53" customFormat="1" x14ac:dyDescent="0.25">
      <c r="A28" s="1"/>
      <c r="B28" s="1" t="s">
        <v>68</v>
      </c>
      <c r="C28" s="93">
        <v>-75</v>
      </c>
      <c r="D28" s="93">
        <v>-6</v>
      </c>
      <c r="E28" s="93">
        <v>440</v>
      </c>
      <c r="F28" s="93">
        <v>713</v>
      </c>
      <c r="G28" s="93">
        <v>-134</v>
      </c>
      <c r="H28" s="93">
        <v>-112</v>
      </c>
      <c r="I28" s="20">
        <f>I29*I11</f>
        <v>-252.75</v>
      </c>
      <c r="J28" s="18">
        <f>J29*J11</f>
        <v>-272.84999999999997</v>
      </c>
      <c r="K28" s="18">
        <f>K29*K11</f>
        <v>-296.7</v>
      </c>
      <c r="L28" s="18">
        <f>L29*L11</f>
        <v>-317.25</v>
      </c>
      <c r="M28" s="18">
        <f>M29*M11</f>
        <v>-337.8</v>
      </c>
      <c r="N28" s="18">
        <f>N29*N11</f>
        <v>-366.45</v>
      </c>
      <c r="O28" s="18">
        <f>O29*O11</f>
        <v>-392.84999999999997</v>
      </c>
      <c r="P28" s="18">
        <f>P29*P11</f>
        <v>-420.59999999999997</v>
      </c>
      <c r="Q28" s="18">
        <f>Q29*Q11</f>
        <v>-449.7</v>
      </c>
      <c r="R28" s="18">
        <f>R29*R11</f>
        <v>-480.75</v>
      </c>
    </row>
    <row r="29" spans="1:18" s="53" customFormat="1" x14ac:dyDescent="0.25">
      <c r="A29" s="1"/>
      <c r="B29" s="83" t="s">
        <v>16</v>
      </c>
      <c r="C29" s="84">
        <f>C28/C11</f>
        <v>-5.4812541109405836E-3</v>
      </c>
      <c r="D29" s="84">
        <f>D28/D11</f>
        <v>-4.0368700800645901E-4</v>
      </c>
      <c r="E29" s="84">
        <f>E28/E11</f>
        <v>3.0782146355114035E-2</v>
      </c>
      <c r="F29" s="84">
        <f>F28/F11</f>
        <v>4.397163120567376E-2</v>
      </c>
      <c r="G29" s="84">
        <f>G28/G11</f>
        <v>-7.5548288887636013E-3</v>
      </c>
      <c r="H29" s="84">
        <f>H28/H11</f>
        <v>-7.0395977372721555E-3</v>
      </c>
      <c r="I29" s="88">
        <v>-1.4999999999999999E-2</v>
      </c>
      <c r="J29" s="88">
        <v>-1.4999999999999999E-2</v>
      </c>
      <c r="K29" s="88">
        <v>-1.4999999999999999E-2</v>
      </c>
      <c r="L29" s="88">
        <v>-1.4999999999999999E-2</v>
      </c>
      <c r="M29" s="88">
        <v>-1.4999999999999999E-2</v>
      </c>
      <c r="N29" s="88">
        <v>-1.4999999999999999E-2</v>
      </c>
      <c r="O29" s="88">
        <v>-1.4999999999999999E-2</v>
      </c>
      <c r="P29" s="88">
        <v>-1.4999999999999999E-2</v>
      </c>
      <c r="Q29" s="88">
        <v>-1.4999999999999999E-2</v>
      </c>
      <c r="R29" s="88">
        <v>-1.4999999999999999E-2</v>
      </c>
    </row>
    <row r="30" spans="1:18" s="53" customFormat="1" x14ac:dyDescent="0.25">
      <c r="A30" s="1"/>
      <c r="B30" s="1"/>
      <c r="C30" s="76"/>
      <c r="D30" s="76"/>
      <c r="E30" s="76"/>
      <c r="F30" s="76"/>
      <c r="G30" s="76"/>
      <c r="H30" s="76"/>
      <c r="I30" s="12"/>
      <c r="J30" s="1"/>
      <c r="K30" s="1"/>
      <c r="L30" s="1"/>
      <c r="M30" s="1"/>
      <c r="N30" s="1"/>
      <c r="O30" s="1"/>
      <c r="P30" s="1"/>
      <c r="Q30" s="1"/>
      <c r="R30" s="1"/>
    </row>
    <row r="31" spans="1:18" s="53" customFormat="1" x14ac:dyDescent="0.25">
      <c r="A31" s="1"/>
      <c r="B31" s="1" t="s">
        <v>14</v>
      </c>
      <c r="C31" s="11">
        <f>C27+C28</f>
        <v>1980</v>
      </c>
      <c r="D31" s="11">
        <f t="shared" ref="D31:H31" si="13">D27+D28</f>
        <v>2307</v>
      </c>
      <c r="E31" s="11">
        <f t="shared" si="13"/>
        <v>1046</v>
      </c>
      <c r="F31" s="11">
        <f t="shared" si="13"/>
        <v>3331</v>
      </c>
      <c r="G31" s="11">
        <f t="shared" si="13"/>
        <v>3036</v>
      </c>
      <c r="H31" s="11">
        <f t="shared" si="13"/>
        <v>1397</v>
      </c>
      <c r="I31" s="39">
        <f>I27+I28</f>
        <v>1842.0292811261443</v>
      </c>
      <c r="J31" s="11">
        <f t="shared" ref="I31:R31" si="14">J27+J28</f>
        <v>2777.5459200107366</v>
      </c>
      <c r="K31" s="11">
        <f t="shared" si="14"/>
        <v>3542.4589661175842</v>
      </c>
      <c r="L31" s="11">
        <f t="shared" si="14"/>
        <v>3779.0049277266753</v>
      </c>
      <c r="M31" s="11">
        <f t="shared" si="14"/>
        <v>4350.504862023653</v>
      </c>
      <c r="N31" s="11">
        <f t="shared" si="14"/>
        <v>4911.4080814717481</v>
      </c>
      <c r="O31" s="11">
        <f t="shared" si="14"/>
        <v>5445.3234559789762</v>
      </c>
      <c r="P31" s="11">
        <f t="shared" si="14"/>
        <v>6019.084625492771</v>
      </c>
      <c r="Q31" s="11">
        <f t="shared" si="14"/>
        <v>6645.8321944809441</v>
      </c>
      <c r="R31" s="11">
        <f t="shared" si="14"/>
        <v>7233.770367936926</v>
      </c>
    </row>
    <row r="32" spans="1:18" s="53" customFormat="1" x14ac:dyDescent="0.25">
      <c r="A32" s="1"/>
      <c r="B32" s="1"/>
      <c r="C32" s="21"/>
      <c r="D32" s="21"/>
      <c r="E32" s="21"/>
      <c r="F32" s="21"/>
      <c r="G32" s="21"/>
      <c r="H32" s="76"/>
      <c r="I32" s="12"/>
      <c r="J32" s="1"/>
      <c r="K32" s="1"/>
      <c r="L32" s="1"/>
      <c r="M32" s="1"/>
      <c r="N32" s="1"/>
      <c r="O32" s="1"/>
      <c r="P32" s="1"/>
      <c r="Q32" s="1"/>
      <c r="R32" s="1"/>
    </row>
    <row r="33" spans="1:86" s="53" customFormat="1" x14ac:dyDescent="0.25">
      <c r="A33" s="1"/>
      <c r="B33" s="1" t="s">
        <v>15</v>
      </c>
      <c r="C33" s="11">
        <f t="shared" ref="C33:R33" si="15">C27</f>
        <v>2055</v>
      </c>
      <c r="D33" s="11">
        <f t="shared" si="15"/>
        <v>2313</v>
      </c>
      <c r="E33" s="11">
        <f t="shared" si="15"/>
        <v>606</v>
      </c>
      <c r="F33" s="11">
        <f t="shared" si="15"/>
        <v>2618</v>
      </c>
      <c r="G33" s="11">
        <f t="shared" si="15"/>
        <v>3170</v>
      </c>
      <c r="H33" s="11">
        <f t="shared" si="15"/>
        <v>1509</v>
      </c>
      <c r="I33" s="11">
        <f t="shared" si="15"/>
        <v>2094.7792811261443</v>
      </c>
      <c r="J33" s="11">
        <f t="shared" si="15"/>
        <v>3050.3959200107365</v>
      </c>
      <c r="K33" s="11">
        <f t="shared" si="15"/>
        <v>3839.158966117584</v>
      </c>
      <c r="L33" s="11">
        <f t="shared" si="15"/>
        <v>4096.2549277266753</v>
      </c>
      <c r="M33" s="11">
        <f t="shared" si="15"/>
        <v>4688.3048620236532</v>
      </c>
      <c r="N33" s="11">
        <f t="shared" si="15"/>
        <v>5277.8580814717479</v>
      </c>
      <c r="O33" s="11">
        <f t="shared" si="15"/>
        <v>5838.1734559789766</v>
      </c>
      <c r="P33" s="11">
        <f t="shared" si="15"/>
        <v>6439.6846254927714</v>
      </c>
      <c r="Q33" s="11">
        <f t="shared" si="15"/>
        <v>7095.5321944809439</v>
      </c>
      <c r="R33" s="11">
        <f t="shared" si="15"/>
        <v>7714.520367936926</v>
      </c>
    </row>
    <row r="34" spans="1:86" s="53" customFormat="1" x14ac:dyDescent="0.25">
      <c r="A34" s="1"/>
      <c r="B34" s="83" t="s">
        <v>16</v>
      </c>
      <c r="C34" s="84">
        <f>C33/C11</f>
        <v>0.15018636263977198</v>
      </c>
      <c r="D34" s="84">
        <f>D33/D11</f>
        <v>0.15562134158648994</v>
      </c>
      <c r="E34" s="84">
        <f>E33/E11</f>
        <v>4.2395410661816145E-2</v>
      </c>
      <c r="F34" s="84">
        <f>F33/F11</f>
        <v>0.16145544249152019</v>
      </c>
      <c r="G34" s="84">
        <f>G33/G11</f>
        <v>0.17872244460731804</v>
      </c>
      <c r="H34" s="84">
        <f>H33/H11</f>
        <v>9.4846008799497172E-2</v>
      </c>
      <c r="I34" s="85">
        <f>I33/I11</f>
        <v>0.12431924517069105</v>
      </c>
      <c r="J34" s="86">
        <f>J33/J11</f>
        <v>0.16769631226007348</v>
      </c>
      <c r="K34" s="86">
        <f>K33/K11</f>
        <v>0.19409297098673325</v>
      </c>
      <c r="L34" s="86">
        <f>L33/L11</f>
        <v>0.193676355920883</v>
      </c>
      <c r="M34" s="86">
        <f>M33/M11</f>
        <v>0.20818405248772884</v>
      </c>
      <c r="N34" s="86">
        <f>N33/N11</f>
        <v>0.21604003608152877</v>
      </c>
      <c r="O34" s="86">
        <f>O33/O11</f>
        <v>0.22291613043065966</v>
      </c>
      <c r="P34" s="86">
        <f>P33/P11</f>
        <v>0.22966064998191055</v>
      </c>
      <c r="Q34" s="86">
        <f>Q33/Q11</f>
        <v>0.23667552349836371</v>
      </c>
      <c r="R34" s="86">
        <f>R33/R11</f>
        <v>0.24070266358617554</v>
      </c>
    </row>
    <row r="35" spans="1:86" s="53" customFormat="1" x14ac:dyDescent="0.25">
      <c r="A35" s="1"/>
      <c r="B35" s="13"/>
      <c r="C35" s="1"/>
      <c r="D35" s="1"/>
      <c r="E35" s="2"/>
      <c r="F35" s="1"/>
      <c r="G35" s="1"/>
      <c r="H35" s="1"/>
      <c r="I35" s="12"/>
      <c r="J35" s="1"/>
      <c r="K35" s="1"/>
      <c r="L35" s="1"/>
      <c r="M35" s="1"/>
      <c r="N35" s="1"/>
      <c r="O35" s="1"/>
      <c r="P35" s="1"/>
      <c r="Q35" s="1"/>
      <c r="R35" s="1"/>
    </row>
    <row r="36" spans="1:86" s="53" customFormat="1" x14ac:dyDescent="0.25">
      <c r="A36" s="1"/>
      <c r="B36" s="1" t="s">
        <v>17</v>
      </c>
      <c r="C36" s="11">
        <f>'Raw IS'!G26</f>
        <v>863</v>
      </c>
      <c r="D36" s="11">
        <f>'Raw IS'!H26</f>
        <v>513</v>
      </c>
      <c r="E36" s="11">
        <f>'Raw IS'!I26</f>
        <v>350</v>
      </c>
      <c r="F36" s="11">
        <f>'Raw IS'!B29</f>
        <v>456</v>
      </c>
      <c r="G36" s="11">
        <f>'Raw IS'!C29</f>
        <v>628</v>
      </c>
      <c r="H36" s="11">
        <f>'Raw IS'!D29</f>
        <v>387</v>
      </c>
      <c r="I36" s="20">
        <f>I33*I37</f>
        <v>562.0292811261445</v>
      </c>
      <c r="J36" s="18">
        <f t="shared" ref="J36:R36" si="16">J33*J37</f>
        <v>777.54592001073684</v>
      </c>
      <c r="K36" s="18">
        <f t="shared" si="16"/>
        <v>972.45896611758417</v>
      </c>
      <c r="L36" s="18">
        <f t="shared" si="16"/>
        <v>979.00492772667531</v>
      </c>
      <c r="M36" s="18">
        <f t="shared" si="16"/>
        <v>1120.504862023653</v>
      </c>
      <c r="N36" s="18">
        <f t="shared" si="16"/>
        <v>1261.4080814717477</v>
      </c>
      <c r="O36" s="18">
        <f t="shared" si="16"/>
        <v>1395.3234559789753</v>
      </c>
      <c r="P36" s="18">
        <f t="shared" si="16"/>
        <v>1539.0846254927724</v>
      </c>
      <c r="Q36" s="18">
        <f t="shared" si="16"/>
        <v>1695.8321944809454</v>
      </c>
      <c r="R36" s="18">
        <f t="shared" si="16"/>
        <v>1843.7703679369251</v>
      </c>
    </row>
    <row r="37" spans="1:86" s="53" customFormat="1" x14ac:dyDescent="0.25">
      <c r="A37" s="1"/>
      <c r="B37" s="83" t="s">
        <v>18</v>
      </c>
      <c r="C37" s="87">
        <f>C36/C33</f>
        <v>0.41995133819951336</v>
      </c>
      <c r="D37" s="87">
        <f t="shared" ref="D37:H37" si="17">D36/D33</f>
        <v>0.22178988326848248</v>
      </c>
      <c r="E37" s="87">
        <f t="shared" si="17"/>
        <v>0.57755775577557755</v>
      </c>
      <c r="F37" s="87">
        <f t="shared" si="17"/>
        <v>0.17417876241405653</v>
      </c>
      <c r="G37" s="87">
        <f t="shared" si="17"/>
        <v>0.19810725552050473</v>
      </c>
      <c r="H37" s="87">
        <f t="shared" si="17"/>
        <v>0.25646123260437376</v>
      </c>
      <c r="I37" s="88">
        <v>0.26829999999999998</v>
      </c>
      <c r="J37" s="89">
        <v>0.25490000000000002</v>
      </c>
      <c r="K37" s="89">
        <v>0.25330000000000003</v>
      </c>
      <c r="L37" s="89">
        <v>0.23899999999999999</v>
      </c>
      <c r="M37" s="89">
        <v>0.23899999999999999</v>
      </c>
      <c r="N37" s="89">
        <v>0.23899999999999999</v>
      </c>
      <c r="O37" s="89">
        <v>0.23899999999999999</v>
      </c>
      <c r="P37" s="89">
        <v>0.23899999999999999</v>
      </c>
      <c r="Q37" s="89">
        <v>0.23899999999999999</v>
      </c>
      <c r="R37" s="89">
        <v>0.23899999999999999</v>
      </c>
    </row>
    <row r="38" spans="1:86" s="53" customFormat="1" x14ac:dyDescent="0.25">
      <c r="A38" s="1"/>
      <c r="B38" s="1"/>
      <c r="C38" s="1"/>
      <c r="D38" s="1"/>
      <c r="E38" s="1"/>
      <c r="F38" s="1"/>
      <c r="G38" s="1"/>
      <c r="H38" s="1"/>
      <c r="I38" s="12"/>
      <c r="J38" s="1"/>
      <c r="K38" s="1"/>
      <c r="L38" s="1"/>
      <c r="M38" s="1"/>
      <c r="N38" s="1"/>
      <c r="O38" s="1"/>
      <c r="P38" s="1"/>
      <c r="Q38" s="1"/>
      <c r="R38" s="1"/>
    </row>
    <row r="39" spans="1:86" s="53" customFormat="1" x14ac:dyDescent="0.25">
      <c r="A39" s="1"/>
      <c r="B39" s="9" t="s">
        <v>19</v>
      </c>
      <c r="C39" s="9">
        <v>2017</v>
      </c>
      <c r="D39" s="9">
        <v>2018</v>
      </c>
      <c r="E39" s="10">
        <v>2019</v>
      </c>
      <c r="F39" s="9">
        <v>2020</v>
      </c>
      <c r="G39" s="9">
        <v>2021</v>
      </c>
      <c r="H39" s="9">
        <v>2022</v>
      </c>
      <c r="I39" s="67">
        <v>2023</v>
      </c>
      <c r="J39" s="9">
        <v>2024</v>
      </c>
      <c r="K39" s="9">
        <v>2025</v>
      </c>
      <c r="L39" s="9">
        <v>2026</v>
      </c>
      <c r="M39" s="9">
        <v>2027</v>
      </c>
      <c r="N39" s="9">
        <v>2028</v>
      </c>
      <c r="O39" s="9">
        <v>2029</v>
      </c>
      <c r="P39" s="9">
        <v>2030</v>
      </c>
      <c r="Q39" s="9">
        <v>2031</v>
      </c>
      <c r="R39" s="9">
        <v>2032</v>
      </c>
      <c r="S39" s="9">
        <v>2033</v>
      </c>
      <c r="T39" s="9">
        <v>2034</v>
      </c>
      <c r="U39" s="9">
        <v>2035</v>
      </c>
      <c r="V39" s="9">
        <v>2036</v>
      </c>
      <c r="W39" s="9">
        <v>2037</v>
      </c>
      <c r="X39" s="9">
        <v>2038</v>
      </c>
      <c r="Y39" s="9">
        <v>2039</v>
      </c>
      <c r="Z39" s="9">
        <v>2040</v>
      </c>
      <c r="AA39" s="9">
        <v>2041</v>
      </c>
      <c r="AB39" s="9">
        <v>2042</v>
      </c>
      <c r="AC39" s="9">
        <v>2043</v>
      </c>
      <c r="AD39" s="9">
        <v>2044</v>
      </c>
      <c r="AE39" s="9">
        <v>2045</v>
      </c>
      <c r="AF39" s="9">
        <v>2046</v>
      </c>
      <c r="AG39" s="9">
        <v>2047</v>
      </c>
      <c r="AH39" s="9">
        <v>2048</v>
      </c>
      <c r="AI39" s="9">
        <v>2049</v>
      </c>
      <c r="AJ39" s="9">
        <v>2050</v>
      </c>
      <c r="AK39" s="9">
        <v>2051</v>
      </c>
      <c r="AL39" s="9">
        <v>2052</v>
      </c>
      <c r="AM39" s="9">
        <v>2053</v>
      </c>
      <c r="AN39" s="9">
        <v>2054</v>
      </c>
      <c r="AO39" s="9">
        <v>2055</v>
      </c>
      <c r="AP39" s="9">
        <v>2056</v>
      </c>
      <c r="AQ39" s="9">
        <v>2057</v>
      </c>
      <c r="AR39" s="9">
        <v>2058</v>
      </c>
      <c r="AS39" s="9">
        <v>2059</v>
      </c>
      <c r="AT39" s="9">
        <v>2060</v>
      </c>
      <c r="AU39" s="9">
        <v>2061</v>
      </c>
      <c r="AV39" s="9">
        <v>2062</v>
      </c>
      <c r="AW39" s="9">
        <v>2063</v>
      </c>
      <c r="AX39" s="9">
        <v>2064</v>
      </c>
      <c r="AY39" s="9">
        <v>2065</v>
      </c>
      <c r="AZ39" s="9">
        <v>2066</v>
      </c>
      <c r="BA39" s="9">
        <v>2067</v>
      </c>
      <c r="BB39" s="9">
        <v>2068</v>
      </c>
      <c r="BC39" s="9">
        <v>2069</v>
      </c>
      <c r="BD39" s="9">
        <v>2070</v>
      </c>
      <c r="BE39" s="9">
        <v>2071</v>
      </c>
      <c r="BF39" s="9">
        <v>2072</v>
      </c>
      <c r="BG39" s="9">
        <v>2073</v>
      </c>
      <c r="BH39" s="9">
        <v>2074</v>
      </c>
      <c r="BI39" s="9">
        <v>2075</v>
      </c>
      <c r="BJ39" s="9">
        <v>2076</v>
      </c>
      <c r="BK39" s="9">
        <v>2077</v>
      </c>
      <c r="BL39" s="9">
        <v>2078</v>
      </c>
      <c r="BM39" s="9">
        <v>2079</v>
      </c>
      <c r="BN39" s="9">
        <v>2080</v>
      </c>
      <c r="BO39" s="9">
        <v>2081</v>
      </c>
      <c r="BP39" s="9">
        <v>2082</v>
      </c>
      <c r="BQ39" s="9">
        <v>2083</v>
      </c>
      <c r="BR39" s="9">
        <v>2084</v>
      </c>
      <c r="BS39" s="9">
        <v>2085</v>
      </c>
      <c r="BT39" s="9">
        <v>2086</v>
      </c>
      <c r="BU39" s="9">
        <v>2087</v>
      </c>
      <c r="BV39" s="9">
        <v>2088</v>
      </c>
      <c r="BW39" s="9">
        <v>2089</v>
      </c>
      <c r="BX39" s="9">
        <v>2090</v>
      </c>
      <c r="BY39" s="9">
        <v>2091</v>
      </c>
      <c r="BZ39" s="9">
        <v>2092</v>
      </c>
      <c r="CA39" s="9">
        <v>2093</v>
      </c>
      <c r="CB39" s="9">
        <v>2094</v>
      </c>
      <c r="CC39" s="9">
        <v>2095</v>
      </c>
      <c r="CD39" s="9">
        <v>2096</v>
      </c>
      <c r="CE39" s="9">
        <v>2097</v>
      </c>
      <c r="CF39" s="9">
        <v>2098</v>
      </c>
      <c r="CG39" s="9">
        <v>2099</v>
      </c>
      <c r="CH39" s="9">
        <v>2100</v>
      </c>
    </row>
    <row r="40" spans="1:86" s="53" customFormat="1" x14ac:dyDescent="0.25">
      <c r="A40" s="1"/>
      <c r="B40" s="1" t="s">
        <v>20</v>
      </c>
      <c r="C40" s="11">
        <f>'Raw CF'!F10</f>
        <v>531</v>
      </c>
      <c r="D40" s="11">
        <f>'Raw CF'!G10</f>
        <v>557</v>
      </c>
      <c r="E40" s="11">
        <f>'Raw CF'!H10</f>
        <v>611</v>
      </c>
      <c r="F40" s="11">
        <f>'Raw CF'!B13</f>
        <v>651</v>
      </c>
      <c r="G40" s="11">
        <f>'Raw CF'!C13</f>
        <v>727</v>
      </c>
      <c r="H40" s="11">
        <f>'Raw CF'!D13</f>
        <v>744</v>
      </c>
      <c r="I40" s="20">
        <v>782.7</v>
      </c>
      <c r="J40" s="18">
        <v>819.63</v>
      </c>
      <c r="K40" s="18">
        <v>831.71</v>
      </c>
      <c r="L40" s="18">
        <v>834.67</v>
      </c>
      <c r="M40" s="18">
        <v>884.67</v>
      </c>
      <c r="N40" s="18">
        <v>932</v>
      </c>
      <c r="O40" s="18">
        <v>982</v>
      </c>
      <c r="P40" s="18">
        <v>1030</v>
      </c>
      <c r="Q40" s="18">
        <v>1090</v>
      </c>
      <c r="R40" s="18">
        <f>R41*R11</f>
        <v>1153.8</v>
      </c>
    </row>
    <row r="41" spans="1:86" s="53" customFormat="1" x14ac:dyDescent="0.25">
      <c r="A41" s="1"/>
      <c r="B41" s="83" t="s">
        <v>16</v>
      </c>
      <c r="C41" s="84">
        <f>C40/C11</f>
        <v>3.8807279105459329E-2</v>
      </c>
      <c r="D41" s="84">
        <f>D40/D11</f>
        <v>3.7475610576599608E-2</v>
      </c>
      <c r="E41" s="84">
        <f>E40/E11</f>
        <v>4.2745207779487898E-2</v>
      </c>
      <c r="F41" s="84">
        <f>F40/F11</f>
        <v>4.0148011100832562E-2</v>
      </c>
      <c r="G41" s="84">
        <f>G40/G11</f>
        <v>4.0987765687545807E-2</v>
      </c>
      <c r="H41" s="84">
        <f>H40/H11</f>
        <v>4.6763042111879323E-2</v>
      </c>
      <c r="I41" s="84">
        <f t="shared" ref="I41:Q41" si="18">I40/I11</f>
        <v>4.6451038575667659E-2</v>
      </c>
      <c r="J41" s="84">
        <f t="shared" si="18"/>
        <v>4.5059373282023092E-2</v>
      </c>
      <c r="K41" s="84">
        <f t="shared" si="18"/>
        <v>4.2048028311425685E-2</v>
      </c>
      <c r="L41" s="84">
        <f t="shared" si="18"/>
        <v>3.946430260047281E-2</v>
      </c>
      <c r="M41" s="84">
        <f t="shared" si="18"/>
        <v>3.9283747779751334E-2</v>
      </c>
      <c r="N41" s="84">
        <f t="shared" si="18"/>
        <v>3.8149815800245603E-2</v>
      </c>
      <c r="O41" s="84">
        <f t="shared" si="18"/>
        <v>3.7495227185948839E-2</v>
      </c>
      <c r="P41" s="84">
        <f t="shared" si="18"/>
        <v>3.6733238231098433E-2</v>
      </c>
      <c r="Q41" s="84">
        <f t="shared" si="18"/>
        <v>3.6357571714476317E-2</v>
      </c>
      <c r="R41" s="86">
        <v>3.5999999999999997E-2</v>
      </c>
    </row>
    <row r="42" spans="1:86" s="53" customFormat="1" x14ac:dyDescent="0.25">
      <c r="A42" s="1"/>
      <c r="B42" s="1"/>
      <c r="C42" s="1"/>
      <c r="D42" s="1"/>
      <c r="E42" s="2"/>
      <c r="F42" s="1"/>
      <c r="G42" s="1"/>
      <c r="H42" s="1"/>
      <c r="I42" s="12"/>
      <c r="J42" s="1"/>
      <c r="K42" s="1"/>
      <c r="L42" s="1"/>
      <c r="M42" s="1"/>
      <c r="N42" s="1"/>
      <c r="O42" s="1"/>
      <c r="P42" s="1"/>
      <c r="Q42" s="1"/>
      <c r="R42" s="1"/>
    </row>
    <row r="43" spans="1:86" s="53" customFormat="1" x14ac:dyDescent="0.25">
      <c r="A43" s="1"/>
      <c r="B43" s="1" t="s">
        <v>21</v>
      </c>
      <c r="C43" s="11">
        <f>'Raw CF'!F34</f>
        <v>-629</v>
      </c>
      <c r="D43" s="11">
        <f>'Raw CF'!G34</f>
        <v>-744</v>
      </c>
      <c r="E43" s="11">
        <f>'Raw CF'!H34</f>
        <v>-623</v>
      </c>
      <c r="F43" s="38">
        <f>'Raw CF'!B35</f>
        <v>-637</v>
      </c>
      <c r="G43" s="38">
        <f>'Raw CF'!C35</f>
        <v>-1040</v>
      </c>
      <c r="H43" s="38">
        <f>'Raw CF'!D35</f>
        <v>-1003</v>
      </c>
      <c r="I43" s="20">
        <v>-964.71</v>
      </c>
      <c r="J43" s="18">
        <v>-923.81</v>
      </c>
      <c r="K43" s="18">
        <v>-867.57</v>
      </c>
      <c r="L43" s="18">
        <v>-908.42</v>
      </c>
      <c r="M43" s="18">
        <v>-954.06</v>
      </c>
      <c r="N43" s="18">
        <v>-1010</v>
      </c>
      <c r="O43" s="18">
        <v>-1080</v>
      </c>
      <c r="P43" s="18">
        <v>-1150</v>
      </c>
      <c r="Q43" s="18">
        <v>-1230</v>
      </c>
      <c r="R43" s="18">
        <v>-1410</v>
      </c>
    </row>
    <row r="44" spans="1:86" s="53" customFormat="1" x14ac:dyDescent="0.25">
      <c r="A44" s="1"/>
      <c r="B44" s="83" t="s">
        <v>16</v>
      </c>
      <c r="C44" s="84">
        <f>C43/C11</f>
        <v>-4.5969451143755023E-2</v>
      </c>
      <c r="D44" s="84">
        <f>D43/D11</f>
        <v>-5.0057188992800913E-2</v>
      </c>
      <c r="E44" s="84">
        <f>E43/E11</f>
        <v>-4.35847208619001E-2</v>
      </c>
      <c r="F44" s="84">
        <f>F43/F11</f>
        <v>-3.9284613012642612E-2</v>
      </c>
      <c r="G44" s="84">
        <f>G43/G11</f>
        <v>-5.863449286801601E-2</v>
      </c>
      <c r="H44" s="84">
        <f>H43/H11</f>
        <v>-6.3042111879321183E-2</v>
      </c>
      <c r="I44" s="84">
        <f t="shared" ref="I44:R44" si="19">I43/I11</f>
        <v>-5.7252818991097923E-2</v>
      </c>
      <c r="J44" s="84">
        <f t="shared" si="19"/>
        <v>-5.0786695986805935E-2</v>
      </c>
      <c r="K44" s="84">
        <f t="shared" si="19"/>
        <v>-4.3860970677451976E-2</v>
      </c>
      <c r="L44" s="84">
        <f t="shared" si="19"/>
        <v>-4.2951300236406614E-2</v>
      </c>
      <c r="M44" s="84">
        <f t="shared" si="19"/>
        <v>-4.2365008880994669E-2</v>
      </c>
      <c r="N44" s="84">
        <f t="shared" si="19"/>
        <v>-4.134261154318461E-2</v>
      </c>
      <c r="O44" s="84">
        <f t="shared" si="19"/>
        <v>-4.1237113402061855E-2</v>
      </c>
      <c r="P44" s="84">
        <f t="shared" si="19"/>
        <v>-4.1012838801711839E-2</v>
      </c>
      <c r="Q44" s="84">
        <f t="shared" si="19"/>
        <v>-4.1027351567711805E-2</v>
      </c>
      <c r="R44" s="84">
        <f t="shared" si="19"/>
        <v>-4.3993759750390014E-2</v>
      </c>
    </row>
    <row r="45" spans="1:86" s="53" customFormat="1" x14ac:dyDescent="0.25">
      <c r="A45" s="1"/>
      <c r="B45" s="1"/>
      <c r="C45" s="1"/>
      <c r="D45" s="1"/>
      <c r="E45" s="2"/>
      <c r="F45" s="1"/>
      <c r="G45" s="1"/>
      <c r="H45" s="1"/>
      <c r="I45" s="12"/>
      <c r="J45" s="1"/>
      <c r="K45" s="1"/>
      <c r="L45" s="1"/>
      <c r="M45" s="1"/>
      <c r="N45" s="1"/>
      <c r="O45" s="1"/>
      <c r="P45" s="1"/>
      <c r="Q45" s="1"/>
      <c r="R45" s="1"/>
    </row>
    <row r="46" spans="1:86" s="53" customFormat="1" x14ac:dyDescent="0.25">
      <c r="A46" s="1"/>
      <c r="B46" s="1" t="s">
        <v>22</v>
      </c>
      <c r="C46" s="1">
        <f>SUM('Raw CF'!F24:F30)</f>
        <v>564</v>
      </c>
      <c r="D46" s="1">
        <f>SUM('Raw CF'!G24:G30)</f>
        <v>-2</v>
      </c>
      <c r="E46" s="1">
        <f>SUM('Raw CF'!H24:H30)</f>
        <v>-11</v>
      </c>
      <c r="F46" s="77">
        <f>SUM('Raw CF'!B26:B32)</f>
        <v>554</v>
      </c>
      <c r="G46" s="77">
        <f>SUM('Raw CF'!C26:C32)</f>
        <v>-554</v>
      </c>
      <c r="H46" s="77">
        <f>SUM('Raw CF'!D26:D32)</f>
        <v>-356</v>
      </c>
      <c r="I46" s="20">
        <f>I47*I11</f>
        <v>-168.5</v>
      </c>
      <c r="J46" s="18">
        <f>J47*J11</f>
        <v>90.95</v>
      </c>
      <c r="K46" s="18">
        <f>K47*K11</f>
        <v>98.9</v>
      </c>
      <c r="L46" s="18">
        <f>L47*L11</f>
        <v>105.75</v>
      </c>
      <c r="M46" s="18">
        <f>M47*M11</f>
        <v>112.60000000000001</v>
      </c>
      <c r="N46" s="18">
        <f>N47*N11</f>
        <v>122.15</v>
      </c>
      <c r="O46" s="18">
        <f>O47*O11</f>
        <v>130.94999999999999</v>
      </c>
      <c r="P46" s="18">
        <f>P47*P11</f>
        <v>140.20000000000002</v>
      </c>
      <c r="Q46" s="18">
        <f>Q47*Q11</f>
        <v>149.9</v>
      </c>
      <c r="R46" s="18">
        <f>R47*R11</f>
        <v>160.25</v>
      </c>
    </row>
    <row r="47" spans="1:86" s="53" customFormat="1" x14ac:dyDescent="0.25">
      <c r="A47" s="1"/>
      <c r="B47" s="83" t="s">
        <v>16</v>
      </c>
      <c r="C47" s="84">
        <f>C46/C11</f>
        <v>4.1219030914273189E-2</v>
      </c>
      <c r="D47" s="84">
        <f>D46/D11</f>
        <v>-1.3456233600215298E-4</v>
      </c>
      <c r="E47" s="84">
        <f>E46/E11</f>
        <v>-7.6955365887785079E-4</v>
      </c>
      <c r="F47" s="84">
        <f>F46/F11</f>
        <v>3.41658957755165E-2</v>
      </c>
      <c r="G47" s="84">
        <f>G46/G11</f>
        <v>-3.1234143316231606E-2</v>
      </c>
      <c r="H47" s="84">
        <f>H46/H11</f>
        <v>-2.2375864236329354E-2</v>
      </c>
      <c r="I47" s="88">
        <v>-0.01</v>
      </c>
      <c r="J47" s="89">
        <v>5.0000000000000001E-3</v>
      </c>
      <c r="K47" s="89">
        <v>5.0000000000000001E-3</v>
      </c>
      <c r="L47" s="89">
        <v>5.0000000000000001E-3</v>
      </c>
      <c r="M47" s="89">
        <v>5.0000000000000001E-3</v>
      </c>
      <c r="N47" s="89">
        <v>5.0000000000000001E-3</v>
      </c>
      <c r="O47" s="89">
        <v>5.0000000000000001E-3</v>
      </c>
      <c r="P47" s="89">
        <v>5.0000000000000001E-3</v>
      </c>
      <c r="Q47" s="89">
        <v>5.0000000000000001E-3</v>
      </c>
      <c r="R47" s="89">
        <v>5.0000000000000001E-3</v>
      </c>
    </row>
    <row r="48" spans="1:86" s="53" customFormat="1" x14ac:dyDescent="0.25">
      <c r="A48" s="1"/>
      <c r="B48" s="1"/>
      <c r="C48" s="1"/>
      <c r="D48" s="1"/>
      <c r="E48" s="1"/>
      <c r="F48" s="1"/>
      <c r="G48" s="1"/>
      <c r="H48" s="1"/>
      <c r="I48" s="12"/>
      <c r="J48" s="1"/>
      <c r="K48" s="1"/>
      <c r="L48" s="1"/>
      <c r="M48" s="1"/>
      <c r="N48" s="1"/>
      <c r="O48" s="1"/>
      <c r="P48" s="1"/>
      <c r="Q48" s="1"/>
      <c r="R48" s="1"/>
    </row>
    <row r="49" spans="1:86" s="53" customFormat="1" x14ac:dyDescent="0.25">
      <c r="A49" s="1"/>
      <c r="B49" s="9" t="s">
        <v>23</v>
      </c>
      <c r="C49" s="11">
        <f>C33-C36</f>
        <v>1192</v>
      </c>
      <c r="D49" s="11">
        <f t="shared" ref="D49:H49" si="20">D33-D36</f>
        <v>1800</v>
      </c>
      <c r="E49" s="11">
        <f t="shared" si="20"/>
        <v>256</v>
      </c>
      <c r="F49" s="11">
        <f t="shared" si="20"/>
        <v>2162</v>
      </c>
      <c r="G49" s="11">
        <f t="shared" si="20"/>
        <v>2542</v>
      </c>
      <c r="H49" s="11">
        <f t="shared" si="20"/>
        <v>1122</v>
      </c>
      <c r="I49" s="39">
        <f t="shared" ref="I49" si="21">I33-I36</f>
        <v>1532.7499999999998</v>
      </c>
      <c r="J49" s="11">
        <f t="shared" ref="J49:R49" si="22">J33-J36</f>
        <v>2272.8499999999995</v>
      </c>
      <c r="K49" s="11">
        <f t="shared" si="22"/>
        <v>2866.7</v>
      </c>
      <c r="L49" s="11">
        <f t="shared" si="22"/>
        <v>3117.25</v>
      </c>
      <c r="M49" s="11">
        <f t="shared" si="22"/>
        <v>3567.8</v>
      </c>
      <c r="N49" s="11">
        <f t="shared" si="22"/>
        <v>4016.4500000000003</v>
      </c>
      <c r="O49" s="11">
        <f t="shared" si="22"/>
        <v>4442.8500000000013</v>
      </c>
      <c r="P49" s="11">
        <f t="shared" si="22"/>
        <v>4900.5999999999985</v>
      </c>
      <c r="Q49" s="11">
        <f t="shared" si="22"/>
        <v>5399.6999999999989</v>
      </c>
      <c r="R49" s="11">
        <f t="shared" si="22"/>
        <v>5870.7500000000009</v>
      </c>
    </row>
    <row r="50" spans="1:86" s="53" customFormat="1" x14ac:dyDescent="0.25">
      <c r="A50" s="1"/>
      <c r="B50" s="9" t="s">
        <v>50</v>
      </c>
      <c r="C50" s="11">
        <v>-9</v>
      </c>
      <c r="D50" s="11">
        <v>-9</v>
      </c>
      <c r="E50" s="11">
        <v>-12</v>
      </c>
      <c r="F50" s="11">
        <v>-5</v>
      </c>
      <c r="G50" s="11">
        <v>-18</v>
      </c>
      <c r="H50" s="11">
        <v>-4</v>
      </c>
      <c r="I50" s="39"/>
      <c r="J50" s="11"/>
      <c r="K50" s="11"/>
      <c r="L50" s="11"/>
      <c r="M50" s="11"/>
      <c r="N50" s="11"/>
      <c r="O50" s="11"/>
      <c r="P50" s="11"/>
      <c r="Q50" s="11"/>
      <c r="R50" s="11"/>
    </row>
    <row r="51" spans="1:86" s="53" customFormat="1" x14ac:dyDescent="0.25">
      <c r="A51" s="1"/>
      <c r="B51" s="9" t="s">
        <v>24</v>
      </c>
      <c r="C51" s="11">
        <f>C31-C36+C50</f>
        <v>1108</v>
      </c>
      <c r="D51" s="11">
        <f t="shared" ref="D51:H51" si="23">D31-D36+D50</f>
        <v>1785</v>
      </c>
      <c r="E51" s="11">
        <f t="shared" si="23"/>
        <v>684</v>
      </c>
      <c r="F51" s="11">
        <f t="shared" si="23"/>
        <v>2870</v>
      </c>
      <c r="G51" s="11">
        <f t="shared" si="23"/>
        <v>2390</v>
      </c>
      <c r="H51" s="11">
        <f t="shared" si="23"/>
        <v>1006</v>
      </c>
      <c r="I51" s="11">
        <f>I31-I36-I50</f>
        <v>1279.9999999999998</v>
      </c>
      <c r="J51" s="11">
        <f t="shared" ref="J51:R51" si="24">J31-J36-J50</f>
        <v>1999.9999999999998</v>
      </c>
      <c r="K51" s="11">
        <f t="shared" si="24"/>
        <v>2570</v>
      </c>
      <c r="L51" s="11">
        <f t="shared" si="24"/>
        <v>2800</v>
      </c>
      <c r="M51" s="11">
        <f t="shared" si="24"/>
        <v>3230</v>
      </c>
      <c r="N51" s="11">
        <f t="shared" si="24"/>
        <v>3650.0000000000005</v>
      </c>
      <c r="O51" s="11">
        <f t="shared" si="24"/>
        <v>4050.0000000000009</v>
      </c>
      <c r="P51" s="11">
        <f t="shared" si="24"/>
        <v>4479.9999999999982</v>
      </c>
      <c r="Q51" s="11">
        <f t="shared" si="24"/>
        <v>4949.9999999999982</v>
      </c>
      <c r="R51" s="11">
        <f t="shared" si="24"/>
        <v>5390.0000000000009</v>
      </c>
      <c r="S51" s="54">
        <f>R51*(1+$E$6)</f>
        <v>5551.7000000000007</v>
      </c>
      <c r="T51" s="54">
        <f t="shared" ref="T51:CE51" si="25">S51*(1+$E$6)</f>
        <v>5718.2510000000011</v>
      </c>
      <c r="U51" s="54">
        <f t="shared" si="25"/>
        <v>5889.7985300000009</v>
      </c>
      <c r="V51" s="54">
        <f t="shared" si="25"/>
        <v>6066.4924859000012</v>
      </c>
      <c r="W51" s="54">
        <f t="shared" si="25"/>
        <v>6248.4872604770017</v>
      </c>
      <c r="X51" s="54">
        <f t="shared" si="25"/>
        <v>6435.9418782913117</v>
      </c>
      <c r="Y51" s="54">
        <f t="shared" si="25"/>
        <v>6629.0201346400509</v>
      </c>
      <c r="Z51" s="54">
        <f t="shared" si="25"/>
        <v>6827.8907386792525</v>
      </c>
      <c r="AA51" s="54">
        <f t="shared" si="25"/>
        <v>7032.7274608396301</v>
      </c>
      <c r="AB51" s="54">
        <f t="shared" si="25"/>
        <v>7243.7092846648193</v>
      </c>
      <c r="AC51" s="54">
        <f t="shared" si="25"/>
        <v>7461.0205632047637</v>
      </c>
      <c r="AD51" s="54">
        <f t="shared" si="25"/>
        <v>7684.8511801009072</v>
      </c>
      <c r="AE51" s="54">
        <f t="shared" si="25"/>
        <v>7915.3967155039345</v>
      </c>
      <c r="AF51" s="54">
        <f t="shared" si="25"/>
        <v>8152.8586169690525</v>
      </c>
      <c r="AG51" s="54">
        <f t="shared" si="25"/>
        <v>8397.4443754781241</v>
      </c>
      <c r="AH51" s="54">
        <f t="shared" si="25"/>
        <v>8649.3677067424687</v>
      </c>
      <c r="AI51" s="54">
        <f t="shared" si="25"/>
        <v>8908.8487379447433</v>
      </c>
      <c r="AJ51" s="54">
        <f t="shared" si="25"/>
        <v>9176.114200083086</v>
      </c>
      <c r="AK51" s="54">
        <f t="shared" si="25"/>
        <v>9451.3976260855779</v>
      </c>
      <c r="AL51" s="54">
        <f t="shared" si="25"/>
        <v>9734.9395548681459</v>
      </c>
      <c r="AM51" s="54">
        <f t="shared" si="25"/>
        <v>10026.987741514191</v>
      </c>
      <c r="AN51" s="54">
        <f t="shared" si="25"/>
        <v>10327.797373759617</v>
      </c>
      <c r="AO51" s="54">
        <f t="shared" si="25"/>
        <v>10637.631294972405</v>
      </c>
      <c r="AP51" s="54">
        <f t="shared" si="25"/>
        <v>10956.760233821578</v>
      </c>
      <c r="AQ51" s="54">
        <f t="shared" si="25"/>
        <v>11285.463040836226</v>
      </c>
      <c r="AR51" s="54">
        <f t="shared" si="25"/>
        <v>11624.026932061313</v>
      </c>
      <c r="AS51" s="54">
        <f t="shared" si="25"/>
        <v>11972.747740023153</v>
      </c>
      <c r="AT51" s="54">
        <f t="shared" si="25"/>
        <v>12331.930172223847</v>
      </c>
      <c r="AU51" s="54">
        <f t="shared" si="25"/>
        <v>12701.888077390562</v>
      </c>
      <c r="AV51" s="54">
        <f t="shared" si="25"/>
        <v>13082.944719712279</v>
      </c>
      <c r="AW51" s="54">
        <f t="shared" si="25"/>
        <v>13475.433061303647</v>
      </c>
      <c r="AX51" s="54">
        <f t="shared" si="25"/>
        <v>13879.696053142758</v>
      </c>
      <c r="AY51" s="54">
        <f t="shared" si="25"/>
        <v>14296.086934737041</v>
      </c>
      <c r="AZ51" s="54">
        <f t="shared" si="25"/>
        <v>14724.969542779152</v>
      </c>
      <c r="BA51" s="54">
        <f t="shared" si="25"/>
        <v>15166.718629062527</v>
      </c>
      <c r="BB51" s="54">
        <f t="shared" si="25"/>
        <v>15621.720187934403</v>
      </c>
      <c r="BC51" s="54">
        <f t="shared" si="25"/>
        <v>16090.371793572436</v>
      </c>
      <c r="BD51" s="54">
        <f t="shared" si="25"/>
        <v>16573.082947379611</v>
      </c>
      <c r="BE51" s="54">
        <f t="shared" si="25"/>
        <v>17070.275435800999</v>
      </c>
      <c r="BF51" s="54">
        <f t="shared" si="25"/>
        <v>17582.38369887503</v>
      </c>
      <c r="BG51" s="54">
        <f t="shared" si="25"/>
        <v>18109.85520984128</v>
      </c>
      <c r="BH51" s="54">
        <f t="shared" si="25"/>
        <v>18653.150866136519</v>
      </c>
      <c r="BI51" s="54">
        <f t="shared" si="25"/>
        <v>19212.745392120614</v>
      </c>
      <c r="BJ51" s="54">
        <f t="shared" si="25"/>
        <v>19789.127753884233</v>
      </c>
      <c r="BK51" s="54">
        <f t="shared" si="25"/>
        <v>20382.801586500762</v>
      </c>
      <c r="BL51" s="54">
        <f t="shared" si="25"/>
        <v>20994.285634095784</v>
      </c>
      <c r="BM51" s="54">
        <f t="shared" si="25"/>
        <v>21624.114203118657</v>
      </c>
      <c r="BN51" s="54">
        <f t="shared" si="25"/>
        <v>22272.837629212219</v>
      </c>
      <c r="BO51" s="54">
        <f t="shared" si="25"/>
        <v>22941.022758088588</v>
      </c>
      <c r="BP51" s="54">
        <f t="shared" si="25"/>
        <v>23629.253440831246</v>
      </c>
      <c r="BQ51" s="54">
        <f t="shared" si="25"/>
        <v>24338.131044056183</v>
      </c>
      <c r="BR51" s="54">
        <f t="shared" si="25"/>
        <v>25068.27497537787</v>
      </c>
      <c r="BS51" s="54">
        <f t="shared" si="25"/>
        <v>25820.323224639207</v>
      </c>
      <c r="BT51" s="54">
        <f t="shared" si="25"/>
        <v>26594.932921378386</v>
      </c>
      <c r="BU51" s="54">
        <f t="shared" si="25"/>
        <v>27392.780909019737</v>
      </c>
      <c r="BV51" s="54">
        <f t="shared" si="25"/>
        <v>28214.564336290328</v>
      </c>
      <c r="BW51" s="54">
        <f t="shared" si="25"/>
        <v>29061.00126637904</v>
      </c>
      <c r="BX51" s="54">
        <f t="shared" si="25"/>
        <v>29932.831304370411</v>
      </c>
      <c r="BY51" s="54">
        <f t="shared" si="25"/>
        <v>30830.816243501526</v>
      </c>
      <c r="BZ51" s="54">
        <f t="shared" si="25"/>
        <v>31755.740730806574</v>
      </c>
      <c r="CA51" s="54">
        <f t="shared" si="25"/>
        <v>32708.41295273077</v>
      </c>
      <c r="CB51" s="54">
        <f t="shared" si="25"/>
        <v>33689.665341312691</v>
      </c>
      <c r="CC51" s="54">
        <f t="shared" si="25"/>
        <v>34700.355301552074</v>
      </c>
      <c r="CD51" s="54">
        <f t="shared" si="25"/>
        <v>35741.36596059864</v>
      </c>
      <c r="CE51" s="54">
        <f t="shared" si="25"/>
        <v>36813.606939416597</v>
      </c>
      <c r="CF51" s="54">
        <f t="shared" ref="CF51:CH51" si="26">CE51*(1+$E$6)</f>
        <v>37918.015147599093</v>
      </c>
      <c r="CG51" s="54">
        <f t="shared" si="26"/>
        <v>39055.555602027067</v>
      </c>
      <c r="CH51" s="54">
        <f t="shared" si="26"/>
        <v>40227.222270087877</v>
      </c>
    </row>
    <row r="52" spans="1:86" s="53" customFormat="1" x14ac:dyDescent="0.25">
      <c r="A52" s="1"/>
      <c r="B52" s="6"/>
      <c r="C52" s="11"/>
      <c r="D52" s="11"/>
      <c r="E52" s="11"/>
      <c r="F52" s="11"/>
      <c r="G52" s="11"/>
      <c r="H52" s="11"/>
      <c r="I52" s="12"/>
      <c r="J52" s="1"/>
      <c r="K52" s="1"/>
      <c r="L52" s="1"/>
      <c r="M52" s="1"/>
      <c r="N52" s="1"/>
      <c r="O52" s="1"/>
      <c r="P52" s="1"/>
      <c r="Q52" s="1"/>
      <c r="R52" s="1"/>
    </row>
    <row r="53" spans="1:86" s="53" customFormat="1" x14ac:dyDescent="0.25">
      <c r="A53" s="1"/>
      <c r="B53" s="9" t="s">
        <v>25</v>
      </c>
      <c r="C53" s="24">
        <f>C49+C40+C43-C46</f>
        <v>530</v>
      </c>
      <c r="D53" s="24">
        <f t="shared" ref="D53:R53" si="27">D49+D40+D43-D46</f>
        <v>1615</v>
      </c>
      <c r="E53" s="24">
        <f t="shared" si="27"/>
        <v>255</v>
      </c>
      <c r="F53" s="24">
        <f t="shared" si="27"/>
        <v>1622</v>
      </c>
      <c r="G53" s="24">
        <f t="shared" si="27"/>
        <v>2783</v>
      </c>
      <c r="H53" s="24">
        <f>H49+H40+H43-H46</f>
        <v>1219</v>
      </c>
      <c r="I53" s="55">
        <f t="shared" si="27"/>
        <v>1519.2399999999998</v>
      </c>
      <c r="J53" s="24">
        <f t="shared" si="27"/>
        <v>2077.7199999999998</v>
      </c>
      <c r="K53" s="24">
        <f t="shared" si="27"/>
        <v>2731.9399999999996</v>
      </c>
      <c r="L53" s="24">
        <f t="shared" si="27"/>
        <v>2937.75</v>
      </c>
      <c r="M53" s="24">
        <f t="shared" si="27"/>
        <v>3385.8100000000004</v>
      </c>
      <c r="N53" s="24">
        <f t="shared" si="27"/>
        <v>3816.3000000000006</v>
      </c>
      <c r="O53" s="24">
        <f t="shared" si="27"/>
        <v>4213.9000000000015</v>
      </c>
      <c r="P53" s="24">
        <f t="shared" si="27"/>
        <v>4640.3999999999987</v>
      </c>
      <c r="Q53" s="24">
        <f t="shared" si="27"/>
        <v>5109.7999999999993</v>
      </c>
      <c r="R53" s="24">
        <f t="shared" si="27"/>
        <v>5454.3000000000011</v>
      </c>
    </row>
    <row r="54" spans="1:86" s="53" customFormat="1" x14ac:dyDescent="0.25">
      <c r="A54" s="1"/>
      <c r="B54" s="25" t="s">
        <v>26</v>
      </c>
      <c r="C54" s="1"/>
      <c r="D54" s="1"/>
      <c r="E54" s="1"/>
      <c r="F54" s="1"/>
      <c r="G54" s="1"/>
      <c r="H54" s="1"/>
      <c r="I54" s="80">
        <f>I53/((1+$E$5)^I9)</f>
        <v>1373.7688314643206</v>
      </c>
      <c r="J54" s="81">
        <f>J53/((1+$E$5)^J9)</f>
        <v>1698.8755455984688</v>
      </c>
      <c r="K54" s="81">
        <f>K53/((1+$E$5)^K9)</f>
        <v>2019.9144402967709</v>
      </c>
      <c r="L54" s="81">
        <f>L53/((1+$E$5)^L9)</f>
        <v>1964.1014862134998</v>
      </c>
      <c r="M54" s="81">
        <f>M53/((1+$E$5)^M9)</f>
        <v>2046.9109298789258</v>
      </c>
      <c r="N54" s="81">
        <f>N53/((1+$E$5)^N9)</f>
        <v>2086.2489990997783</v>
      </c>
      <c r="O54" s="81">
        <f>O53/((1+$E$5)^O9)</f>
        <v>2083.0281137781994</v>
      </c>
      <c r="P54" s="81">
        <f>P53/((1+$E$5)^P9)</f>
        <v>2074.2141697920047</v>
      </c>
      <c r="Q54" s="81">
        <f>Q53/((1+$E$5)^Q9)</f>
        <v>2065.3295221725466</v>
      </c>
      <c r="R54" s="81">
        <f>R53/((1+$E$5)^R9)</f>
        <v>1993.4793664792903</v>
      </c>
    </row>
    <row r="55" spans="1:86" s="53" customFormat="1" x14ac:dyDescent="0.25">
      <c r="A55" s="1"/>
      <c r="B55" s="26"/>
      <c r="C55" s="26"/>
      <c r="D55" s="26"/>
      <c r="E55" s="26"/>
      <c r="F55" s="26"/>
      <c r="G55" s="26"/>
      <c r="H55" s="26"/>
      <c r="I55" s="82"/>
      <c r="J55" s="1"/>
      <c r="K55" s="1"/>
      <c r="L55" s="1"/>
      <c r="M55" s="1"/>
      <c r="N55" s="1"/>
      <c r="O55" s="1"/>
      <c r="P55" s="1"/>
      <c r="Q55" s="1"/>
      <c r="R55" s="1"/>
    </row>
    <row r="56" spans="1:86" s="53" customFormat="1" x14ac:dyDescent="0.25">
      <c r="A56" s="1"/>
      <c r="B56" s="1" t="s">
        <v>27</v>
      </c>
      <c r="C56" s="27">
        <f>(R53*(1+$E$6))/($E$5-$E$6)</f>
        <v>74025.284286777038</v>
      </c>
      <c r="D56" s="1"/>
      <c r="E56" s="1" t="s">
        <v>28</v>
      </c>
      <c r="F56" s="18">
        <f>NPV($E$5,I51:CH51)</f>
        <v>45012.021133331029</v>
      </c>
      <c r="G56" s="1"/>
      <c r="H56" s="1"/>
      <c r="I56" s="15"/>
      <c r="J56" s="1"/>
      <c r="K56" s="1"/>
      <c r="L56" s="1"/>
      <c r="M56" s="1"/>
      <c r="N56" s="1"/>
      <c r="O56" s="1"/>
      <c r="P56" s="1"/>
      <c r="Q56" s="1"/>
      <c r="R56" s="2"/>
    </row>
    <row r="57" spans="1:86" s="53" customFormat="1" x14ac:dyDescent="0.25">
      <c r="A57" s="1"/>
      <c r="B57" s="3" t="s">
        <v>29</v>
      </c>
      <c r="C57" s="28">
        <f>C56/((1+$E$5)^$R$9)</f>
        <v>27055.328240737334</v>
      </c>
      <c r="D57" s="16"/>
      <c r="E57" s="3"/>
      <c r="F57" s="3"/>
      <c r="G57" s="3"/>
      <c r="H57" s="16"/>
      <c r="I57" s="12"/>
      <c r="J57" s="1"/>
      <c r="K57" s="2"/>
      <c r="L57" s="91" t="s">
        <v>70</v>
      </c>
      <c r="M57" s="91"/>
      <c r="N57" s="91"/>
      <c r="O57" s="91"/>
      <c r="P57" s="91"/>
      <c r="Q57" s="91"/>
      <c r="R57" s="2"/>
    </row>
    <row r="58" spans="1:86" x14ac:dyDescent="0.25">
      <c r="A58" s="1"/>
      <c r="B58" s="6" t="s">
        <v>30</v>
      </c>
      <c r="C58" s="6"/>
      <c r="D58" s="1"/>
      <c r="E58" s="6"/>
      <c r="F58" s="6"/>
      <c r="G58" s="29" t="s">
        <v>31</v>
      </c>
      <c r="H58" s="29" t="s">
        <v>28</v>
      </c>
      <c r="I58" s="15"/>
      <c r="J58" s="1"/>
      <c r="K58" s="56"/>
      <c r="L58" s="61">
        <f>E64</f>
        <v>126.35384665782118</v>
      </c>
      <c r="M58" s="90">
        <v>-0.01</v>
      </c>
      <c r="N58" s="90">
        <v>0.01</v>
      </c>
      <c r="O58" s="90">
        <v>0.02</v>
      </c>
      <c r="P58" s="90">
        <v>0.03</v>
      </c>
      <c r="Q58" s="90">
        <v>0.04</v>
      </c>
    </row>
    <row r="59" spans="1:86" x14ac:dyDescent="0.25">
      <c r="A59" s="1"/>
      <c r="B59" s="30" t="s">
        <v>32</v>
      </c>
      <c r="C59" s="1"/>
      <c r="D59" s="23">
        <v>4029</v>
      </c>
      <c r="E59" s="1"/>
      <c r="F59" s="1"/>
      <c r="G59" s="27">
        <f>C57+SUM(I54:R54)</f>
        <v>46461.199645511137</v>
      </c>
      <c r="H59" s="18">
        <f>F56</f>
        <v>45012.021133331029</v>
      </c>
      <c r="I59" s="15"/>
      <c r="K59" s="56"/>
      <c r="L59" s="58">
        <f>L60-1%</f>
        <v>8.5892028705163909E-2</v>
      </c>
      <c r="M59" s="62">
        <f t="dataTable" ref="M59:Q63" dt2D="1" dtr="1" r1="E6" r2="E5"/>
        <v>125.99128752714213</v>
      </c>
      <c r="N59" s="62">
        <v>145.58014615714492</v>
      </c>
      <c r="O59" s="62">
        <v>159.61376028121288</v>
      </c>
      <c r="P59" s="62">
        <v>178.26982734211208</v>
      </c>
      <c r="Q59" s="62">
        <v>204.12213665856819</v>
      </c>
    </row>
    <row r="60" spans="1:86" x14ac:dyDescent="0.25">
      <c r="A60" s="1"/>
      <c r="B60" s="31" t="s">
        <v>33</v>
      </c>
      <c r="C60" s="3"/>
      <c r="D60" s="40">
        <f>6240-1670</f>
        <v>4570</v>
      </c>
      <c r="E60" s="3"/>
      <c r="F60" s="3"/>
      <c r="G60" s="3"/>
      <c r="H60" s="3"/>
      <c r="I60" s="15"/>
      <c r="K60" s="57"/>
      <c r="L60" s="58">
        <f>L61-1%</f>
        <v>9.5892028705163904E-2</v>
      </c>
      <c r="M60" s="62">
        <v>111.01506146743264</v>
      </c>
      <c r="N60" s="63">
        <v>125.52602930143668</v>
      </c>
      <c r="O60" s="63">
        <v>135.55610235072515</v>
      </c>
      <c r="P60" s="63">
        <v>148.46491207944678</v>
      </c>
      <c r="Q60" s="62">
        <v>165.61769530589456</v>
      </c>
      <c r="R60" s="49"/>
    </row>
    <row r="61" spans="1:86" x14ac:dyDescent="0.25">
      <c r="A61" s="1"/>
      <c r="B61" s="6" t="s">
        <v>34</v>
      </c>
      <c r="C61" s="6"/>
      <c r="D61" s="6"/>
      <c r="E61" s="6"/>
      <c r="F61" s="6"/>
      <c r="G61" s="32">
        <f>G59+D59-D60</f>
        <v>45920.199645511137</v>
      </c>
      <c r="H61" s="33">
        <f>H59+D59-D60</f>
        <v>44471.021133331029</v>
      </c>
      <c r="I61" s="15"/>
      <c r="K61" s="56" t="s">
        <v>1</v>
      </c>
      <c r="L61" s="58">
        <v>0.1058920287051639</v>
      </c>
      <c r="M61" s="62">
        <v>98.773353912665016</v>
      </c>
      <c r="N61" s="63">
        <v>109.75185342332819</v>
      </c>
      <c r="O61" s="64">
        <v>117.11769126381145</v>
      </c>
      <c r="P61" s="63">
        <v>126.35384665782118</v>
      </c>
      <c r="Q61" s="62">
        <v>138.23671269111884</v>
      </c>
    </row>
    <row r="62" spans="1:86" x14ac:dyDescent="0.25">
      <c r="A62" s="1"/>
      <c r="B62" s="3" t="s">
        <v>35</v>
      </c>
      <c r="C62" s="3"/>
      <c r="D62" s="38">
        <f>(232148786+125542029)/1000000</f>
        <v>357.69081499999999</v>
      </c>
      <c r="E62" s="3"/>
      <c r="F62" s="3"/>
      <c r="G62" s="3"/>
      <c r="H62" s="34"/>
      <c r="I62" s="15"/>
      <c r="K62" s="56"/>
      <c r="L62" s="59">
        <f>L61+1%</f>
        <v>0.11589202870516389</v>
      </c>
      <c r="M62" s="62">
        <v>88.609689274694844</v>
      </c>
      <c r="N62" s="63">
        <v>97.064996401112921</v>
      </c>
      <c r="O62" s="63">
        <v>102.59722641924199</v>
      </c>
      <c r="P62" s="63">
        <v>109.38663229757948</v>
      </c>
      <c r="Q62" s="62">
        <v>117.89784441209997</v>
      </c>
    </row>
    <row r="63" spans="1:86" x14ac:dyDescent="0.25">
      <c r="A63" s="1"/>
      <c r="B63" s="17" t="s">
        <v>36</v>
      </c>
      <c r="C63" s="17"/>
      <c r="D63" s="65">
        <f>D62*$J$5</f>
        <v>49246.871409200001</v>
      </c>
      <c r="E63" s="17"/>
      <c r="F63" s="17"/>
      <c r="G63" s="17"/>
      <c r="H63" s="35"/>
      <c r="I63" s="1"/>
      <c r="K63" s="56"/>
      <c r="L63" s="59">
        <f>L62+1%</f>
        <v>0.12589202870516389</v>
      </c>
      <c r="M63" s="62">
        <v>80.058590926021395</v>
      </c>
      <c r="N63" s="62">
        <v>86.670619996454747</v>
      </c>
      <c r="O63" s="62">
        <v>90.905101353354311</v>
      </c>
      <c r="P63" s="62">
        <v>96.008910988174179</v>
      </c>
      <c r="Q63" s="62">
        <v>102.27144045915276</v>
      </c>
    </row>
    <row r="64" spans="1:86" x14ac:dyDescent="0.25">
      <c r="A64" s="1"/>
      <c r="B64" s="6" t="s">
        <v>37</v>
      </c>
      <c r="D64" s="6" t="s">
        <v>38</v>
      </c>
      <c r="E64" s="36">
        <f>(G64+H64)/2</f>
        <v>126.35384665782118</v>
      </c>
      <c r="F64" s="6"/>
      <c r="G64" s="36">
        <f>G61/D62</f>
        <v>128.3795885156043</v>
      </c>
      <c r="H64" s="37">
        <f>H61/D62</f>
        <v>124.32810480003808</v>
      </c>
      <c r="I64" s="15"/>
    </row>
    <row r="65" spans="2:9" x14ac:dyDescent="0.25">
      <c r="B65" s="42"/>
      <c r="C65" s="42"/>
      <c r="D65" s="42"/>
      <c r="E65" s="42"/>
      <c r="F65" s="42"/>
      <c r="G65" s="42"/>
      <c r="H65" s="42"/>
      <c r="I65" s="22"/>
    </row>
  </sheetData>
  <sortState xmlns:xlrd2="http://schemas.microsoft.com/office/spreadsheetml/2017/richdata2" columnSort="1" ref="C10:H54">
    <sortCondition ref="C10:H10"/>
  </sortState>
  <mergeCells count="1">
    <mergeCell ref="L57:Q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02C1-E9E6-434A-8083-644F8C7C2221}">
  <dimension ref="A1:I49"/>
  <sheetViews>
    <sheetView topLeftCell="A22" workbookViewId="0">
      <selection activeCell="E33" sqref="E33"/>
    </sheetView>
  </sheetViews>
  <sheetFormatPr defaultRowHeight="15" x14ac:dyDescent="0.25"/>
  <cols>
    <col min="1" max="1" width="49.42578125" customWidth="1"/>
    <col min="6" max="6" width="42.28515625" customWidth="1"/>
  </cols>
  <sheetData>
    <row r="1" spans="1:9" x14ac:dyDescent="0.25">
      <c r="A1" s="68" t="s">
        <v>71</v>
      </c>
      <c r="B1" s="69"/>
      <c r="C1" s="69"/>
      <c r="D1" s="69"/>
      <c r="E1" s="69"/>
      <c r="F1" t="s">
        <v>71</v>
      </c>
    </row>
    <row r="2" spans="1:9" x14ac:dyDescent="0.25">
      <c r="A2" s="68"/>
      <c r="B2" s="69"/>
      <c r="C2" s="69"/>
      <c r="D2" s="69"/>
      <c r="E2" s="69"/>
      <c r="F2" t="s">
        <v>72</v>
      </c>
    </row>
    <row r="3" spans="1:9" x14ac:dyDescent="0.25">
      <c r="A3" s="69" t="s">
        <v>72</v>
      </c>
      <c r="B3" s="69"/>
      <c r="C3" s="69"/>
      <c r="D3" s="69"/>
      <c r="E3" s="69"/>
      <c r="H3" t="s">
        <v>73</v>
      </c>
    </row>
    <row r="4" spans="1:9" x14ac:dyDescent="0.25">
      <c r="A4" s="68"/>
      <c r="B4" s="68"/>
      <c r="C4" s="68"/>
      <c r="D4" s="68"/>
      <c r="E4" s="68"/>
      <c r="F4" t="s">
        <v>74</v>
      </c>
      <c r="G4">
        <v>2018</v>
      </c>
      <c r="H4">
        <v>2019</v>
      </c>
      <c r="I4">
        <v>2020</v>
      </c>
    </row>
    <row r="5" spans="1:9" x14ac:dyDescent="0.25">
      <c r="A5" s="68"/>
      <c r="B5" s="69"/>
      <c r="C5" s="69" t="s">
        <v>73</v>
      </c>
      <c r="D5" s="69"/>
      <c r="E5" s="69"/>
    </row>
    <row r="6" spans="1:9" x14ac:dyDescent="0.25">
      <c r="B6">
        <v>2021</v>
      </c>
      <c r="C6">
        <v>2022</v>
      </c>
      <c r="D6">
        <v>2023</v>
      </c>
      <c r="E6" s="70"/>
      <c r="F6" t="s">
        <v>75</v>
      </c>
      <c r="G6" s="38">
        <v>13683</v>
      </c>
      <c r="H6" s="38">
        <v>14863</v>
      </c>
      <c r="I6" s="38">
        <v>14294</v>
      </c>
    </row>
    <row r="7" spans="1:9" x14ac:dyDescent="0.25">
      <c r="A7" s="68" t="s">
        <v>74</v>
      </c>
      <c r="B7" s="70">
        <v>2021</v>
      </c>
      <c r="C7" s="70">
        <v>2022</v>
      </c>
      <c r="D7" s="70">
        <v>2023</v>
      </c>
      <c r="E7" s="71"/>
      <c r="F7" t="s">
        <v>76</v>
      </c>
      <c r="G7" s="38">
        <v>2844</v>
      </c>
      <c r="H7" s="38">
        <v>3387</v>
      </c>
      <c r="I7" s="38">
        <v>3552</v>
      </c>
    </row>
    <row r="8" spans="1:9" x14ac:dyDescent="0.25">
      <c r="A8" s="68"/>
      <c r="B8" s="71"/>
      <c r="C8" s="71"/>
      <c r="D8" s="71"/>
      <c r="E8" s="71"/>
    </row>
    <row r="9" spans="1:9" x14ac:dyDescent="0.25">
      <c r="A9" s="68" t="s">
        <v>75</v>
      </c>
      <c r="B9" s="71">
        <v>16215</v>
      </c>
      <c r="C9" s="71">
        <v>17737</v>
      </c>
      <c r="D9" s="71">
        <v>15910</v>
      </c>
      <c r="E9" s="69"/>
      <c r="F9" t="s">
        <v>77</v>
      </c>
      <c r="G9" s="38">
        <v>10839</v>
      </c>
      <c r="H9" s="38">
        <v>11476</v>
      </c>
      <c r="I9" s="38">
        <v>10742</v>
      </c>
    </row>
    <row r="10" spans="1:9" x14ac:dyDescent="0.25">
      <c r="A10" s="68" t="s">
        <v>76</v>
      </c>
      <c r="B10" s="92">
        <v>3834</v>
      </c>
      <c r="C10" s="92">
        <v>4305</v>
      </c>
      <c r="D10" s="92">
        <v>4564</v>
      </c>
      <c r="E10" s="71"/>
    </row>
    <row r="11" spans="1:9" x14ac:dyDescent="0.25">
      <c r="A11" s="68"/>
      <c r="B11" s="71"/>
      <c r="C11" s="71"/>
      <c r="D11" s="71"/>
      <c r="E11" s="69"/>
      <c r="F11" t="s">
        <v>78</v>
      </c>
    </row>
    <row r="12" spans="1:9" x14ac:dyDescent="0.25">
      <c r="A12" s="68" t="s">
        <v>77</v>
      </c>
      <c r="B12" s="92">
        <v>12381</v>
      </c>
      <c r="C12" s="92">
        <v>13432</v>
      </c>
      <c r="D12" s="92">
        <v>11346</v>
      </c>
      <c r="E12" s="71"/>
      <c r="F12" t="s">
        <v>79</v>
      </c>
      <c r="G12" s="38">
        <v>8553</v>
      </c>
      <c r="H12" s="38">
        <v>8857</v>
      </c>
      <c r="I12" s="38">
        <v>8637</v>
      </c>
    </row>
    <row r="13" spans="1:9" x14ac:dyDescent="0.25">
      <c r="A13" s="68"/>
      <c r="B13" s="71"/>
      <c r="C13" s="71"/>
      <c r="D13" s="71"/>
      <c r="E13" s="69"/>
      <c r="F13" t="s">
        <v>80</v>
      </c>
      <c r="G13">
        <v>231</v>
      </c>
      <c r="H13">
        <v>216</v>
      </c>
      <c r="I13">
        <v>73</v>
      </c>
    </row>
    <row r="14" spans="1:9" x14ac:dyDescent="0.25">
      <c r="A14" s="68" t="s">
        <v>78</v>
      </c>
      <c r="B14" s="69"/>
      <c r="C14" s="69"/>
      <c r="D14" s="69"/>
      <c r="E14" s="71"/>
      <c r="F14" t="s">
        <v>81</v>
      </c>
      <c r="G14" t="s">
        <v>82</v>
      </c>
      <c r="H14">
        <v>68</v>
      </c>
      <c r="I14">
        <v>812</v>
      </c>
    </row>
    <row r="15" spans="1:9" x14ac:dyDescent="0.25">
      <c r="A15" s="68" t="s">
        <v>79</v>
      </c>
      <c r="B15" s="71">
        <v>9371</v>
      </c>
      <c r="C15" s="71">
        <v>9888</v>
      </c>
      <c r="D15" s="71">
        <v>9575</v>
      </c>
      <c r="E15" s="71"/>
      <c r="F15" t="s">
        <v>144</v>
      </c>
      <c r="G15" t="s">
        <v>82</v>
      </c>
      <c r="H15">
        <v>22</v>
      </c>
      <c r="I15">
        <v>614</v>
      </c>
    </row>
    <row r="16" spans="1:9" x14ac:dyDescent="0.25">
      <c r="A16" s="68" t="s">
        <v>80</v>
      </c>
      <c r="B16" s="71">
        <v>204</v>
      </c>
      <c r="C16" s="71">
        <v>133</v>
      </c>
      <c r="D16" s="71">
        <v>55</v>
      </c>
      <c r="E16" s="71"/>
      <c r="F16" t="s">
        <v>85</v>
      </c>
      <c r="G16" s="38">
        <v>8784</v>
      </c>
      <c r="H16" s="38">
        <v>9163</v>
      </c>
      <c r="I16" s="38">
        <v>10136</v>
      </c>
    </row>
    <row r="17" spans="1:9" x14ac:dyDescent="0.25">
      <c r="A17" s="68" t="s">
        <v>81</v>
      </c>
      <c r="B17" s="71">
        <v>54</v>
      </c>
      <c r="C17" s="71" t="s">
        <v>83</v>
      </c>
      <c r="D17" s="71" t="s">
        <v>82</v>
      </c>
      <c r="E17" s="71"/>
    </row>
    <row r="18" spans="1:9" x14ac:dyDescent="0.25">
      <c r="A18" s="68" t="s">
        <v>84</v>
      </c>
      <c r="B18" s="71">
        <v>134</v>
      </c>
      <c r="C18" s="71">
        <v>241</v>
      </c>
      <c r="D18" s="71">
        <v>207</v>
      </c>
      <c r="E18" s="71"/>
      <c r="F18" t="s">
        <v>13</v>
      </c>
      <c r="G18" s="38">
        <v>2055</v>
      </c>
      <c r="H18" s="38">
        <v>2313</v>
      </c>
      <c r="I18">
        <v>606</v>
      </c>
    </row>
    <row r="19" spans="1:9" x14ac:dyDescent="0.25">
      <c r="A19" s="68" t="s">
        <v>85</v>
      </c>
      <c r="B19" s="71">
        <v>9763</v>
      </c>
      <c r="C19" s="71">
        <v>10262</v>
      </c>
      <c r="D19" s="71">
        <v>9837</v>
      </c>
      <c r="E19" s="71"/>
    </row>
    <row r="20" spans="1:9" x14ac:dyDescent="0.25">
      <c r="A20" s="68"/>
      <c r="B20" s="71"/>
      <c r="C20" s="71"/>
      <c r="D20" s="71"/>
      <c r="E20" s="71"/>
      <c r="F20" t="s">
        <v>86</v>
      </c>
      <c r="G20">
        <v>128</v>
      </c>
      <c r="H20">
        <v>133</v>
      </c>
      <c r="I20">
        <v>161</v>
      </c>
    </row>
    <row r="21" spans="1:9" x14ac:dyDescent="0.25">
      <c r="A21" s="68" t="s">
        <v>13</v>
      </c>
      <c r="B21" s="71">
        <v>2618</v>
      </c>
      <c r="C21" s="71">
        <v>3170</v>
      </c>
      <c r="D21" s="71">
        <v>1509</v>
      </c>
      <c r="E21" s="71"/>
      <c r="F21" t="s">
        <v>87</v>
      </c>
      <c r="G21">
        <v>56</v>
      </c>
      <c r="H21">
        <v>58</v>
      </c>
      <c r="I21">
        <v>48</v>
      </c>
    </row>
    <row r="22" spans="1:9" x14ac:dyDescent="0.25">
      <c r="A22" s="68"/>
      <c r="B22" s="71"/>
      <c r="C22" s="71"/>
      <c r="D22" s="71"/>
      <c r="E22" s="69"/>
      <c r="F22" t="s">
        <v>88</v>
      </c>
      <c r="G22">
        <v>3</v>
      </c>
      <c r="H22">
        <v>2</v>
      </c>
      <c r="I22">
        <v>4</v>
      </c>
    </row>
    <row r="23" spans="1:9" x14ac:dyDescent="0.25">
      <c r="A23" s="68" t="s">
        <v>86</v>
      </c>
      <c r="B23" s="69">
        <v>173</v>
      </c>
      <c r="C23" s="69">
        <v>167</v>
      </c>
      <c r="D23" s="69">
        <v>255</v>
      </c>
      <c r="E23" s="71"/>
      <c r="F23" t="s">
        <v>65</v>
      </c>
      <c r="G23" t="s">
        <v>82</v>
      </c>
      <c r="H23">
        <v>71</v>
      </c>
      <c r="I23">
        <v>557</v>
      </c>
    </row>
    <row r="24" spans="1:9" x14ac:dyDescent="0.25">
      <c r="A24" s="68" t="s">
        <v>87</v>
      </c>
      <c r="B24" s="71">
        <v>51</v>
      </c>
      <c r="C24" s="71">
        <v>30</v>
      </c>
      <c r="D24" s="71">
        <v>131</v>
      </c>
      <c r="E24" s="71"/>
      <c r="F24" t="s">
        <v>89</v>
      </c>
      <c r="G24" s="38">
        <v>1980</v>
      </c>
      <c r="H24" s="38">
        <v>2307</v>
      </c>
      <c r="I24" s="38">
        <v>1046</v>
      </c>
    </row>
    <row r="25" spans="1:9" x14ac:dyDescent="0.25">
      <c r="A25" s="68" t="s">
        <v>88</v>
      </c>
      <c r="B25" s="71">
        <v>12</v>
      </c>
      <c r="C25" s="71">
        <v>-2</v>
      </c>
      <c r="D25" s="71">
        <v>-12</v>
      </c>
      <c r="E25" s="71"/>
    </row>
    <row r="26" spans="1:9" x14ac:dyDescent="0.25">
      <c r="A26" s="68" t="s">
        <v>65</v>
      </c>
      <c r="B26" s="71">
        <v>847</v>
      </c>
      <c r="C26" s="71">
        <v>1</v>
      </c>
      <c r="D26" s="71" t="s">
        <v>82</v>
      </c>
      <c r="E26" s="69"/>
      <c r="F26" t="s">
        <v>90</v>
      </c>
      <c r="G26">
        <v>863</v>
      </c>
      <c r="H26">
        <v>513</v>
      </c>
      <c r="I26">
        <v>350</v>
      </c>
    </row>
    <row r="27" spans="1:9" x14ac:dyDescent="0.25">
      <c r="A27" s="68" t="s">
        <v>89</v>
      </c>
      <c r="B27" s="92">
        <v>3331</v>
      </c>
      <c r="C27" s="92">
        <v>3036</v>
      </c>
      <c r="D27" s="92">
        <v>1397</v>
      </c>
      <c r="E27" s="71"/>
      <c r="F27" t="s">
        <v>91</v>
      </c>
      <c r="G27" s="38">
        <v>1117</v>
      </c>
      <c r="H27" s="38">
        <v>1794</v>
      </c>
      <c r="I27">
        <v>696</v>
      </c>
    </row>
    <row r="28" spans="1:9" x14ac:dyDescent="0.25">
      <c r="A28" s="68"/>
      <c r="B28" s="71"/>
      <c r="C28" s="71"/>
      <c r="D28" s="71"/>
      <c r="E28" s="71"/>
    </row>
    <row r="29" spans="1:9" x14ac:dyDescent="0.25">
      <c r="A29" s="68" t="s">
        <v>90</v>
      </c>
      <c r="B29" s="71">
        <v>456</v>
      </c>
      <c r="C29" s="71">
        <v>628</v>
      </c>
      <c r="D29" s="71">
        <v>387</v>
      </c>
      <c r="E29" s="69"/>
      <c r="F29" t="s">
        <v>92</v>
      </c>
      <c r="G29">
        <v>-9</v>
      </c>
      <c r="H29">
        <v>-9</v>
      </c>
      <c r="I29">
        <v>-12</v>
      </c>
    </row>
    <row r="30" spans="1:9" x14ac:dyDescent="0.25">
      <c r="A30" s="68" t="s">
        <v>91</v>
      </c>
      <c r="B30" s="92">
        <v>2875</v>
      </c>
      <c r="C30" s="92">
        <v>2408</v>
      </c>
      <c r="D30" s="92">
        <v>1010</v>
      </c>
      <c r="E30" s="69"/>
      <c r="F30" t="s">
        <v>95</v>
      </c>
      <c r="G30" s="38">
        <v>1108</v>
      </c>
      <c r="H30" s="38">
        <v>1785</v>
      </c>
      <c r="I30">
        <v>684</v>
      </c>
    </row>
    <row r="31" spans="1:9" x14ac:dyDescent="0.25">
      <c r="A31" s="69"/>
      <c r="B31" s="69"/>
      <c r="C31" s="69"/>
      <c r="D31" s="69"/>
      <c r="E31" s="69"/>
    </row>
    <row r="32" spans="1:9" x14ac:dyDescent="0.25">
      <c r="A32" s="68" t="s">
        <v>92</v>
      </c>
      <c r="B32" s="69">
        <v>-12</v>
      </c>
      <c r="C32" s="69">
        <v>-7</v>
      </c>
      <c r="D32" s="69" t="s">
        <v>82</v>
      </c>
      <c r="E32" s="70"/>
      <c r="F32" t="s">
        <v>95</v>
      </c>
    </row>
    <row r="33" spans="1:9" x14ac:dyDescent="0.25">
      <c r="A33" s="68" t="s">
        <v>93</v>
      </c>
      <c r="B33" s="70">
        <f>B32+B34</f>
        <v>-5</v>
      </c>
      <c r="C33" s="70">
        <f t="shared" ref="C33:D33" si="0">C32+C34</f>
        <v>-18</v>
      </c>
      <c r="D33" s="70">
        <v>-4</v>
      </c>
      <c r="E33" s="69"/>
      <c r="F33" t="s">
        <v>96</v>
      </c>
    </row>
    <row r="34" spans="1:9" x14ac:dyDescent="0.25">
      <c r="A34" s="69" t="s">
        <v>94</v>
      </c>
      <c r="B34" s="69">
        <v>7</v>
      </c>
      <c r="C34" s="69">
        <v>-11</v>
      </c>
      <c r="D34" s="69">
        <v>-4</v>
      </c>
      <c r="E34" s="69"/>
      <c r="F34" t="s">
        <v>53</v>
      </c>
      <c r="G34">
        <v>3.01</v>
      </c>
      <c r="H34">
        <v>4.91</v>
      </c>
      <c r="I34">
        <v>1.9</v>
      </c>
    </row>
    <row r="35" spans="1:9" x14ac:dyDescent="0.25">
      <c r="A35" s="68" t="s">
        <v>95</v>
      </c>
      <c r="B35" s="92">
        <v>2870</v>
      </c>
      <c r="C35" s="92">
        <v>2390</v>
      </c>
      <c r="D35" s="92">
        <v>1006</v>
      </c>
      <c r="E35" s="69"/>
      <c r="F35" t="s">
        <v>52</v>
      </c>
      <c r="G35">
        <v>2.95</v>
      </c>
      <c r="H35">
        <v>4.82</v>
      </c>
      <c r="I35">
        <v>1.86</v>
      </c>
    </row>
    <row r="36" spans="1:9" x14ac:dyDescent="0.25">
      <c r="A36" s="68"/>
      <c r="B36" s="69"/>
      <c r="C36" s="69"/>
      <c r="D36" s="69"/>
      <c r="E36" s="72"/>
    </row>
    <row r="37" spans="1:9" x14ac:dyDescent="0.25">
      <c r="A37" s="68" t="s">
        <v>95</v>
      </c>
      <c r="B37" s="72"/>
      <c r="C37" s="72"/>
      <c r="D37" s="72"/>
      <c r="E37" s="73"/>
      <c r="F37" t="s">
        <v>97</v>
      </c>
    </row>
    <row r="38" spans="1:9" x14ac:dyDescent="0.25">
      <c r="A38" s="68" t="s">
        <v>96</v>
      </c>
      <c r="B38" s="73"/>
      <c r="C38" s="73"/>
      <c r="D38" s="73"/>
      <c r="E38" s="72"/>
      <c r="F38" t="s">
        <v>53</v>
      </c>
      <c r="G38">
        <v>368</v>
      </c>
      <c r="H38">
        <v>363.5</v>
      </c>
      <c r="I38">
        <v>360.6</v>
      </c>
    </row>
    <row r="39" spans="1:9" x14ac:dyDescent="0.25">
      <c r="A39" s="68" t="s">
        <v>53</v>
      </c>
      <c r="B39" s="72">
        <v>7.91</v>
      </c>
      <c r="C39" s="72">
        <v>6.64</v>
      </c>
      <c r="D39" s="72">
        <v>2.81</v>
      </c>
      <c r="E39" s="69"/>
      <c r="F39" t="s">
        <v>52</v>
      </c>
      <c r="G39">
        <v>375.7</v>
      </c>
      <c r="H39">
        <v>370.4</v>
      </c>
      <c r="I39">
        <v>366.9</v>
      </c>
    </row>
    <row r="40" spans="1:9" x14ac:dyDescent="0.25">
      <c r="A40" s="69" t="s">
        <v>52</v>
      </c>
      <c r="B40" s="69">
        <v>7.79</v>
      </c>
      <c r="C40" s="69">
        <v>6.55</v>
      </c>
      <c r="D40" s="69">
        <v>2.79</v>
      </c>
      <c r="E40" s="69"/>
    </row>
    <row r="41" spans="1:9" x14ac:dyDescent="0.25">
      <c r="A41" s="68"/>
      <c r="B41" s="69"/>
      <c r="C41" s="69"/>
      <c r="D41" s="69"/>
      <c r="E41" s="72"/>
    </row>
    <row r="42" spans="1:9" x14ac:dyDescent="0.25">
      <c r="A42" s="68" t="s">
        <v>97</v>
      </c>
      <c r="B42" s="72"/>
      <c r="C42" s="72"/>
      <c r="D42" s="72"/>
      <c r="E42" s="73"/>
    </row>
    <row r="43" spans="1:9" x14ac:dyDescent="0.25">
      <c r="A43" s="68" t="s">
        <v>53</v>
      </c>
      <c r="B43" s="73">
        <v>362.9</v>
      </c>
      <c r="C43" s="73">
        <v>360</v>
      </c>
      <c r="D43" s="73">
        <v>357.9</v>
      </c>
      <c r="E43" s="72"/>
    </row>
    <row r="44" spans="1:9" x14ac:dyDescent="0.25">
      <c r="A44" s="68" t="s">
        <v>52</v>
      </c>
      <c r="B44" s="72">
        <v>368.2</v>
      </c>
      <c r="C44" s="72">
        <v>364.9</v>
      </c>
      <c r="D44" s="72">
        <v>360.9</v>
      </c>
      <c r="E44" s="69"/>
    </row>
    <row r="45" spans="1:9" x14ac:dyDescent="0.25">
      <c r="A45" s="69"/>
      <c r="B45" s="69"/>
      <c r="C45" s="69"/>
      <c r="D45" s="69"/>
      <c r="E45" s="69"/>
    </row>
    <row r="46" spans="1:9" x14ac:dyDescent="0.25">
      <c r="A46" s="68" t="s">
        <v>54</v>
      </c>
      <c r="B46" s="69"/>
      <c r="C46" s="69"/>
      <c r="D46" s="69"/>
      <c r="E46" s="69"/>
    </row>
    <row r="47" spans="1:9" x14ac:dyDescent="0.25">
      <c r="A47" s="68" t="s">
        <v>55</v>
      </c>
      <c r="B47" s="69"/>
      <c r="C47" s="69"/>
      <c r="D47" s="69"/>
      <c r="E47" s="71"/>
    </row>
    <row r="48" spans="1:9" x14ac:dyDescent="0.25">
      <c r="A48" s="68" t="s">
        <v>52</v>
      </c>
      <c r="B48" s="71">
        <v>1827</v>
      </c>
      <c r="C48" s="71">
        <v>1828</v>
      </c>
      <c r="D48" s="71">
        <v>1808</v>
      </c>
      <c r="E48" s="71"/>
    </row>
    <row r="49" spans="1:4" x14ac:dyDescent="0.25">
      <c r="A49" s="68" t="s">
        <v>53</v>
      </c>
      <c r="B49" s="71">
        <v>1822</v>
      </c>
      <c r="C49" s="71">
        <v>1816</v>
      </c>
      <c r="D49" s="71">
        <v>1808</v>
      </c>
    </row>
  </sheetData>
  <sortState xmlns:xlrd2="http://schemas.microsoft.com/office/spreadsheetml/2017/richdata2" columnSort="1" ref="G4:I39">
    <sortCondition ref="G4:I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9D905-C625-4CD5-A14F-584F213FA860}">
  <dimension ref="A1:H71"/>
  <sheetViews>
    <sheetView topLeftCell="A19" workbookViewId="0">
      <selection activeCell="A12" sqref="A12"/>
    </sheetView>
  </sheetViews>
  <sheetFormatPr defaultRowHeight="15" x14ac:dyDescent="0.25"/>
  <cols>
    <col min="1" max="1" width="56.5703125" customWidth="1"/>
    <col min="3" max="4" width="11.7109375" customWidth="1"/>
    <col min="5" max="5" width="55.140625" customWidth="1"/>
  </cols>
  <sheetData>
    <row r="1" spans="1:8" x14ac:dyDescent="0.25">
      <c r="A1" s="74" t="s">
        <v>71</v>
      </c>
      <c r="B1" s="68"/>
      <c r="C1" s="69"/>
      <c r="D1" s="69"/>
      <c r="E1" t="s">
        <v>71</v>
      </c>
    </row>
    <row r="2" spans="1:8" x14ac:dyDescent="0.25">
      <c r="A2" s="74"/>
      <c r="B2" s="68"/>
      <c r="C2" s="69"/>
      <c r="D2" s="69"/>
      <c r="E2" t="s">
        <v>56</v>
      </c>
    </row>
    <row r="3" spans="1:8" x14ac:dyDescent="0.25">
      <c r="A3" s="69" t="s">
        <v>56</v>
      </c>
      <c r="B3" s="69"/>
      <c r="C3" s="69"/>
      <c r="D3" s="69"/>
      <c r="G3" t="s">
        <v>73</v>
      </c>
    </row>
    <row r="4" spans="1:8" x14ac:dyDescent="0.25">
      <c r="A4" s="68"/>
      <c r="B4" s="68"/>
      <c r="C4" s="68"/>
      <c r="D4" s="68"/>
      <c r="E4" t="s">
        <v>98</v>
      </c>
      <c r="F4">
        <v>2018</v>
      </c>
      <c r="G4">
        <v>2019</v>
      </c>
      <c r="H4">
        <v>2020</v>
      </c>
    </row>
    <row r="5" spans="1:8" x14ac:dyDescent="0.25">
      <c r="A5" s="68"/>
      <c r="B5" s="69"/>
      <c r="C5" s="69" t="s">
        <v>73</v>
      </c>
      <c r="D5" s="69"/>
    </row>
    <row r="6" spans="1:8" x14ac:dyDescent="0.25">
      <c r="B6">
        <v>2021</v>
      </c>
      <c r="C6">
        <v>2022</v>
      </c>
      <c r="D6">
        <v>2023</v>
      </c>
      <c r="E6" t="s">
        <v>99</v>
      </c>
    </row>
    <row r="7" spans="1:8" x14ac:dyDescent="0.25">
      <c r="A7" s="68" t="s">
        <v>98</v>
      </c>
      <c r="B7" s="70">
        <v>2021</v>
      </c>
      <c r="C7" s="70">
        <v>2022</v>
      </c>
      <c r="D7" s="70">
        <v>2023</v>
      </c>
      <c r="E7" t="s">
        <v>91</v>
      </c>
      <c r="F7" s="38">
        <v>1117</v>
      </c>
      <c r="G7" s="38">
        <v>1794</v>
      </c>
      <c r="H7">
        <v>696</v>
      </c>
    </row>
    <row r="8" spans="1:8" x14ac:dyDescent="0.25">
      <c r="A8" s="68"/>
      <c r="B8" s="71"/>
      <c r="C8" s="71"/>
      <c r="D8" s="71"/>
      <c r="E8" t="s">
        <v>100</v>
      </c>
    </row>
    <row r="9" spans="1:8" x14ac:dyDescent="0.25">
      <c r="A9" s="68" t="s">
        <v>99</v>
      </c>
      <c r="B9" s="71"/>
      <c r="C9" s="75"/>
      <c r="D9" s="75"/>
      <c r="E9" t="s">
        <v>101</v>
      </c>
    </row>
    <row r="10" spans="1:8" x14ac:dyDescent="0.25">
      <c r="A10" s="68" t="s">
        <v>91</v>
      </c>
      <c r="B10" s="71">
        <v>2875</v>
      </c>
      <c r="C10" s="71">
        <v>2408</v>
      </c>
      <c r="D10" s="71">
        <v>1010</v>
      </c>
      <c r="E10" t="s">
        <v>51</v>
      </c>
      <c r="F10">
        <v>531</v>
      </c>
      <c r="G10">
        <v>557</v>
      </c>
      <c r="H10">
        <v>611</v>
      </c>
    </row>
    <row r="11" spans="1:8" x14ac:dyDescent="0.25">
      <c r="A11" s="68" t="s">
        <v>100</v>
      </c>
      <c r="B11" s="71"/>
      <c r="C11" s="71"/>
      <c r="D11" s="71"/>
      <c r="E11" t="s">
        <v>57</v>
      </c>
      <c r="F11">
        <v>175</v>
      </c>
      <c r="G11">
        <v>-66</v>
      </c>
      <c r="H11">
        <v>-143</v>
      </c>
    </row>
    <row r="12" spans="1:8" x14ac:dyDescent="0.25">
      <c r="A12" s="68" t="s">
        <v>101</v>
      </c>
      <c r="B12" s="71"/>
      <c r="C12" s="71"/>
      <c r="D12" s="71"/>
      <c r="E12" t="s">
        <v>102</v>
      </c>
      <c r="F12">
        <v>236</v>
      </c>
      <c r="G12">
        <v>243</v>
      </c>
      <c r="H12">
        <v>213</v>
      </c>
    </row>
    <row r="13" spans="1:8" x14ac:dyDescent="0.25">
      <c r="A13" s="68" t="s">
        <v>51</v>
      </c>
      <c r="B13" s="71">
        <v>651</v>
      </c>
      <c r="C13" s="71">
        <v>727</v>
      </c>
      <c r="D13" s="71">
        <v>744</v>
      </c>
      <c r="E13" t="s">
        <v>103</v>
      </c>
      <c r="F13">
        <v>15</v>
      </c>
      <c r="G13">
        <v>17</v>
      </c>
      <c r="H13">
        <v>20</v>
      </c>
    </row>
    <row r="14" spans="1:8" x14ac:dyDescent="0.25">
      <c r="A14" s="68" t="s">
        <v>57</v>
      </c>
      <c r="B14" s="69">
        <v>-230</v>
      </c>
      <c r="C14" s="69">
        <v>-149</v>
      </c>
      <c r="D14" s="69">
        <v>-186</v>
      </c>
      <c r="E14" t="s">
        <v>104</v>
      </c>
      <c r="F14">
        <v>1</v>
      </c>
      <c r="G14" t="s">
        <v>83</v>
      </c>
      <c r="H14">
        <v>20</v>
      </c>
    </row>
    <row r="15" spans="1:8" x14ac:dyDescent="0.25">
      <c r="A15" s="68" t="s">
        <v>102</v>
      </c>
      <c r="B15" s="71">
        <v>327</v>
      </c>
      <c r="C15" s="71">
        <v>331</v>
      </c>
      <c r="D15" s="71">
        <v>267</v>
      </c>
      <c r="E15" t="s">
        <v>105</v>
      </c>
      <c r="F15">
        <v>73</v>
      </c>
      <c r="G15">
        <v>72</v>
      </c>
      <c r="H15">
        <v>82</v>
      </c>
    </row>
    <row r="16" spans="1:8" x14ac:dyDescent="0.25">
      <c r="A16" s="69" t="s">
        <v>103</v>
      </c>
      <c r="B16" s="69">
        <v>23</v>
      </c>
      <c r="C16" s="69">
        <v>8</v>
      </c>
      <c r="D16" s="69">
        <v>13</v>
      </c>
      <c r="E16" t="s">
        <v>106</v>
      </c>
      <c r="F16">
        <v>-85</v>
      </c>
      <c r="G16">
        <v>-53</v>
      </c>
      <c r="H16">
        <v>-73</v>
      </c>
    </row>
    <row r="17" spans="1:8" x14ac:dyDescent="0.25">
      <c r="A17" s="68" t="s">
        <v>104</v>
      </c>
      <c r="B17" s="71">
        <v>76</v>
      </c>
      <c r="C17" s="71">
        <v>14</v>
      </c>
      <c r="D17" s="71">
        <v>36</v>
      </c>
      <c r="E17" t="s">
        <v>107</v>
      </c>
      <c r="F17" t="s">
        <v>82</v>
      </c>
      <c r="G17">
        <v>90</v>
      </c>
      <c r="H17" s="38">
        <v>1426</v>
      </c>
    </row>
    <row r="18" spans="1:8" x14ac:dyDescent="0.25">
      <c r="A18" s="68" t="s">
        <v>105</v>
      </c>
      <c r="B18" s="69">
        <v>95</v>
      </c>
      <c r="C18" s="69">
        <v>78</v>
      </c>
      <c r="D18" s="69">
        <v>53</v>
      </c>
      <c r="E18" t="s">
        <v>108</v>
      </c>
      <c r="F18">
        <v>-43</v>
      </c>
      <c r="G18">
        <v>-37</v>
      </c>
      <c r="H18">
        <v>-17</v>
      </c>
    </row>
    <row r="19" spans="1:8" x14ac:dyDescent="0.25">
      <c r="A19" s="68" t="s">
        <v>106</v>
      </c>
      <c r="B19" s="71">
        <v>-59</v>
      </c>
      <c r="C19" s="71">
        <v>-56</v>
      </c>
      <c r="D19" s="71">
        <v>-49</v>
      </c>
      <c r="E19" t="s">
        <v>145</v>
      </c>
    </row>
    <row r="20" spans="1:8" x14ac:dyDescent="0.25">
      <c r="A20" s="68" t="s">
        <v>107</v>
      </c>
      <c r="B20" s="71">
        <v>188</v>
      </c>
      <c r="C20" s="71">
        <v>241</v>
      </c>
      <c r="D20" s="71">
        <v>207</v>
      </c>
      <c r="E20" t="s">
        <v>146</v>
      </c>
      <c r="F20" t="s">
        <v>82</v>
      </c>
      <c r="G20">
        <v>-71</v>
      </c>
      <c r="H20" t="s">
        <v>82</v>
      </c>
    </row>
    <row r="21" spans="1:8" x14ac:dyDescent="0.25">
      <c r="A21" s="68" t="s">
        <v>108</v>
      </c>
      <c r="B21" s="69">
        <v>-2</v>
      </c>
      <c r="C21" s="69" t="s">
        <v>83</v>
      </c>
      <c r="D21" s="69" t="s">
        <v>82</v>
      </c>
      <c r="E21" t="s">
        <v>109</v>
      </c>
      <c r="F21" t="s">
        <v>82</v>
      </c>
      <c r="G21" t="s">
        <v>83</v>
      </c>
      <c r="H21">
        <v>-534</v>
      </c>
    </row>
    <row r="22" spans="1:8" x14ac:dyDescent="0.25">
      <c r="A22" s="68"/>
      <c r="B22" s="71"/>
      <c r="C22" s="71"/>
      <c r="D22" s="71"/>
      <c r="E22" t="s">
        <v>110</v>
      </c>
      <c r="F22">
        <v>-22</v>
      </c>
      <c r="G22">
        <v>-27</v>
      </c>
      <c r="H22">
        <v>-10</v>
      </c>
    </row>
    <row r="23" spans="1:8" x14ac:dyDescent="0.25">
      <c r="A23" s="68" t="s">
        <v>109</v>
      </c>
      <c r="B23" s="71">
        <v>-847</v>
      </c>
      <c r="C23" s="71">
        <v>-1</v>
      </c>
      <c r="D23" s="71" t="s">
        <v>82</v>
      </c>
      <c r="E23" t="s">
        <v>111</v>
      </c>
    </row>
    <row r="24" spans="1:8" x14ac:dyDescent="0.25">
      <c r="A24" s="68" t="s">
        <v>110</v>
      </c>
      <c r="B24" s="71">
        <v>-20</v>
      </c>
      <c r="C24" s="71">
        <v>-7</v>
      </c>
      <c r="D24" s="71">
        <v>-8</v>
      </c>
      <c r="E24" t="s">
        <v>112</v>
      </c>
      <c r="F24">
        <v>-105</v>
      </c>
      <c r="G24">
        <v>-169</v>
      </c>
      <c r="H24">
        <v>625</v>
      </c>
    </row>
    <row r="25" spans="1:8" x14ac:dyDescent="0.25">
      <c r="A25" s="68" t="s">
        <v>111</v>
      </c>
      <c r="B25" s="71"/>
      <c r="C25" s="71"/>
      <c r="D25" s="71"/>
      <c r="E25" t="s">
        <v>113</v>
      </c>
      <c r="F25">
        <v>-147</v>
      </c>
      <c r="G25">
        <v>-375</v>
      </c>
      <c r="H25">
        <v>-3</v>
      </c>
    </row>
    <row r="26" spans="1:8" x14ac:dyDescent="0.25">
      <c r="A26" s="68" t="s">
        <v>112</v>
      </c>
      <c r="B26" s="71">
        <v>-398</v>
      </c>
      <c r="C26" s="71">
        <v>-10</v>
      </c>
      <c r="D26" s="71">
        <v>185</v>
      </c>
      <c r="E26" t="s">
        <v>114</v>
      </c>
      <c r="F26">
        <v>1</v>
      </c>
      <c r="G26">
        <v>-62</v>
      </c>
      <c r="H26">
        <v>-212</v>
      </c>
    </row>
    <row r="27" spans="1:8" x14ac:dyDescent="0.25">
      <c r="A27" s="68" t="s">
        <v>113</v>
      </c>
      <c r="B27" s="69">
        <v>-140</v>
      </c>
      <c r="C27" s="69">
        <v>-602</v>
      </c>
      <c r="D27" s="69">
        <v>-64</v>
      </c>
      <c r="E27" t="s">
        <v>115</v>
      </c>
      <c r="F27">
        <v>349</v>
      </c>
      <c r="G27">
        <v>319</v>
      </c>
      <c r="H27">
        <v>-308</v>
      </c>
    </row>
    <row r="28" spans="1:8" x14ac:dyDescent="0.25">
      <c r="A28" s="68" t="s">
        <v>114</v>
      </c>
      <c r="B28" s="71">
        <v>13</v>
      </c>
      <c r="C28" s="71">
        <v>-101</v>
      </c>
      <c r="D28" s="71">
        <v>26</v>
      </c>
      <c r="E28" t="s">
        <v>116</v>
      </c>
    </row>
    <row r="29" spans="1:8" x14ac:dyDescent="0.25">
      <c r="A29" s="69" t="s">
        <v>115</v>
      </c>
      <c r="B29" s="69">
        <v>440</v>
      </c>
      <c r="C29" s="69">
        <v>210</v>
      </c>
      <c r="D29" s="69">
        <v>-333</v>
      </c>
      <c r="E29" t="s">
        <v>67</v>
      </c>
      <c r="F29">
        <v>466</v>
      </c>
      <c r="G29">
        <v>285</v>
      </c>
      <c r="H29">
        <v>-169</v>
      </c>
    </row>
    <row r="30" spans="1:8" x14ac:dyDescent="0.25">
      <c r="A30" s="68" t="s">
        <v>116</v>
      </c>
      <c r="B30" s="69"/>
      <c r="C30" s="69"/>
      <c r="D30" s="69"/>
      <c r="E30" t="s">
        <v>147</v>
      </c>
      <c r="F30" t="s">
        <v>82</v>
      </c>
      <c r="G30" t="s">
        <v>83</v>
      </c>
      <c r="H30">
        <v>56</v>
      </c>
    </row>
    <row r="31" spans="1:8" x14ac:dyDescent="0.25">
      <c r="A31" s="68" t="s">
        <v>67</v>
      </c>
      <c r="B31" s="71">
        <v>695</v>
      </c>
      <c r="C31" s="71">
        <v>1</v>
      </c>
      <c r="D31" s="71">
        <v>-129</v>
      </c>
      <c r="E31" t="s">
        <v>118</v>
      </c>
      <c r="F31" s="38">
        <v>2562</v>
      </c>
      <c r="G31" s="38">
        <v>2517</v>
      </c>
      <c r="H31" s="38">
        <v>2280</v>
      </c>
    </row>
    <row r="32" spans="1:8" x14ac:dyDescent="0.25">
      <c r="A32" s="69" t="s">
        <v>117</v>
      </c>
      <c r="B32" s="69">
        <v>-56</v>
      </c>
      <c r="C32" s="69">
        <v>-52</v>
      </c>
      <c r="D32" s="69">
        <v>-41</v>
      </c>
    </row>
    <row r="33" spans="1:8" x14ac:dyDescent="0.25">
      <c r="A33" s="68" t="s">
        <v>118</v>
      </c>
      <c r="B33" s="71">
        <v>3631</v>
      </c>
      <c r="C33" s="71">
        <v>3040</v>
      </c>
      <c r="D33" s="71">
        <v>1731</v>
      </c>
      <c r="E33" t="s">
        <v>119</v>
      </c>
    </row>
    <row r="34" spans="1:8" x14ac:dyDescent="0.25">
      <c r="A34" s="68" t="s">
        <v>119</v>
      </c>
      <c r="B34" s="69"/>
      <c r="C34" s="69"/>
      <c r="D34" s="69"/>
      <c r="E34" t="s">
        <v>120</v>
      </c>
      <c r="F34">
        <v>-629</v>
      </c>
      <c r="G34">
        <v>-744</v>
      </c>
      <c r="H34">
        <v>-623</v>
      </c>
    </row>
    <row r="35" spans="1:8" x14ac:dyDescent="0.25">
      <c r="A35" s="68" t="s">
        <v>120</v>
      </c>
      <c r="B35" s="71">
        <v>-637</v>
      </c>
      <c r="C35" s="71">
        <v>-1040</v>
      </c>
      <c r="D35" s="71">
        <v>-1003</v>
      </c>
      <c r="E35" t="s">
        <v>122</v>
      </c>
      <c r="F35" t="s">
        <v>82</v>
      </c>
      <c r="G35" t="s">
        <v>83</v>
      </c>
      <c r="H35" s="38">
        <v>-1047</v>
      </c>
    </row>
    <row r="36" spans="1:8" x14ac:dyDescent="0.25">
      <c r="A36" s="69" t="s">
        <v>121</v>
      </c>
      <c r="B36" s="69">
        <v>32</v>
      </c>
      <c r="C36" s="69" t="s">
        <v>83</v>
      </c>
      <c r="D36" s="69" t="s">
        <v>82</v>
      </c>
      <c r="E36" t="s">
        <v>148</v>
      </c>
      <c r="F36">
        <v>749</v>
      </c>
      <c r="G36" s="38">
        <v>1229</v>
      </c>
      <c r="H36" t="s">
        <v>82</v>
      </c>
    </row>
    <row r="37" spans="1:8" x14ac:dyDescent="0.25">
      <c r="A37" s="68" t="s">
        <v>122</v>
      </c>
      <c r="B37" s="92">
        <v>-1065</v>
      </c>
      <c r="C37" s="69">
        <v>-3</v>
      </c>
      <c r="D37" s="69" t="s">
        <v>82</v>
      </c>
      <c r="E37" t="s">
        <v>124</v>
      </c>
      <c r="F37">
        <v>-478</v>
      </c>
      <c r="G37">
        <v>-14</v>
      </c>
      <c r="H37">
        <v>-5</v>
      </c>
    </row>
    <row r="38" spans="1:8" x14ac:dyDescent="0.25">
      <c r="A38" s="68"/>
      <c r="B38" s="71"/>
      <c r="C38" s="71"/>
      <c r="D38" s="71"/>
      <c r="E38" t="s">
        <v>149</v>
      </c>
      <c r="F38" t="s">
        <v>82</v>
      </c>
      <c r="G38">
        <v>2</v>
      </c>
      <c r="H38" t="s">
        <v>82</v>
      </c>
    </row>
    <row r="39" spans="1:8" x14ac:dyDescent="0.25">
      <c r="A39" s="68" t="s">
        <v>123</v>
      </c>
      <c r="B39" s="71" t="s">
        <v>82</v>
      </c>
      <c r="C39" s="71" t="s">
        <v>83</v>
      </c>
      <c r="D39" s="71">
        <v>-2286</v>
      </c>
      <c r="E39" t="s">
        <v>125</v>
      </c>
      <c r="F39" t="s">
        <v>82</v>
      </c>
      <c r="G39" t="s">
        <v>83</v>
      </c>
      <c r="H39">
        <v>-23</v>
      </c>
    </row>
    <row r="40" spans="1:8" x14ac:dyDescent="0.25">
      <c r="A40" s="68" t="s">
        <v>124</v>
      </c>
      <c r="B40" s="71">
        <v>-42</v>
      </c>
      <c r="C40" s="71">
        <v>-10</v>
      </c>
      <c r="D40" s="71">
        <v>-8</v>
      </c>
      <c r="E40" t="s">
        <v>150</v>
      </c>
      <c r="F40">
        <v>-358</v>
      </c>
      <c r="G40">
        <v>473</v>
      </c>
      <c r="H40" s="38">
        <v>-1698</v>
      </c>
    </row>
    <row r="41" spans="1:8" x14ac:dyDescent="0.25">
      <c r="A41" s="68"/>
      <c r="B41" s="71"/>
      <c r="C41" s="75"/>
      <c r="D41" s="75"/>
    </row>
    <row r="42" spans="1:8" x14ac:dyDescent="0.25">
      <c r="A42" s="69" t="s">
        <v>125</v>
      </c>
      <c r="B42" s="69">
        <v>-152</v>
      </c>
      <c r="C42" s="69">
        <v>108</v>
      </c>
      <c r="D42" s="69">
        <v>80</v>
      </c>
      <c r="E42" t="s">
        <v>127</v>
      </c>
    </row>
    <row r="43" spans="1:8" x14ac:dyDescent="0.25">
      <c r="A43" s="68" t="s">
        <v>126</v>
      </c>
      <c r="B43" s="71">
        <v>-1864</v>
      </c>
      <c r="C43" s="71">
        <v>-945</v>
      </c>
      <c r="D43" s="71">
        <v>-3217</v>
      </c>
      <c r="E43" t="s">
        <v>151</v>
      </c>
      <c r="F43">
        <v>-8</v>
      </c>
      <c r="G43">
        <v>-171</v>
      </c>
      <c r="H43">
        <v>755</v>
      </c>
    </row>
    <row r="44" spans="1:8" x14ac:dyDescent="0.25">
      <c r="A44" s="69" t="s">
        <v>127</v>
      </c>
      <c r="B44" s="69"/>
      <c r="C44" s="69"/>
      <c r="D44" s="69"/>
      <c r="E44" t="s">
        <v>129</v>
      </c>
      <c r="F44" t="s">
        <v>82</v>
      </c>
      <c r="G44" t="s">
        <v>83</v>
      </c>
      <c r="H44" s="38">
        <v>2481</v>
      </c>
    </row>
    <row r="45" spans="1:8" x14ac:dyDescent="0.25">
      <c r="A45" s="68" t="s">
        <v>128</v>
      </c>
      <c r="B45" s="75">
        <v>-744</v>
      </c>
      <c r="C45" s="71">
        <v>-4</v>
      </c>
      <c r="D45" s="75">
        <v>983</v>
      </c>
      <c r="E45" t="s">
        <v>130</v>
      </c>
      <c r="F45" t="s">
        <v>82</v>
      </c>
      <c r="G45" t="s">
        <v>83</v>
      </c>
      <c r="H45">
        <v>-18</v>
      </c>
    </row>
    <row r="46" spans="1:8" x14ac:dyDescent="0.25">
      <c r="A46" s="68" t="s">
        <v>129</v>
      </c>
      <c r="B46" s="71">
        <v>596</v>
      </c>
      <c r="C46" s="71" t="s">
        <v>83</v>
      </c>
      <c r="D46" s="71">
        <v>1995</v>
      </c>
      <c r="E46" t="s">
        <v>131</v>
      </c>
      <c r="F46">
        <v>-2</v>
      </c>
      <c r="G46">
        <v>-1</v>
      </c>
      <c r="H46">
        <v>-513</v>
      </c>
    </row>
    <row r="47" spans="1:8" x14ac:dyDescent="0.25">
      <c r="A47" s="68" t="s">
        <v>130</v>
      </c>
      <c r="B47" s="69">
        <v>-4</v>
      </c>
      <c r="C47" s="69">
        <v>-1</v>
      </c>
      <c r="D47" s="69">
        <v>-15</v>
      </c>
      <c r="E47" t="s">
        <v>132</v>
      </c>
      <c r="F47">
        <v>182</v>
      </c>
      <c r="G47">
        <v>192</v>
      </c>
      <c r="H47">
        <v>180</v>
      </c>
    </row>
    <row r="48" spans="1:8" x14ac:dyDescent="0.25">
      <c r="A48" s="68" t="s">
        <v>131</v>
      </c>
      <c r="B48" s="71">
        <v>-459</v>
      </c>
      <c r="C48" s="71">
        <v>-18</v>
      </c>
      <c r="D48" s="71">
        <v>-265</v>
      </c>
      <c r="E48" t="s">
        <v>134</v>
      </c>
      <c r="F48">
        <v>-759</v>
      </c>
      <c r="G48" s="38">
        <v>-1555</v>
      </c>
      <c r="H48">
        <v>-893</v>
      </c>
    </row>
    <row r="49" spans="1:8" x14ac:dyDescent="0.25">
      <c r="A49" s="69" t="s">
        <v>132</v>
      </c>
      <c r="B49" s="69">
        <v>215</v>
      </c>
      <c r="C49" s="69">
        <v>151</v>
      </c>
      <c r="D49" s="69">
        <v>88</v>
      </c>
      <c r="E49" t="s">
        <v>135</v>
      </c>
      <c r="F49">
        <v>-546</v>
      </c>
      <c r="G49">
        <v>-609</v>
      </c>
      <c r="H49">
        <v>-503</v>
      </c>
    </row>
    <row r="50" spans="1:8" x14ac:dyDescent="0.25">
      <c r="A50" s="68" t="s">
        <v>133</v>
      </c>
      <c r="B50" s="69" t="s">
        <v>82</v>
      </c>
      <c r="C50" s="69">
        <v>-15</v>
      </c>
      <c r="D50" s="69" t="s">
        <v>82</v>
      </c>
      <c r="E50" t="s">
        <v>136</v>
      </c>
      <c r="F50">
        <v>-4</v>
      </c>
      <c r="G50">
        <v>-6</v>
      </c>
      <c r="H50">
        <v>-10</v>
      </c>
    </row>
    <row r="51" spans="1:8" x14ac:dyDescent="0.25">
      <c r="A51" s="68" t="s">
        <v>134</v>
      </c>
      <c r="B51" s="69">
        <v>-733</v>
      </c>
      <c r="C51" s="92">
        <v>-2309</v>
      </c>
      <c r="D51" s="69">
        <v>-271</v>
      </c>
      <c r="E51" t="s">
        <v>137</v>
      </c>
      <c r="F51">
        <v>-35</v>
      </c>
      <c r="G51">
        <v>-23</v>
      </c>
      <c r="H51">
        <v>-18</v>
      </c>
    </row>
    <row r="52" spans="1:8" x14ac:dyDescent="0.25">
      <c r="A52" s="68" t="s">
        <v>135</v>
      </c>
      <c r="B52" s="71">
        <v>-753</v>
      </c>
      <c r="C52" s="71">
        <v>-840</v>
      </c>
      <c r="D52" s="71">
        <v>-925</v>
      </c>
      <c r="E52" t="s">
        <v>138</v>
      </c>
      <c r="F52" s="38">
        <v>-1172</v>
      </c>
      <c r="G52" s="38">
        <v>-2173</v>
      </c>
      <c r="H52" s="38">
        <v>1461</v>
      </c>
    </row>
    <row r="53" spans="1:8" x14ac:dyDescent="0.25">
      <c r="A53" s="68" t="s">
        <v>136</v>
      </c>
      <c r="B53" s="69">
        <v>-8</v>
      </c>
      <c r="C53" s="69" t="s">
        <v>83</v>
      </c>
      <c r="D53" s="69" t="s">
        <v>82</v>
      </c>
    </row>
    <row r="54" spans="1:8" x14ac:dyDescent="0.25">
      <c r="A54" s="68" t="s">
        <v>137</v>
      </c>
      <c r="B54" s="71">
        <v>-2</v>
      </c>
      <c r="C54" s="71" t="s">
        <v>83</v>
      </c>
      <c r="D54" s="75" t="s">
        <v>82</v>
      </c>
      <c r="E54" t="s">
        <v>139</v>
      </c>
    </row>
    <row r="55" spans="1:8" x14ac:dyDescent="0.25">
      <c r="A55" s="68"/>
      <c r="B55" s="69"/>
      <c r="C55" s="69"/>
      <c r="D55" s="69"/>
      <c r="E55" t="s">
        <v>140</v>
      </c>
      <c r="F55">
        <v>13</v>
      </c>
      <c r="G55">
        <v>-11</v>
      </c>
      <c r="H55">
        <v>-8</v>
      </c>
    </row>
    <row r="56" spans="1:8" x14ac:dyDescent="0.25">
      <c r="A56" s="68" t="s">
        <v>138</v>
      </c>
      <c r="B56" s="75">
        <v>-1892</v>
      </c>
      <c r="C56" s="75">
        <v>-3036</v>
      </c>
      <c r="D56" s="71">
        <v>1590</v>
      </c>
      <c r="E56" t="s">
        <v>152</v>
      </c>
      <c r="F56" s="38">
        <v>1045</v>
      </c>
      <c r="G56">
        <v>806</v>
      </c>
      <c r="H56" s="38">
        <v>2035</v>
      </c>
    </row>
    <row r="57" spans="1:8" x14ac:dyDescent="0.25">
      <c r="A57" s="68"/>
      <c r="B57" s="71"/>
      <c r="C57" s="71"/>
      <c r="D57" s="71"/>
      <c r="E57" t="s">
        <v>142</v>
      </c>
      <c r="F57" s="38">
        <v>1136</v>
      </c>
      <c r="G57" s="38">
        <v>2181</v>
      </c>
      <c r="H57" s="38">
        <v>2987</v>
      </c>
    </row>
    <row r="58" spans="1:8" x14ac:dyDescent="0.25">
      <c r="A58" s="69" t="s">
        <v>139</v>
      </c>
      <c r="B58" s="69"/>
      <c r="C58" s="69"/>
      <c r="D58" s="69"/>
    </row>
    <row r="59" spans="1:8" x14ac:dyDescent="0.25">
      <c r="A59" s="68" t="s">
        <v>140</v>
      </c>
      <c r="B59" s="69">
        <v>61</v>
      </c>
      <c r="C59" s="69">
        <v>-60</v>
      </c>
      <c r="D59" s="69">
        <v>-32</v>
      </c>
      <c r="E59" t="s">
        <v>143</v>
      </c>
      <c r="F59" s="38">
        <v>2181</v>
      </c>
      <c r="G59" s="38">
        <v>2987</v>
      </c>
      <c r="H59" s="38">
        <v>5022</v>
      </c>
    </row>
    <row r="60" spans="1:8" x14ac:dyDescent="0.25">
      <c r="A60" s="68" t="s">
        <v>141</v>
      </c>
      <c r="B60" s="71">
        <v>-64</v>
      </c>
      <c r="C60" s="71">
        <v>-1001</v>
      </c>
      <c r="D60" s="71">
        <v>72</v>
      </c>
    </row>
    <row r="61" spans="1:8" x14ac:dyDescent="0.25">
      <c r="A61" s="69" t="s">
        <v>142</v>
      </c>
      <c r="B61" s="92">
        <v>5022</v>
      </c>
      <c r="C61" s="92">
        <v>4958</v>
      </c>
      <c r="D61" s="92">
        <v>3957</v>
      </c>
    </row>
    <row r="62" spans="1:8" x14ac:dyDescent="0.25">
      <c r="A62" s="68"/>
      <c r="B62" s="69"/>
      <c r="C62" s="69"/>
      <c r="D62" s="69"/>
    </row>
    <row r="63" spans="1:8" x14ac:dyDescent="0.25">
      <c r="A63" s="68" t="s">
        <v>143</v>
      </c>
      <c r="B63" s="71">
        <v>4958</v>
      </c>
      <c r="C63" s="71">
        <v>3957</v>
      </c>
      <c r="D63" s="71">
        <v>4029</v>
      </c>
    </row>
    <row r="64" spans="1:8" x14ac:dyDescent="0.25">
      <c r="A64" s="68" t="s">
        <v>58</v>
      </c>
      <c r="B64" s="69"/>
      <c r="C64" s="69"/>
      <c r="D64" s="69"/>
    </row>
    <row r="65" spans="1:4" x14ac:dyDescent="0.25">
      <c r="A65" s="68" t="s">
        <v>59</v>
      </c>
      <c r="B65" s="71">
        <v>5455</v>
      </c>
      <c r="C65" s="71">
        <v>17954</v>
      </c>
      <c r="D65" s="71">
        <v>16003</v>
      </c>
    </row>
    <row r="66" spans="1:4" x14ac:dyDescent="0.25">
      <c r="A66" s="68" t="s">
        <v>60</v>
      </c>
      <c r="B66" s="69"/>
      <c r="C66" s="69"/>
      <c r="D66" s="69"/>
    </row>
    <row r="67" spans="1:4" x14ac:dyDescent="0.25">
      <c r="A67" s="68" t="s">
        <v>61</v>
      </c>
      <c r="B67" s="70">
        <v>17954</v>
      </c>
      <c r="C67" s="70">
        <v>16003</v>
      </c>
      <c r="D67" s="70">
        <v>11661</v>
      </c>
    </row>
    <row r="68" spans="1:4" x14ac:dyDescent="0.25">
      <c r="A68" s="69"/>
      <c r="B68" s="69"/>
      <c r="C68" s="69"/>
      <c r="D68" s="69"/>
    </row>
    <row r="69" spans="1:4" x14ac:dyDescent="0.25">
      <c r="A69" s="68" t="s">
        <v>62</v>
      </c>
      <c r="B69" s="69"/>
      <c r="C69" s="69"/>
      <c r="D69" s="69"/>
    </row>
    <row r="70" spans="1:4" x14ac:dyDescent="0.25">
      <c r="A70" s="68" t="s">
        <v>63</v>
      </c>
      <c r="B70" s="70">
        <v>1559</v>
      </c>
      <c r="C70" s="70">
        <v>1892</v>
      </c>
      <c r="D70" s="70">
        <v>1685</v>
      </c>
    </row>
    <row r="71" spans="1:4" x14ac:dyDescent="0.25">
      <c r="A71" s="68" t="s">
        <v>64</v>
      </c>
      <c r="B71" s="70">
        <v>738</v>
      </c>
      <c r="C71" s="70">
        <v>1638</v>
      </c>
      <c r="D71" s="70">
        <v>1097</v>
      </c>
    </row>
  </sheetData>
  <sortState xmlns:xlrd2="http://schemas.microsoft.com/office/spreadsheetml/2017/richdata2" columnSort="1" ref="F4:H59">
    <sortCondition ref="F4:H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550DA-B624-4752-9D51-D896479F0D02}">
  <dimension ref="A1:L15"/>
  <sheetViews>
    <sheetView workbookViewId="0">
      <selection activeCell="D9" sqref="D9"/>
    </sheetView>
  </sheetViews>
  <sheetFormatPr defaultRowHeight="15" x14ac:dyDescent="0.25"/>
  <sheetData>
    <row r="1" spans="1:12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3.25" x14ac:dyDescent="0.35">
      <c r="A2" s="2"/>
      <c r="B2" s="41" t="s">
        <v>1</v>
      </c>
      <c r="C2" s="2"/>
      <c r="D2" s="2"/>
      <c r="E2" s="2"/>
      <c r="F2" s="2"/>
      <c r="G2" s="2"/>
      <c r="H2" s="2"/>
      <c r="I2" s="2"/>
      <c r="J2" s="2"/>
      <c r="K2" s="2"/>
      <c r="L2" s="42"/>
    </row>
    <row r="3" spans="1:12" x14ac:dyDescent="0.25">
      <c r="A3" s="43"/>
      <c r="B3" s="43"/>
      <c r="C3" s="43"/>
      <c r="D3" s="43"/>
      <c r="E3" s="43"/>
      <c r="F3" s="43"/>
      <c r="G3" s="43"/>
      <c r="H3" s="43"/>
      <c r="I3" s="43"/>
      <c r="J3" s="43"/>
      <c r="K3" s="43"/>
      <c r="L3" s="2"/>
    </row>
    <row r="4" spans="1:12" x14ac:dyDescent="0.25">
      <c r="A4" s="44" t="s">
        <v>40</v>
      </c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/>
      <c r="B6" s="2" t="s">
        <v>41</v>
      </c>
      <c r="C6" s="2"/>
      <c r="D6" s="45">
        <f>'EL DCF'!N37</f>
        <v>0.23899999999999999</v>
      </c>
      <c r="E6" s="2"/>
      <c r="F6" s="2"/>
      <c r="G6" s="2"/>
      <c r="H6" s="2"/>
      <c r="I6" s="2"/>
      <c r="J6" s="2"/>
      <c r="K6" s="2"/>
      <c r="L6" s="2"/>
    </row>
    <row r="7" spans="1:12" x14ac:dyDescent="0.25">
      <c r="A7" s="2"/>
      <c r="B7" s="2" t="s">
        <v>42</v>
      </c>
      <c r="C7" s="2"/>
      <c r="D7" s="45">
        <v>0.05</v>
      </c>
      <c r="E7" s="2"/>
      <c r="F7" s="2"/>
      <c r="G7" s="2"/>
      <c r="H7" s="2"/>
      <c r="I7" s="2"/>
      <c r="J7" s="2"/>
      <c r="K7" s="2"/>
      <c r="L7" s="2"/>
    </row>
    <row r="8" spans="1:12" x14ac:dyDescent="0.25">
      <c r="A8" s="2"/>
      <c r="B8" s="2" t="s">
        <v>43</v>
      </c>
      <c r="C8" s="2"/>
      <c r="D8" s="46">
        <v>1.06</v>
      </c>
      <c r="E8" s="2"/>
      <c r="F8" s="2"/>
      <c r="G8" s="2"/>
      <c r="H8" s="2"/>
      <c r="I8" s="2"/>
      <c r="J8" s="2"/>
      <c r="K8" s="2"/>
      <c r="L8" s="2"/>
    </row>
    <row r="9" spans="1:12" x14ac:dyDescent="0.25">
      <c r="A9" s="2"/>
      <c r="B9" s="2" t="s">
        <v>44</v>
      </c>
      <c r="C9" s="2"/>
      <c r="D9" s="45">
        <v>0.06</v>
      </c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 t="s">
        <v>34</v>
      </c>
      <c r="B12" s="2"/>
      <c r="C12" s="23">
        <f>'EL DCF'!D63</f>
        <v>49246.871409200001</v>
      </c>
      <c r="D12" s="2"/>
      <c r="E12" s="2" t="s">
        <v>33</v>
      </c>
      <c r="F12" s="2"/>
      <c r="G12" s="23">
        <f>'EL DCF'!D60</f>
        <v>4570</v>
      </c>
      <c r="H12" s="2"/>
      <c r="I12" s="2" t="s">
        <v>45</v>
      </c>
      <c r="J12" s="2"/>
      <c r="K12" s="23">
        <f>G12+C12</f>
        <v>53816.871409200001</v>
      </c>
      <c r="L12" s="2"/>
    </row>
    <row r="13" spans="1:12" x14ac:dyDescent="0.25">
      <c r="A13" s="2" t="s">
        <v>46</v>
      </c>
      <c r="B13" s="2"/>
      <c r="C13" s="47">
        <f>C12/K12</f>
        <v>0.9150823918162817</v>
      </c>
      <c r="D13" s="2"/>
      <c r="E13" s="2" t="s">
        <v>47</v>
      </c>
      <c r="F13" s="2"/>
      <c r="G13" s="48">
        <f>G12/K12</f>
        <v>8.4917608183718352E-2</v>
      </c>
      <c r="H13" s="2"/>
      <c r="I13" s="2"/>
      <c r="J13" s="2"/>
      <c r="K13" s="2"/>
      <c r="L13" s="2"/>
    </row>
    <row r="14" spans="1:12" x14ac:dyDescent="0.25">
      <c r="A14" s="2" t="s">
        <v>48</v>
      </c>
      <c r="B14" s="2"/>
      <c r="C14" s="49">
        <f>D7+D8*(D9)</f>
        <v>0.11360000000000001</v>
      </c>
      <c r="D14" s="2"/>
      <c r="E14" s="2" t="s">
        <v>49</v>
      </c>
      <c r="F14" s="2"/>
      <c r="G14" s="48">
        <v>0.03</v>
      </c>
      <c r="H14" s="2"/>
      <c r="I14" s="50" t="s">
        <v>1</v>
      </c>
      <c r="J14" s="51"/>
      <c r="K14" s="52">
        <f>C13*C14+G14*G13*(1-D6)</f>
        <v>0.1058920287051639</v>
      </c>
      <c r="L14" s="2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EL DCF</vt:lpstr>
      <vt:lpstr>Raw IS</vt:lpstr>
      <vt:lpstr>Raw CF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Alessandro Ognibene</cp:lastModifiedBy>
  <dcterms:created xsi:type="dcterms:W3CDTF">2023-05-02T11:48:48Z</dcterms:created>
  <dcterms:modified xsi:type="dcterms:W3CDTF">2023-10-15T11:11:22Z</dcterms:modified>
</cp:coreProperties>
</file>