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389B2AAC-769A-4C61-978F-D129E26BD2FD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SWKS DCF" sheetId="1" r:id="rId1"/>
    <sheet name="WACC" sheetId="2" r:id="rId2"/>
    <sheet name="Raw CF" sheetId="3" r:id="rId3"/>
    <sheet name="Raw IS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5" i="1" l="1"/>
  <c r="L64" i="1"/>
  <c r="L61" i="1"/>
  <c r="Q60" i="1"/>
  <c r="P60" i="1"/>
  <c r="D64" i="1"/>
  <c r="J50" i="1"/>
  <c r="K50" i="1" s="1"/>
  <c r="L50" i="1" s="1"/>
  <c r="M50" i="1" s="1"/>
  <c r="N50" i="1" s="1"/>
  <c r="O50" i="1" s="1"/>
  <c r="P50" i="1" s="1"/>
  <c r="Q50" i="1" s="1"/>
  <c r="R50" i="1" s="1"/>
  <c r="N47" i="1"/>
  <c r="O47" i="1" s="1"/>
  <c r="P47" i="1" s="1"/>
  <c r="Q47" i="1" s="1"/>
  <c r="R47" i="1" s="1"/>
  <c r="I47" i="1"/>
  <c r="J47" i="1"/>
  <c r="K47" i="1"/>
  <c r="L47" i="1"/>
  <c r="M47" i="1"/>
  <c r="I44" i="1"/>
  <c r="J44" i="1"/>
  <c r="K44" i="1"/>
  <c r="L44" i="1" s="1"/>
  <c r="M44" i="1" s="1"/>
  <c r="N44" i="1" s="1"/>
  <c r="O44" i="1" s="1"/>
  <c r="P44" i="1" s="1"/>
  <c r="Q44" i="1" s="1"/>
  <c r="R44" i="1" s="1"/>
  <c r="I23" i="1"/>
  <c r="J23" i="1"/>
  <c r="K23" i="1"/>
  <c r="L23" i="1"/>
  <c r="M23" i="1"/>
  <c r="I20" i="1"/>
  <c r="J20" i="1"/>
  <c r="K20" i="1"/>
  <c r="L20" i="1"/>
  <c r="M20" i="1"/>
  <c r="J27" i="1"/>
  <c r="J28" i="1" s="1"/>
  <c r="K27" i="1"/>
  <c r="K28" i="1" s="1"/>
  <c r="L27" i="1"/>
  <c r="L28" i="1" s="1"/>
  <c r="M27" i="1"/>
  <c r="M28" i="1" s="1"/>
  <c r="N27" i="1"/>
  <c r="O27" i="1"/>
  <c r="P27" i="1"/>
  <c r="Q27" i="1"/>
  <c r="R27" i="1"/>
  <c r="I27" i="1"/>
  <c r="I28" i="1" s="1"/>
  <c r="J31" i="1"/>
  <c r="K31" i="1"/>
  <c r="L31" i="1"/>
  <c r="M31" i="1"/>
  <c r="I31" i="1"/>
  <c r="C32" i="1"/>
  <c r="N17" i="1"/>
  <c r="O17" i="1" s="1"/>
  <c r="P17" i="1" s="1"/>
  <c r="Q17" i="1" s="1"/>
  <c r="R17" i="1" s="1"/>
  <c r="G49" i="1"/>
  <c r="H49" i="1"/>
  <c r="F49" i="1"/>
  <c r="D49" i="1"/>
  <c r="E49" i="1"/>
  <c r="C49" i="1"/>
  <c r="G46" i="1"/>
  <c r="H46" i="1"/>
  <c r="F46" i="1"/>
  <c r="D46" i="1"/>
  <c r="E46" i="1"/>
  <c r="C46" i="1"/>
  <c r="G43" i="1"/>
  <c r="H43" i="1"/>
  <c r="F43" i="1"/>
  <c r="D43" i="1"/>
  <c r="E43" i="1"/>
  <c r="C43" i="1"/>
  <c r="G39" i="1"/>
  <c r="H39" i="1"/>
  <c r="F39" i="1"/>
  <c r="D39" i="1"/>
  <c r="E39" i="1"/>
  <c r="C39" i="1"/>
  <c r="G31" i="1"/>
  <c r="G32" i="1" s="1"/>
  <c r="H31" i="1"/>
  <c r="H32" i="1" s="1"/>
  <c r="F31" i="1"/>
  <c r="F32" i="1" s="1"/>
  <c r="D31" i="1"/>
  <c r="D32" i="1" s="1"/>
  <c r="E31" i="1"/>
  <c r="E32" i="1" s="1"/>
  <c r="C31" i="1"/>
  <c r="G25" i="1"/>
  <c r="H25" i="1"/>
  <c r="F25" i="1"/>
  <c r="D25" i="1"/>
  <c r="E25" i="1"/>
  <c r="C25" i="1"/>
  <c r="G22" i="1"/>
  <c r="H22" i="1"/>
  <c r="F22" i="1"/>
  <c r="D22" i="1"/>
  <c r="E22" i="1"/>
  <c r="C22" i="1"/>
  <c r="G19" i="1"/>
  <c r="H19" i="1"/>
  <c r="F19" i="1"/>
  <c r="D19" i="1"/>
  <c r="E19" i="1"/>
  <c r="C19" i="1"/>
  <c r="C27" i="1" s="1"/>
  <c r="G14" i="1"/>
  <c r="H14" i="1"/>
  <c r="F14" i="1"/>
  <c r="D14" i="1"/>
  <c r="E14" i="1"/>
  <c r="C14" i="1"/>
  <c r="G11" i="1"/>
  <c r="H11" i="1"/>
  <c r="F11" i="1"/>
  <c r="D11" i="1"/>
  <c r="E11" i="1"/>
  <c r="C11" i="1"/>
  <c r="L62" i="1"/>
  <c r="C14" i="2" l="1"/>
  <c r="D65" i="1"/>
  <c r="C12" i="2" s="1"/>
  <c r="C28" i="1"/>
  <c r="D23" i="1"/>
  <c r="E23" i="1"/>
  <c r="F23" i="1"/>
  <c r="G23" i="1"/>
  <c r="H23" i="1"/>
  <c r="C23" i="1"/>
  <c r="D20" i="1"/>
  <c r="E20" i="1"/>
  <c r="F20" i="1"/>
  <c r="G20" i="1"/>
  <c r="H20" i="1"/>
  <c r="C20" i="1"/>
  <c r="H27" i="1"/>
  <c r="H12" i="1"/>
  <c r="G27" i="1"/>
  <c r="G28" i="1" s="1"/>
  <c r="F27" i="1"/>
  <c r="E27" i="1"/>
  <c r="E28" i="1" s="1"/>
  <c r="D27" i="1"/>
  <c r="E47" i="1"/>
  <c r="D47" i="1"/>
  <c r="C47" i="1"/>
  <c r="F47" i="1"/>
  <c r="G47" i="1"/>
  <c r="H47" i="1"/>
  <c r="F44" i="1"/>
  <c r="H44" i="1"/>
  <c r="C44" i="1"/>
  <c r="D50" i="1"/>
  <c r="C50" i="1"/>
  <c r="D44" i="1"/>
  <c r="D16" i="1"/>
  <c r="D17" i="1" s="1"/>
  <c r="E16" i="1"/>
  <c r="C16" i="1"/>
  <c r="C30" i="1" s="1"/>
  <c r="C34" i="1" s="1"/>
  <c r="C53" i="1" s="1"/>
  <c r="F50" i="1"/>
  <c r="G50" i="1"/>
  <c r="H50" i="1"/>
  <c r="G44" i="1"/>
  <c r="E44" i="1"/>
  <c r="F16" i="1"/>
  <c r="F17" i="1" s="1"/>
  <c r="G16" i="1"/>
  <c r="H16" i="1"/>
  <c r="H30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H34" i="1" l="1"/>
  <c r="H53" i="1" s="1"/>
  <c r="H17" i="1"/>
  <c r="I49" i="1"/>
  <c r="E50" i="1"/>
  <c r="K12" i="2"/>
  <c r="C13" i="2" s="1"/>
  <c r="I16" i="1"/>
  <c r="I30" i="1" s="1"/>
  <c r="D30" i="1"/>
  <c r="D34" i="1" s="1"/>
  <c r="G30" i="1"/>
  <c r="E30" i="1"/>
  <c r="E34" i="1" s="1"/>
  <c r="G17" i="1"/>
  <c r="C17" i="1"/>
  <c r="E17" i="1"/>
  <c r="H28" i="1"/>
  <c r="F30" i="1"/>
  <c r="F34" i="1" s="1"/>
  <c r="F28" i="1"/>
  <c r="D28" i="1"/>
  <c r="G36" i="1" l="1"/>
  <c r="G34" i="1"/>
  <c r="G53" i="1" s="1"/>
  <c r="I36" i="1"/>
  <c r="I34" i="1"/>
  <c r="G52" i="1"/>
  <c r="G55" i="1" s="1"/>
  <c r="G40" i="1"/>
  <c r="F53" i="1"/>
  <c r="E53" i="1"/>
  <c r="D53" i="1"/>
  <c r="C36" i="1"/>
  <c r="C52" i="1" s="1"/>
  <c r="I14" i="1"/>
  <c r="G13" i="2"/>
  <c r="K14" i="2" s="1"/>
  <c r="E5" i="1" s="1"/>
  <c r="E36" i="1"/>
  <c r="D36" i="1"/>
  <c r="D40" i="1" s="1"/>
  <c r="F36" i="1"/>
  <c r="H36" i="1"/>
  <c r="J49" i="1"/>
  <c r="J16" i="1"/>
  <c r="G37" i="1"/>
  <c r="I37" i="1" l="1"/>
  <c r="H52" i="1"/>
  <c r="H55" i="1" s="1"/>
  <c r="H40" i="1"/>
  <c r="L43" i="1"/>
  <c r="F52" i="1"/>
  <c r="F55" i="1" s="1"/>
  <c r="F40" i="1"/>
  <c r="E52" i="1"/>
  <c r="E55" i="1" s="1"/>
  <c r="E40" i="1"/>
  <c r="C55" i="1"/>
  <c r="C37" i="1"/>
  <c r="C40" i="1"/>
  <c r="E37" i="1"/>
  <c r="D52" i="1"/>
  <c r="D55" i="1" s="1"/>
  <c r="J14" i="1"/>
  <c r="K16" i="1"/>
  <c r="D37" i="1"/>
  <c r="H37" i="1"/>
  <c r="F37" i="1"/>
  <c r="K49" i="1"/>
  <c r="I39" i="1" l="1"/>
  <c r="I52" i="1" s="1"/>
  <c r="I55" i="1" s="1"/>
  <c r="I56" i="1" s="1"/>
  <c r="N11" i="1"/>
  <c r="M43" i="1"/>
  <c r="K14" i="1"/>
  <c r="L49" i="1"/>
  <c r="L16" i="1"/>
  <c r="N28" i="1" l="1"/>
  <c r="N23" i="1"/>
  <c r="N20" i="1"/>
  <c r="N31" i="1"/>
  <c r="I53" i="1"/>
  <c r="O11" i="1"/>
  <c r="N46" i="1"/>
  <c r="N43" i="1"/>
  <c r="L14" i="1"/>
  <c r="O28" i="1" l="1"/>
  <c r="O23" i="1"/>
  <c r="O20" i="1"/>
  <c r="O31" i="1"/>
  <c r="P11" i="1"/>
  <c r="O46" i="1"/>
  <c r="O43" i="1"/>
  <c r="N49" i="1"/>
  <c r="N16" i="1"/>
  <c r="N14" i="1" s="1"/>
  <c r="P28" i="1" l="1"/>
  <c r="P23" i="1"/>
  <c r="P20" i="1"/>
  <c r="P31" i="1"/>
  <c r="Q11" i="1"/>
  <c r="P46" i="1"/>
  <c r="P43" i="1"/>
  <c r="Q28" i="1" l="1"/>
  <c r="Q23" i="1"/>
  <c r="Q20" i="1"/>
  <c r="Q31" i="1"/>
  <c r="R11" i="1"/>
  <c r="Q46" i="1"/>
  <c r="Q43" i="1"/>
  <c r="R28" i="1" l="1"/>
  <c r="R23" i="1"/>
  <c r="R20" i="1"/>
  <c r="R31" i="1"/>
  <c r="R46" i="1"/>
  <c r="R43" i="1"/>
  <c r="O49" i="1" l="1"/>
  <c r="O16" i="1"/>
  <c r="P49" i="1" l="1"/>
  <c r="P16" i="1"/>
  <c r="O14" i="1"/>
  <c r="M16" i="1"/>
  <c r="M49" i="1"/>
  <c r="Q49" i="1" l="1"/>
  <c r="Q16" i="1"/>
  <c r="M14" i="1"/>
  <c r="P14" i="1"/>
  <c r="R49" i="1" l="1"/>
  <c r="R16" i="1"/>
  <c r="Q14" i="1"/>
  <c r="R14" i="1" l="1"/>
  <c r="M30" i="1" l="1"/>
  <c r="M34" i="1" s="1"/>
  <c r="N30" i="1"/>
  <c r="O30" i="1"/>
  <c r="O34" i="1" s="1"/>
  <c r="J30" i="1"/>
  <c r="J36" i="1" s="1"/>
  <c r="L30" i="1"/>
  <c r="K30" i="1"/>
  <c r="Q30" i="1"/>
  <c r="Q36" i="1" s="1"/>
  <c r="P30" i="1"/>
  <c r="R30" i="1"/>
  <c r="R34" i="1" s="1"/>
  <c r="M36" i="1" l="1"/>
  <c r="J37" i="1"/>
  <c r="J39" i="1"/>
  <c r="J52" i="1" s="1"/>
  <c r="J55" i="1" s="1"/>
  <c r="J56" i="1" s="1"/>
  <c r="M39" i="1"/>
  <c r="M53" i="1" s="1"/>
  <c r="P36" i="1"/>
  <c r="P34" i="1"/>
  <c r="Q37" i="1"/>
  <c r="K34" i="1"/>
  <c r="K36" i="1"/>
  <c r="Q34" i="1"/>
  <c r="L36" i="1"/>
  <c r="L34" i="1"/>
  <c r="N34" i="1"/>
  <c r="N36" i="1"/>
  <c r="R36" i="1"/>
  <c r="Q39" i="1"/>
  <c r="Q52" i="1" s="1"/>
  <c r="Q55" i="1" s="1"/>
  <c r="Q56" i="1" s="1"/>
  <c r="J34" i="1"/>
  <c r="O36" i="1"/>
  <c r="M52" i="1" l="1"/>
  <c r="M55" i="1" s="1"/>
  <c r="M56" i="1" s="1"/>
  <c r="Q53" i="1"/>
  <c r="M37" i="1"/>
  <c r="J53" i="1"/>
  <c r="P39" i="1"/>
  <c r="P52" i="1" s="1"/>
  <c r="P55" i="1" s="1"/>
  <c r="P56" i="1" s="1"/>
  <c r="P37" i="1"/>
  <c r="R37" i="1"/>
  <c r="R39" i="1"/>
  <c r="R53" i="1" s="1"/>
  <c r="O37" i="1"/>
  <c r="O39" i="1"/>
  <c r="O53" i="1" s="1"/>
  <c r="N39" i="1"/>
  <c r="N52" i="1" s="1"/>
  <c r="N55" i="1" s="1"/>
  <c r="N56" i="1" s="1"/>
  <c r="N37" i="1"/>
  <c r="L39" i="1"/>
  <c r="L53" i="1" s="1"/>
  <c r="L37" i="1"/>
  <c r="K39" i="1"/>
  <c r="K53" i="1" s="1"/>
  <c r="K37" i="1"/>
  <c r="P53" i="1"/>
  <c r="L52" i="1" l="1"/>
  <c r="L55" i="1" s="1"/>
  <c r="L56" i="1" s="1"/>
  <c r="K52" i="1"/>
  <c r="K55" i="1" s="1"/>
  <c r="K56" i="1" s="1"/>
  <c r="O52" i="1"/>
  <c r="O55" i="1" s="1"/>
  <c r="O56" i="1" s="1"/>
  <c r="S53" i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N53" i="1"/>
  <c r="R52" i="1"/>
  <c r="R55" i="1" s="1"/>
  <c r="R56" i="1" l="1"/>
  <c r="C58" i="1"/>
  <c r="C59" i="1" s="1"/>
  <c r="F58" i="1"/>
  <c r="H61" i="1" s="1"/>
  <c r="H63" i="1" s="1"/>
  <c r="H66" i="1" s="1"/>
  <c r="G61" i="1" l="1"/>
  <c r="G63" i="1" s="1"/>
  <c r="G66" i="1" s="1"/>
  <c r="D66" i="1" s="1"/>
  <c r="L60" i="1" s="1"/>
  <c r="J6" i="1" l="1"/>
  <c r="N5" i="1" s="1"/>
</calcChain>
</file>

<file path=xl/sharedStrings.xml><?xml version="1.0" encoding="utf-8"?>
<sst xmlns="http://schemas.openxmlformats.org/spreadsheetml/2006/main" count="237" uniqueCount="134">
  <si>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</si>
  <si>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</si>
  <si>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</si>
  <si>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</si>
  <si>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</si>
  <si>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</si>
  <si>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</si>
  <si>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</si>
  <si>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</si>
  <si>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</si>
  <si>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</si>
  <si>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</si>
  <si>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</si>
  <si>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 xml:space="preserve">Other 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</si>
  <si>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</si>
  <si>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</si>
  <si>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</si>
  <si>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</si>
  <si>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</si>
  <si>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</si>
  <si>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</si>
  <si>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</si>
  <si>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</si>
  <si>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</si>
  <si>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</si>
  <si>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</si>
  <si>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</si>
  <si>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</si>
  <si>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</si>
  <si>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</si>
  <si>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</si>
  <si>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</si>
  <si>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</si>
  <si>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</si>
  <si>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</si>
  <si>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</si>
  <si>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</si>
  <si>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</si>
  <si>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</si>
  <si>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</si>
  <si>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</si>
  <si>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</si>
  <si>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</si>
  <si>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</si>
  <si>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</si>
  <si>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</si>
  <si>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</si>
  <si>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</si>
  <si>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</si>
  <si>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</si>
  <si>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</si>
  <si>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</si>
  <si>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</si>
  <si>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SG&amp;A</t>
  </si>
  <si>
    <t xml:space="preserve">                                             Terminal Growth Rate</t>
  </si>
  <si>
    <t>CONSOLIDATED STATEMENTS OF OPERATIONS</t>
  </si>
  <si>
    <t>Fiscal Years Ended</t>
  </si>
  <si>
    <t>Net revenue</t>
  </si>
  <si>
    <t>Cost of goods sold</t>
  </si>
  <si>
    <t>Gross profit</t>
  </si>
  <si>
    <t>Operating expenses:</t>
  </si>
  <si>
    <t>Research and development</t>
  </si>
  <si>
    <t>Selling, general, and administrative</t>
  </si>
  <si>
    <t>Amortization of intangibles</t>
  </si>
  <si>
    <t>Restructuring, impairment, and other charges</t>
  </si>
  <si>
    <t>Total operating expenses</t>
  </si>
  <si>
    <t>Interest expense</t>
  </si>
  <si>
    <t>—</t>
  </si>
  <si>
    <t>Other expense, net</t>
  </si>
  <si>
    <t>Income before income taxes</t>
  </si>
  <si>
    <t>Provision for income taxes</t>
  </si>
  <si>
    <t>Earnings per share:</t>
  </si>
  <si>
    <t>Basic</t>
  </si>
  <si>
    <t>Diluted</t>
  </si>
  <si>
    <t>Weighted average shares:</t>
  </si>
  <si>
    <t>CONSOLIDATED STATEMENTS OF CASH FLOWS</t>
  </si>
  <si>
    <t>Cash flows from operating activities:</t>
  </si>
  <si>
    <t>Adjustments to reconcile net income to net cash provided by operating activities:</t>
  </si>
  <si>
    <t>Share-based compensation</t>
  </si>
  <si>
    <t>Depreciation</t>
  </si>
  <si>
    <t>Amortization of intangible assets, including inventory step-up</t>
  </si>
  <si>
    <t>Deferred income taxes</t>
  </si>
  <si>
    <t>Asset impairment charges</t>
  </si>
  <si>
    <t>Amortization of debt discount and issuance costs</t>
  </si>
  <si>
    <t>Other, net</t>
  </si>
  <si>
    <t>Changes in assets and liabilities:</t>
  </si>
  <si>
    <t>Receivables, net</t>
  </si>
  <si>
    <t>Inventory</t>
  </si>
  <si>
    <t>Accounts payable</t>
  </si>
  <si>
    <t>Other current and long-term assets and liabilities</t>
  </si>
  <si>
    <t>Net cash provided by operating activities</t>
  </si>
  <si>
    <t>Cash flows from investing activities:</t>
  </si>
  <si>
    <t>Capital expenditures</t>
  </si>
  <si>
    <t>Purchased intangibles</t>
  </si>
  <si>
    <t>Purchases of marketable securities</t>
  </si>
  <si>
    <t>Sales and maturities of marketable securities</t>
  </si>
  <si>
    <t>Payments for acquisitions</t>
  </si>
  <si>
    <t>Receipts from the sales of property, plant, and equipment</t>
  </si>
  <si>
    <t>Net cash used in investing activities</t>
  </si>
  <si>
    <t>Cash flows from financing activities:</t>
  </si>
  <si>
    <t>Repurchase of common stock — payroll tax withholdings on equity awards</t>
  </si>
  <si>
    <t>Repurchase of common stock — stock repurchase program</t>
  </si>
  <si>
    <t>Dividends paid</t>
  </si>
  <si>
    <t>Net proceeds from exercise of stock options</t>
  </si>
  <si>
    <t>Proceeds from employee stock purchase plan</t>
  </si>
  <si>
    <t>Proceeds from issuance of long-term debt, net</t>
  </si>
  <si>
    <t>Debt financing costs</t>
  </si>
  <si>
    <t>Payments of debt</t>
  </si>
  <si>
    <t>Net cash provided by (used in) financing activities</t>
  </si>
  <si>
    <t>Net increase (decrease) in cash and cash equivalents</t>
  </si>
  <si>
    <t>Cash and cash equivalents at beginning of period</t>
  </si>
  <si>
    <t>Cash and cash equivalents at end of period</t>
  </si>
  <si>
    <t>Supplemental cash flow disclosures:</t>
  </si>
  <si>
    <t>Income taxes paid</t>
  </si>
  <si>
    <t>Interest paid</t>
  </si>
  <si>
    <t>$—</t>
  </si>
  <si>
    <t>Incentives paid in common stock</t>
  </si>
  <si>
    <t>Non-cash investing in capital expenditures, accrued but not paid</t>
  </si>
  <si>
    <t>Selling, general and administrative</t>
  </si>
  <si>
    <t>Restructuring and other charges</t>
  </si>
  <si>
    <t>Other income, net</t>
  </si>
  <si>
    <t>Cash dividends declared and paid per share</t>
  </si>
  <si>
    <t>Changes in fair value of contingent consideration</t>
  </si>
  <si>
    <t>Excess tax benefit from share-based compensation</t>
  </si>
  <si>
    <t>Other current and long-term assets</t>
  </si>
  <si>
    <t>Other current and long-term liabilities</t>
  </si>
  <si>
    <t>Payments for acquisitions, net of cash</t>
  </si>
  <si>
    <t>Repurchase of common stock - payroll tax withholdings on equity awards</t>
  </si>
  <si>
    <t>Repurchase of common stock - stock repurchase program</t>
  </si>
  <si>
    <t>Deferred payments for intangibles</t>
  </si>
  <si>
    <t>Payments of contingent consideration</t>
  </si>
  <si>
    <t>Net cash used in financing activities</t>
  </si>
  <si>
    <t>Skyworks Solutions Inc. DCF</t>
  </si>
  <si>
    <t>Update 25/06/2023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</si>
</sst>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\$* #,##0.00_);_(\$* \(#,##0.00\);_(\$* \-??_);_(@_)"/>
    <numFmt numFmtId="166" formatCode="\(#,##0.00_);[Red]\(#,##0.0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3" fillId="2" borderId="0" xfId="1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0" fontId="0" fillId="8" borderId="0" xfId="0" applyFill="1"/>
    <xf numFmtId="0" fontId="6" fillId="8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/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Border="1" applyAlignment="1">
      <alignment horizontal="left"/>
    </xf>
    <xf numFmtId="164" fontId="3" fillId="8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0" fontId="6" fillId="4" borderId="4" xfId="0" applyFont="1" applyFill="1" applyBorder="1"/>
    <xf numFmtId="1" fontId="3" fillId="2" borderId="13" xfId="0" applyNumberFormat="1" applyFont="1" applyFill="1" applyBorder="1"/>
    <xf numFmtId="2" fontId="0" fillId="2" borderId="0" xfId="0" applyNumberFormat="1" applyFill="1"/>
    <xf numFmtId="2" fontId="0" fillId="3" borderId="0" xfId="0" applyNumberFormat="1" applyFill="1"/>
    <xf numFmtId="2" fontId="9" fillId="10" borderId="0" xfId="0" applyNumberFormat="1" applyFont="1" applyFill="1"/>
    <xf numFmtId="2" fontId="3" fillId="2" borderId="0" xfId="0" applyNumberFormat="1" applyFont="1" applyFill="1"/>
    <xf numFmtId="1" fontId="3" fillId="2" borderId="6" xfId="0" applyNumberFormat="1" applyFont="1" applyFill="1" applyBorder="1"/>
    <xf numFmtId="0" fontId="10" fillId="0" borderId="0" xfId="0" applyFont="1"/>
    <xf numFmtId="0" fontId="10" fillId="0" borderId="0" xfId="0" applyFont="1" applyAlignment="1">
      <alignment wrapText="1"/>
    </xf>
    <xf numFmtId="165" fontId="10" fillId="0" borderId="0" xfId="0" applyNumberFormat="1" applyFont="1"/>
    <xf numFmtId="4" fontId="10" fillId="0" borderId="0" xfId="0" applyNumberFormat="1" applyFont="1"/>
    <xf numFmtId="166" fontId="10" fillId="0" borderId="0" xfId="0" applyNumberFormat="1" applyFon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3" fillId="2" borderId="0" xfId="1" applyNumberFormat="1" applyFont="1" applyFill="1"/>
    <xf numFmtId="9" fontId="3" fillId="2" borderId="0" xfId="1" applyFont="1" applyFill="1"/>
    <xf numFmtId="1" fontId="0" fillId="2" borderId="4" xfId="0" applyNumberFormat="1" applyFont="1" applyFill="1" applyBorder="1"/>
    <xf numFmtId="164" fontId="11" fillId="2" borderId="0" xfId="1" applyNumberFormat="1" applyFont="1" applyFill="1" applyBorder="1"/>
    <xf numFmtId="0" fontId="0" fillId="2" borderId="4" xfId="0" applyFont="1" applyFill="1" applyBorder="1"/>
    <xf numFmtId="1" fontId="0" fillId="2" borderId="14" xfId="0" applyNumberFormat="1" applyFont="1" applyFill="1" applyBorder="1"/>
    <xf numFmtId="1" fontId="0" fillId="2" borderId="1" xfId="0" applyNumberFormat="1" applyFont="1" applyFill="1" applyBorder="1"/>
    <xf numFmtId="1" fontId="0" fillId="2" borderId="4" xfId="1" applyNumberFormat="1" applyFont="1" applyFill="1" applyBorder="1"/>
    <xf numFmtId="3" fontId="0" fillId="2" borderId="4" xfId="0" applyNumberFormat="1" applyFont="1" applyFill="1" applyBorder="1"/>
    <xf numFmtId="164" fontId="11" fillId="2" borderId="4" xfId="1" applyNumberFormat="1" applyFont="1" applyFill="1" applyBorder="1"/>
    <xf numFmtId="0" fontId="2" fillId="3" borderId="4" xfId="0" applyFont="1" applyFill="1" applyBorder="1"/>
    <xf numFmtId="0" fontId="6" fillId="4" borderId="0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3" fontId="0" fillId="2" borderId="0" xfId="0" applyNumberFormat="1" applyFont="1" applyFill="1" applyBorder="1"/>
    <xf numFmtId="0" fontId="2" fillId="3" borderId="0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11" fillId="11" borderId="4" xfId="1" applyNumberFormat="1" applyFont="1" applyFill="1" applyBorder="1"/>
    <xf numFmtId="164" fontId="11" fillId="11" borderId="0" xfId="1" applyNumberFormat="1" applyFont="1" applyFill="1" applyBorder="1"/>
    <xf numFmtId="164" fontId="11" fillId="11" borderId="4" xfId="0" applyNumberFormat="1" applyFont="1" applyFill="1" applyBorder="1"/>
    <xf numFmtId="164" fontId="11" fillId="11" borderId="0" xfId="0" applyNumberFormat="1" applyFont="1" applyFill="1" applyBorder="1"/>
    <xf numFmtId="164" fontId="3" fillId="11" borderId="0" xfId="1" applyNumberFormat="1" applyFont="1" applyFill="1"/>
    <xf numFmtId="164" fontId="0" fillId="11" borderId="4" xfId="0" applyNumberFormat="1" applyFont="1" applyFill="1" applyBorder="1"/>
    <xf numFmtId="164" fontId="0" fillId="11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6"/>
  <sheetViews>
    <sheetView tabSelected="1" topLeftCell="A61" workbookViewId="0">
      <selection activeCell="I67" sqref="I67"/>
    </sheetView>
  </sheetViews>
  <sheetFormatPr defaultRowHeight="15" x14ac:dyDescent="0.25"/>
  <cols>
    <col min="1" max="1" width="9.140625" style="2"/>
    <col min="2" max="2" width="19.5703125" style="2" customWidth="1"/>
    <col min="3" max="8" width="9.140625" style="2"/>
    <col min="9" max="9" width="11.140625" style="2" bestFit="1" customWidth="1"/>
    <col min="10" max="11" width="9.140625" style="2"/>
    <col min="12" max="12" width="9.28515625" style="2" customWidth="1"/>
    <col min="13" max="16384" width="9.140625" style="2"/>
  </cols>
  <sheetData>
    <row r="1" spans="1:86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86" s="51" customFormat="1" ht="23.25" x14ac:dyDescent="0.35">
      <c r="A2" s="3"/>
      <c r="B2" s="4" t="s">
        <v>132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9"/>
    </row>
    <row r="3" spans="1:86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86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86" s="51" customFormat="1" x14ac:dyDescent="0.25">
      <c r="A5" s="1"/>
      <c r="B5" s="1"/>
      <c r="C5" s="7" t="s">
        <v>1</v>
      </c>
      <c r="D5" s="1"/>
      <c r="E5" s="8">
        <f>WACC!K14+2%</f>
        <v>0.10299709252598499</v>
      </c>
      <c r="F5" s="2"/>
      <c r="G5" s="1"/>
      <c r="H5" s="1" t="s">
        <v>2</v>
      </c>
      <c r="I5" s="1"/>
      <c r="J5" s="7">
        <v>102.02</v>
      </c>
      <c r="K5" s="1"/>
      <c r="L5" s="1" t="s">
        <v>3</v>
      </c>
      <c r="M5" s="1"/>
      <c r="N5" s="7">
        <f>(J6/J5)-1</f>
        <v>0.38211685801586848</v>
      </c>
      <c r="O5" s="1"/>
      <c r="P5" s="1" t="s">
        <v>133</v>
      </c>
      <c r="Q5" s="1"/>
      <c r="R5" s="2"/>
    </row>
    <row r="6" spans="1:86" s="51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7">
        <f>D66</f>
        <v>141.00356185477889</v>
      </c>
      <c r="K6" s="1"/>
      <c r="L6" s="1"/>
      <c r="M6" s="1"/>
      <c r="N6" s="1"/>
      <c r="O6" s="1"/>
      <c r="P6" s="1"/>
      <c r="Q6" s="1"/>
      <c r="R6" s="2"/>
    </row>
    <row r="7" spans="1:86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2"/>
    </row>
    <row r="8" spans="1:86" s="51" customFormat="1" x14ac:dyDescent="0.25">
      <c r="A8" s="1"/>
      <c r="B8" s="11"/>
      <c r="C8" s="1"/>
      <c r="D8" s="1"/>
      <c r="E8" s="36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  <c r="R8" s="2"/>
    </row>
    <row r="9" spans="1:86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s="51" customFormat="1" x14ac:dyDescent="0.25">
      <c r="A10" s="1"/>
      <c r="B10" s="9" t="s">
        <v>6</v>
      </c>
      <c r="C10" s="9">
        <v>2018</v>
      </c>
      <c r="D10" s="9">
        <v>2019</v>
      </c>
      <c r="E10" s="9">
        <v>2020</v>
      </c>
      <c r="F10" s="10">
        <v>2021</v>
      </c>
      <c r="G10" s="9">
        <v>2022</v>
      </c>
      <c r="H10" s="9">
        <v>2023</v>
      </c>
      <c r="I10" s="60">
        <v>2023</v>
      </c>
      <c r="J10" s="87">
        <v>2024</v>
      </c>
      <c r="K10" s="87">
        <v>2025</v>
      </c>
      <c r="L10" s="87">
        <v>2026</v>
      </c>
      <c r="M10" s="87">
        <v>2027</v>
      </c>
      <c r="N10" s="87">
        <v>2028</v>
      </c>
      <c r="O10" s="87">
        <v>2029</v>
      </c>
      <c r="P10" s="87">
        <v>2030</v>
      </c>
      <c r="Q10" s="87">
        <v>2031</v>
      </c>
      <c r="R10" s="87">
        <v>2032</v>
      </c>
      <c r="S10" s="52">
        <v>2033</v>
      </c>
      <c r="T10" s="52">
        <v>2034</v>
      </c>
      <c r="U10" s="52">
        <v>2035</v>
      </c>
      <c r="V10" s="52">
        <v>2036</v>
      </c>
      <c r="W10" s="52">
        <v>2037</v>
      </c>
      <c r="X10" s="52">
        <v>2038</v>
      </c>
      <c r="Y10" s="52">
        <v>2039</v>
      </c>
      <c r="Z10" s="52">
        <v>2040</v>
      </c>
      <c r="AA10" s="52">
        <v>2041</v>
      </c>
      <c r="AB10" s="52">
        <v>2042</v>
      </c>
      <c r="AC10" s="52">
        <v>2043</v>
      </c>
      <c r="AD10" s="52">
        <v>2044</v>
      </c>
      <c r="AE10" s="52">
        <v>2045</v>
      </c>
      <c r="AF10" s="52">
        <v>2046</v>
      </c>
      <c r="AG10" s="52">
        <v>2047</v>
      </c>
      <c r="AH10" s="52">
        <v>2048</v>
      </c>
      <c r="AI10" s="52">
        <v>2049</v>
      </c>
      <c r="AJ10" s="52">
        <v>2050</v>
      </c>
      <c r="AK10" s="52">
        <v>2051</v>
      </c>
      <c r="AL10" s="52">
        <v>2052</v>
      </c>
      <c r="AM10" s="52">
        <v>2053</v>
      </c>
      <c r="AN10" s="52">
        <v>2054</v>
      </c>
      <c r="AO10" s="52">
        <v>2055</v>
      </c>
      <c r="AP10" s="52">
        <v>2056</v>
      </c>
      <c r="AQ10" s="52">
        <v>2057</v>
      </c>
      <c r="AR10" s="52">
        <v>2058</v>
      </c>
      <c r="AS10" s="52">
        <v>2059</v>
      </c>
      <c r="AT10" s="52">
        <v>2060</v>
      </c>
      <c r="AU10" s="52">
        <v>2061</v>
      </c>
      <c r="AV10" s="52">
        <v>2062</v>
      </c>
      <c r="AW10" s="52">
        <v>2063</v>
      </c>
      <c r="AX10" s="52">
        <v>2064</v>
      </c>
      <c r="AY10" s="52">
        <v>2065</v>
      </c>
      <c r="AZ10" s="52">
        <v>2066</v>
      </c>
      <c r="BA10" s="52">
        <v>2067</v>
      </c>
      <c r="BB10" s="52">
        <v>2068</v>
      </c>
      <c r="BC10" s="52">
        <v>2069</v>
      </c>
      <c r="BD10" s="52">
        <v>2070</v>
      </c>
      <c r="BE10" s="52">
        <v>2071</v>
      </c>
      <c r="BF10" s="52">
        <v>2072</v>
      </c>
      <c r="BG10" s="52">
        <v>2073</v>
      </c>
      <c r="BH10" s="52">
        <v>2074</v>
      </c>
      <c r="BI10" s="52">
        <v>2075</v>
      </c>
      <c r="BJ10" s="52">
        <v>2076</v>
      </c>
      <c r="BK10" s="52">
        <v>2077</v>
      </c>
      <c r="BL10" s="52">
        <v>2078</v>
      </c>
      <c r="BM10" s="52">
        <v>2079</v>
      </c>
      <c r="BN10" s="52">
        <v>2080</v>
      </c>
      <c r="BO10" s="52">
        <v>2081</v>
      </c>
      <c r="BP10" s="52">
        <v>2082</v>
      </c>
      <c r="BQ10" s="52">
        <v>2083</v>
      </c>
      <c r="BR10" s="52">
        <v>2084</v>
      </c>
      <c r="BS10" s="52">
        <v>2085</v>
      </c>
      <c r="BT10" s="52">
        <v>2086</v>
      </c>
      <c r="BU10" s="52">
        <v>2087</v>
      </c>
      <c r="BV10" s="52">
        <v>2088</v>
      </c>
      <c r="BW10" s="52">
        <v>2089</v>
      </c>
      <c r="BX10" s="52">
        <v>2090</v>
      </c>
      <c r="BY10" s="52">
        <v>2091</v>
      </c>
      <c r="BZ10" s="52">
        <v>2092</v>
      </c>
      <c r="CA10" s="52">
        <v>2093</v>
      </c>
      <c r="CB10" s="52">
        <v>2094</v>
      </c>
      <c r="CC10" s="52">
        <v>2095</v>
      </c>
      <c r="CD10" s="52">
        <v>2096</v>
      </c>
      <c r="CE10" s="52">
        <v>2097</v>
      </c>
      <c r="CF10" s="52">
        <v>2098</v>
      </c>
      <c r="CG10" s="52">
        <v>2099</v>
      </c>
      <c r="CH10" s="52">
        <v>2100</v>
      </c>
    </row>
    <row r="11" spans="1:86" s="51" customFormat="1" x14ac:dyDescent="0.25">
      <c r="A11" s="1"/>
      <c r="B11" s="1" t="s">
        <v>7</v>
      </c>
      <c r="C11" s="11">
        <f>'Raw IS'!J7</f>
        <v>3651.4</v>
      </c>
      <c r="D11" s="11">
        <f>'Raw IS'!K7</f>
        <v>3868</v>
      </c>
      <c r="E11" s="11">
        <f>'Raw IS'!L7</f>
        <v>3376.8</v>
      </c>
      <c r="F11" s="11">
        <f>'Raw IS'!D6</f>
        <v>3355.7</v>
      </c>
      <c r="G11" s="11">
        <f>'Raw IS'!E6</f>
        <v>5109.1000000000004</v>
      </c>
      <c r="H11" s="11">
        <f>'Raw IS'!F6</f>
        <v>5485.5</v>
      </c>
      <c r="I11" s="78">
        <v>4770</v>
      </c>
      <c r="J11" s="88">
        <v>5070</v>
      </c>
      <c r="K11" s="88">
        <v>5540</v>
      </c>
      <c r="L11" s="88">
        <v>6250</v>
      </c>
      <c r="M11" s="88">
        <v>6590</v>
      </c>
      <c r="N11" s="88">
        <f t="shared" ref="J11:R11" si="1">M11*(1+N12)</f>
        <v>6833.83</v>
      </c>
      <c r="O11" s="88">
        <f t="shared" si="1"/>
        <v>7086.6817099999998</v>
      </c>
      <c r="P11" s="88">
        <f t="shared" si="1"/>
        <v>7348.8889332699991</v>
      </c>
      <c r="Q11" s="88">
        <f t="shared" si="1"/>
        <v>7620.7978238009882</v>
      </c>
      <c r="R11" s="88">
        <f t="shared" si="1"/>
        <v>7902.7673432816246</v>
      </c>
    </row>
    <row r="12" spans="1:86" s="51" customFormat="1" x14ac:dyDescent="0.25">
      <c r="A12" s="1"/>
      <c r="B12" s="92" t="s">
        <v>8</v>
      </c>
      <c r="C12" s="93"/>
      <c r="D12" s="93">
        <f>(D11/C11)-1</f>
        <v>5.93197129867995E-2</v>
      </c>
      <c r="E12" s="93">
        <f>(E11/D11)-1</f>
        <v>-0.12699069286452946</v>
      </c>
      <c r="F12" s="93">
        <f>(F11/E11)-1</f>
        <v>-6.2485193082209012E-3</v>
      </c>
      <c r="G12" s="93">
        <f>(G11/F11)-1</f>
        <v>0.52251393151950443</v>
      </c>
      <c r="H12" s="93">
        <f>(H11/G11)-1</f>
        <v>7.3672466774969969E-2</v>
      </c>
      <c r="I12" s="94">
        <v>-0.13043478260869568</v>
      </c>
      <c r="J12" s="95">
        <v>6.2893081761006275E-2</v>
      </c>
      <c r="K12" s="95">
        <v>9.2702169625246578E-2</v>
      </c>
      <c r="L12" s="95">
        <v>0.12815884476534301</v>
      </c>
      <c r="M12" s="95">
        <v>5.4400000000000004E-2</v>
      </c>
      <c r="N12" s="95">
        <v>3.6999999999999998E-2</v>
      </c>
      <c r="O12" s="95">
        <v>3.6999999999999998E-2</v>
      </c>
      <c r="P12" s="95">
        <v>3.6999999999999998E-2</v>
      </c>
      <c r="Q12" s="95">
        <v>3.6999999999999998E-2</v>
      </c>
      <c r="R12" s="95">
        <v>3.6999999999999998E-2</v>
      </c>
    </row>
    <row r="13" spans="1:86" s="51" customFormat="1" x14ac:dyDescent="0.25">
      <c r="A13" s="1"/>
      <c r="B13" s="6"/>
      <c r="C13" s="1"/>
      <c r="D13" s="1"/>
      <c r="E13" s="1"/>
      <c r="F13" s="1"/>
      <c r="G13" s="1"/>
      <c r="H13" s="1"/>
      <c r="I13" s="80"/>
      <c r="J13" s="89"/>
      <c r="K13" s="89"/>
      <c r="L13" s="89"/>
      <c r="M13" s="89"/>
      <c r="N13" s="89"/>
      <c r="O13" s="89"/>
      <c r="P13" s="89"/>
      <c r="Q13" s="89"/>
      <c r="R13" s="89"/>
    </row>
    <row r="14" spans="1:86" s="51" customFormat="1" x14ac:dyDescent="0.25">
      <c r="A14" s="1"/>
      <c r="B14" s="1" t="s">
        <v>9</v>
      </c>
      <c r="C14" s="11">
        <f>'Raw IS'!J8</f>
        <v>1809.6</v>
      </c>
      <c r="D14" s="11">
        <f>'Raw IS'!K8</f>
        <v>1917.3</v>
      </c>
      <c r="E14" s="11">
        <f>'Raw IS'!L8</f>
        <v>1773</v>
      </c>
      <c r="F14" s="11">
        <f>'Raw IS'!D7</f>
        <v>1742.8</v>
      </c>
      <c r="G14" s="11">
        <f>'Raw IS'!E7</f>
        <v>2596.6999999999998</v>
      </c>
      <c r="H14" s="11">
        <f>'Raw IS'!F7</f>
        <v>2881.2</v>
      </c>
      <c r="I14" s="81">
        <f>I11-I16</f>
        <v>2423.6370000000002</v>
      </c>
      <c r="J14" s="82">
        <f t="shared" ref="J14:K14" si="2">J11-J16</f>
        <v>2556.8009999999999</v>
      </c>
      <c r="K14" s="82">
        <f t="shared" si="2"/>
        <v>2712.9380000000001</v>
      </c>
      <c r="L14" s="82">
        <f t="shared" ref="L14:R14" si="3">L11-L16</f>
        <v>3012.5</v>
      </c>
      <c r="M14" s="82">
        <f t="shared" si="3"/>
        <v>3156.6099999999997</v>
      </c>
      <c r="N14" s="82">
        <f t="shared" si="3"/>
        <v>3256.3199950000003</v>
      </c>
      <c r="O14" s="82">
        <f t="shared" si="3"/>
        <v>3359.0871305400005</v>
      </c>
      <c r="P14" s="82">
        <f t="shared" si="3"/>
        <v>3465.0011320368058</v>
      </c>
      <c r="Q14" s="82">
        <f t="shared" si="3"/>
        <v>3574.1541793626648</v>
      </c>
      <c r="R14" s="82">
        <f t="shared" si="3"/>
        <v>3686.6409656408796</v>
      </c>
    </row>
    <row r="15" spans="1:86" s="51" customFormat="1" x14ac:dyDescent="0.25">
      <c r="A15" s="1"/>
      <c r="B15" s="17"/>
      <c r="C15" s="17"/>
      <c r="D15" s="17"/>
      <c r="E15" s="17"/>
      <c r="F15" s="17"/>
      <c r="G15" s="17"/>
      <c r="H15" s="17"/>
      <c r="I15" s="80"/>
      <c r="J15" s="89"/>
      <c r="K15" s="89"/>
      <c r="L15" s="89"/>
      <c r="M15" s="89"/>
      <c r="N15" s="89"/>
      <c r="O15" s="89"/>
      <c r="P15" s="89"/>
      <c r="Q15" s="89"/>
      <c r="R15" s="89"/>
    </row>
    <row r="16" spans="1:86" s="51" customFormat="1" x14ac:dyDescent="0.25">
      <c r="A16" s="1"/>
      <c r="B16" s="1" t="s">
        <v>10</v>
      </c>
      <c r="C16" s="11">
        <f t="shared" ref="C16:H16" si="4">C11-C14</f>
        <v>1841.8000000000002</v>
      </c>
      <c r="D16" s="11">
        <f t="shared" si="4"/>
        <v>1950.7</v>
      </c>
      <c r="E16" s="11">
        <f t="shared" si="4"/>
        <v>1603.8000000000002</v>
      </c>
      <c r="F16" s="11">
        <f t="shared" si="4"/>
        <v>1612.8999999999999</v>
      </c>
      <c r="G16" s="11">
        <f t="shared" si="4"/>
        <v>2512.4000000000005</v>
      </c>
      <c r="H16" s="11">
        <f t="shared" si="4"/>
        <v>2604.3000000000002</v>
      </c>
      <c r="I16" s="78">
        <f>I11*I17</f>
        <v>2346.3629999999998</v>
      </c>
      <c r="J16" s="88">
        <f t="shared" ref="J16:R16" si="5">J11*J17</f>
        <v>2513.1990000000001</v>
      </c>
      <c r="K16" s="88">
        <f t="shared" si="5"/>
        <v>2827.0619999999999</v>
      </c>
      <c r="L16" s="88">
        <f t="shared" si="5"/>
        <v>3237.5</v>
      </c>
      <c r="M16" s="88">
        <f t="shared" si="5"/>
        <v>3433.3900000000003</v>
      </c>
      <c r="N16" s="88">
        <f t="shared" si="5"/>
        <v>3577.5100049999996</v>
      </c>
      <c r="O16" s="88">
        <f t="shared" si="5"/>
        <v>3727.5945794599993</v>
      </c>
      <c r="P16" s="88">
        <f t="shared" si="5"/>
        <v>3883.8878012331934</v>
      </c>
      <c r="Q16" s="88">
        <f t="shared" si="5"/>
        <v>4046.6436444383235</v>
      </c>
      <c r="R16" s="88">
        <f t="shared" si="5"/>
        <v>4216.126377640745</v>
      </c>
    </row>
    <row r="17" spans="1:18" s="51" customFormat="1" x14ac:dyDescent="0.25">
      <c r="A17" s="1"/>
      <c r="B17" s="92" t="s">
        <v>11</v>
      </c>
      <c r="C17" s="93">
        <f t="shared" ref="C17:H17" si="6">C16/C11</f>
        <v>0.50440926767815086</v>
      </c>
      <c r="D17" s="93">
        <f t="shared" si="6"/>
        <v>0.50431747673216132</v>
      </c>
      <c r="E17" s="93">
        <f t="shared" si="6"/>
        <v>0.47494669509594883</v>
      </c>
      <c r="F17" s="93">
        <f t="shared" si="6"/>
        <v>0.48064487290282204</v>
      </c>
      <c r="G17" s="93">
        <f t="shared" si="6"/>
        <v>0.49175001467968926</v>
      </c>
      <c r="H17" s="93">
        <f t="shared" si="6"/>
        <v>0.47476073284112663</v>
      </c>
      <c r="I17" s="96">
        <v>0.4919</v>
      </c>
      <c r="J17" s="97">
        <v>0.49569999999999997</v>
      </c>
      <c r="K17" s="97">
        <v>0.51029999999999998</v>
      </c>
      <c r="L17" s="97">
        <v>0.51800000000000002</v>
      </c>
      <c r="M17" s="97">
        <v>0.52100000000000002</v>
      </c>
      <c r="N17" s="97">
        <f>M17+0.25%</f>
        <v>0.52349999999999997</v>
      </c>
      <c r="O17" s="97">
        <f t="shared" ref="O17:R17" si="7">N17+0.25%</f>
        <v>0.52599999999999991</v>
      </c>
      <c r="P17" s="97">
        <f t="shared" si="7"/>
        <v>0.52849999999999986</v>
      </c>
      <c r="Q17" s="97">
        <f t="shared" si="7"/>
        <v>0.53099999999999981</v>
      </c>
      <c r="R17" s="97">
        <f t="shared" si="7"/>
        <v>0.53349999999999975</v>
      </c>
    </row>
    <row r="18" spans="1:18" s="51" customFormat="1" x14ac:dyDescent="0.25">
      <c r="A18" s="1"/>
      <c r="B18" s="6"/>
      <c r="C18" s="1"/>
      <c r="D18" s="1"/>
      <c r="E18" s="1"/>
      <c r="F18" s="1"/>
      <c r="G18" s="1"/>
      <c r="H18" s="1"/>
      <c r="I18" s="80"/>
      <c r="J18" s="89"/>
      <c r="K18" s="89"/>
      <c r="L18" s="89"/>
      <c r="M18" s="89"/>
      <c r="N18" s="89"/>
      <c r="O18" s="89"/>
      <c r="P18" s="89"/>
      <c r="Q18" s="89"/>
      <c r="R18" s="89"/>
    </row>
    <row r="19" spans="1:18" s="51" customFormat="1" x14ac:dyDescent="0.25">
      <c r="A19" s="1"/>
      <c r="B19" s="1" t="s">
        <v>12</v>
      </c>
      <c r="C19" s="11">
        <f>'Raw IS'!J11</f>
        <v>355.2</v>
      </c>
      <c r="D19" s="11">
        <f>'Raw IS'!K11</f>
        <v>404.5</v>
      </c>
      <c r="E19" s="11">
        <f>'Raw IS'!L11</f>
        <v>424.1</v>
      </c>
      <c r="F19" s="11">
        <f>'Raw IS'!D10</f>
        <v>464.1</v>
      </c>
      <c r="G19" s="11">
        <f>'Raw IS'!E10</f>
        <v>532.29999999999995</v>
      </c>
      <c r="H19" s="11">
        <f>'Raw IS'!F10</f>
        <v>617.9</v>
      </c>
      <c r="I19" s="78">
        <v>675.4319999999999</v>
      </c>
      <c r="J19" s="88">
        <v>696.07551000000001</v>
      </c>
      <c r="K19" s="88">
        <v>730.53210000000001</v>
      </c>
      <c r="L19" s="88">
        <v>767</v>
      </c>
      <c r="M19" s="88">
        <v>793.17239999999993</v>
      </c>
      <c r="N19" s="88">
        <v>812.61289999999974</v>
      </c>
      <c r="O19" s="88">
        <v>832.19687088999967</v>
      </c>
      <c r="P19" s="88">
        <v>847.82179173119971</v>
      </c>
      <c r="Q19" s="88">
        <v>863.36519124627171</v>
      </c>
      <c r="R19" s="88">
        <v>874.57056926031896</v>
      </c>
    </row>
    <row r="20" spans="1:18" s="51" customFormat="1" x14ac:dyDescent="0.25">
      <c r="A20" s="1"/>
      <c r="B20" s="92" t="s">
        <v>19</v>
      </c>
      <c r="C20" s="93">
        <f>C19/C11</f>
        <v>9.7277756476967736E-2</v>
      </c>
      <c r="D20" s="93">
        <f t="shared" ref="D20:R20" si="8">D19/D11</f>
        <v>0.10457600827300931</v>
      </c>
      <c r="E20" s="93">
        <f t="shared" si="8"/>
        <v>0.12559227671167969</v>
      </c>
      <c r="F20" s="93">
        <f t="shared" si="8"/>
        <v>0.13830199362279108</v>
      </c>
      <c r="G20" s="93">
        <f t="shared" si="8"/>
        <v>0.10418664735472</v>
      </c>
      <c r="H20" s="93">
        <f t="shared" si="8"/>
        <v>0.11264242092790082</v>
      </c>
      <c r="I20" s="94">
        <f t="shared" si="8"/>
        <v>0.14159999999999998</v>
      </c>
      <c r="J20" s="95">
        <f t="shared" si="8"/>
        <v>0.137293</v>
      </c>
      <c r="K20" s="95">
        <f t="shared" si="8"/>
        <v>0.13186500000000001</v>
      </c>
      <c r="L20" s="95">
        <f t="shared" si="8"/>
        <v>0.12272</v>
      </c>
      <c r="M20" s="95">
        <f t="shared" si="8"/>
        <v>0.12035999999999999</v>
      </c>
      <c r="N20" s="95">
        <f t="shared" si="8"/>
        <v>0.11891031822565087</v>
      </c>
      <c r="O20" s="95">
        <f t="shared" si="8"/>
        <v>0.11743110597385638</v>
      </c>
      <c r="P20" s="95">
        <f t="shared" si="8"/>
        <v>0.11536734320380436</v>
      </c>
      <c r="Q20" s="95">
        <f t="shared" si="8"/>
        <v>0.11329065685876642</v>
      </c>
      <c r="R20" s="95">
        <f t="shared" si="8"/>
        <v>0.11066636929452531</v>
      </c>
    </row>
    <row r="21" spans="1:18" s="51" customFormat="1" x14ac:dyDescent="0.25">
      <c r="A21" s="1"/>
      <c r="B21" s="1"/>
      <c r="C21" s="77"/>
      <c r="D21" s="77"/>
      <c r="E21" s="77"/>
      <c r="F21" s="77"/>
      <c r="G21" s="77"/>
      <c r="H21" s="77"/>
      <c r="I21" s="78"/>
      <c r="J21" s="88"/>
      <c r="K21" s="88"/>
      <c r="L21" s="88"/>
      <c r="M21" s="88"/>
      <c r="N21" s="88"/>
      <c r="O21" s="88"/>
      <c r="P21" s="88"/>
      <c r="Q21" s="88"/>
      <c r="R21" s="88"/>
    </row>
    <row r="22" spans="1:18" s="51" customFormat="1" x14ac:dyDescent="0.25">
      <c r="A22" s="1"/>
      <c r="B22" s="1" t="s">
        <v>53</v>
      </c>
      <c r="C22" s="11">
        <f>'Raw IS'!J12</f>
        <v>204.6</v>
      </c>
      <c r="D22" s="11">
        <f>'Raw IS'!K12</f>
        <v>207.8</v>
      </c>
      <c r="E22" s="11">
        <f>'Raw IS'!L12</f>
        <v>198.3</v>
      </c>
      <c r="F22" s="11">
        <f>'Raw IS'!D11</f>
        <v>231.4</v>
      </c>
      <c r="G22" s="11">
        <f>'Raw IS'!E11</f>
        <v>322.5</v>
      </c>
      <c r="H22" s="11">
        <f>'Raw IS'!F11</f>
        <v>329.8</v>
      </c>
      <c r="I22" s="78">
        <v>373.20479999999998</v>
      </c>
      <c r="J22" s="88">
        <v>384.61121400000002</v>
      </c>
      <c r="K22" s="88">
        <v>403.64994000000002</v>
      </c>
      <c r="L22" s="88">
        <v>423.8</v>
      </c>
      <c r="M22" s="88">
        <v>438.26135999999997</v>
      </c>
      <c r="N22" s="88">
        <v>449.00305999999995</v>
      </c>
      <c r="O22" s="88">
        <v>459.82403374599988</v>
      </c>
      <c r="P22" s="88">
        <v>468.45746458367989</v>
      </c>
      <c r="Q22" s="88">
        <v>477.04585143438067</v>
      </c>
      <c r="R22" s="88">
        <v>483.23729759129498</v>
      </c>
    </row>
    <row r="23" spans="1:18" s="51" customFormat="1" x14ac:dyDescent="0.25">
      <c r="A23" s="1"/>
      <c r="B23" s="92" t="s">
        <v>19</v>
      </c>
      <c r="C23" s="93">
        <f>C22/C11</f>
        <v>5.6033302295010128E-2</v>
      </c>
      <c r="D23" s="93">
        <f t="shared" ref="D23:R23" si="9">D22/D11</f>
        <v>5.3722854188210968E-2</v>
      </c>
      <c r="E23" s="93">
        <f t="shared" si="9"/>
        <v>5.8724235963041931E-2</v>
      </c>
      <c r="F23" s="93">
        <f t="shared" si="9"/>
        <v>6.8957296540215166E-2</v>
      </c>
      <c r="G23" s="93">
        <f t="shared" si="9"/>
        <v>6.312266348280518E-2</v>
      </c>
      <c r="H23" s="93">
        <f t="shared" si="9"/>
        <v>6.012214018776775E-2</v>
      </c>
      <c r="I23" s="94">
        <f t="shared" si="9"/>
        <v>7.823999999999999E-2</v>
      </c>
      <c r="J23" s="95">
        <f t="shared" si="9"/>
        <v>7.5860200000000003E-2</v>
      </c>
      <c r="K23" s="95">
        <f t="shared" si="9"/>
        <v>7.2861000000000009E-2</v>
      </c>
      <c r="L23" s="95">
        <f t="shared" si="9"/>
        <v>6.7808000000000007E-2</v>
      </c>
      <c r="M23" s="95">
        <f t="shared" si="9"/>
        <v>6.6503999999999994E-2</v>
      </c>
      <c r="N23" s="95">
        <f t="shared" si="9"/>
        <v>6.5702989392478289E-2</v>
      </c>
      <c r="O23" s="95">
        <f t="shared" si="9"/>
        <v>6.4885661944876577E-2</v>
      </c>
      <c r="P23" s="95">
        <f t="shared" si="9"/>
        <v>6.3745345566847841E-2</v>
      </c>
      <c r="Q23" s="95">
        <f t="shared" si="9"/>
        <v>6.2597888366030266E-2</v>
      </c>
      <c r="R23" s="95">
        <f t="shared" si="9"/>
        <v>6.1147858288161452E-2</v>
      </c>
    </row>
    <row r="24" spans="1:18" s="51" customFormat="1" x14ac:dyDescent="0.25">
      <c r="A24" s="1"/>
      <c r="B24" s="1"/>
      <c r="C24" s="19"/>
      <c r="D24" s="19"/>
      <c r="E24" s="19"/>
      <c r="F24" s="19"/>
      <c r="G24" s="19"/>
      <c r="H24" s="19"/>
      <c r="I24" s="83"/>
      <c r="J24" s="88"/>
      <c r="K24" s="88"/>
      <c r="L24" s="88"/>
      <c r="M24" s="88"/>
      <c r="N24" s="88"/>
      <c r="O24" s="88"/>
      <c r="P24" s="88"/>
      <c r="Q24" s="88"/>
      <c r="R24" s="88"/>
    </row>
    <row r="25" spans="1:18" s="51" customFormat="1" x14ac:dyDescent="0.25">
      <c r="A25" s="1"/>
      <c r="B25" s="1" t="s">
        <v>13</v>
      </c>
      <c r="C25" s="11">
        <f>SUM('Raw IS'!J13:J14)</f>
        <v>28.200000000000003</v>
      </c>
      <c r="D25" s="11">
        <f>SUM('Raw IS'!K13:K14)</f>
        <v>19.100000000000001</v>
      </c>
      <c r="E25" s="11">
        <f>SUM('Raw IS'!L13:L14)</f>
        <v>29.400000000000002</v>
      </c>
      <c r="F25" s="11">
        <f>SUM('Raw IS'!D12:D13)</f>
        <v>25.6</v>
      </c>
      <c r="G25" s="11">
        <f>SUM('Raw IS'!E12:E13)</f>
        <v>44.9</v>
      </c>
      <c r="H25" s="11">
        <f>SUM('Raw IS'!F12:F13)</f>
        <v>129.6</v>
      </c>
      <c r="I25" s="84">
        <v>91.584000000000003</v>
      </c>
      <c r="J25" s="90">
        <v>94.383120000000005</v>
      </c>
      <c r="K25" s="90">
        <v>99.055200000000013</v>
      </c>
      <c r="L25" s="90">
        <v>104</v>
      </c>
      <c r="M25" s="90">
        <v>107.5488</v>
      </c>
      <c r="N25" s="90">
        <v>110.18479999999998</v>
      </c>
      <c r="O25" s="90">
        <v>112.84025367999998</v>
      </c>
      <c r="P25" s="90">
        <v>114.95888701439998</v>
      </c>
      <c r="Q25" s="90">
        <v>117.06646660966396</v>
      </c>
      <c r="R25" s="90">
        <v>118.58583989970428</v>
      </c>
    </row>
    <row r="26" spans="1:18" s="51" customFormat="1" x14ac:dyDescent="0.25">
      <c r="A26" s="1"/>
      <c r="B26" s="1"/>
      <c r="C26" s="77"/>
      <c r="D26" s="77"/>
      <c r="E26" s="77"/>
      <c r="F26" s="77"/>
      <c r="G26" s="77"/>
      <c r="H26" s="77"/>
      <c r="I26" s="84"/>
      <c r="J26" s="90"/>
      <c r="K26" s="90"/>
      <c r="L26" s="90"/>
      <c r="M26" s="90"/>
      <c r="N26" s="90"/>
      <c r="O26" s="90"/>
      <c r="P26" s="90"/>
      <c r="Q26" s="90"/>
      <c r="R26" s="90"/>
    </row>
    <row r="27" spans="1:18" s="51" customFormat="1" x14ac:dyDescent="0.25">
      <c r="A27" s="1"/>
      <c r="B27" s="1" t="s">
        <v>14</v>
      </c>
      <c r="C27" s="11">
        <f>C19+C22+C25</f>
        <v>588</v>
      </c>
      <c r="D27" s="11">
        <f>D19+D22+D25</f>
        <v>631.4</v>
      </c>
      <c r="E27" s="11">
        <f>E19+E22+E25</f>
        <v>651.80000000000007</v>
      </c>
      <c r="F27" s="11">
        <f>F19+F22+F25</f>
        <v>721.1</v>
      </c>
      <c r="G27" s="11">
        <f>G19+G22+G25</f>
        <v>899.69999999999993</v>
      </c>
      <c r="H27" s="11">
        <f>H19+H22+H25</f>
        <v>1077.3</v>
      </c>
      <c r="I27" s="84">
        <f>I19+I22+I25</f>
        <v>1140.2207999999998</v>
      </c>
      <c r="J27" s="90">
        <f t="shared" ref="J27:R27" si="10">J19+J22+J25</f>
        <v>1175.0698440000001</v>
      </c>
      <c r="K27" s="90">
        <f t="shared" si="10"/>
        <v>1233.2372400000002</v>
      </c>
      <c r="L27" s="90">
        <f t="shared" si="10"/>
        <v>1294.8</v>
      </c>
      <c r="M27" s="90">
        <f t="shared" si="10"/>
        <v>1338.9825599999999</v>
      </c>
      <c r="N27" s="90">
        <f t="shared" si="10"/>
        <v>1371.8007599999996</v>
      </c>
      <c r="O27" s="90">
        <f t="shared" si="10"/>
        <v>1404.8611583159995</v>
      </c>
      <c r="P27" s="90">
        <f t="shared" si="10"/>
        <v>1431.2381433292796</v>
      </c>
      <c r="Q27" s="90">
        <f t="shared" si="10"/>
        <v>1457.4775092903164</v>
      </c>
      <c r="R27" s="90">
        <f t="shared" si="10"/>
        <v>1476.3937067513182</v>
      </c>
    </row>
    <row r="28" spans="1:18" s="51" customFormat="1" x14ac:dyDescent="0.25">
      <c r="A28" s="1"/>
      <c r="B28" s="92" t="s">
        <v>19</v>
      </c>
      <c r="C28" s="93">
        <f>C27/C11</f>
        <v>0.16103412389768307</v>
      </c>
      <c r="D28" s="93">
        <f>D27/D11</f>
        <v>0.16323681489141675</v>
      </c>
      <c r="E28" s="93">
        <f>E27/E11</f>
        <v>0.19302298033641319</v>
      </c>
      <c r="F28" s="93">
        <f>F27/F11</f>
        <v>0.2148881008433412</v>
      </c>
      <c r="G28" s="93">
        <f>G27/G11</f>
        <v>0.17609755142784442</v>
      </c>
      <c r="H28" s="93">
        <f>H27/H11</f>
        <v>0.19639048400328138</v>
      </c>
      <c r="I28" s="94">
        <f t="shared" ref="I28:R28" si="11">I27/I11</f>
        <v>0.23903999999999997</v>
      </c>
      <c r="J28" s="95">
        <f t="shared" si="11"/>
        <v>0.23176920000000001</v>
      </c>
      <c r="K28" s="95">
        <f t="shared" si="11"/>
        <v>0.22260600000000003</v>
      </c>
      <c r="L28" s="95">
        <f t="shared" si="11"/>
        <v>0.20716799999999999</v>
      </c>
      <c r="M28" s="95">
        <f t="shared" si="11"/>
        <v>0.20318399999999998</v>
      </c>
      <c r="N28" s="95">
        <f t="shared" si="11"/>
        <v>0.20073674059787844</v>
      </c>
      <c r="O28" s="95">
        <f t="shared" si="11"/>
        <v>0.19823962974569653</v>
      </c>
      <c r="P28" s="95">
        <f t="shared" si="11"/>
        <v>0.19475571835760874</v>
      </c>
      <c r="Q28" s="95">
        <f t="shared" si="11"/>
        <v>0.19124999022259556</v>
      </c>
      <c r="R28" s="95">
        <f t="shared" si="11"/>
        <v>0.18681983697855462</v>
      </c>
    </row>
    <row r="29" spans="1:18" s="51" customFormat="1" x14ac:dyDescent="0.25">
      <c r="A29" s="1"/>
      <c r="B29" s="1"/>
      <c r="C29" s="14"/>
      <c r="D29" s="14"/>
      <c r="E29" s="14"/>
      <c r="F29" s="14"/>
      <c r="G29" s="14"/>
      <c r="H29" s="14"/>
      <c r="I29" s="85"/>
      <c r="J29" s="79"/>
      <c r="K29" s="79"/>
      <c r="L29" s="79"/>
      <c r="M29" s="79"/>
      <c r="N29" s="79"/>
      <c r="O29" s="79"/>
      <c r="P29" s="79"/>
      <c r="Q29" s="79"/>
      <c r="R29" s="79"/>
    </row>
    <row r="30" spans="1:18" s="51" customFormat="1" x14ac:dyDescent="0.25">
      <c r="A30" s="1"/>
      <c r="B30" s="1" t="s">
        <v>15</v>
      </c>
      <c r="C30" s="11">
        <f>C16-C27</f>
        <v>1253.8000000000002</v>
      </c>
      <c r="D30" s="11">
        <f>D16-D27</f>
        <v>1319.3000000000002</v>
      </c>
      <c r="E30" s="11">
        <f>E16-E27</f>
        <v>952.00000000000011</v>
      </c>
      <c r="F30" s="11">
        <f>F16-F27</f>
        <v>891.79999999999984</v>
      </c>
      <c r="G30" s="11">
        <f>G16-G27</f>
        <v>1612.7000000000007</v>
      </c>
      <c r="H30" s="11">
        <f>H16-H27</f>
        <v>1527.0000000000002</v>
      </c>
      <c r="I30" s="84">
        <f>I16-I27</f>
        <v>1206.1422</v>
      </c>
      <c r="J30" s="90">
        <f>J16-J27</f>
        <v>1338.129156</v>
      </c>
      <c r="K30" s="90">
        <f>K16-K27</f>
        <v>1593.8247599999997</v>
      </c>
      <c r="L30" s="90">
        <f>L16-L27</f>
        <v>1942.7</v>
      </c>
      <c r="M30" s="90">
        <f>M16-M27</f>
        <v>2094.4074400000004</v>
      </c>
      <c r="N30" s="90">
        <f>N16-N27</f>
        <v>2205.709245</v>
      </c>
      <c r="O30" s="90">
        <f>O16-O27</f>
        <v>2322.7334211439997</v>
      </c>
      <c r="P30" s="90">
        <f>P16-P27</f>
        <v>2452.649657903914</v>
      </c>
      <c r="Q30" s="90">
        <f>Q16-Q27</f>
        <v>2589.166135148007</v>
      </c>
      <c r="R30" s="90">
        <f>R16-R27</f>
        <v>2739.732670889427</v>
      </c>
    </row>
    <row r="31" spans="1:18" s="51" customFormat="1" x14ac:dyDescent="0.25">
      <c r="A31" s="1"/>
      <c r="B31" s="1" t="s">
        <v>16</v>
      </c>
      <c r="C31" s="76">
        <f>SUM('Raw IS'!J17)</f>
        <v>3.2</v>
      </c>
      <c r="D31" s="76">
        <f>SUM('Raw IS'!K17)</f>
        <v>12.8</v>
      </c>
      <c r="E31" s="76">
        <f>SUM('Raw IS'!L17)</f>
        <v>9</v>
      </c>
      <c r="F31" s="76">
        <f>SUM('Raw IS'!D16:D17)</f>
        <v>-0.1</v>
      </c>
      <c r="G31" s="76">
        <f>SUM('Raw IS'!E16:E17)</f>
        <v>-14</v>
      </c>
      <c r="H31" s="76">
        <f>SUM('Raw IS'!F16:F17)</f>
        <v>-50.4</v>
      </c>
      <c r="I31" s="78">
        <f>I32*I11</f>
        <v>-71.55</v>
      </c>
      <c r="J31" s="88">
        <f t="shared" ref="J31:R31" si="12">J32*J11</f>
        <v>-12.675000000000001</v>
      </c>
      <c r="K31" s="88">
        <f t="shared" si="12"/>
        <v>-13.85</v>
      </c>
      <c r="L31" s="88">
        <f t="shared" si="12"/>
        <v>-15.625</v>
      </c>
      <c r="M31" s="88">
        <f t="shared" si="12"/>
        <v>-16.475000000000001</v>
      </c>
      <c r="N31" s="88">
        <f t="shared" si="12"/>
        <v>-17.084575000000001</v>
      </c>
      <c r="O31" s="88">
        <f t="shared" si="12"/>
        <v>-17.716704275000001</v>
      </c>
      <c r="P31" s="88">
        <f t="shared" si="12"/>
        <v>-18.372222333174999</v>
      </c>
      <c r="Q31" s="88">
        <f t="shared" si="12"/>
        <v>-19.051994559502472</v>
      </c>
      <c r="R31" s="88">
        <f t="shared" si="12"/>
        <v>-19.756918358204061</v>
      </c>
    </row>
    <row r="32" spans="1:18" s="51" customFormat="1" x14ac:dyDescent="0.25">
      <c r="A32" s="1"/>
      <c r="B32" s="92" t="s">
        <v>19</v>
      </c>
      <c r="C32" s="93">
        <f>C31/C11</f>
        <v>8.7637618447718689E-4</v>
      </c>
      <c r="D32" s="93">
        <f t="shared" ref="D32:H32" si="13">D31/D11</f>
        <v>3.3092037228541885E-3</v>
      </c>
      <c r="E32" s="93">
        <f t="shared" si="13"/>
        <v>2.6652452025586353E-3</v>
      </c>
      <c r="F32" s="93">
        <f t="shared" si="13"/>
        <v>-2.980004172005841E-5</v>
      </c>
      <c r="G32" s="93">
        <f t="shared" si="13"/>
        <v>-2.740208647315574E-3</v>
      </c>
      <c r="H32" s="93">
        <f t="shared" si="13"/>
        <v>-9.1878589007383105E-3</v>
      </c>
      <c r="I32" s="96">
        <v>-1.4999999999999999E-2</v>
      </c>
      <c r="J32" s="97">
        <v>-2.5000000000000001E-3</v>
      </c>
      <c r="K32" s="97">
        <v>-2.5000000000000001E-3</v>
      </c>
      <c r="L32" s="97">
        <v>-2.5000000000000001E-3</v>
      </c>
      <c r="M32" s="97">
        <v>-2.5000000000000001E-3</v>
      </c>
      <c r="N32" s="97">
        <v>-2.5000000000000001E-3</v>
      </c>
      <c r="O32" s="97">
        <v>-2.5000000000000001E-3</v>
      </c>
      <c r="P32" s="97">
        <v>-2.5000000000000001E-3</v>
      </c>
      <c r="Q32" s="97">
        <v>-2.5000000000000001E-3</v>
      </c>
      <c r="R32" s="97">
        <v>-2.5000000000000001E-3</v>
      </c>
    </row>
    <row r="33" spans="1:86" s="51" customFormat="1" x14ac:dyDescent="0.25">
      <c r="A33" s="1"/>
      <c r="B33" s="1"/>
      <c r="C33" s="20"/>
      <c r="D33" s="20"/>
      <c r="E33" s="20"/>
      <c r="F33" s="20"/>
      <c r="G33" s="20"/>
      <c r="H33" s="20"/>
      <c r="I33" s="80"/>
      <c r="J33" s="89"/>
      <c r="K33" s="89"/>
      <c r="L33" s="89"/>
      <c r="M33" s="89"/>
      <c r="N33" s="89"/>
      <c r="O33" s="89"/>
      <c r="P33" s="89"/>
      <c r="Q33" s="89"/>
      <c r="R33" s="89"/>
    </row>
    <row r="34" spans="1:86" s="51" customFormat="1" x14ac:dyDescent="0.25">
      <c r="A34" s="1"/>
      <c r="B34" s="1" t="s">
        <v>17</v>
      </c>
      <c r="C34" s="11">
        <f>C30+C31</f>
        <v>1257.0000000000002</v>
      </c>
      <c r="D34" s="11">
        <f t="shared" ref="D34:R34" si="14">D30+D31</f>
        <v>1332.1000000000001</v>
      </c>
      <c r="E34" s="11">
        <f t="shared" si="14"/>
        <v>961.00000000000011</v>
      </c>
      <c r="F34" s="11">
        <f t="shared" si="14"/>
        <v>891.69999999999982</v>
      </c>
      <c r="G34" s="11">
        <f t="shared" si="14"/>
        <v>1598.7000000000007</v>
      </c>
      <c r="H34" s="11">
        <f t="shared" si="14"/>
        <v>1476.6000000000001</v>
      </c>
      <c r="I34" s="84">
        <f>I30+I31</f>
        <v>1134.5922</v>
      </c>
      <c r="J34" s="90">
        <f t="shared" si="14"/>
        <v>1325.454156</v>
      </c>
      <c r="K34" s="90">
        <f t="shared" si="14"/>
        <v>1579.9747599999998</v>
      </c>
      <c r="L34" s="90">
        <f t="shared" si="14"/>
        <v>1927.075</v>
      </c>
      <c r="M34" s="90">
        <f t="shared" si="14"/>
        <v>2077.9324400000005</v>
      </c>
      <c r="N34" s="90">
        <f t="shared" si="14"/>
        <v>2188.6246700000002</v>
      </c>
      <c r="O34" s="90">
        <f t="shared" si="14"/>
        <v>2305.0167168689995</v>
      </c>
      <c r="P34" s="90">
        <f t="shared" si="14"/>
        <v>2434.2774355707388</v>
      </c>
      <c r="Q34" s="90">
        <f t="shared" si="14"/>
        <v>2570.1141405885046</v>
      </c>
      <c r="R34" s="90">
        <f t="shared" si="14"/>
        <v>2719.975752531223</v>
      </c>
    </row>
    <row r="35" spans="1:86" s="51" customFormat="1" x14ac:dyDescent="0.25">
      <c r="A35" s="1"/>
      <c r="B35" s="1"/>
      <c r="C35" s="20"/>
      <c r="D35" s="20"/>
      <c r="E35" s="20"/>
      <c r="F35" s="20"/>
      <c r="G35" s="20"/>
      <c r="H35" s="20"/>
      <c r="I35" s="80"/>
      <c r="J35" s="89"/>
      <c r="K35" s="89"/>
      <c r="L35" s="89"/>
      <c r="M35" s="89"/>
      <c r="N35" s="89"/>
      <c r="O35" s="89"/>
      <c r="P35" s="89"/>
      <c r="Q35" s="89"/>
      <c r="R35" s="89"/>
    </row>
    <row r="36" spans="1:86" s="51" customFormat="1" x14ac:dyDescent="0.25">
      <c r="A36" s="1"/>
      <c r="B36" s="1" t="s">
        <v>18</v>
      </c>
      <c r="C36" s="11">
        <f t="shared" ref="C36:H36" si="15">C30</f>
        <v>1253.8000000000002</v>
      </c>
      <c r="D36" s="11">
        <f t="shared" si="15"/>
        <v>1319.3000000000002</v>
      </c>
      <c r="E36" s="11">
        <f t="shared" si="15"/>
        <v>952.00000000000011</v>
      </c>
      <c r="F36" s="11">
        <f t="shared" si="15"/>
        <v>891.79999999999984</v>
      </c>
      <c r="G36" s="11">
        <f t="shared" si="15"/>
        <v>1612.7000000000007</v>
      </c>
      <c r="H36" s="11">
        <f t="shared" si="15"/>
        <v>1527.0000000000002</v>
      </c>
      <c r="I36" s="84">
        <f>I30</f>
        <v>1206.1422</v>
      </c>
      <c r="J36" s="90">
        <f t="shared" ref="I36:R36" si="16">J30</f>
        <v>1338.129156</v>
      </c>
      <c r="K36" s="90">
        <f t="shared" si="16"/>
        <v>1593.8247599999997</v>
      </c>
      <c r="L36" s="90">
        <f t="shared" si="16"/>
        <v>1942.7</v>
      </c>
      <c r="M36" s="90">
        <f t="shared" si="16"/>
        <v>2094.4074400000004</v>
      </c>
      <c r="N36" s="90">
        <f t="shared" si="16"/>
        <v>2205.709245</v>
      </c>
      <c r="O36" s="90">
        <f t="shared" si="16"/>
        <v>2322.7334211439997</v>
      </c>
      <c r="P36" s="90">
        <f t="shared" si="16"/>
        <v>2452.649657903914</v>
      </c>
      <c r="Q36" s="90">
        <f t="shared" si="16"/>
        <v>2589.166135148007</v>
      </c>
      <c r="R36" s="90">
        <f t="shared" si="16"/>
        <v>2739.732670889427</v>
      </c>
    </row>
    <row r="37" spans="1:86" s="51" customFormat="1" x14ac:dyDescent="0.25">
      <c r="A37" s="1"/>
      <c r="B37" s="92" t="s">
        <v>19</v>
      </c>
      <c r="C37" s="93">
        <f>C36/C11</f>
        <v>0.3433751437804678</v>
      </c>
      <c r="D37" s="93">
        <f>D36/D11</f>
        <v>0.34108066184074459</v>
      </c>
      <c r="E37" s="93">
        <f>E36/E11</f>
        <v>0.28192371475953565</v>
      </c>
      <c r="F37" s="93">
        <f>F36/F11</f>
        <v>0.26575677205948084</v>
      </c>
      <c r="G37" s="93">
        <f>G36/G11</f>
        <v>0.31565246325184487</v>
      </c>
      <c r="H37" s="93">
        <f>H36/H11</f>
        <v>0.27837024883784528</v>
      </c>
      <c r="I37" s="94">
        <f>I36/I11</f>
        <v>0.25285999999999997</v>
      </c>
      <c r="J37" s="95">
        <f>J36/J11</f>
        <v>0.26393080000000002</v>
      </c>
      <c r="K37" s="95">
        <f>K36/K11</f>
        <v>0.28769399999999995</v>
      </c>
      <c r="L37" s="95">
        <f>L36/L11</f>
        <v>0.310832</v>
      </c>
      <c r="M37" s="95">
        <f>M36/M11</f>
        <v>0.31781600000000004</v>
      </c>
      <c r="N37" s="95">
        <f>N36/N11</f>
        <v>0.32276325940212153</v>
      </c>
      <c r="O37" s="95">
        <f>O36/O11</f>
        <v>0.32776037025430338</v>
      </c>
      <c r="P37" s="95">
        <f>P36/P11</f>
        <v>0.33374428164239112</v>
      </c>
      <c r="Q37" s="95">
        <f>Q36/Q11</f>
        <v>0.33975000977740427</v>
      </c>
      <c r="R37" s="95">
        <f>R36/R11</f>
        <v>0.34668016302144522</v>
      </c>
    </row>
    <row r="38" spans="1:86" s="51" customFormat="1" x14ac:dyDescent="0.25">
      <c r="A38" s="1"/>
      <c r="B38" s="13"/>
      <c r="C38" s="1"/>
      <c r="D38" s="1"/>
      <c r="E38" s="1"/>
      <c r="F38" s="2"/>
      <c r="G38" s="1"/>
      <c r="H38" s="1"/>
      <c r="I38" s="80"/>
      <c r="J38" s="89"/>
      <c r="K38" s="89"/>
      <c r="L38" s="89"/>
      <c r="M38" s="89"/>
      <c r="N38" s="89"/>
      <c r="O38" s="89"/>
      <c r="P38" s="89"/>
      <c r="Q38" s="89"/>
      <c r="R38" s="89"/>
    </row>
    <row r="39" spans="1:86" s="51" customFormat="1" x14ac:dyDescent="0.25">
      <c r="A39" s="1"/>
      <c r="B39" s="1" t="s">
        <v>20</v>
      </c>
      <c r="C39" s="18">
        <f>'Raw IS'!J19</f>
        <v>246.8</v>
      </c>
      <c r="D39" s="18">
        <f>'Raw IS'!K19</f>
        <v>413.7</v>
      </c>
      <c r="E39" s="18">
        <f>'Raw IS'!L19</f>
        <v>107.4</v>
      </c>
      <c r="F39" s="21">
        <f>'Raw IS'!D19</f>
        <v>76.900000000000006</v>
      </c>
      <c r="G39" s="21">
        <f>'Raw IS'!E19</f>
        <v>100.4</v>
      </c>
      <c r="H39" s="21">
        <f>'Raw IS'!F19</f>
        <v>201.4</v>
      </c>
      <c r="I39" s="78">
        <f>I40*I36</f>
        <v>155.83357224000002</v>
      </c>
      <c r="J39" s="88">
        <f t="shared" ref="J39:R39" si="17">J40*J36</f>
        <v>182.65462979400002</v>
      </c>
      <c r="K39" s="88">
        <f t="shared" si="17"/>
        <v>216.44140240799996</v>
      </c>
      <c r="L39" s="88">
        <f t="shared" si="17"/>
        <v>271.97800000000001</v>
      </c>
      <c r="M39" s="88">
        <f t="shared" si="17"/>
        <v>293.21704160000007</v>
      </c>
      <c r="N39" s="88">
        <f t="shared" si="17"/>
        <v>308.79929430000004</v>
      </c>
      <c r="O39" s="88">
        <f t="shared" si="17"/>
        <v>325.18267896015999</v>
      </c>
      <c r="P39" s="88">
        <f t="shared" si="17"/>
        <v>343.37095210654797</v>
      </c>
      <c r="Q39" s="88">
        <f t="shared" si="17"/>
        <v>362.48325892072103</v>
      </c>
      <c r="R39" s="88">
        <f t="shared" si="17"/>
        <v>383.56257392451982</v>
      </c>
    </row>
    <row r="40" spans="1:86" s="51" customFormat="1" x14ac:dyDescent="0.25">
      <c r="A40" s="1"/>
      <c r="B40" s="92" t="s">
        <v>21</v>
      </c>
      <c r="C40" s="98">
        <f>C39/C36</f>
        <v>0.1968416015313447</v>
      </c>
      <c r="D40" s="98">
        <f>D39/D36</f>
        <v>0.31357538088380199</v>
      </c>
      <c r="E40" s="98">
        <f t="shared" ref="E40:H40" si="18">E39/E36</f>
        <v>0.11281512605042016</v>
      </c>
      <c r="F40" s="98">
        <f t="shared" si="18"/>
        <v>8.6230096434178088E-2</v>
      </c>
      <c r="G40" s="98">
        <f t="shared" si="18"/>
        <v>6.2255844236373759E-2</v>
      </c>
      <c r="H40" s="98">
        <f t="shared" si="18"/>
        <v>0.13189259986902421</v>
      </c>
      <c r="I40" s="96">
        <v>0.12920000000000001</v>
      </c>
      <c r="J40" s="97">
        <v>0.13650000000000001</v>
      </c>
      <c r="K40" s="97">
        <v>0.1358</v>
      </c>
      <c r="L40" s="97">
        <v>0.14000000000000001</v>
      </c>
      <c r="M40" s="97">
        <v>0.14000000000000001</v>
      </c>
      <c r="N40" s="97">
        <v>0.14000000000000001</v>
      </c>
      <c r="O40" s="97">
        <v>0.14000000000000001</v>
      </c>
      <c r="P40" s="97">
        <v>0.14000000000000001</v>
      </c>
      <c r="Q40" s="97">
        <v>0.14000000000000001</v>
      </c>
      <c r="R40" s="97">
        <v>0.14000000000000001</v>
      </c>
    </row>
    <row r="41" spans="1:86" s="51" customFormat="1" x14ac:dyDescent="0.25">
      <c r="A41" s="1"/>
      <c r="B41" s="1"/>
      <c r="C41" s="1"/>
      <c r="D41" s="1"/>
      <c r="E41" s="1"/>
      <c r="F41" s="1"/>
      <c r="G41" s="1"/>
      <c r="H41" s="1"/>
      <c r="I41" s="80"/>
      <c r="J41" s="89"/>
      <c r="K41" s="89"/>
      <c r="L41" s="89"/>
      <c r="M41" s="89"/>
      <c r="N41" s="89"/>
      <c r="O41" s="89"/>
      <c r="P41" s="89"/>
      <c r="Q41" s="89"/>
      <c r="R41" s="89"/>
    </row>
    <row r="42" spans="1:86" s="51" customFormat="1" x14ac:dyDescent="0.25">
      <c r="A42" s="1"/>
      <c r="B42" s="9" t="s">
        <v>22</v>
      </c>
      <c r="C42" s="9">
        <v>2018</v>
      </c>
      <c r="D42" s="9">
        <v>2019</v>
      </c>
      <c r="E42" s="9">
        <v>2020</v>
      </c>
      <c r="F42" s="9">
        <v>2021</v>
      </c>
      <c r="G42" s="9">
        <v>2022</v>
      </c>
      <c r="H42" s="9">
        <v>2023</v>
      </c>
      <c r="I42" s="86">
        <v>2023</v>
      </c>
      <c r="J42" s="91">
        <v>2024</v>
      </c>
      <c r="K42" s="91">
        <v>2025</v>
      </c>
      <c r="L42" s="91">
        <v>2026</v>
      </c>
      <c r="M42" s="91">
        <v>2027</v>
      </c>
      <c r="N42" s="91">
        <v>2028</v>
      </c>
      <c r="O42" s="91">
        <v>2029</v>
      </c>
      <c r="P42" s="91">
        <v>2030</v>
      </c>
      <c r="Q42" s="91">
        <v>2031</v>
      </c>
      <c r="R42" s="91">
        <v>2032</v>
      </c>
      <c r="S42" s="52">
        <v>2033</v>
      </c>
      <c r="T42" s="52">
        <v>2034</v>
      </c>
      <c r="U42" s="52">
        <v>2035</v>
      </c>
      <c r="V42" s="52">
        <v>2036</v>
      </c>
      <c r="W42" s="52">
        <v>2037</v>
      </c>
      <c r="X42" s="52">
        <v>2038</v>
      </c>
      <c r="Y42" s="52">
        <v>2039</v>
      </c>
      <c r="Z42" s="52">
        <v>2040</v>
      </c>
      <c r="AA42" s="52">
        <v>2041</v>
      </c>
      <c r="AB42" s="52">
        <v>2042</v>
      </c>
      <c r="AC42" s="52">
        <v>2043</v>
      </c>
      <c r="AD42" s="52">
        <v>2044</v>
      </c>
      <c r="AE42" s="52">
        <v>2045</v>
      </c>
      <c r="AF42" s="52">
        <v>2046</v>
      </c>
      <c r="AG42" s="52">
        <v>2047</v>
      </c>
      <c r="AH42" s="52">
        <v>2048</v>
      </c>
      <c r="AI42" s="52">
        <v>2049</v>
      </c>
      <c r="AJ42" s="52">
        <v>2050</v>
      </c>
      <c r="AK42" s="52">
        <v>2051</v>
      </c>
      <c r="AL42" s="52">
        <v>2052</v>
      </c>
      <c r="AM42" s="52">
        <v>2053</v>
      </c>
      <c r="AN42" s="52">
        <v>2054</v>
      </c>
      <c r="AO42" s="52">
        <v>2055</v>
      </c>
      <c r="AP42" s="52">
        <v>2056</v>
      </c>
      <c r="AQ42" s="52">
        <v>2057</v>
      </c>
      <c r="AR42" s="52">
        <v>2058</v>
      </c>
      <c r="AS42" s="52">
        <v>2059</v>
      </c>
      <c r="AT42" s="52">
        <v>2060</v>
      </c>
      <c r="AU42" s="52">
        <v>2061</v>
      </c>
      <c r="AV42" s="52">
        <v>2062</v>
      </c>
      <c r="AW42" s="52">
        <v>2063</v>
      </c>
      <c r="AX42" s="52">
        <v>2064</v>
      </c>
      <c r="AY42" s="52">
        <v>2065</v>
      </c>
      <c r="AZ42" s="52">
        <v>2066</v>
      </c>
      <c r="BA42" s="52">
        <v>2067</v>
      </c>
      <c r="BB42" s="52">
        <v>2068</v>
      </c>
      <c r="BC42" s="52">
        <v>2069</v>
      </c>
      <c r="BD42" s="52">
        <v>2070</v>
      </c>
      <c r="BE42" s="52">
        <v>2071</v>
      </c>
      <c r="BF42" s="52">
        <v>2072</v>
      </c>
      <c r="BG42" s="52">
        <v>2073</v>
      </c>
      <c r="BH42" s="52">
        <v>2074</v>
      </c>
      <c r="BI42" s="52">
        <v>2075</v>
      </c>
      <c r="BJ42" s="52">
        <v>2076</v>
      </c>
      <c r="BK42" s="52">
        <v>2077</v>
      </c>
      <c r="BL42" s="52">
        <v>2078</v>
      </c>
      <c r="BM42" s="52">
        <v>2079</v>
      </c>
      <c r="BN42" s="52">
        <v>2080</v>
      </c>
      <c r="BO42" s="52">
        <v>2081</v>
      </c>
      <c r="BP42" s="52">
        <v>2082</v>
      </c>
      <c r="BQ42" s="52">
        <v>2083</v>
      </c>
      <c r="BR42" s="52">
        <v>2084</v>
      </c>
      <c r="BS42" s="52">
        <v>2085</v>
      </c>
      <c r="BT42" s="52">
        <v>2086</v>
      </c>
      <c r="BU42" s="52">
        <v>2087</v>
      </c>
      <c r="BV42" s="52">
        <v>2088</v>
      </c>
      <c r="BW42" s="52">
        <v>2089</v>
      </c>
      <c r="BX42" s="52">
        <v>2090</v>
      </c>
      <c r="BY42" s="52">
        <v>2091</v>
      </c>
      <c r="BZ42" s="52">
        <v>2092</v>
      </c>
      <c r="CA42" s="52">
        <v>2093</v>
      </c>
      <c r="CB42" s="52">
        <v>2094</v>
      </c>
      <c r="CC42" s="52">
        <v>2095</v>
      </c>
      <c r="CD42" s="52">
        <v>2096</v>
      </c>
      <c r="CE42" s="52">
        <v>2097</v>
      </c>
      <c r="CF42" s="52">
        <v>2098</v>
      </c>
      <c r="CG42" s="52">
        <v>2099</v>
      </c>
      <c r="CH42" s="52">
        <v>2100</v>
      </c>
    </row>
    <row r="43" spans="1:86" s="51" customFormat="1" x14ac:dyDescent="0.25">
      <c r="A43" s="1"/>
      <c r="B43" s="1" t="s">
        <v>23</v>
      </c>
      <c r="C43" s="11">
        <f>'Raw CF'!J11+'Raw CF'!J12</f>
        <v>254.79999999999998</v>
      </c>
      <c r="D43" s="11">
        <f>'Raw CF'!K11+'Raw CF'!K12</f>
        <v>299.2</v>
      </c>
      <c r="E43" s="11">
        <f>'Raw CF'!L11+'Raw CF'!L12</f>
        <v>371.59999999999997</v>
      </c>
      <c r="F43" s="21">
        <f>SUM('Raw CF'!D10:D11)</f>
        <v>364.3</v>
      </c>
      <c r="G43" s="21">
        <f>SUM('Raw CF'!E10:E11)</f>
        <v>436.7</v>
      </c>
      <c r="H43" s="21">
        <f>SUM('Raw CF'!F10:F11)</f>
        <v>690.09999999999991</v>
      </c>
      <c r="I43" s="78">
        <v>403.56</v>
      </c>
      <c r="J43" s="88">
        <v>399.2</v>
      </c>
      <c r="K43" s="88">
        <v>422.87</v>
      </c>
      <c r="L43" s="88">
        <f>L44*L11</f>
        <v>458.3145306859206</v>
      </c>
      <c r="M43" s="88">
        <f>M44*M11</f>
        <v>470.06684115523467</v>
      </c>
      <c r="N43" s="88">
        <f>N44*N11</f>
        <v>473.7916542779783</v>
      </c>
      <c r="O43" s="88">
        <f>O44*O11</f>
        <v>477.14858206626349</v>
      </c>
      <c r="P43" s="88">
        <f>P44*P11</f>
        <v>480.10530173617519</v>
      </c>
      <c r="Q43" s="88">
        <f>Q44*Q11</f>
        <v>482.62760225281164</v>
      </c>
      <c r="R43" s="88">
        <f>R44*R11</f>
        <v>484.67928884960236</v>
      </c>
    </row>
    <row r="44" spans="1:86" s="51" customFormat="1" x14ac:dyDescent="0.25">
      <c r="A44" s="1"/>
      <c r="B44" s="92" t="s">
        <v>19</v>
      </c>
      <c r="C44" s="93">
        <f>C43/C11</f>
        <v>6.9781453688995992E-2</v>
      </c>
      <c r="D44" s="93">
        <f>D43/D11</f>
        <v>7.7352637021716644E-2</v>
      </c>
      <c r="E44" s="93">
        <f>E43/E11</f>
        <v>0.11004501303008764</v>
      </c>
      <c r="F44" s="93">
        <f>F43/F11</f>
        <v>0.10856155198617279</v>
      </c>
      <c r="G44" s="93">
        <f>G43/G11</f>
        <v>8.547493687733651E-2</v>
      </c>
      <c r="H44" s="93">
        <f>H43/H11</f>
        <v>0.12580439340078386</v>
      </c>
      <c r="I44" s="94">
        <f t="shared" ref="I44:K44" si="19">I43/I11</f>
        <v>8.4603773584905659E-2</v>
      </c>
      <c r="J44" s="95">
        <f t="shared" si="19"/>
        <v>7.8737672583826426E-2</v>
      </c>
      <c r="K44" s="95">
        <f t="shared" si="19"/>
        <v>7.6330324909747296E-2</v>
      </c>
      <c r="L44" s="95">
        <f>K44-0.3%</f>
        <v>7.3330324909747294E-2</v>
      </c>
      <c r="M44" s="95">
        <f>L44-0.2%</f>
        <v>7.1330324909747292E-2</v>
      </c>
      <c r="N44" s="95">
        <f t="shared" ref="N44:R44" si="20">M44-0.2%</f>
        <v>6.933032490974729E-2</v>
      </c>
      <c r="O44" s="95">
        <f t="shared" si="20"/>
        <v>6.7330324909747288E-2</v>
      </c>
      <c r="P44" s="95">
        <f t="shared" si="20"/>
        <v>6.5330324909747287E-2</v>
      </c>
      <c r="Q44" s="95">
        <f t="shared" si="20"/>
        <v>6.3330324909747285E-2</v>
      </c>
      <c r="R44" s="95">
        <f t="shared" si="20"/>
        <v>6.1330324909747283E-2</v>
      </c>
    </row>
    <row r="45" spans="1:86" s="51" customFormat="1" x14ac:dyDescent="0.25">
      <c r="A45" s="1"/>
      <c r="B45" s="1"/>
      <c r="C45" s="1"/>
      <c r="D45" s="1"/>
      <c r="E45" s="1"/>
      <c r="F45" s="2"/>
      <c r="G45" s="1"/>
      <c r="H45" s="1"/>
      <c r="I45" s="80"/>
      <c r="J45" s="89"/>
      <c r="K45" s="89"/>
      <c r="L45" s="89"/>
      <c r="M45" s="89"/>
      <c r="N45" s="89"/>
      <c r="O45" s="89"/>
      <c r="P45" s="89"/>
      <c r="Q45" s="89"/>
      <c r="R45" s="89"/>
    </row>
    <row r="46" spans="1:86" s="51" customFormat="1" x14ac:dyDescent="0.25">
      <c r="A46" s="1"/>
      <c r="B46" s="1" t="s">
        <v>24</v>
      </c>
      <c r="C46" s="11">
        <f>'Raw CF'!J25</f>
        <v>-303.3</v>
      </c>
      <c r="D46" s="11">
        <f>'Raw CF'!K25</f>
        <v>-422.3</v>
      </c>
      <c r="E46" s="11">
        <f>'Raw CF'!L25</f>
        <v>-398.4</v>
      </c>
      <c r="F46" s="21">
        <f>'Raw CF'!D23</f>
        <v>-389.4</v>
      </c>
      <c r="G46" s="21">
        <f>'Raw CF'!E23</f>
        <v>-637.79999999999995</v>
      </c>
      <c r="H46" s="21">
        <f>'Raw CF'!F23</f>
        <v>-489.4</v>
      </c>
      <c r="I46" s="78">
        <v>-270.24</v>
      </c>
      <c r="J46" s="88">
        <v>-345.06</v>
      </c>
      <c r="K46" s="88">
        <v>-405.45</v>
      </c>
      <c r="L46" s="88">
        <v>-500</v>
      </c>
      <c r="M46" s="88">
        <v>-527.23</v>
      </c>
      <c r="N46" s="88">
        <f>N47*N11</f>
        <v>-526.23602000000005</v>
      </c>
      <c r="O46" s="88">
        <f>O47*O11</f>
        <v>-524.44670760999998</v>
      </c>
      <c r="P46" s="88">
        <f>P47*P11</f>
        <v>-521.80456899175988</v>
      </c>
      <c r="Q46" s="88">
        <f>Q47*Q11</f>
        <v>-518.24894457305197</v>
      </c>
      <c r="R46" s="88">
        <f>R47*R11</f>
        <v>-513.71585349241002</v>
      </c>
    </row>
    <row r="47" spans="1:86" s="51" customFormat="1" x14ac:dyDescent="0.25">
      <c r="A47" s="1"/>
      <c r="B47" s="92" t="s">
        <v>19</v>
      </c>
      <c r="C47" s="93">
        <f>C46/C11</f>
        <v>-8.3064030234978367E-2</v>
      </c>
      <c r="D47" s="93">
        <f>D46/D11</f>
        <v>-0.10917786970010342</v>
      </c>
      <c r="E47" s="93">
        <f>E46/E11</f>
        <v>-0.11798152096659557</v>
      </c>
      <c r="F47" s="93">
        <f>F46/F11</f>
        <v>-0.11604136245790744</v>
      </c>
      <c r="G47" s="93">
        <f>G46/G11</f>
        <v>-0.12483607680413378</v>
      </c>
      <c r="H47" s="93">
        <f>H46/H11</f>
        <v>-8.9217026706772395E-2</v>
      </c>
      <c r="I47" s="94">
        <f t="shared" ref="I47:M47" si="21">I46/I11</f>
        <v>-5.6654088050314466E-2</v>
      </c>
      <c r="J47" s="95">
        <f t="shared" si="21"/>
        <v>-6.8059171597633139E-2</v>
      </c>
      <c r="K47" s="95">
        <f t="shared" si="21"/>
        <v>-7.318592057761733E-2</v>
      </c>
      <c r="L47" s="95">
        <f t="shared" si="21"/>
        <v>-0.08</v>
      </c>
      <c r="M47" s="95">
        <f t="shared" si="21"/>
        <v>-8.0004552352048564E-2</v>
      </c>
      <c r="N47" s="95">
        <f>M47+0.3%</f>
        <v>-7.7004552352048561E-2</v>
      </c>
      <c r="O47" s="95">
        <f t="shared" ref="O47:R47" si="22">N47+0.3%</f>
        <v>-7.4004552352048558E-2</v>
      </c>
      <c r="P47" s="95">
        <f t="shared" si="22"/>
        <v>-7.1004552352048556E-2</v>
      </c>
      <c r="Q47" s="95">
        <f t="shared" si="22"/>
        <v>-6.8004552352048553E-2</v>
      </c>
      <c r="R47" s="95">
        <f t="shared" si="22"/>
        <v>-6.500455235204855E-2</v>
      </c>
    </row>
    <row r="48" spans="1:86" s="51" customFormat="1" x14ac:dyDescent="0.25">
      <c r="A48" s="1"/>
      <c r="B48" s="1"/>
      <c r="C48" s="1"/>
      <c r="D48" s="1"/>
      <c r="E48" s="1"/>
      <c r="F48" s="2"/>
      <c r="G48" s="1"/>
      <c r="H48" s="1"/>
      <c r="I48" s="80"/>
      <c r="J48" s="89"/>
      <c r="K48" s="89"/>
      <c r="L48" s="89"/>
      <c r="M48" s="89"/>
      <c r="N48" s="89"/>
      <c r="O48" s="89"/>
      <c r="P48" s="89"/>
      <c r="Q48" s="89"/>
      <c r="R48" s="89"/>
    </row>
    <row r="49" spans="1:86" s="51" customFormat="1" x14ac:dyDescent="0.25">
      <c r="A49" s="1"/>
      <c r="B49" s="1" t="s">
        <v>25</v>
      </c>
      <c r="C49" s="35">
        <f>SUM('Raw CF'!J18:J22)</f>
        <v>142.39999999999998</v>
      </c>
      <c r="D49" s="35">
        <f>SUM('Raw CF'!K18:K22)</f>
        <v>-79.500000000000028</v>
      </c>
      <c r="E49" s="35">
        <f>SUM('Raw CF'!L18:L22)</f>
        <v>54.5</v>
      </c>
      <c r="F49" s="21">
        <f>SUM('Raw CF'!D17:D20)</f>
        <v>-133.4</v>
      </c>
      <c r="G49" s="21">
        <f>SUM('Raw CF'!E17:E20)</f>
        <v>-303.79999999999995</v>
      </c>
      <c r="H49" s="21">
        <f>SUM('Raw CF'!F17:F20)</f>
        <v>-827.5</v>
      </c>
      <c r="I49" s="78">
        <f>I50*I11</f>
        <v>-190.8</v>
      </c>
      <c r="J49" s="88">
        <f>J50*J11</f>
        <v>-174.91500000000002</v>
      </c>
      <c r="K49" s="88">
        <f>K50*K11</f>
        <v>-160.66</v>
      </c>
      <c r="L49" s="88">
        <f>L50*L11</f>
        <v>-146.875</v>
      </c>
      <c r="M49" s="88">
        <f>M50*M11</f>
        <v>-118.61999999999999</v>
      </c>
      <c r="N49" s="88">
        <f>N50*N11</f>
        <v>-85.422874999999976</v>
      </c>
      <c r="O49" s="88">
        <f>O50*O11</f>
        <v>-49.606771969999976</v>
      </c>
      <c r="P49" s="88">
        <f>P50*P11</f>
        <v>-11.023333399904971</v>
      </c>
      <c r="Q49" s="88">
        <f>Q50*Q11</f>
        <v>30.483191295203987</v>
      </c>
      <c r="R49" s="88">
        <f>R50*R11</f>
        <v>75.076289761175474</v>
      </c>
    </row>
    <row r="50" spans="1:86" s="51" customFormat="1" x14ac:dyDescent="0.25">
      <c r="A50" s="1"/>
      <c r="B50" s="92" t="s">
        <v>19</v>
      </c>
      <c r="C50" s="93">
        <f>C49/C11</f>
        <v>3.8998740209234807E-2</v>
      </c>
      <c r="D50" s="93">
        <f>D49/D11</f>
        <v>-2.0553257497414691E-2</v>
      </c>
      <c r="E50" s="93">
        <f>E49/E11</f>
        <v>1.6139540393271735E-2</v>
      </c>
      <c r="F50" s="93">
        <f>F49/F11</f>
        <v>-3.9753255654557923E-2</v>
      </c>
      <c r="G50" s="93">
        <f>G49/G11</f>
        <v>-5.9462527646747948E-2</v>
      </c>
      <c r="H50" s="93">
        <f>H49/H11</f>
        <v>-0.15085224683255857</v>
      </c>
      <c r="I50" s="99">
        <v>-0.04</v>
      </c>
      <c r="J50" s="100">
        <f>I50+0.55%</f>
        <v>-3.4500000000000003E-2</v>
      </c>
      <c r="K50" s="100">
        <f t="shared" ref="K50:R50" si="23">J50+0.55%</f>
        <v>-2.9000000000000001E-2</v>
      </c>
      <c r="L50" s="100">
        <f t="shared" si="23"/>
        <v>-2.35E-2</v>
      </c>
      <c r="M50" s="100">
        <f t="shared" si="23"/>
        <v>-1.7999999999999999E-2</v>
      </c>
      <c r="N50" s="100">
        <f t="shared" si="23"/>
        <v>-1.2499999999999997E-2</v>
      </c>
      <c r="O50" s="100">
        <f t="shared" si="23"/>
        <v>-6.9999999999999967E-3</v>
      </c>
      <c r="P50" s="100">
        <f t="shared" si="23"/>
        <v>-1.4999999999999961E-3</v>
      </c>
      <c r="Q50" s="100">
        <f t="shared" si="23"/>
        <v>4.0000000000000044E-3</v>
      </c>
      <c r="R50" s="100">
        <f t="shared" si="23"/>
        <v>9.500000000000005E-3</v>
      </c>
    </row>
    <row r="51" spans="1:86" s="51" customFormat="1" x14ac:dyDescent="0.25">
      <c r="A51" s="1"/>
      <c r="B51" s="1"/>
      <c r="C51" s="1"/>
      <c r="D51" s="1"/>
      <c r="E51" s="1"/>
      <c r="F51" s="1"/>
      <c r="G51" s="1"/>
      <c r="H51" s="1"/>
      <c r="I51" s="80"/>
      <c r="J51" s="89"/>
      <c r="K51" s="89"/>
      <c r="L51" s="89"/>
      <c r="M51" s="89"/>
      <c r="N51" s="89"/>
      <c r="O51" s="89"/>
      <c r="P51" s="89"/>
      <c r="Q51" s="89"/>
      <c r="R51" s="89"/>
    </row>
    <row r="52" spans="1:86" s="51" customFormat="1" x14ac:dyDescent="0.25">
      <c r="A52" s="1"/>
      <c r="B52" s="9" t="s">
        <v>26</v>
      </c>
      <c r="C52" s="11">
        <f>C36-C39</f>
        <v>1007.0000000000002</v>
      </c>
      <c r="D52" s="11">
        <f t="shared" ref="C52:G52" si="24">D36-D39</f>
        <v>905.60000000000014</v>
      </c>
      <c r="E52" s="11">
        <f t="shared" si="24"/>
        <v>844.60000000000014</v>
      </c>
      <c r="F52" s="11">
        <f t="shared" si="24"/>
        <v>814.89999999999986</v>
      </c>
      <c r="G52" s="11">
        <f t="shared" si="24"/>
        <v>1512.3000000000006</v>
      </c>
      <c r="H52" s="11">
        <f>H36-H39</f>
        <v>1325.6000000000001</v>
      </c>
      <c r="I52" s="84">
        <f t="shared" ref="I52:R52" si="25">I36-I39</f>
        <v>1050.30862776</v>
      </c>
      <c r="J52" s="90">
        <f>J36-J39</f>
        <v>1155.4745262060001</v>
      </c>
      <c r="K52" s="90">
        <f t="shared" si="25"/>
        <v>1377.3833575919998</v>
      </c>
      <c r="L52" s="90">
        <f t="shared" si="25"/>
        <v>1670.722</v>
      </c>
      <c r="M52" s="90">
        <f t="shared" si="25"/>
        <v>1801.1903984000003</v>
      </c>
      <c r="N52" s="90">
        <f t="shared" si="25"/>
        <v>1896.9099507000001</v>
      </c>
      <c r="O52" s="90">
        <f t="shared" si="25"/>
        <v>1997.5507421838397</v>
      </c>
      <c r="P52" s="90">
        <f t="shared" si="25"/>
        <v>2109.278705797366</v>
      </c>
      <c r="Q52" s="90">
        <f t="shared" si="25"/>
        <v>2226.6828762272862</v>
      </c>
      <c r="R52" s="90">
        <f t="shared" si="25"/>
        <v>2356.1700969649073</v>
      </c>
    </row>
    <row r="53" spans="1:86" s="51" customFormat="1" x14ac:dyDescent="0.25">
      <c r="A53" s="1"/>
      <c r="B53" s="9" t="s">
        <v>27</v>
      </c>
      <c r="C53" s="11">
        <f>C34-C39</f>
        <v>1010.2000000000003</v>
      </c>
      <c r="D53" s="11">
        <f t="shared" ref="C53:H53" si="26">D34-D39</f>
        <v>918.40000000000009</v>
      </c>
      <c r="E53" s="11">
        <f t="shared" si="26"/>
        <v>853.60000000000014</v>
      </c>
      <c r="F53" s="11">
        <f t="shared" si="26"/>
        <v>814.79999999999984</v>
      </c>
      <c r="G53" s="11">
        <f t="shared" si="26"/>
        <v>1498.3000000000006</v>
      </c>
      <c r="H53" s="11">
        <f t="shared" si="26"/>
        <v>1275.2</v>
      </c>
      <c r="I53" s="84">
        <f>I34-I39</f>
        <v>978.75862776000008</v>
      </c>
      <c r="J53" s="90">
        <f t="shared" ref="I53:R53" si="27">J34-J39</f>
        <v>1142.7995262059999</v>
      </c>
      <c r="K53" s="90">
        <f t="shared" si="27"/>
        <v>1363.5333575919999</v>
      </c>
      <c r="L53" s="90">
        <f t="shared" si="27"/>
        <v>1655.097</v>
      </c>
      <c r="M53" s="90">
        <f t="shared" si="27"/>
        <v>1784.7153984000004</v>
      </c>
      <c r="N53" s="90">
        <f t="shared" si="27"/>
        <v>1879.8253757000002</v>
      </c>
      <c r="O53" s="90">
        <f t="shared" si="27"/>
        <v>1979.8340379088395</v>
      </c>
      <c r="P53" s="90">
        <f t="shared" si="27"/>
        <v>2090.9064834641908</v>
      </c>
      <c r="Q53" s="90">
        <f t="shared" si="27"/>
        <v>2207.6308816677838</v>
      </c>
      <c r="R53" s="90">
        <f t="shared" si="27"/>
        <v>2336.4131786067032</v>
      </c>
      <c r="S53" s="59">
        <f>R53*(1+E6)</f>
        <v>2406.5055739649042</v>
      </c>
      <c r="T53" s="59">
        <f>S53*(1+E6)</f>
        <v>2478.7007411838513</v>
      </c>
      <c r="U53" s="59">
        <f>T53*(1+E6)</f>
        <v>2553.0617634193668</v>
      </c>
      <c r="V53" s="59">
        <f>U53*(1+E6)</f>
        <v>2629.653616321948</v>
      </c>
      <c r="W53" s="59">
        <f>V53*(1+E6)</f>
        <v>2708.5432248116067</v>
      </c>
      <c r="X53" s="59">
        <f>W53*(1+E6)</f>
        <v>2789.7995215559549</v>
      </c>
      <c r="Y53" s="59">
        <f>X53*(1+E6)</f>
        <v>2873.4935072026337</v>
      </c>
      <c r="Z53" s="59">
        <f>Y53*(1+E6)</f>
        <v>2959.6983124187127</v>
      </c>
      <c r="AA53" s="59">
        <f>Z53*(1+E6)</f>
        <v>3048.4892617912742</v>
      </c>
      <c r="AB53" s="59">
        <f>AA53*(1+E6)</f>
        <v>3139.9439396450125</v>
      </c>
      <c r="AC53" s="59">
        <f>AB53*(1+E6)</f>
        <v>3234.1422578343631</v>
      </c>
      <c r="AD53" s="59">
        <f>AC53*(1+E6)</f>
        <v>3331.1665255693943</v>
      </c>
      <c r="AE53" s="59">
        <f>AD53*(1+E6)</f>
        <v>3431.1015213364763</v>
      </c>
      <c r="AF53" s="59">
        <f>AE53*(1+E6)</f>
        <v>3534.0345669765707</v>
      </c>
      <c r="AG53" s="59">
        <f>AF53*(1+E6)</f>
        <v>3640.0556039858679</v>
      </c>
      <c r="AH53" s="59">
        <f>AG53*(1+E6)</f>
        <v>3749.2572721054439</v>
      </c>
      <c r="AI53" s="59">
        <f>AH53*(1+E6)</f>
        <v>3861.7349902686074</v>
      </c>
      <c r="AJ53" s="59">
        <f>AI53*(1+E6)</f>
        <v>3977.5870399766659</v>
      </c>
      <c r="AK53" s="59">
        <f>AJ53*(1+E6)</f>
        <v>4096.9146511759664</v>
      </c>
      <c r="AL53" s="59">
        <f>AK53*(1+E6)</f>
        <v>4219.8220907112454</v>
      </c>
      <c r="AM53" s="59">
        <f>AL53*(1+E6)</f>
        <v>4346.4167534325825</v>
      </c>
      <c r="AN53" s="59">
        <f>AM53*(1+E6)</f>
        <v>4476.8092560355599</v>
      </c>
      <c r="AO53" s="59">
        <f>AN53*(1+E6)</f>
        <v>4611.113533716627</v>
      </c>
      <c r="AP53" s="59">
        <f>AO53*(1+E6)</f>
        <v>4749.4469397281255</v>
      </c>
      <c r="AQ53" s="59">
        <f>AP53*(1+E6)</f>
        <v>4891.9303479199698</v>
      </c>
      <c r="AR53" s="59">
        <f>AQ53*(1+E6)</f>
        <v>5038.6882583575689</v>
      </c>
      <c r="AS53" s="59">
        <f>AR53*(1+E6)</f>
        <v>5189.8489061082964</v>
      </c>
      <c r="AT53" s="59">
        <f>AS53*(1+E6)</f>
        <v>5345.5443732915455</v>
      </c>
      <c r="AU53" s="59">
        <f>AT53*(1+E6)</f>
        <v>5505.9107044902921</v>
      </c>
      <c r="AV53" s="59">
        <f>AU53*(1+E6)</f>
        <v>5671.0880256250011</v>
      </c>
      <c r="AW53" s="59">
        <f>AV53*(1+E6)</f>
        <v>5841.2206663937513</v>
      </c>
      <c r="AX53" s="59">
        <f>AW53*(1+E6)</f>
        <v>6016.4572863855637</v>
      </c>
      <c r="AY53" s="59">
        <f>AX53*(1+E6)</f>
        <v>6196.9510049771307</v>
      </c>
      <c r="AZ53" s="59">
        <f>AY53*(1+E6)</f>
        <v>6382.8595351264448</v>
      </c>
      <c r="BA53" s="59">
        <f>AZ53*(1+E6)</f>
        <v>6574.345321180238</v>
      </c>
      <c r="BB53" s="59">
        <f>BA53*(1+E6)</f>
        <v>6771.5756808156457</v>
      </c>
      <c r="BC53" s="59">
        <f>BB53*(1+E6)</f>
        <v>6974.7229512401154</v>
      </c>
      <c r="BD53" s="59">
        <f>BC53*(1+E6)</f>
        <v>7183.9646397773195</v>
      </c>
      <c r="BE53" s="59">
        <f>BD53*(1+E6)</f>
        <v>7399.4835789706394</v>
      </c>
      <c r="BF53" s="59">
        <f>BE53*(1+E6)</f>
        <v>7621.4680863397589</v>
      </c>
      <c r="BG53" s="59">
        <f>BF53*(1+E6)</f>
        <v>7850.1121289299517</v>
      </c>
      <c r="BH53" s="59">
        <f>BG53*(1+E6)</f>
        <v>8085.6154927978505</v>
      </c>
      <c r="BI53" s="59">
        <f>BH53*(1+E6)</f>
        <v>8328.1839575817867</v>
      </c>
      <c r="BJ53" s="59">
        <f>BI53*(1+E6)</f>
        <v>8578.0294763092406</v>
      </c>
      <c r="BK53" s="59">
        <f>BJ53*(1+E6)</f>
        <v>8835.3703605985174</v>
      </c>
      <c r="BL53" s="59">
        <f>BK53*(1+E6)</f>
        <v>9100.4314714164739</v>
      </c>
      <c r="BM53" s="59">
        <f>BL53*(1+E6)</f>
        <v>9373.4444155589681</v>
      </c>
      <c r="BN53" s="59">
        <f>BM53*(1+E6)</f>
        <v>9654.6477480257381</v>
      </c>
      <c r="BO53" s="59">
        <f>BN53*(1+E6)</f>
        <v>9944.2871804665101</v>
      </c>
      <c r="BP53" s="59">
        <f>BO53*(1+E6)</f>
        <v>10242.615795880505</v>
      </c>
      <c r="BQ53" s="59">
        <f>BP53*(1+E6)</f>
        <v>10549.89426975692</v>
      </c>
      <c r="BR53" s="59">
        <f>BQ53*(1+E6)</f>
        <v>10866.391097849628</v>
      </c>
      <c r="BS53" s="59">
        <f>BR53*(1+E6)</f>
        <v>11192.382830785116</v>
      </c>
      <c r="BT53" s="59">
        <f>BS53*(1+E6)</f>
        <v>11528.154315708671</v>
      </c>
      <c r="BU53" s="59">
        <f>BT53*(1+E6)</f>
        <v>11873.998945179932</v>
      </c>
      <c r="BV53" s="59">
        <f>BU53*(1+E6)</f>
        <v>12230.218913535331</v>
      </c>
      <c r="BW53" s="59">
        <f>BV53*(1+E6)</f>
        <v>12597.125480941391</v>
      </c>
      <c r="BX53" s="59">
        <f>BW53*(1+E6)</f>
        <v>12975.039245369633</v>
      </c>
      <c r="BY53" s="59">
        <f>BX53*(1+E6)</f>
        <v>13364.290422730723</v>
      </c>
      <c r="BZ53" s="59">
        <f>BY53*(1+E6)</f>
        <v>13765.219135412644</v>
      </c>
      <c r="CA53" s="59">
        <f>BZ53*(1+E6)</f>
        <v>14178.175709475025</v>
      </c>
      <c r="CB53" s="59">
        <f>CA53*(1+E6)</f>
        <v>14603.520980759276</v>
      </c>
      <c r="CC53" s="59">
        <f>CB53*(1+E6)</f>
        <v>15041.626610182055</v>
      </c>
      <c r="CD53" s="59">
        <f>CC53*(1+E6)</f>
        <v>15492.875408487516</v>
      </c>
      <c r="CE53" s="59">
        <f>CD53*(1+E6)</f>
        <v>15957.661670742142</v>
      </c>
      <c r="CF53" s="59">
        <f>CE53*(1+E6)</f>
        <v>16436.391520864407</v>
      </c>
      <c r="CG53" s="59">
        <f>CF53*(1+E6)</f>
        <v>16929.483266490341</v>
      </c>
      <c r="CH53" s="59">
        <f>CG53*(1+E6)</f>
        <v>17437.36776448505</v>
      </c>
    </row>
    <row r="54" spans="1:86" s="51" customFormat="1" x14ac:dyDescent="0.25">
      <c r="A54" s="1"/>
      <c r="B54" s="6"/>
      <c r="C54" s="11"/>
      <c r="D54" s="11"/>
      <c r="E54" s="11"/>
      <c r="F54" s="11"/>
      <c r="G54" s="11"/>
      <c r="H54" s="11"/>
      <c r="I54" s="80"/>
      <c r="J54" s="89"/>
      <c r="K54" s="89"/>
      <c r="L54" s="89"/>
      <c r="M54" s="89"/>
      <c r="N54" s="89"/>
      <c r="O54" s="89"/>
      <c r="P54" s="89"/>
      <c r="Q54" s="89"/>
      <c r="R54" s="89"/>
    </row>
    <row r="55" spans="1:86" s="51" customFormat="1" x14ac:dyDescent="0.25">
      <c r="A55" s="1"/>
      <c r="B55" s="9" t="s">
        <v>28</v>
      </c>
      <c r="C55" s="11">
        <f t="shared" ref="C55:I55" si="28">C52+C43+C46-C49</f>
        <v>816.10000000000025</v>
      </c>
      <c r="D55" s="11">
        <f t="shared" si="28"/>
        <v>862.00000000000023</v>
      </c>
      <c r="E55" s="11">
        <f t="shared" si="28"/>
        <v>763.30000000000007</v>
      </c>
      <c r="F55" s="11">
        <f t="shared" si="28"/>
        <v>923.19999999999982</v>
      </c>
      <c r="G55" s="11">
        <f t="shared" si="28"/>
        <v>1615.0000000000007</v>
      </c>
      <c r="H55" s="11">
        <f t="shared" si="28"/>
        <v>2353.8000000000002</v>
      </c>
      <c r="I55" s="84">
        <f t="shared" si="28"/>
        <v>1374.4286277599999</v>
      </c>
      <c r="J55" s="90">
        <f t="shared" ref="J55:R55" si="29">J52+J43+J46-J49</f>
        <v>1384.5295262060001</v>
      </c>
      <c r="K55" s="90">
        <f t="shared" si="29"/>
        <v>1555.4633575919997</v>
      </c>
      <c r="L55" s="90">
        <f t="shared" si="29"/>
        <v>1775.9115306859208</v>
      </c>
      <c r="M55" s="90">
        <f t="shared" si="29"/>
        <v>1862.647239555235</v>
      </c>
      <c r="N55" s="90">
        <f t="shared" si="29"/>
        <v>1929.8884599779785</v>
      </c>
      <c r="O55" s="90">
        <f t="shared" si="29"/>
        <v>1999.859388610103</v>
      </c>
      <c r="P55" s="90">
        <f t="shared" si="29"/>
        <v>2078.6027719416861</v>
      </c>
      <c r="Q55" s="90">
        <f t="shared" si="29"/>
        <v>2160.5783426118419</v>
      </c>
      <c r="R55" s="90">
        <f t="shared" si="29"/>
        <v>2252.0572425609244</v>
      </c>
    </row>
    <row r="56" spans="1:86" s="51" customFormat="1" x14ac:dyDescent="0.25">
      <c r="A56" s="1"/>
      <c r="B56" s="22" t="s">
        <v>29</v>
      </c>
      <c r="C56" s="1"/>
      <c r="D56" s="1"/>
      <c r="E56" s="1"/>
      <c r="F56" s="1"/>
      <c r="G56" s="1"/>
      <c r="H56" s="1"/>
      <c r="I56" s="61">
        <f>I55/((1+E5)^I9)</f>
        <v>1246.0854494297957</v>
      </c>
      <c r="J56" s="18">
        <f>J55/((1+E5)^J9)</f>
        <v>1138.0294123988926</v>
      </c>
      <c r="K56" s="18">
        <f>K55/((1+E5)^K9)</f>
        <v>1159.1421057612199</v>
      </c>
      <c r="L56" s="18">
        <f>L55/((1+E5)^L9)</f>
        <v>1199.8414371218244</v>
      </c>
      <c r="M56" s="18">
        <f>M55/((1+E5)^M9)</f>
        <v>1140.9294091620661</v>
      </c>
      <c r="N56" s="18">
        <f>N55/((1+E5)^N9)</f>
        <v>1071.7315191178047</v>
      </c>
      <c r="O56" s="18">
        <f>O55/((1+E5)^O9)</f>
        <v>1006.8827200960667</v>
      </c>
      <c r="P56" s="18">
        <f>P55/((1+E5)^P9)</f>
        <v>948.804117878939</v>
      </c>
      <c r="Q56" s="18">
        <f>Q55/((1+E5)^Q9)</f>
        <v>894.1300884186669</v>
      </c>
      <c r="R56" s="18">
        <f>R55/((1+E5)^R9)</f>
        <v>844.9592188642572</v>
      </c>
    </row>
    <row r="57" spans="1:86" s="51" customFormat="1" x14ac:dyDescent="0.25">
      <c r="A57" s="1"/>
      <c r="B57" s="23"/>
      <c r="C57" s="23"/>
      <c r="D57" s="23"/>
      <c r="E57" s="23"/>
      <c r="F57" s="23"/>
      <c r="G57" s="23"/>
      <c r="H57" s="23"/>
      <c r="I57" s="24"/>
      <c r="J57" s="23"/>
      <c r="K57" s="23"/>
      <c r="L57" s="23"/>
      <c r="M57" s="23"/>
      <c r="N57" s="23"/>
      <c r="O57" s="23"/>
      <c r="P57" s="23"/>
      <c r="Q57" s="23"/>
      <c r="R57" s="23"/>
    </row>
    <row r="58" spans="1:86" s="51" customFormat="1" x14ac:dyDescent="0.25">
      <c r="A58" s="1"/>
      <c r="B58" s="1" t="s">
        <v>30</v>
      </c>
      <c r="C58" s="25">
        <f>(R55*(1+E6))/(E5-E6)</f>
        <v>31776.867811714976</v>
      </c>
      <c r="D58" s="1"/>
      <c r="E58" s="1" t="s">
        <v>31</v>
      </c>
      <c r="F58" s="18">
        <f>NPV(E5,I53:CH53)</f>
        <v>22091.126016742637</v>
      </c>
      <c r="G58" s="1"/>
      <c r="H58" s="1"/>
      <c r="I58" s="15"/>
      <c r="J58" s="1"/>
      <c r="K58" s="1"/>
      <c r="L58" s="1"/>
      <c r="M58" s="1"/>
      <c r="N58" s="1"/>
      <c r="O58" s="1"/>
      <c r="P58" s="1"/>
      <c r="Q58" s="1"/>
      <c r="R58" s="2"/>
    </row>
    <row r="59" spans="1:86" s="51" customFormat="1" x14ac:dyDescent="0.25">
      <c r="A59" s="1"/>
      <c r="B59" s="3" t="s">
        <v>32</v>
      </c>
      <c r="C59" s="26">
        <f>C58/((1+E5)^R9)</f>
        <v>11922.502188979361</v>
      </c>
      <c r="D59" s="16"/>
      <c r="E59" s="3"/>
      <c r="F59" s="3"/>
      <c r="G59" s="3"/>
      <c r="H59" s="16"/>
      <c r="I59" s="12"/>
      <c r="J59" s="1"/>
      <c r="K59" s="2"/>
      <c r="L59" s="53" t="s">
        <v>54</v>
      </c>
      <c r="M59" s="54"/>
      <c r="N59" s="54"/>
      <c r="O59" s="54"/>
      <c r="P59" s="54"/>
      <c r="Q59" s="53"/>
      <c r="R59" s="2"/>
    </row>
    <row r="60" spans="1:86" s="51" customFormat="1" x14ac:dyDescent="0.25">
      <c r="A60" s="1"/>
      <c r="B60" s="6" t="s">
        <v>33</v>
      </c>
      <c r="C60" s="6"/>
      <c r="D60" s="1"/>
      <c r="E60" s="6"/>
      <c r="F60" s="6"/>
      <c r="G60" s="27" t="s">
        <v>34</v>
      </c>
      <c r="H60" s="27" t="s">
        <v>31</v>
      </c>
      <c r="I60" s="15"/>
      <c r="J60" s="2"/>
      <c r="K60" s="53"/>
      <c r="L60" s="65">
        <f>D66</f>
        <v>141.00356185477889</v>
      </c>
      <c r="M60" s="55">
        <v>-0.01</v>
      </c>
      <c r="N60" s="55">
        <v>0.01</v>
      </c>
      <c r="O60" s="55">
        <v>0.03</v>
      </c>
      <c r="P60" s="55">
        <f>O60+1%</f>
        <v>0.04</v>
      </c>
      <c r="Q60" s="55">
        <f>P60+1%</f>
        <v>0.05</v>
      </c>
      <c r="R60" s="2"/>
    </row>
    <row r="61" spans="1:86" s="51" customFormat="1" x14ac:dyDescent="0.25">
      <c r="A61" s="1"/>
      <c r="B61" s="28" t="s">
        <v>35</v>
      </c>
      <c r="C61" s="1"/>
      <c r="D61" s="21">
        <v>1061.4000000000001</v>
      </c>
      <c r="E61" s="1"/>
      <c r="F61" s="1"/>
      <c r="G61" s="25">
        <f>C59+SUM(I56:R56)</f>
        <v>22573.037667228895</v>
      </c>
      <c r="H61" s="18">
        <f>F58</f>
        <v>22091.126016742637</v>
      </c>
      <c r="I61" s="15"/>
      <c r="J61" s="2"/>
      <c r="K61" s="53"/>
      <c r="L61" s="56">
        <f>L62-1%</f>
        <v>7.2997092525984991E-2</v>
      </c>
      <c r="M61" s="62">
        <f t="dataTable" ref="M61:Q65" dt2D="1" dtr="1" r1="E6" r2="E5"/>
        <v>160.23702207308887</v>
      </c>
      <c r="N61" s="62">
        <v>188.7149506808899</v>
      </c>
      <c r="O61" s="62">
        <v>240.73325167737497</v>
      </c>
      <c r="P61" s="62">
        <v>286.33906831657782</v>
      </c>
      <c r="Q61" s="62">
        <v>362.80339662473682</v>
      </c>
      <c r="R61" s="2"/>
    </row>
    <row r="62" spans="1:86" s="51" customFormat="1" x14ac:dyDescent="0.25">
      <c r="A62" s="1"/>
      <c r="B62" s="29" t="s">
        <v>36</v>
      </c>
      <c r="C62" s="3"/>
      <c r="D62" s="30">
        <v>952.1</v>
      </c>
      <c r="E62" s="3"/>
      <c r="F62" s="3"/>
      <c r="G62" s="3"/>
      <c r="H62" s="3"/>
      <c r="I62" s="15"/>
      <c r="J62" s="2"/>
      <c r="K62" s="54"/>
      <c r="L62" s="56">
        <f>L63-2%</f>
        <v>8.2997092525984986E-2</v>
      </c>
      <c r="M62" s="62">
        <v>140.77211259837244</v>
      </c>
      <c r="N62" s="63">
        <v>161.17470077003344</v>
      </c>
      <c r="O62" s="63">
        <v>195.8144982521419</v>
      </c>
      <c r="P62" s="63">
        <v>223.71135462373877</v>
      </c>
      <c r="Q62" s="62">
        <v>265.54096117255432</v>
      </c>
      <c r="R62" s="2"/>
    </row>
    <row r="63" spans="1:86" s="51" customFormat="1" x14ac:dyDescent="0.25">
      <c r="A63" s="1"/>
      <c r="B63" s="6" t="s">
        <v>37</v>
      </c>
      <c r="C63" s="6"/>
      <c r="D63" s="6"/>
      <c r="E63" s="6"/>
      <c r="F63" s="6"/>
      <c r="G63" s="31">
        <f>(G61+D61-D62)</f>
        <v>22682.337667228898</v>
      </c>
      <c r="H63" s="32">
        <f>(H61+D61-D62)</f>
        <v>22200.42601674264</v>
      </c>
      <c r="I63" s="15"/>
      <c r="J63" s="2"/>
      <c r="K63" s="53" t="s">
        <v>1</v>
      </c>
      <c r="L63" s="58">
        <v>0.10299709252598499</v>
      </c>
      <c r="M63" s="62">
        <v>112.42814534378873</v>
      </c>
      <c r="N63" s="63">
        <v>123.72256817134908</v>
      </c>
      <c r="O63" s="64">
        <v>141.00356185477889</v>
      </c>
      <c r="P63" s="63">
        <v>153.51187907178513</v>
      </c>
      <c r="Q63" s="62">
        <v>170.29597065755655</v>
      </c>
      <c r="R63" s="2"/>
    </row>
    <row r="64" spans="1:86" s="51" customFormat="1" x14ac:dyDescent="0.25">
      <c r="A64" s="1"/>
      <c r="B64" s="3" t="s">
        <v>38</v>
      </c>
      <c r="C64" s="3"/>
      <c r="D64" s="37">
        <f>159154716/1000000</f>
        <v>159.15471600000001</v>
      </c>
      <c r="E64" s="3"/>
      <c r="F64" s="3"/>
      <c r="G64" s="3"/>
      <c r="H64" s="3"/>
      <c r="I64" s="15"/>
      <c r="J64" s="2"/>
      <c r="K64" s="53"/>
      <c r="L64" s="57">
        <f>L63+1%</f>
        <v>0.11299709252598499</v>
      </c>
      <c r="M64" s="62">
        <v>101.83769014227013</v>
      </c>
      <c r="N64" s="63">
        <v>110.49453028333586</v>
      </c>
      <c r="O64" s="63">
        <v>123.2354395078402</v>
      </c>
      <c r="P64" s="63">
        <v>132.11860620724332</v>
      </c>
      <c r="Q64" s="62">
        <v>143.63695606263047</v>
      </c>
      <c r="R64" s="2"/>
    </row>
    <row r="65" spans="1:18" s="51" customFormat="1" x14ac:dyDescent="0.25">
      <c r="A65" s="1"/>
      <c r="B65" s="17" t="s">
        <v>39</v>
      </c>
      <c r="C65" s="17"/>
      <c r="D65" s="66">
        <f>D64*J5</f>
        <v>16236.964126320001</v>
      </c>
      <c r="E65" s="17"/>
      <c r="F65" s="17"/>
      <c r="G65" s="17"/>
      <c r="H65" s="33"/>
      <c r="I65" s="1"/>
      <c r="J65" s="2"/>
      <c r="K65" s="53"/>
      <c r="L65" s="57">
        <f>L64+1%</f>
        <v>0.12299709252598498</v>
      </c>
      <c r="M65" s="62">
        <v>92.914531010375882</v>
      </c>
      <c r="N65" s="62">
        <v>99.656133055026984</v>
      </c>
      <c r="O65" s="62">
        <v>109.25832707758634</v>
      </c>
      <c r="P65" s="62">
        <v>115.74868602057779</v>
      </c>
      <c r="Q65" s="62">
        <v>123.93782919258705</v>
      </c>
      <c r="R65" s="2"/>
    </row>
    <row r="66" spans="1:18" s="51" customFormat="1" x14ac:dyDescent="0.25">
      <c r="A66" s="1"/>
      <c r="B66" s="6" t="s">
        <v>40</v>
      </c>
      <c r="C66" s="6" t="s">
        <v>41</v>
      </c>
      <c r="D66" s="34">
        <f>(G66+H66)/2</f>
        <v>141.00356185477889</v>
      </c>
      <c r="E66" s="2"/>
      <c r="F66" s="6"/>
      <c r="G66" s="34">
        <f>G63/D64</f>
        <v>142.51753411585301</v>
      </c>
      <c r="H66" s="34">
        <f>H63/D64</f>
        <v>139.48958959370478</v>
      </c>
      <c r="I66" s="15"/>
      <c r="J66" s="2"/>
      <c r="K66" s="2"/>
      <c r="L66" s="2"/>
      <c r="M66" s="2"/>
      <c r="N66" s="2"/>
      <c r="O66" s="2"/>
      <c r="P66" s="2"/>
      <c r="Q66" s="2"/>
      <c r="R66" s="2"/>
    </row>
  </sheetData>
  <sortState xmlns:xlrd2="http://schemas.microsoft.com/office/spreadsheetml/2017/richdata2" columnSort="1" ref="C10:H56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G7" sqref="G7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8" t="s">
        <v>1</v>
      </c>
      <c r="C2" s="2"/>
      <c r="D2" s="2"/>
      <c r="E2" s="2"/>
      <c r="F2" s="2"/>
      <c r="G2" s="2"/>
      <c r="H2" s="2"/>
      <c r="I2" s="2"/>
      <c r="J2" s="2"/>
      <c r="K2" s="2"/>
      <c r="L2" s="39"/>
    </row>
    <row r="3" spans="1:14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2"/>
    </row>
    <row r="4" spans="1:14" x14ac:dyDescent="0.25">
      <c r="A4" s="41" t="s">
        <v>43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44</v>
      </c>
      <c r="C6" s="2"/>
      <c r="D6" s="42">
        <v>0.14000000000000001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45</v>
      </c>
      <c r="C7" s="2"/>
      <c r="D7" s="42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46</v>
      </c>
      <c r="C8" s="2"/>
      <c r="D8" s="43">
        <v>1.55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47</v>
      </c>
      <c r="C9" s="2"/>
      <c r="D9" s="42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5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37</v>
      </c>
      <c r="B12" s="2"/>
      <c r="C12" s="21">
        <f>'SWKS DCF'!D65</f>
        <v>16236.964126320001</v>
      </c>
      <c r="D12" s="2"/>
      <c r="E12" s="2" t="s">
        <v>36</v>
      </c>
      <c r="F12" s="2"/>
      <c r="G12" s="21">
        <v>19081</v>
      </c>
      <c r="H12" s="2"/>
      <c r="I12" s="2" t="s">
        <v>48</v>
      </c>
      <c r="J12" s="2"/>
      <c r="K12" s="21">
        <f>G12+C12</f>
        <v>35317.964126320003</v>
      </c>
      <c r="L12" s="2"/>
    </row>
    <row r="13" spans="1:14" x14ac:dyDescent="0.25">
      <c r="A13" s="2" t="s">
        <v>49</v>
      </c>
      <c r="B13" s="2"/>
      <c r="C13" s="44">
        <f>C12/K12</f>
        <v>0.45973669570097697</v>
      </c>
      <c r="D13" s="2"/>
      <c r="E13" s="2" t="s">
        <v>50</v>
      </c>
      <c r="F13" s="2"/>
      <c r="G13" s="45">
        <f>G12/K12</f>
        <v>0.54026330429902292</v>
      </c>
      <c r="H13" s="2"/>
      <c r="I13" s="2"/>
      <c r="J13" s="2"/>
      <c r="K13" s="2"/>
      <c r="L13" s="2"/>
      <c r="M13" s="35"/>
    </row>
    <row r="14" spans="1:14" x14ac:dyDescent="0.25">
      <c r="A14" s="2" t="s">
        <v>51</v>
      </c>
      <c r="B14" s="2"/>
      <c r="C14" s="46">
        <f>D7+D8*(D9)</f>
        <v>0.13</v>
      </c>
      <c r="D14" s="2"/>
      <c r="E14" s="2" t="s">
        <v>52</v>
      </c>
      <c r="F14" s="2"/>
      <c r="G14" s="47">
        <v>0.05</v>
      </c>
      <c r="H14" s="2"/>
      <c r="I14" s="48" t="s">
        <v>1</v>
      </c>
      <c r="J14" s="49"/>
      <c r="K14" s="50">
        <f>C13*C14+G14*G13*(1-D6)</f>
        <v>8.2997092525984986E-2</v>
      </c>
      <c r="L14" s="2"/>
    </row>
    <row r="15" spans="1:14" x14ac:dyDescent="0.25">
      <c r="D15" s="35"/>
      <c r="G15" s="35"/>
      <c r="J15" s="35"/>
      <c r="M15" s="35"/>
    </row>
    <row r="16" spans="1:14" x14ac:dyDescent="0.25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</row>
    <row r="17" spans="4:13" x14ac:dyDescent="0.25">
      <c r="D17" s="35"/>
      <c r="G17" s="35"/>
      <c r="J17" s="35"/>
      <c r="M17" s="35"/>
    </row>
    <row r="21" spans="4:13" x14ac:dyDescent="0.25"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E031-C42D-46DF-8C9A-6B478C7E222B}">
  <dimension ref="A1:T47"/>
  <sheetViews>
    <sheetView topLeftCell="A13" workbookViewId="0">
      <selection activeCell="D21" sqref="D21"/>
    </sheetView>
  </sheetViews>
  <sheetFormatPr defaultRowHeight="15" x14ac:dyDescent="0.25"/>
  <cols>
    <col min="1" max="1" width="61.7109375" customWidth="1"/>
    <col min="4" max="6" width="13.7109375" customWidth="1"/>
    <col min="9" max="9" width="43.140625" customWidth="1"/>
    <col min="10" max="12" width="12.85546875" customWidth="1"/>
  </cols>
  <sheetData>
    <row r="1" spans="1:20" x14ac:dyDescent="0.25">
      <c r="A1" s="67" t="s">
        <v>75</v>
      </c>
      <c r="B1" s="67"/>
      <c r="C1" s="67"/>
      <c r="D1" s="67"/>
      <c r="E1" s="67"/>
      <c r="F1" s="67"/>
      <c r="I1" s="67" t="s">
        <v>75</v>
      </c>
      <c r="J1" s="67"/>
      <c r="K1" s="67"/>
      <c r="L1" s="67"/>
      <c r="M1" s="67"/>
      <c r="N1" s="67"/>
    </row>
    <row r="4" spans="1:20" x14ac:dyDescent="0.25">
      <c r="D4" s="67" t="s">
        <v>56</v>
      </c>
      <c r="E4" s="67"/>
      <c r="F4" s="67"/>
      <c r="G4" s="67"/>
      <c r="H4" s="67"/>
    </row>
    <row r="5" spans="1:20" x14ac:dyDescent="0.25">
      <c r="D5" s="68">
        <v>2020</v>
      </c>
      <c r="E5" s="68">
        <v>2021</v>
      </c>
      <c r="F5" s="68">
        <v>2022</v>
      </c>
      <c r="G5" s="68"/>
      <c r="H5" s="68"/>
      <c r="J5" s="67" t="s">
        <v>56</v>
      </c>
      <c r="K5" s="67"/>
      <c r="L5" s="67"/>
      <c r="M5" s="67"/>
      <c r="N5" s="67"/>
      <c r="O5" s="67"/>
      <c r="P5" s="67"/>
      <c r="Q5" s="67"/>
      <c r="R5" s="67"/>
      <c r="S5" s="67"/>
      <c r="T5" s="67"/>
    </row>
    <row r="6" spans="1:20" x14ac:dyDescent="0.25">
      <c r="A6" s="67" t="s">
        <v>76</v>
      </c>
      <c r="B6" s="67"/>
      <c r="C6" s="67"/>
      <c r="J6" s="68">
        <v>2017</v>
      </c>
      <c r="K6" s="68">
        <v>2018</v>
      </c>
      <c r="L6" s="68">
        <v>2019</v>
      </c>
      <c r="M6" s="68"/>
      <c r="N6" s="68"/>
      <c r="P6" s="68"/>
      <c r="Q6" s="68"/>
      <c r="S6" s="68"/>
      <c r="T6" s="68"/>
    </row>
    <row r="7" spans="1:20" x14ac:dyDescent="0.25">
      <c r="A7" s="67" t="s">
        <v>27</v>
      </c>
      <c r="B7" s="67"/>
      <c r="C7" s="67"/>
      <c r="D7" s="69">
        <v>814.8</v>
      </c>
      <c r="E7" s="69">
        <v>1498.3</v>
      </c>
      <c r="F7" s="69">
        <v>1275.2</v>
      </c>
      <c r="G7" s="69"/>
      <c r="I7" s="67" t="s">
        <v>76</v>
      </c>
    </row>
    <row r="8" spans="1:20" x14ac:dyDescent="0.25">
      <c r="A8" s="67" t="s">
        <v>77</v>
      </c>
      <c r="B8" s="67"/>
      <c r="C8" s="67"/>
      <c r="I8" t="s">
        <v>27</v>
      </c>
      <c r="J8" s="72">
        <v>1010.2</v>
      </c>
      <c r="K8" s="72">
        <v>918.4</v>
      </c>
      <c r="L8" s="72">
        <v>853.6</v>
      </c>
      <c r="M8" s="72"/>
      <c r="P8" s="72"/>
      <c r="S8" s="72"/>
    </row>
    <row r="9" spans="1:20" x14ac:dyDescent="0.25">
      <c r="A9" s="67" t="s">
        <v>78</v>
      </c>
      <c r="B9" s="67"/>
      <c r="C9" s="67"/>
      <c r="D9" s="70">
        <v>156.6</v>
      </c>
      <c r="E9" s="70">
        <v>191.9</v>
      </c>
      <c r="F9" s="70">
        <v>195.2</v>
      </c>
      <c r="G9" s="70"/>
      <c r="I9" t="s">
        <v>77</v>
      </c>
    </row>
    <row r="10" spans="1:20" x14ac:dyDescent="0.25">
      <c r="A10" s="67" t="s">
        <v>79</v>
      </c>
      <c r="B10" s="67"/>
      <c r="C10" s="67"/>
      <c r="D10" s="70">
        <v>318.3</v>
      </c>
      <c r="E10" s="70">
        <v>332.2</v>
      </c>
      <c r="F10" s="70">
        <v>394.4</v>
      </c>
      <c r="G10" s="70"/>
      <c r="I10" t="s">
        <v>78</v>
      </c>
      <c r="J10" s="73">
        <v>88.5</v>
      </c>
      <c r="K10" s="73">
        <v>107.8</v>
      </c>
      <c r="L10" s="73">
        <v>80.099999999999994</v>
      </c>
      <c r="M10" s="73"/>
      <c r="P10" s="73"/>
      <c r="S10" s="73"/>
    </row>
    <row r="11" spans="1:20" x14ac:dyDescent="0.25">
      <c r="A11" s="67" t="s">
        <v>80</v>
      </c>
      <c r="B11" s="67"/>
      <c r="C11" s="67"/>
      <c r="D11" s="70">
        <v>46</v>
      </c>
      <c r="E11" s="70">
        <v>104.5</v>
      </c>
      <c r="F11" s="70">
        <v>295.7</v>
      </c>
      <c r="G11" s="70"/>
      <c r="I11" t="s">
        <v>79</v>
      </c>
      <c r="J11" s="73">
        <v>227.2</v>
      </c>
      <c r="K11" s="73">
        <v>272.5</v>
      </c>
      <c r="L11" s="73">
        <v>314.89999999999998</v>
      </c>
      <c r="M11" s="73"/>
      <c r="P11" s="73"/>
      <c r="S11" s="73"/>
    </row>
    <row r="12" spans="1:20" x14ac:dyDescent="0.25">
      <c r="A12" s="67" t="s">
        <v>81</v>
      </c>
      <c r="B12" s="67"/>
      <c r="C12" s="67"/>
      <c r="D12" s="71">
        <v>-13.4</v>
      </c>
      <c r="E12" s="71">
        <v>-59.5</v>
      </c>
      <c r="F12" s="70">
        <v>68.400000000000006</v>
      </c>
      <c r="G12" s="70"/>
      <c r="I12" t="s">
        <v>80</v>
      </c>
      <c r="J12" s="73">
        <v>27.6</v>
      </c>
      <c r="K12" s="73">
        <v>26.7</v>
      </c>
      <c r="L12" s="73">
        <v>56.7</v>
      </c>
      <c r="M12" s="73"/>
      <c r="P12" s="73"/>
      <c r="S12" s="73"/>
    </row>
    <row r="13" spans="1:20" x14ac:dyDescent="0.25">
      <c r="A13" s="67" t="s">
        <v>82</v>
      </c>
      <c r="B13" s="67"/>
      <c r="C13" s="67"/>
      <c r="D13" s="70">
        <v>11.8</v>
      </c>
      <c r="E13" s="70">
        <v>7.1</v>
      </c>
      <c r="F13" s="70">
        <v>20.7</v>
      </c>
      <c r="G13" s="70"/>
      <c r="I13" t="s">
        <v>81</v>
      </c>
      <c r="J13" s="73">
        <v>2.2000000000000002</v>
      </c>
      <c r="K13" s="73">
        <v>27.3</v>
      </c>
      <c r="L13" s="74">
        <v>-6.1</v>
      </c>
      <c r="M13" s="74"/>
      <c r="P13" s="73"/>
      <c r="S13" s="73"/>
    </row>
    <row r="14" spans="1:20" x14ac:dyDescent="0.25">
      <c r="A14" s="67" t="s">
        <v>83</v>
      </c>
      <c r="B14" s="67"/>
      <c r="C14" s="67"/>
      <c r="D14" s="67" t="s">
        <v>67</v>
      </c>
      <c r="E14" s="70">
        <v>1.1000000000000001</v>
      </c>
      <c r="F14" s="70">
        <v>4</v>
      </c>
      <c r="G14" s="70"/>
      <c r="I14" t="s">
        <v>122</v>
      </c>
      <c r="J14" s="74">
        <v>-1.3</v>
      </c>
      <c r="K14" s="74">
        <v>-11.9</v>
      </c>
      <c r="L14" s="74">
        <v>-3.1</v>
      </c>
      <c r="M14" s="74"/>
      <c r="P14" s="74"/>
      <c r="S14" s="74"/>
    </row>
    <row r="15" spans="1:20" x14ac:dyDescent="0.25">
      <c r="A15" s="67" t="s">
        <v>84</v>
      </c>
      <c r="B15" s="67"/>
      <c r="C15" s="67"/>
      <c r="D15" s="70">
        <v>3.8</v>
      </c>
      <c r="E15" s="70">
        <v>0.2</v>
      </c>
      <c r="F15" s="71">
        <v>-1.5</v>
      </c>
      <c r="G15" s="71"/>
      <c r="I15" t="s">
        <v>84</v>
      </c>
      <c r="J15" s="73">
        <v>0.30000000000000004</v>
      </c>
      <c r="K15" s="74">
        <v>-0.7</v>
      </c>
      <c r="L15" s="73">
        <v>16.8</v>
      </c>
      <c r="M15" s="73"/>
      <c r="P15" s="74"/>
      <c r="S15" s="73"/>
    </row>
    <row r="16" spans="1:20" ht="28.5" customHeight="1" x14ac:dyDescent="0.25">
      <c r="A16" s="67" t="s">
        <v>85</v>
      </c>
      <c r="B16" s="67"/>
      <c r="C16" s="67"/>
      <c r="I16" s="75" t="s">
        <v>123</v>
      </c>
      <c r="J16" s="74">
        <v>-40.799999999999997</v>
      </c>
      <c r="K16" t="s">
        <v>67</v>
      </c>
      <c r="L16" t="s">
        <v>67</v>
      </c>
      <c r="S16" s="74"/>
    </row>
    <row r="17" spans="1:19" x14ac:dyDescent="0.25">
      <c r="A17" s="67" t="s">
        <v>86</v>
      </c>
      <c r="B17" s="67"/>
      <c r="C17" s="67"/>
      <c r="D17" s="70">
        <v>76.8</v>
      </c>
      <c r="E17" s="71">
        <v>-397.7</v>
      </c>
      <c r="F17" s="71">
        <v>-337.8</v>
      </c>
      <c r="G17" s="71"/>
      <c r="I17" t="s">
        <v>85</v>
      </c>
    </row>
    <row r="18" spans="1:19" x14ac:dyDescent="0.25">
      <c r="A18" s="67" t="s">
        <v>87</v>
      </c>
      <c r="B18" s="67"/>
      <c r="C18" s="67"/>
      <c r="D18" s="71">
        <v>-190.4</v>
      </c>
      <c r="E18" s="71">
        <v>-41.2</v>
      </c>
      <c r="F18" s="71">
        <v>-337.3</v>
      </c>
      <c r="G18" s="71"/>
      <c r="I18" t="s">
        <v>86</v>
      </c>
      <c r="J18" s="74">
        <v>-37.1</v>
      </c>
      <c r="K18" s="74">
        <v>-193.8</v>
      </c>
      <c r="L18" s="73">
        <v>190.5</v>
      </c>
      <c r="M18" s="73"/>
      <c r="P18" s="74"/>
      <c r="S18" s="74"/>
    </row>
    <row r="19" spans="1:19" x14ac:dyDescent="0.25">
      <c r="A19" s="67" t="s">
        <v>88</v>
      </c>
      <c r="B19" s="67"/>
      <c r="C19" s="67"/>
      <c r="D19" s="70">
        <v>61.1</v>
      </c>
      <c r="E19" s="70">
        <v>59.6</v>
      </c>
      <c r="F19" s="70">
        <v>31.3</v>
      </c>
      <c r="G19" s="70"/>
      <c r="I19" t="s">
        <v>87</v>
      </c>
      <c r="J19" s="74">
        <v>-69.2</v>
      </c>
      <c r="K19" s="73">
        <v>11.9</v>
      </c>
      <c r="L19" s="74">
        <v>-119.6</v>
      </c>
      <c r="M19" s="74"/>
      <c r="P19" s="73"/>
      <c r="S19" s="74"/>
    </row>
    <row r="20" spans="1:19" x14ac:dyDescent="0.25">
      <c r="A20" s="67" t="s">
        <v>89</v>
      </c>
      <c r="B20" s="67"/>
      <c r="C20" s="67"/>
      <c r="D20" s="71">
        <v>-80.900000000000006</v>
      </c>
      <c r="E20" s="70">
        <v>75.5</v>
      </c>
      <c r="F20" s="71">
        <v>-183.7</v>
      </c>
      <c r="G20" s="71"/>
      <c r="I20" t="s">
        <v>124</v>
      </c>
      <c r="J20" s="73">
        <v>3.3</v>
      </c>
      <c r="K20" s="74">
        <v>-12.2</v>
      </c>
      <c r="L20" s="74">
        <v>-16.7</v>
      </c>
      <c r="M20" s="74"/>
      <c r="P20" s="74"/>
      <c r="S20" s="73"/>
    </row>
    <row r="21" spans="1:19" x14ac:dyDescent="0.25">
      <c r="A21" s="67" t="s">
        <v>90</v>
      </c>
      <c r="B21" s="67"/>
      <c r="C21" s="67"/>
      <c r="D21" s="70">
        <v>1204.5</v>
      </c>
      <c r="E21" s="70">
        <v>1772</v>
      </c>
      <c r="F21" s="70">
        <v>1424.6</v>
      </c>
      <c r="G21" s="70"/>
      <c r="I21" t="s">
        <v>88</v>
      </c>
      <c r="J21" s="73">
        <v>147.80000000000001</v>
      </c>
      <c r="K21" s="74">
        <v>-126</v>
      </c>
      <c r="L21" s="74">
        <v>-33</v>
      </c>
      <c r="M21" s="74"/>
      <c r="P21" s="74"/>
      <c r="S21" s="73"/>
    </row>
    <row r="22" spans="1:19" x14ac:dyDescent="0.25">
      <c r="A22" s="67" t="s">
        <v>91</v>
      </c>
      <c r="B22" s="67"/>
      <c r="C22" s="67"/>
      <c r="I22" t="s">
        <v>125</v>
      </c>
      <c r="J22" s="73">
        <v>97.6</v>
      </c>
      <c r="K22" s="73">
        <v>240.6</v>
      </c>
      <c r="L22" s="73">
        <v>33.299999999999997</v>
      </c>
      <c r="M22" s="73"/>
      <c r="P22" s="73"/>
      <c r="S22" s="73"/>
    </row>
    <row r="23" spans="1:19" x14ac:dyDescent="0.25">
      <c r="A23" s="67" t="s">
        <v>92</v>
      </c>
      <c r="B23" s="67"/>
      <c r="C23" s="67"/>
      <c r="D23" s="71">
        <v>-389.4</v>
      </c>
      <c r="E23" s="71">
        <v>-637.79999999999995</v>
      </c>
      <c r="F23" s="71">
        <v>-489.4</v>
      </c>
      <c r="G23" s="71"/>
      <c r="I23" s="67" t="s">
        <v>90</v>
      </c>
      <c r="J23" s="73">
        <v>1456.3</v>
      </c>
      <c r="K23" s="73">
        <v>1260.5999999999999</v>
      </c>
      <c r="L23" s="73">
        <v>1367.4</v>
      </c>
      <c r="M23" s="73"/>
      <c r="P23" s="73"/>
      <c r="S23" s="73"/>
    </row>
    <row r="24" spans="1:19" x14ac:dyDescent="0.25">
      <c r="A24" s="67" t="s">
        <v>93</v>
      </c>
      <c r="B24" s="67"/>
      <c r="C24" s="67"/>
      <c r="D24" s="71">
        <v>-9.1</v>
      </c>
      <c r="E24" s="71">
        <v>-14.3</v>
      </c>
      <c r="F24" s="71">
        <v>-20.3</v>
      </c>
      <c r="G24" s="71"/>
      <c r="I24" s="67" t="s">
        <v>91</v>
      </c>
    </row>
    <row r="25" spans="1:19" x14ac:dyDescent="0.25">
      <c r="A25" s="67" t="s">
        <v>94</v>
      </c>
      <c r="B25" s="67"/>
      <c r="C25" s="67"/>
      <c r="D25" s="71">
        <v>-790.5</v>
      </c>
      <c r="E25" s="71">
        <v>-500.8</v>
      </c>
      <c r="F25" s="71">
        <v>-97.2</v>
      </c>
      <c r="G25" s="71"/>
      <c r="I25" t="s">
        <v>92</v>
      </c>
      <c r="J25" s="74">
        <v>-303.3</v>
      </c>
      <c r="K25" s="74">
        <v>-422.3</v>
      </c>
      <c r="L25" s="74">
        <v>-398.4</v>
      </c>
      <c r="M25" s="74"/>
      <c r="P25" s="74"/>
      <c r="S25" s="74"/>
    </row>
    <row r="26" spans="1:19" x14ac:dyDescent="0.25">
      <c r="A26" s="67" t="s">
        <v>95</v>
      </c>
      <c r="B26" s="67"/>
      <c r="C26" s="67"/>
      <c r="D26" s="70">
        <v>607.6</v>
      </c>
      <c r="E26" s="70">
        <v>770.7</v>
      </c>
      <c r="F26" s="70">
        <v>220.3</v>
      </c>
      <c r="G26" s="70"/>
      <c r="I26" t="s">
        <v>93</v>
      </c>
      <c r="J26" s="74">
        <v>-12.1</v>
      </c>
      <c r="K26" s="74">
        <v>-8.6</v>
      </c>
      <c r="L26" s="74">
        <v>-25</v>
      </c>
      <c r="M26" s="74"/>
      <c r="P26" s="74"/>
      <c r="S26" s="74"/>
    </row>
    <row r="27" spans="1:19" x14ac:dyDescent="0.25">
      <c r="A27" s="67" t="s">
        <v>96</v>
      </c>
      <c r="B27" s="67"/>
      <c r="C27" s="67"/>
      <c r="D27" s="67" t="s">
        <v>67</v>
      </c>
      <c r="E27" s="71">
        <v>-2751</v>
      </c>
      <c r="F27" s="67" t="s">
        <v>67</v>
      </c>
      <c r="G27" s="67"/>
      <c r="I27" t="s">
        <v>94</v>
      </c>
      <c r="J27" t="s">
        <v>67</v>
      </c>
      <c r="K27" s="74">
        <v>-683.7</v>
      </c>
      <c r="L27" s="74">
        <v>-360.5</v>
      </c>
      <c r="M27" s="74"/>
      <c r="P27" s="74"/>
    </row>
    <row r="28" spans="1:19" x14ac:dyDescent="0.25">
      <c r="A28" s="67" t="s">
        <v>97</v>
      </c>
      <c r="B28" s="67"/>
      <c r="C28" s="67"/>
      <c r="D28" s="67" t="s">
        <v>67</v>
      </c>
      <c r="E28" s="67" t="s">
        <v>67</v>
      </c>
      <c r="F28" s="70">
        <v>7.7</v>
      </c>
      <c r="G28" s="70"/>
      <c r="I28" t="s">
        <v>95</v>
      </c>
      <c r="J28" s="73">
        <v>3.2</v>
      </c>
      <c r="K28" s="73">
        <v>368.2</v>
      </c>
      <c r="L28" s="73">
        <v>447</v>
      </c>
      <c r="M28" s="73"/>
      <c r="P28" s="73"/>
      <c r="S28" s="73"/>
    </row>
    <row r="29" spans="1:19" x14ac:dyDescent="0.25">
      <c r="A29" s="67" t="s">
        <v>98</v>
      </c>
      <c r="B29" s="67"/>
      <c r="C29" s="67"/>
      <c r="D29" s="71">
        <v>-581.4</v>
      </c>
      <c r="E29" s="71">
        <v>-3133.2</v>
      </c>
      <c r="F29" s="71">
        <v>-378.9</v>
      </c>
      <c r="G29" s="71"/>
      <c r="I29" t="s">
        <v>126</v>
      </c>
      <c r="J29" s="74">
        <v>-13.7</v>
      </c>
      <c r="K29" s="74">
        <v>-404</v>
      </c>
      <c r="L29" t="s">
        <v>67</v>
      </c>
      <c r="P29" s="74"/>
      <c r="S29" s="74"/>
    </row>
    <row r="30" spans="1:19" x14ac:dyDescent="0.25">
      <c r="A30" s="67" t="s">
        <v>99</v>
      </c>
      <c r="B30" s="67"/>
      <c r="C30" s="67"/>
      <c r="I30" s="67" t="s">
        <v>98</v>
      </c>
      <c r="J30" s="74">
        <v>-325.89999999999998</v>
      </c>
      <c r="K30" s="74">
        <v>-1150.4000000000001</v>
      </c>
      <c r="L30" s="74">
        <v>-336.9</v>
      </c>
      <c r="M30" s="74"/>
      <c r="P30" s="74"/>
      <c r="S30" s="74"/>
    </row>
    <row r="31" spans="1:19" x14ac:dyDescent="0.25">
      <c r="A31" s="67" t="s">
        <v>100</v>
      </c>
      <c r="B31" s="67"/>
      <c r="C31" s="67"/>
      <c r="D31" s="71">
        <v>-33.1</v>
      </c>
      <c r="E31" s="71">
        <v>-55.2</v>
      </c>
      <c r="F31" s="71">
        <v>-88.5</v>
      </c>
      <c r="G31" s="71"/>
      <c r="I31" s="67" t="s">
        <v>99</v>
      </c>
    </row>
    <row r="32" spans="1:19" x14ac:dyDescent="0.25">
      <c r="A32" s="67" t="s">
        <v>101</v>
      </c>
      <c r="B32" s="67"/>
      <c r="C32" s="67"/>
      <c r="D32" s="71">
        <v>-647.5</v>
      </c>
      <c r="E32" s="71">
        <v>-195.6</v>
      </c>
      <c r="F32" s="71">
        <v>-886.8</v>
      </c>
      <c r="G32" s="71"/>
      <c r="I32" t="s">
        <v>127</v>
      </c>
      <c r="J32" s="74">
        <v>-49.2</v>
      </c>
      <c r="K32" s="74">
        <v>-48</v>
      </c>
      <c r="L32" s="74">
        <v>-22.8</v>
      </c>
      <c r="M32" s="74"/>
      <c r="P32" s="74"/>
      <c r="S32" s="74"/>
    </row>
    <row r="33" spans="1:19" x14ac:dyDescent="0.25">
      <c r="A33" s="67" t="s">
        <v>102</v>
      </c>
      <c r="B33" s="67"/>
      <c r="C33" s="67"/>
      <c r="D33" s="71">
        <v>-307</v>
      </c>
      <c r="E33" s="71">
        <v>-340.6</v>
      </c>
      <c r="F33" s="71">
        <v>-373.1</v>
      </c>
      <c r="G33" s="71"/>
      <c r="I33" t="s">
        <v>128</v>
      </c>
      <c r="J33" s="74">
        <v>-432.3</v>
      </c>
      <c r="K33" s="74">
        <v>-759.5</v>
      </c>
      <c r="L33" s="74">
        <v>-657.6</v>
      </c>
      <c r="M33" s="74"/>
      <c r="P33" s="74"/>
      <c r="S33" s="74"/>
    </row>
    <row r="34" spans="1:19" x14ac:dyDescent="0.25">
      <c r="A34" s="67" t="s">
        <v>103</v>
      </c>
      <c r="B34" s="67"/>
      <c r="C34" s="67"/>
      <c r="D34" s="70">
        <v>57.1</v>
      </c>
      <c r="E34" s="70">
        <v>11.6</v>
      </c>
      <c r="F34" s="70">
        <v>6.4</v>
      </c>
      <c r="G34" s="70"/>
      <c r="I34" t="s">
        <v>102</v>
      </c>
      <c r="J34" s="74">
        <v>-214.6</v>
      </c>
      <c r="K34" s="74">
        <v>-243.2</v>
      </c>
      <c r="L34" s="74">
        <v>-273.89999999999998</v>
      </c>
      <c r="M34" s="74"/>
      <c r="P34" s="74"/>
      <c r="S34" s="74"/>
    </row>
    <row r="35" spans="1:19" x14ac:dyDescent="0.25">
      <c r="A35" s="67" t="s">
        <v>104</v>
      </c>
      <c r="B35" s="67"/>
      <c r="C35" s="67"/>
      <c r="D35" s="70">
        <v>22.8</v>
      </c>
      <c r="E35" s="70">
        <v>24.8</v>
      </c>
      <c r="F35" s="70">
        <v>29.4</v>
      </c>
      <c r="G35" s="70"/>
      <c r="I35" t="s">
        <v>103</v>
      </c>
      <c r="J35" s="73">
        <v>53.8</v>
      </c>
      <c r="K35" s="73">
        <v>38.799999999999997</v>
      </c>
      <c r="L35" s="73">
        <v>22.1</v>
      </c>
      <c r="M35" s="73"/>
      <c r="P35" s="73"/>
      <c r="S35" s="73"/>
    </row>
    <row r="36" spans="1:19" x14ac:dyDescent="0.25">
      <c r="A36" s="67" t="s">
        <v>105</v>
      </c>
      <c r="B36" s="67"/>
      <c r="C36" s="67"/>
      <c r="D36" s="67" t="s">
        <v>67</v>
      </c>
      <c r="E36" s="70">
        <v>2488.1999999999998</v>
      </c>
      <c r="F36" s="67" t="s">
        <v>67</v>
      </c>
      <c r="G36" s="67"/>
      <c r="I36" t="s">
        <v>104</v>
      </c>
      <c r="J36" s="73">
        <v>15</v>
      </c>
      <c r="K36" s="73">
        <v>18.2</v>
      </c>
      <c r="L36" s="73">
        <v>19.7</v>
      </c>
      <c r="M36" s="73"/>
      <c r="P36" s="73"/>
      <c r="S36" s="73"/>
    </row>
    <row r="37" spans="1:19" x14ac:dyDescent="0.25">
      <c r="A37" s="67" t="s">
        <v>106</v>
      </c>
      <c r="B37" s="67"/>
      <c r="C37" s="67"/>
      <c r="D37" s="67" t="s">
        <v>67</v>
      </c>
      <c r="E37" s="71">
        <v>-5.8</v>
      </c>
      <c r="F37" s="67" t="s">
        <v>67</v>
      </c>
      <c r="G37" s="67"/>
      <c r="I37" t="s">
        <v>129</v>
      </c>
      <c r="J37" s="74">
        <v>-5.5</v>
      </c>
      <c r="K37" t="s">
        <v>67</v>
      </c>
      <c r="L37" t="s">
        <v>67</v>
      </c>
      <c r="S37" s="74"/>
    </row>
    <row r="38" spans="1:19" x14ac:dyDescent="0.25">
      <c r="A38" s="67" t="s">
        <v>107</v>
      </c>
      <c r="B38" s="67"/>
      <c r="C38" s="67"/>
      <c r="D38" s="67" t="s">
        <v>67</v>
      </c>
      <c r="E38" s="71">
        <v>-250</v>
      </c>
      <c r="F38" s="71">
        <v>-50</v>
      </c>
      <c r="G38" s="71"/>
      <c r="I38" t="s">
        <v>130</v>
      </c>
      <c r="J38" s="74">
        <v>-5.4</v>
      </c>
      <c r="K38" t="s">
        <v>67</v>
      </c>
      <c r="L38" t="s">
        <v>67</v>
      </c>
      <c r="S38" s="74"/>
    </row>
    <row r="39" spans="1:19" x14ac:dyDescent="0.25">
      <c r="A39" s="67" t="s">
        <v>108</v>
      </c>
      <c r="B39" s="67"/>
      <c r="C39" s="67"/>
      <c r="D39" s="71">
        <v>-907.7</v>
      </c>
      <c r="E39" s="70">
        <v>1677.4</v>
      </c>
      <c r="F39" s="71">
        <v>-1362.6</v>
      </c>
      <c r="G39" s="71"/>
      <c r="I39" t="s">
        <v>123</v>
      </c>
      <c r="J39" s="73">
        <v>40.799999999999997</v>
      </c>
      <c r="K39" t="s">
        <v>67</v>
      </c>
      <c r="L39" t="s">
        <v>67</v>
      </c>
      <c r="S39" s="73"/>
    </row>
    <row r="40" spans="1:19" x14ac:dyDescent="0.25">
      <c r="A40" s="67" t="s">
        <v>109</v>
      </c>
      <c r="B40" s="67"/>
      <c r="C40" s="67"/>
      <c r="D40" s="71">
        <v>-284.60000000000002</v>
      </c>
      <c r="E40" s="70">
        <v>316.2</v>
      </c>
      <c r="F40" s="71">
        <v>-316.89999999999998</v>
      </c>
      <c r="G40" s="71"/>
      <c r="I40" s="67" t="s">
        <v>131</v>
      </c>
      <c r="J40" s="74">
        <v>-597.4</v>
      </c>
      <c r="K40" s="74">
        <v>-993.7</v>
      </c>
      <c r="L40" s="74">
        <v>-912.5</v>
      </c>
      <c r="M40" s="74"/>
      <c r="P40" s="74"/>
      <c r="S40" s="74"/>
    </row>
    <row r="41" spans="1:19" x14ac:dyDescent="0.25">
      <c r="A41" s="67" t="s">
        <v>110</v>
      </c>
      <c r="B41" s="67"/>
      <c r="C41" s="67"/>
      <c r="D41" s="70">
        <v>851.3</v>
      </c>
      <c r="E41" s="70">
        <v>566.70000000000005</v>
      </c>
      <c r="F41" s="70">
        <v>882.9</v>
      </c>
      <c r="G41" s="70"/>
      <c r="I41" t="s">
        <v>109</v>
      </c>
      <c r="J41" s="73">
        <v>533</v>
      </c>
      <c r="K41" s="74">
        <v>-883.5</v>
      </c>
      <c r="L41" s="73">
        <v>118</v>
      </c>
      <c r="M41" s="73"/>
      <c r="P41" s="74"/>
      <c r="S41" s="73"/>
    </row>
    <row r="42" spans="1:19" x14ac:dyDescent="0.25">
      <c r="A42" s="67" t="s">
        <v>111</v>
      </c>
      <c r="B42" s="67"/>
      <c r="C42" s="67"/>
      <c r="D42" s="69">
        <v>566.70000000000005</v>
      </c>
      <c r="E42" s="69">
        <v>882.9</v>
      </c>
      <c r="F42" s="69">
        <v>566</v>
      </c>
      <c r="G42" s="69"/>
      <c r="I42" t="s">
        <v>110</v>
      </c>
      <c r="J42" s="73">
        <v>1083.8</v>
      </c>
      <c r="K42" s="73">
        <v>1616.8</v>
      </c>
      <c r="L42" s="73">
        <v>733.3</v>
      </c>
      <c r="M42" s="73"/>
      <c r="P42" s="73"/>
      <c r="S42" s="73"/>
    </row>
    <row r="43" spans="1:19" x14ac:dyDescent="0.25">
      <c r="A43" s="67" t="s">
        <v>112</v>
      </c>
      <c r="B43" s="67"/>
      <c r="C43" s="67"/>
      <c r="I43" t="s">
        <v>111</v>
      </c>
      <c r="J43" s="72">
        <v>1616.8</v>
      </c>
      <c r="K43" s="72">
        <v>733.3</v>
      </c>
      <c r="L43" s="72">
        <v>851.3</v>
      </c>
      <c r="M43" s="72"/>
      <c r="P43" s="72"/>
      <c r="S43" s="72"/>
    </row>
    <row r="44" spans="1:19" x14ac:dyDescent="0.25">
      <c r="A44" s="67" t="s">
        <v>113</v>
      </c>
      <c r="B44" s="67"/>
      <c r="C44" s="67"/>
      <c r="D44" s="69">
        <v>110.8</v>
      </c>
      <c r="E44" s="69">
        <v>184</v>
      </c>
      <c r="F44" s="69">
        <v>230</v>
      </c>
      <c r="G44" s="69"/>
      <c r="I44" s="67" t="s">
        <v>112</v>
      </c>
    </row>
    <row r="45" spans="1:19" x14ac:dyDescent="0.25">
      <c r="A45" s="67" t="s">
        <v>114</v>
      </c>
      <c r="B45" s="67"/>
      <c r="C45" s="67"/>
      <c r="D45" s="67" t="s">
        <v>115</v>
      </c>
      <c r="E45" s="69">
        <v>2.2000000000000002</v>
      </c>
      <c r="F45" s="69">
        <v>44.4</v>
      </c>
      <c r="G45" s="69"/>
      <c r="I45" t="s">
        <v>113</v>
      </c>
      <c r="J45" s="72">
        <v>163.19999999999999</v>
      </c>
      <c r="K45" s="72">
        <v>135.9</v>
      </c>
      <c r="L45" s="72">
        <v>124.4</v>
      </c>
      <c r="M45" s="72"/>
      <c r="P45" s="72"/>
      <c r="S45" s="72"/>
    </row>
    <row r="46" spans="1:19" x14ac:dyDescent="0.25">
      <c r="A46" s="67" t="s">
        <v>116</v>
      </c>
      <c r="B46" s="67"/>
      <c r="C46" s="67"/>
      <c r="D46" s="67" t="s">
        <v>115</v>
      </c>
      <c r="E46" s="69">
        <v>27.5</v>
      </c>
      <c r="F46" s="69">
        <v>32.200000000000003</v>
      </c>
      <c r="G46" s="69"/>
      <c r="L46" s="69"/>
      <c r="Q46" s="67"/>
    </row>
    <row r="47" spans="1:19" x14ac:dyDescent="0.25">
      <c r="A47" s="67" t="s">
        <v>117</v>
      </c>
      <c r="B47" s="67"/>
      <c r="C47" s="67"/>
      <c r="D47" s="69">
        <v>78.7</v>
      </c>
      <c r="E47" s="69">
        <v>29.3</v>
      </c>
      <c r="F47" s="69">
        <v>43.2</v>
      </c>
      <c r="G47" s="69"/>
      <c r="L47" s="69"/>
      <c r="Q47" s="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EDB5-D236-480F-8A8A-039638E007C9}">
  <dimension ref="A1:R28"/>
  <sheetViews>
    <sheetView workbookViewId="0">
      <selection activeCell="B12" sqref="B12"/>
    </sheetView>
  </sheetViews>
  <sheetFormatPr defaultRowHeight="15" x14ac:dyDescent="0.25"/>
  <cols>
    <col min="4" max="6" width="13" customWidth="1"/>
    <col min="9" max="9" width="25.5703125" customWidth="1"/>
    <col min="10" max="12" width="12.7109375" customWidth="1"/>
  </cols>
  <sheetData>
    <row r="1" spans="1:18" x14ac:dyDescent="0.25">
      <c r="A1" s="67" t="s">
        <v>55</v>
      </c>
      <c r="B1" s="67"/>
      <c r="C1" s="67"/>
      <c r="D1" s="67"/>
      <c r="E1" s="67"/>
      <c r="F1" s="67"/>
      <c r="I1" s="67" t="s">
        <v>55</v>
      </c>
      <c r="J1" s="67"/>
      <c r="K1" s="67"/>
      <c r="L1" s="67"/>
    </row>
    <row r="4" spans="1:18" x14ac:dyDescent="0.25">
      <c r="D4" s="67" t="s">
        <v>56</v>
      </c>
      <c r="E4" s="67"/>
      <c r="F4" s="67"/>
      <c r="G4" s="67"/>
      <c r="H4" s="67"/>
      <c r="M4" s="67"/>
      <c r="N4" s="67"/>
      <c r="O4" s="67"/>
      <c r="P4" s="67"/>
      <c r="Q4" s="67"/>
      <c r="R4" s="67"/>
    </row>
    <row r="5" spans="1:18" x14ac:dyDescent="0.25">
      <c r="D5" s="68">
        <v>2020</v>
      </c>
      <c r="E5" s="68">
        <v>2021</v>
      </c>
      <c r="F5" s="68">
        <v>2022</v>
      </c>
      <c r="G5" s="68"/>
      <c r="H5" s="68"/>
      <c r="J5" s="67" t="s">
        <v>56</v>
      </c>
      <c r="K5" s="67"/>
      <c r="L5" s="67"/>
      <c r="M5" s="68"/>
      <c r="Q5" s="68"/>
      <c r="R5" s="68"/>
    </row>
    <row r="6" spans="1:18" x14ac:dyDescent="0.25">
      <c r="A6" s="67" t="s">
        <v>57</v>
      </c>
      <c r="B6" s="67"/>
      <c r="C6" s="67"/>
      <c r="D6" s="69">
        <v>3355.7</v>
      </c>
      <c r="E6" s="69">
        <v>5109.1000000000004</v>
      </c>
      <c r="F6" s="69">
        <v>5485.5</v>
      </c>
      <c r="G6" s="69"/>
      <c r="J6" s="68">
        <v>2017</v>
      </c>
      <c r="K6" s="68">
        <v>2018</v>
      </c>
      <c r="L6" s="68">
        <v>2019</v>
      </c>
      <c r="Q6" s="69"/>
    </row>
    <row r="7" spans="1:18" x14ac:dyDescent="0.25">
      <c r="A7" s="67" t="s">
        <v>58</v>
      </c>
      <c r="B7" s="67"/>
      <c r="C7" s="67"/>
      <c r="D7" s="70">
        <v>1742.8</v>
      </c>
      <c r="E7" s="70">
        <v>2596.6999999999998</v>
      </c>
      <c r="F7" s="70">
        <v>2881.2</v>
      </c>
      <c r="G7" s="70"/>
      <c r="I7" t="s">
        <v>57</v>
      </c>
      <c r="J7" s="72">
        <v>3651.4</v>
      </c>
      <c r="K7" s="72">
        <v>3868</v>
      </c>
      <c r="L7" s="72">
        <v>3376.8</v>
      </c>
      <c r="Q7" s="70"/>
    </row>
    <row r="8" spans="1:18" x14ac:dyDescent="0.25">
      <c r="A8" s="67" t="s">
        <v>59</v>
      </c>
      <c r="B8" s="67"/>
      <c r="C8" s="67"/>
      <c r="D8" s="70">
        <v>1612.9</v>
      </c>
      <c r="E8" s="70">
        <v>2512.4</v>
      </c>
      <c r="F8" s="70">
        <v>2604.3000000000002</v>
      </c>
      <c r="G8" s="70"/>
      <c r="I8" t="s">
        <v>58</v>
      </c>
      <c r="J8" s="73">
        <v>1809.6</v>
      </c>
      <c r="K8" s="73">
        <v>1917.3</v>
      </c>
      <c r="L8" s="73">
        <v>1773</v>
      </c>
      <c r="Q8" s="70"/>
    </row>
    <row r="9" spans="1:18" x14ac:dyDescent="0.25">
      <c r="A9" s="67" t="s">
        <v>60</v>
      </c>
      <c r="B9" s="67"/>
      <c r="C9" s="67"/>
      <c r="I9" t="s">
        <v>59</v>
      </c>
      <c r="J9" s="73">
        <v>1841.8</v>
      </c>
      <c r="K9" s="73">
        <v>1950.7</v>
      </c>
      <c r="L9" s="73">
        <v>1603.8</v>
      </c>
    </row>
    <row r="10" spans="1:18" x14ac:dyDescent="0.25">
      <c r="A10" s="67" t="s">
        <v>61</v>
      </c>
      <c r="B10" s="67"/>
      <c r="C10" s="67"/>
      <c r="D10" s="70">
        <v>464.1</v>
      </c>
      <c r="E10" s="70">
        <v>532.29999999999995</v>
      </c>
      <c r="F10" s="70">
        <v>617.9</v>
      </c>
      <c r="G10" s="70"/>
      <c r="I10" t="s">
        <v>60</v>
      </c>
      <c r="Q10" s="70"/>
    </row>
    <row r="11" spans="1:18" x14ac:dyDescent="0.25">
      <c r="A11" s="67" t="s">
        <v>62</v>
      </c>
      <c r="B11" s="67"/>
      <c r="C11" s="67"/>
      <c r="D11" s="70">
        <v>231.4</v>
      </c>
      <c r="E11" s="70">
        <v>322.5</v>
      </c>
      <c r="F11" s="70">
        <v>329.8</v>
      </c>
      <c r="G11" s="70"/>
      <c r="I11" t="s">
        <v>61</v>
      </c>
      <c r="J11" s="73">
        <v>355.2</v>
      </c>
      <c r="K11" s="73">
        <v>404.5</v>
      </c>
      <c r="L11" s="73">
        <v>424.1</v>
      </c>
      <c r="Q11" s="70"/>
    </row>
    <row r="12" spans="1:18" x14ac:dyDescent="0.25">
      <c r="A12" s="67" t="s">
        <v>63</v>
      </c>
      <c r="B12" s="67"/>
      <c r="C12" s="67"/>
      <c r="D12" s="70">
        <v>11.8</v>
      </c>
      <c r="E12" s="70">
        <v>36</v>
      </c>
      <c r="F12" s="70">
        <v>98.9</v>
      </c>
      <c r="G12" s="70"/>
      <c r="I12" t="s">
        <v>118</v>
      </c>
      <c r="J12" s="73">
        <v>204.6</v>
      </c>
      <c r="K12" s="73">
        <v>207.8</v>
      </c>
      <c r="L12" s="73">
        <v>198.3</v>
      </c>
      <c r="Q12" s="70"/>
    </row>
    <row r="13" spans="1:18" x14ac:dyDescent="0.25">
      <c r="A13" s="67" t="s">
        <v>64</v>
      </c>
      <c r="B13" s="67"/>
      <c r="C13" s="67"/>
      <c r="D13" s="70">
        <v>13.8</v>
      </c>
      <c r="E13" s="70">
        <v>8.9</v>
      </c>
      <c r="F13" s="70">
        <v>30.7</v>
      </c>
      <c r="G13" s="70"/>
      <c r="I13" t="s">
        <v>63</v>
      </c>
      <c r="J13" s="73">
        <v>27.6</v>
      </c>
      <c r="K13" s="73">
        <v>18.3</v>
      </c>
      <c r="L13" s="73">
        <v>22.6</v>
      </c>
      <c r="Q13" s="70"/>
    </row>
    <row r="14" spans="1:18" x14ac:dyDescent="0.25">
      <c r="A14" s="67" t="s">
        <v>65</v>
      </c>
      <c r="B14" s="67"/>
      <c r="C14" s="67"/>
      <c r="D14" s="70">
        <v>721.1</v>
      </c>
      <c r="E14" s="70">
        <v>899.7</v>
      </c>
      <c r="F14" s="70">
        <v>1077.3</v>
      </c>
      <c r="G14" s="70"/>
      <c r="I14" t="s">
        <v>119</v>
      </c>
      <c r="J14" s="73">
        <v>0.60000000000000009</v>
      </c>
      <c r="K14" s="73">
        <v>0.8</v>
      </c>
      <c r="L14" s="73">
        <v>6.8</v>
      </c>
      <c r="Q14" s="70"/>
    </row>
    <row r="15" spans="1:18" x14ac:dyDescent="0.25">
      <c r="A15" s="67" t="s">
        <v>15</v>
      </c>
      <c r="B15" s="67"/>
      <c r="C15" s="67"/>
      <c r="D15" s="70">
        <v>891.8</v>
      </c>
      <c r="E15" s="70">
        <v>1612.7</v>
      </c>
      <c r="F15" s="70">
        <v>1527</v>
      </c>
      <c r="G15" s="70"/>
      <c r="I15" s="67" t="s">
        <v>65</v>
      </c>
      <c r="J15" s="73">
        <v>588</v>
      </c>
      <c r="K15" s="73">
        <v>631.4</v>
      </c>
      <c r="L15" s="73">
        <v>651.79999999999995</v>
      </c>
      <c r="Q15" s="70"/>
    </row>
    <row r="16" spans="1:18" x14ac:dyDescent="0.25">
      <c r="A16" s="67" t="s">
        <v>66</v>
      </c>
      <c r="B16" s="67"/>
      <c r="C16" s="67"/>
      <c r="D16" s="67" t="s">
        <v>67</v>
      </c>
      <c r="E16" s="71">
        <v>-13.4</v>
      </c>
      <c r="F16" s="71">
        <v>-47.9</v>
      </c>
      <c r="G16" s="71"/>
      <c r="I16" t="s">
        <v>15</v>
      </c>
      <c r="J16" s="73">
        <v>1253.8</v>
      </c>
      <c r="K16" s="73">
        <v>1319.3</v>
      </c>
      <c r="L16" s="73">
        <v>952</v>
      </c>
      <c r="Q16" s="67"/>
    </row>
    <row r="17" spans="1:17" x14ac:dyDescent="0.25">
      <c r="A17" s="67" t="s">
        <v>68</v>
      </c>
      <c r="B17" s="67"/>
      <c r="C17" s="67"/>
      <c r="D17" s="71">
        <v>-0.1</v>
      </c>
      <c r="E17" s="71">
        <v>-0.60000000000000009</v>
      </c>
      <c r="F17" s="71">
        <v>-2.5</v>
      </c>
      <c r="G17" s="71"/>
      <c r="I17" t="s">
        <v>120</v>
      </c>
      <c r="J17" s="73">
        <v>3.2</v>
      </c>
      <c r="K17" s="73">
        <v>12.8</v>
      </c>
      <c r="L17" s="73">
        <v>9</v>
      </c>
      <c r="Q17" s="71"/>
    </row>
    <row r="18" spans="1:17" x14ac:dyDescent="0.25">
      <c r="A18" s="67" t="s">
        <v>69</v>
      </c>
      <c r="B18" s="67"/>
      <c r="C18" s="67"/>
      <c r="D18" s="70">
        <v>891.7</v>
      </c>
      <c r="E18" s="70">
        <v>1598.7</v>
      </c>
      <c r="F18" s="70">
        <v>1476.6</v>
      </c>
      <c r="G18" s="70"/>
      <c r="I18" t="s">
        <v>69</v>
      </c>
      <c r="J18" s="73">
        <v>1257</v>
      </c>
      <c r="K18" s="73">
        <v>1332.1</v>
      </c>
      <c r="L18" s="73">
        <v>961</v>
      </c>
      <c r="Q18" s="70"/>
    </row>
    <row r="19" spans="1:17" x14ac:dyDescent="0.25">
      <c r="A19" s="67" t="s">
        <v>70</v>
      </c>
      <c r="B19" s="67"/>
      <c r="C19" s="67"/>
      <c r="D19" s="70">
        <v>76.900000000000006</v>
      </c>
      <c r="E19" s="70">
        <v>100.4</v>
      </c>
      <c r="F19" s="70">
        <v>201.4</v>
      </c>
      <c r="G19" s="70"/>
      <c r="I19" t="s">
        <v>70</v>
      </c>
      <c r="J19" s="73">
        <v>246.8</v>
      </c>
      <c r="K19" s="73">
        <v>413.7</v>
      </c>
      <c r="L19" s="73">
        <v>107.4</v>
      </c>
      <c r="Q19" s="70"/>
    </row>
    <row r="20" spans="1:17" x14ac:dyDescent="0.25">
      <c r="A20" s="67" t="s">
        <v>27</v>
      </c>
      <c r="B20" s="67"/>
      <c r="C20" s="67"/>
      <c r="D20" s="69">
        <v>814.8</v>
      </c>
      <c r="E20" s="69">
        <v>1498.3</v>
      </c>
      <c r="F20" s="69">
        <v>1275.2</v>
      </c>
      <c r="G20" s="69"/>
      <c r="I20" t="s">
        <v>27</v>
      </c>
      <c r="J20" s="72">
        <v>1010.2</v>
      </c>
      <c r="K20" s="72">
        <v>918.4</v>
      </c>
      <c r="L20" s="72">
        <v>853.6</v>
      </c>
      <c r="Q20" s="69"/>
    </row>
    <row r="21" spans="1:17" x14ac:dyDescent="0.25">
      <c r="A21" s="67" t="s">
        <v>71</v>
      </c>
      <c r="B21" s="67"/>
      <c r="C21" s="67"/>
      <c r="I21" t="s">
        <v>71</v>
      </c>
    </row>
    <row r="22" spans="1:17" x14ac:dyDescent="0.25">
      <c r="A22" s="67" t="s">
        <v>72</v>
      </c>
      <c r="B22" s="67"/>
      <c r="C22" s="67"/>
      <c r="D22" s="69">
        <v>4.84</v>
      </c>
      <c r="E22" s="69">
        <v>9.07</v>
      </c>
      <c r="F22" s="69">
        <v>7.85</v>
      </c>
      <c r="G22" s="69"/>
      <c r="I22" t="s">
        <v>72</v>
      </c>
      <c r="J22" s="72">
        <v>5.48</v>
      </c>
      <c r="K22" s="72">
        <v>5.0599999999999996</v>
      </c>
      <c r="L22" s="72">
        <v>4.92</v>
      </c>
      <c r="Q22" s="69"/>
    </row>
    <row r="23" spans="1:17" x14ac:dyDescent="0.25">
      <c r="A23" s="67" t="s">
        <v>73</v>
      </c>
      <c r="B23" s="67"/>
      <c r="C23" s="67"/>
      <c r="D23" s="69">
        <v>4.8</v>
      </c>
      <c r="E23" s="69">
        <v>8.9700000000000006</v>
      </c>
      <c r="F23" s="69">
        <v>7.81</v>
      </c>
      <c r="G23" s="69"/>
      <c r="I23" t="s">
        <v>73</v>
      </c>
      <c r="J23" s="72">
        <v>5.41</v>
      </c>
      <c r="K23" s="72">
        <v>5.01</v>
      </c>
      <c r="L23" s="72">
        <v>4.8899999999999997</v>
      </c>
      <c r="Q23" s="69"/>
    </row>
    <row r="24" spans="1:17" x14ac:dyDescent="0.25">
      <c r="A24" s="67" t="s">
        <v>74</v>
      </c>
      <c r="B24" s="67"/>
      <c r="C24" s="67"/>
      <c r="I24" t="s">
        <v>74</v>
      </c>
    </row>
    <row r="25" spans="1:17" x14ac:dyDescent="0.25">
      <c r="A25" s="67" t="s">
        <v>72</v>
      </c>
      <c r="B25" s="67"/>
      <c r="C25" s="67"/>
      <c r="D25" s="70">
        <v>168.5</v>
      </c>
      <c r="E25" s="70">
        <v>165.2</v>
      </c>
      <c r="F25" s="70">
        <v>162.4</v>
      </c>
      <c r="G25" s="70"/>
      <c r="I25" t="s">
        <v>72</v>
      </c>
      <c r="J25" s="73">
        <v>184.3</v>
      </c>
      <c r="K25" s="73">
        <v>181.3</v>
      </c>
      <c r="L25" s="73">
        <v>173.5</v>
      </c>
      <c r="Q25" s="70"/>
    </row>
    <row r="26" spans="1:17" x14ac:dyDescent="0.25">
      <c r="A26" s="67" t="s">
        <v>73</v>
      </c>
      <c r="B26" s="67"/>
      <c r="C26" s="67"/>
      <c r="D26" s="70">
        <v>169.9</v>
      </c>
      <c r="E26" s="70">
        <v>167</v>
      </c>
      <c r="F26" s="70">
        <v>163.30000000000001</v>
      </c>
      <c r="G26" s="70"/>
      <c r="I26" t="s">
        <v>73</v>
      </c>
      <c r="J26" s="73">
        <v>186.7</v>
      </c>
      <c r="K26" s="73">
        <v>183.2</v>
      </c>
      <c r="L26" s="73">
        <v>174.5</v>
      </c>
      <c r="Q26" s="70"/>
    </row>
    <row r="28" spans="1:17" x14ac:dyDescent="0.25">
      <c r="I28" t="s">
        <v>121</v>
      </c>
      <c r="J28" s="72">
        <v>1.1599999999999999</v>
      </c>
      <c r="K28" s="72">
        <v>1.34</v>
      </c>
      <c r="L28" s="7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SWKS DCF</vt:lpstr>
      <vt:lpstr>WACC</vt:lpstr>
      <vt:lpstr>Raw CF</vt:lpstr>
      <vt:lpstr>Raw 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2023-06-25T07:55:59Z</dcterms:modified>
</cp:coreProperties>
</file>