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ownloads\"/>
    </mc:Choice>
  </mc:AlternateContent>
  <xr:revisionPtr revIDLastSave="0" documentId="8_{D846694A-B251-4736-A2AA-9C8ADA136235}" xr6:coauthVersionLast="47" xr6:coauthVersionMax="47" xr10:uidLastSave="{00000000-0000-0000-0000-000000000000}"/>
  <bookViews>
    <workbookView xWindow="-120" yWindow="-120" windowWidth="20730" windowHeight="11040" xr2:uid="{3F256251-7061-49B2-9B0B-301EC1E08ECF}"/>
  </bookViews>
  <sheets>
    <sheet name="DPZ DCF" sheetId="1" r:id="rId1"/>
    <sheet name="WACC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1" i="1" l="1"/>
  <c r="L60" i="1"/>
  <c r="L61" i="1"/>
  <c r="L64" i="1"/>
  <c r="L63" i="1"/>
  <c r="N49" i="1"/>
  <c r="J11" i="1"/>
  <c r="K11" i="1"/>
  <c r="L11" i="1" s="1"/>
  <c r="I11" i="1"/>
  <c r="I45" i="1" s="1"/>
  <c r="D61" i="1"/>
  <c r="D60" i="1"/>
  <c r="D63" i="1"/>
  <c r="I23" i="1"/>
  <c r="J45" i="1"/>
  <c r="J42" i="1"/>
  <c r="K42" i="1"/>
  <c r="J30" i="1"/>
  <c r="I30" i="1"/>
  <c r="J31" i="1"/>
  <c r="I31" i="1"/>
  <c r="I22" i="1"/>
  <c r="J20" i="1"/>
  <c r="M20" i="1" s="1"/>
  <c r="D23" i="1"/>
  <c r="E23" i="1"/>
  <c r="F23" i="1"/>
  <c r="G23" i="1"/>
  <c r="H23" i="1"/>
  <c r="C23" i="1"/>
  <c r="E49" i="1"/>
  <c r="D31" i="1"/>
  <c r="E31" i="1"/>
  <c r="F31" i="1"/>
  <c r="G31" i="1"/>
  <c r="H31" i="1"/>
  <c r="C31" i="1"/>
  <c r="H52" i="1"/>
  <c r="F52" i="1"/>
  <c r="G52" i="1"/>
  <c r="C25" i="1"/>
  <c r="D25" i="1"/>
  <c r="E25" i="1"/>
  <c r="F25" i="1"/>
  <c r="F28" i="1" s="1"/>
  <c r="F30" i="1" s="1"/>
  <c r="G25" i="1"/>
  <c r="H25" i="1"/>
  <c r="H28" i="1" s="1"/>
  <c r="H30" i="1" s="1"/>
  <c r="I16" i="1"/>
  <c r="I14" i="1" s="1"/>
  <c r="D64" i="1"/>
  <c r="C12" i="2" s="1"/>
  <c r="G12" i="2"/>
  <c r="D6" i="2"/>
  <c r="D20" i="1"/>
  <c r="E20" i="1"/>
  <c r="F20" i="1"/>
  <c r="G20" i="1"/>
  <c r="H20" i="1"/>
  <c r="C20" i="1"/>
  <c r="H12" i="1"/>
  <c r="C43" i="1"/>
  <c r="D43" i="1"/>
  <c r="E16" i="1"/>
  <c r="D16" i="1"/>
  <c r="D17" i="1" s="1"/>
  <c r="C16" i="1"/>
  <c r="F43" i="1"/>
  <c r="C14" i="2"/>
  <c r="G12" i="1"/>
  <c r="C49" i="1"/>
  <c r="H49" i="1"/>
  <c r="G49" i="1"/>
  <c r="F49" i="1"/>
  <c r="D49" i="1"/>
  <c r="H46" i="1"/>
  <c r="G46" i="1"/>
  <c r="F46" i="1"/>
  <c r="E46" i="1"/>
  <c r="D46" i="1"/>
  <c r="C46" i="1"/>
  <c r="E43" i="1"/>
  <c r="H43" i="1"/>
  <c r="G43" i="1"/>
  <c r="H16" i="1"/>
  <c r="H17" i="1" s="1"/>
  <c r="G16" i="1"/>
  <c r="F16" i="1"/>
  <c r="F17" i="1" s="1"/>
  <c r="F12" i="1"/>
  <c r="E12" i="1"/>
  <c r="D12" i="1"/>
  <c r="J9" i="1"/>
  <c r="K9" i="1" s="1"/>
  <c r="L9" i="1" s="1"/>
  <c r="M9" i="1" s="1"/>
  <c r="N9" i="1" s="1"/>
  <c r="O9" i="1" s="1"/>
  <c r="P9" i="1" s="1"/>
  <c r="Q9" i="1" s="1"/>
  <c r="R9" i="1" s="1"/>
  <c r="L42" i="1" l="1"/>
  <c r="M11" i="1"/>
  <c r="L45" i="1"/>
  <c r="K30" i="1"/>
  <c r="K45" i="1"/>
  <c r="I42" i="1"/>
  <c r="L30" i="1"/>
  <c r="L22" i="1"/>
  <c r="K22" i="1"/>
  <c r="J22" i="1"/>
  <c r="D28" i="1"/>
  <c r="G28" i="1"/>
  <c r="E28" i="1"/>
  <c r="E35" i="1" s="1"/>
  <c r="C28" i="1"/>
  <c r="C35" i="1" s="1"/>
  <c r="C51" i="1" s="1"/>
  <c r="C54" i="1" s="1"/>
  <c r="C26" i="1"/>
  <c r="E26" i="1"/>
  <c r="G26" i="1"/>
  <c r="K12" i="2"/>
  <c r="G13" i="2" s="1"/>
  <c r="D52" i="1"/>
  <c r="G35" i="1"/>
  <c r="C17" i="1"/>
  <c r="E17" i="1"/>
  <c r="G17" i="1"/>
  <c r="D26" i="1"/>
  <c r="F26" i="1"/>
  <c r="H26" i="1"/>
  <c r="N11" i="1" l="1"/>
  <c r="M45" i="1"/>
  <c r="M42" i="1"/>
  <c r="M30" i="1"/>
  <c r="M23" i="1"/>
  <c r="M22" i="1" s="1"/>
  <c r="D30" i="1"/>
  <c r="E52" i="1"/>
  <c r="G30" i="1"/>
  <c r="C52" i="1"/>
  <c r="C13" i="2"/>
  <c r="K14" i="2" s="1"/>
  <c r="E5" i="1" s="1"/>
  <c r="F35" i="1"/>
  <c r="F39" i="1" s="1"/>
  <c r="D35" i="1"/>
  <c r="D51" i="1" s="1"/>
  <c r="D54" i="1" s="1"/>
  <c r="H35" i="1"/>
  <c r="H54" i="1" s="1"/>
  <c r="G39" i="1"/>
  <c r="G36" i="1"/>
  <c r="G51" i="1"/>
  <c r="G54" i="1" s="1"/>
  <c r="E39" i="1"/>
  <c r="E36" i="1"/>
  <c r="E51" i="1"/>
  <c r="E54" i="1" s="1"/>
  <c r="C39" i="1"/>
  <c r="C36" i="1"/>
  <c r="N42" i="1" l="1"/>
  <c r="O11" i="1"/>
  <c r="N45" i="1"/>
  <c r="N30" i="1"/>
  <c r="N23" i="1"/>
  <c r="N22" i="1" s="1"/>
  <c r="C30" i="1"/>
  <c r="E30" i="1"/>
  <c r="F51" i="1"/>
  <c r="F54" i="1" s="1"/>
  <c r="D36" i="1"/>
  <c r="D39" i="1"/>
  <c r="F36" i="1"/>
  <c r="H39" i="1"/>
  <c r="H36" i="1"/>
  <c r="P11" i="1" l="1"/>
  <c r="O45" i="1"/>
  <c r="O42" i="1"/>
  <c r="O30" i="1"/>
  <c r="O23" i="1"/>
  <c r="O22" i="1" s="1"/>
  <c r="I48" i="1"/>
  <c r="P42" i="1" l="1"/>
  <c r="Q11" i="1"/>
  <c r="P45" i="1"/>
  <c r="P30" i="1"/>
  <c r="P23" i="1"/>
  <c r="Q23" i="1"/>
  <c r="Q22" i="1" s="1"/>
  <c r="P22" i="1"/>
  <c r="R23" i="1"/>
  <c r="J48" i="1"/>
  <c r="J19" i="1"/>
  <c r="I19" i="1"/>
  <c r="I25" i="1" s="1"/>
  <c r="I28" i="1" s="1"/>
  <c r="I33" i="1" s="1"/>
  <c r="J16" i="1"/>
  <c r="R11" i="1" l="1"/>
  <c r="Q45" i="1"/>
  <c r="Q42" i="1"/>
  <c r="Q30" i="1"/>
  <c r="J25" i="1"/>
  <c r="J28" i="1" s="1"/>
  <c r="J33" i="1" s="1"/>
  <c r="I26" i="1"/>
  <c r="J35" i="1"/>
  <c r="K19" i="1"/>
  <c r="K48" i="1"/>
  <c r="K16" i="1"/>
  <c r="J14" i="1"/>
  <c r="R42" i="1" l="1"/>
  <c r="R45" i="1"/>
  <c r="R30" i="1"/>
  <c r="R22" i="1"/>
  <c r="J26" i="1"/>
  <c r="K25" i="1"/>
  <c r="K28" i="1" s="1"/>
  <c r="K33" i="1" s="1"/>
  <c r="I35" i="1"/>
  <c r="L19" i="1"/>
  <c r="L48" i="1"/>
  <c r="L16" i="1"/>
  <c r="K14" i="1"/>
  <c r="J38" i="1"/>
  <c r="J52" i="1" s="1"/>
  <c r="J36" i="1"/>
  <c r="K35" i="1" l="1"/>
  <c r="K38" i="1" s="1"/>
  <c r="K52" i="1" s="1"/>
  <c r="K26" i="1"/>
  <c r="L25" i="1"/>
  <c r="L28" i="1" s="1"/>
  <c r="L33" i="1" s="1"/>
  <c r="J51" i="1"/>
  <c r="J54" i="1" s="1"/>
  <c r="J55" i="1" s="1"/>
  <c r="I36" i="1"/>
  <c r="I38" i="1"/>
  <c r="M19" i="1"/>
  <c r="M48" i="1"/>
  <c r="M16" i="1"/>
  <c r="L14" i="1"/>
  <c r="K36" i="1"/>
  <c r="M25" i="1" l="1"/>
  <c r="M28" i="1" s="1"/>
  <c r="M33" i="1" s="1"/>
  <c r="I51" i="1"/>
  <c r="I54" i="1" s="1"/>
  <c r="I55" i="1" s="1"/>
  <c r="I52" i="1"/>
  <c r="L35" i="1"/>
  <c r="L36" i="1" s="1"/>
  <c r="L26" i="1"/>
  <c r="M14" i="1"/>
  <c r="K51" i="1"/>
  <c r="K54" i="1" s="1"/>
  <c r="K55" i="1" s="1"/>
  <c r="N19" i="1"/>
  <c r="N48" i="1"/>
  <c r="N16" i="1"/>
  <c r="M35" i="1" l="1"/>
  <c r="M38" i="1" s="1"/>
  <c r="M52" i="1" s="1"/>
  <c r="L38" i="1"/>
  <c r="L52" i="1" s="1"/>
  <c r="N25" i="1"/>
  <c r="N28" i="1" s="1"/>
  <c r="N33" i="1" s="1"/>
  <c r="M26" i="1"/>
  <c r="N35" i="1"/>
  <c r="N14" i="1"/>
  <c r="M36" i="1"/>
  <c r="O19" i="1"/>
  <c r="O16" i="1"/>
  <c r="O48" i="1"/>
  <c r="L51" i="1" l="1"/>
  <c r="L54" i="1" s="1"/>
  <c r="L55" i="1" s="1"/>
  <c r="N26" i="1"/>
  <c r="O25" i="1"/>
  <c r="O28" i="1" s="1"/>
  <c r="O33" i="1" s="1"/>
  <c r="O14" i="1"/>
  <c r="M51" i="1"/>
  <c r="M54" i="1" s="1"/>
  <c r="M55" i="1" s="1"/>
  <c r="N36" i="1"/>
  <c r="N38" i="1"/>
  <c r="N51" i="1" s="1"/>
  <c r="N54" i="1" s="1"/>
  <c r="N55" i="1" s="1"/>
  <c r="P19" i="1"/>
  <c r="P48" i="1"/>
  <c r="P16" i="1"/>
  <c r="O35" i="1" l="1"/>
  <c r="O38" i="1" s="1"/>
  <c r="O51" i="1" s="1"/>
  <c r="O54" i="1" s="1"/>
  <c r="O55" i="1" s="1"/>
  <c r="P25" i="1"/>
  <c r="P28" i="1" s="1"/>
  <c r="P33" i="1" s="1"/>
  <c r="N52" i="1"/>
  <c r="O26" i="1"/>
  <c r="O36" i="1"/>
  <c r="Q19" i="1"/>
  <c r="Q48" i="1"/>
  <c r="Q16" i="1"/>
  <c r="P14" i="1"/>
  <c r="O52" i="1" l="1"/>
  <c r="Q25" i="1"/>
  <c r="Q28" i="1" s="1"/>
  <c r="Q33" i="1" s="1"/>
  <c r="P26" i="1"/>
  <c r="P35" i="1"/>
  <c r="P36" i="1" s="1"/>
  <c r="R19" i="1"/>
  <c r="R48" i="1"/>
  <c r="R16" i="1"/>
  <c r="Q14" i="1"/>
  <c r="R25" i="1" l="1"/>
  <c r="R28" i="1" s="1"/>
  <c r="R33" i="1" s="1"/>
  <c r="Q26" i="1"/>
  <c r="P38" i="1"/>
  <c r="P52" i="1" s="1"/>
  <c r="Q35" i="1"/>
  <c r="R35" i="1"/>
  <c r="R14" i="1"/>
  <c r="R26" i="1" l="1"/>
  <c r="P51" i="1"/>
  <c r="P54" i="1" s="1"/>
  <c r="P55" i="1" s="1"/>
  <c r="R38" i="1"/>
  <c r="R36" i="1"/>
  <c r="R51" i="1"/>
  <c r="R54" i="1" s="1"/>
  <c r="Q36" i="1"/>
  <c r="Q38" i="1"/>
  <c r="Q52" i="1" s="1"/>
  <c r="R52" i="1" l="1"/>
  <c r="S52" i="1" s="1"/>
  <c r="T52" i="1" s="1"/>
  <c r="U52" i="1" s="1"/>
  <c r="V52" i="1" s="1"/>
  <c r="W52" i="1" s="1"/>
  <c r="X52" i="1" s="1"/>
  <c r="Y52" i="1" s="1"/>
  <c r="Z52" i="1" s="1"/>
  <c r="AA52" i="1" s="1"/>
  <c r="AB52" i="1" s="1"/>
  <c r="AC52" i="1" s="1"/>
  <c r="AD52" i="1" s="1"/>
  <c r="AE52" i="1" s="1"/>
  <c r="AF52" i="1" s="1"/>
  <c r="AG52" i="1" s="1"/>
  <c r="AH52" i="1" s="1"/>
  <c r="AI52" i="1" s="1"/>
  <c r="AJ52" i="1" s="1"/>
  <c r="AK52" i="1" s="1"/>
  <c r="AL52" i="1" s="1"/>
  <c r="AM52" i="1" s="1"/>
  <c r="AN52" i="1" s="1"/>
  <c r="AO52" i="1" s="1"/>
  <c r="AP52" i="1" s="1"/>
  <c r="AQ52" i="1" s="1"/>
  <c r="AR52" i="1" s="1"/>
  <c r="AS52" i="1" s="1"/>
  <c r="AT52" i="1" s="1"/>
  <c r="AU52" i="1" s="1"/>
  <c r="AV52" i="1" s="1"/>
  <c r="AW52" i="1" s="1"/>
  <c r="AX52" i="1" s="1"/>
  <c r="AY52" i="1" s="1"/>
  <c r="AZ52" i="1" s="1"/>
  <c r="BA52" i="1" s="1"/>
  <c r="BB52" i="1" s="1"/>
  <c r="BC52" i="1" s="1"/>
  <c r="BD52" i="1" s="1"/>
  <c r="BE52" i="1" s="1"/>
  <c r="BF52" i="1" s="1"/>
  <c r="BG52" i="1" s="1"/>
  <c r="BH52" i="1" s="1"/>
  <c r="BI52" i="1" s="1"/>
  <c r="BJ52" i="1" s="1"/>
  <c r="BK52" i="1" s="1"/>
  <c r="BL52" i="1" s="1"/>
  <c r="BM52" i="1" s="1"/>
  <c r="BN52" i="1" s="1"/>
  <c r="BO52" i="1" s="1"/>
  <c r="BP52" i="1" s="1"/>
  <c r="BQ52" i="1" s="1"/>
  <c r="BR52" i="1" s="1"/>
  <c r="BS52" i="1" s="1"/>
  <c r="BT52" i="1" s="1"/>
  <c r="BU52" i="1" s="1"/>
  <c r="BV52" i="1" s="1"/>
  <c r="BW52" i="1" s="1"/>
  <c r="BX52" i="1" s="1"/>
  <c r="BY52" i="1" s="1"/>
  <c r="BZ52" i="1" s="1"/>
  <c r="CA52" i="1" s="1"/>
  <c r="CB52" i="1" s="1"/>
  <c r="CC52" i="1" s="1"/>
  <c r="CD52" i="1" s="1"/>
  <c r="CE52" i="1" s="1"/>
  <c r="CF52" i="1" s="1"/>
  <c r="CG52" i="1" s="1"/>
  <c r="CH52" i="1" s="1"/>
  <c r="Q51" i="1"/>
  <c r="Q54" i="1" s="1"/>
  <c r="Q55" i="1" s="1"/>
  <c r="R55" i="1"/>
  <c r="C57" i="1"/>
  <c r="C58" i="1" s="1"/>
  <c r="F57" i="1" l="1"/>
  <c r="H60" i="1" s="1"/>
  <c r="H62" i="1" s="1"/>
  <c r="H65" i="1" s="1"/>
  <c r="G60" i="1"/>
  <c r="G62" i="1" s="1"/>
  <c r="G65" i="1" s="1"/>
  <c r="E65" i="1" l="1"/>
  <c r="J6" i="1" s="1"/>
  <c r="N5" i="1" s="1"/>
  <c r="L59" i="1" l="1"/>
</calcChain>
</file>

<file path=xl/sharedStrings.xml><?xml version="1.0" encoding="utf-8"?>
<sst xmlns="http://schemas.openxmlformats.org/spreadsheetml/2006/main" count="68" uniqueCount="55">
  <si>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</si>
  <si>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</si>
  <si>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</si>
  <si>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</si>
  <si>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</si>
  <si>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</si>
  <si>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</si>
  <si>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</si>
  <si>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</si>
  <si>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</si>
  <si>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</si>
  <si>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</si>
  <si>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 xml:space="preserve">Other </t>
  </si>
  <si>
    <t>Opex</t>
  </si>
  <si>
    <t>Operating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</si>
  <si>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</si>
  <si>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</si>
  <si>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</si>
  <si>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</si>
  <si>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</si>
  <si>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</si>
  <si>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</si>
  <si>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</si>
  <si>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</si>
  <si>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</si>
  <si>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</si>
  <si>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</si>
  <si>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</si>
  <si>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</si>
  <si>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</si>
  <si>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</si>
  <si>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</si>
  <si>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</si>
  <si>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</si>
  <si>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</si>
  <si>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</si>
  <si>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</si>
  <si>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</si>
  <si>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</si>
  <si>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</si>
  <si>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SG&amp;A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</si>
  <si>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</si>
  <si>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</si>
  <si>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</si>
  <si>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</si>
  <si>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</si>
  <si>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</si>
  <si>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</si>
  <si>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</si>
  <si>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</si>
  <si>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</si>
  <si>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 xml:space="preserve">                                             Terminal Growth Rate</t>
  </si>
  <si>
    <t>Other income</t>
  </si>
  <si>
    <t>Domino's Pizza DCF</t>
  </si>
  <si>
    <t>Date: 1/06/2023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</si>
</sst>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3F5D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6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3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2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1" fontId="3" fillId="2" borderId="0" xfId="0" applyNumberFormat="1" applyFont="1" applyFill="1"/>
    <xf numFmtId="10" fontId="3" fillId="2" borderId="0" xfId="1" applyNumberFormat="1" applyFont="1" applyFill="1"/>
    <xf numFmtId="0" fontId="0" fillId="2" borderId="3" xfId="0" applyFill="1" applyBorder="1"/>
    <xf numFmtId="3" fontId="0" fillId="2" borderId="0" xfId="0" applyNumberFormat="1" applyFill="1"/>
    <xf numFmtId="3" fontId="3" fillId="0" borderId="0" xfId="0" applyNumberFormat="1" applyFont="1"/>
    <xf numFmtId="0" fontId="3" fillId="4" borderId="0" xfId="0" applyFont="1" applyFill="1"/>
    <xf numFmtId="0" fontId="3" fillId="2" borderId="7" xfId="0" applyFont="1" applyFill="1" applyBorder="1"/>
    <xf numFmtId="0" fontId="3" fillId="2" borderId="8" xfId="0" applyFont="1" applyFill="1" applyBorder="1"/>
    <xf numFmtId="1" fontId="0" fillId="2" borderId="0" xfId="0" applyNumberFormat="1" applyFill="1"/>
    <xf numFmtId="1" fontId="0" fillId="2" borderId="4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0" fillId="2" borderId="6" xfId="0" applyFill="1" applyBorder="1"/>
    <xf numFmtId="0" fontId="3" fillId="2" borderId="9" xfId="0" applyFont="1" applyFill="1" applyBorder="1"/>
    <xf numFmtId="2" fontId="6" fillId="2" borderId="0" xfId="0" applyNumberFormat="1" applyFont="1" applyFill="1"/>
    <xf numFmtId="2" fontId="2" fillId="2" borderId="0" xfId="0" applyNumberFormat="1" applyFont="1" applyFill="1"/>
    <xf numFmtId="3" fontId="0" fillId="0" borderId="0" xfId="0" applyNumberFormat="1"/>
    <xf numFmtId="3" fontId="0" fillId="2" borderId="1" xfId="0" applyNumberFormat="1" applyFill="1" applyBorder="1"/>
    <xf numFmtId="0" fontId="8" fillId="2" borderId="0" xfId="0" applyFont="1" applyFill="1"/>
    <xf numFmtId="0" fontId="0" fillId="2" borderId="1" xfId="0" applyFill="1" applyBorder="1"/>
    <xf numFmtId="0" fontId="0" fillId="2" borderId="5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0" fontId="2" fillId="2" borderId="10" xfId="0" applyFont="1" applyFill="1" applyBorder="1"/>
    <xf numFmtId="0" fontId="0" fillId="2" borderId="11" xfId="0" applyFill="1" applyBorder="1"/>
    <xf numFmtId="10" fontId="2" fillId="2" borderId="12" xfId="0" applyNumberFormat="1" applyFont="1" applyFill="1" applyBorder="1"/>
    <xf numFmtId="0" fontId="0" fillId="8" borderId="0" xfId="0" applyFill="1"/>
    <xf numFmtId="1" fontId="3" fillId="8" borderId="0" xfId="0" applyNumberFormat="1" applyFont="1" applyFill="1"/>
    <xf numFmtId="1" fontId="3" fillId="2" borderId="13" xfId="0" applyNumberFormat="1" applyFont="1" applyFill="1" applyBorder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0" fillId="8" borderId="0" xfId="0" applyNumberFormat="1" applyFill="1" applyAlignment="1">
      <alignment horizontal="left"/>
    </xf>
    <xf numFmtId="164" fontId="0" fillId="8" borderId="0" xfId="1" applyNumberFormat="1" applyFont="1" applyFill="1" applyAlignment="1">
      <alignment horizontal="left"/>
    </xf>
    <xf numFmtId="2" fontId="3" fillId="2" borderId="0" xfId="0" applyNumberFormat="1" applyFont="1" applyFill="1" applyAlignment="1">
      <alignment horizontal="left"/>
    </xf>
    <xf numFmtId="2" fontId="3" fillId="2" borderId="0" xfId="0" applyNumberFormat="1" applyFont="1" applyFill="1"/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9" fillId="10" borderId="0" xfId="0" applyNumberFormat="1" applyFont="1" applyFill="1" applyAlignment="1">
      <alignment horizontal="center"/>
    </xf>
    <xf numFmtId="1" fontId="3" fillId="2" borderId="5" xfId="0" applyNumberFormat="1" applyFont="1" applyFill="1" applyBorder="1"/>
    <xf numFmtId="0" fontId="6" fillId="4" borderId="3" xfId="0" applyFont="1" applyFill="1" applyBorder="1"/>
    <xf numFmtId="164" fontId="7" fillId="11" borderId="0" xfId="1" applyNumberFormat="1" applyFont="1" applyFill="1"/>
    <xf numFmtId="164" fontId="3" fillId="11" borderId="0" xfId="1" applyNumberFormat="1" applyFont="1" applyFill="1"/>
    <xf numFmtId="3" fontId="3" fillId="2" borderId="1" xfId="0" applyNumberFormat="1" applyFont="1" applyFill="1" applyBorder="1"/>
    <xf numFmtId="164" fontId="0" fillId="8" borderId="0" xfId="0" applyNumberFormat="1" applyFill="1" applyAlignment="1">
      <alignment horizontal="center"/>
    </xf>
    <xf numFmtId="1" fontId="0" fillId="2" borderId="3" xfId="0" applyNumberFormat="1" applyFill="1" applyBorder="1"/>
    <xf numFmtId="3" fontId="0" fillId="2" borderId="3" xfId="0" applyNumberFormat="1" applyFill="1" applyBorder="1"/>
    <xf numFmtId="164" fontId="10" fillId="2" borderId="3" xfId="1" applyNumberFormat="1" applyFont="1" applyFill="1" applyBorder="1"/>
    <xf numFmtId="164" fontId="10" fillId="2" borderId="0" xfId="1" applyNumberFormat="1" applyFont="1" applyFill="1" applyBorder="1"/>
    <xf numFmtId="0" fontId="2" fillId="3" borderId="3" xfId="0" applyFont="1" applyFill="1" applyBorder="1"/>
    <xf numFmtId="10" fontId="0" fillId="2" borderId="0" xfId="0" applyNumberFormat="1" applyFill="1"/>
    <xf numFmtId="0" fontId="2" fillId="3" borderId="0" xfId="0" applyFont="1" applyFill="1"/>
    <xf numFmtId="1" fontId="0" fillId="2" borderId="14" xfId="0" applyNumberFormat="1" applyFill="1" applyBorder="1"/>
    <xf numFmtId="1" fontId="0" fillId="2" borderId="1" xfId="0" applyNumberFormat="1" applyFill="1" applyBorder="1"/>
    <xf numFmtId="164" fontId="10" fillId="9" borderId="3" xfId="1" applyNumberFormat="1" applyFont="1" applyFill="1" applyBorder="1"/>
    <xf numFmtId="164" fontId="10" fillId="9" borderId="0" xfId="1" applyNumberFormat="1" applyFont="1" applyFill="1" applyBorder="1"/>
    <xf numFmtId="10" fontId="10" fillId="9" borderId="3" xfId="0" applyNumberFormat="1" applyFont="1" applyFill="1" applyBorder="1"/>
    <xf numFmtId="10" fontId="10" fillId="9" borderId="0" xfId="0" applyNumberFormat="1" applyFont="1" applyFill="1"/>
    <xf numFmtId="10" fontId="10" fillId="9" borderId="3" xfId="1" applyNumberFormat="1" applyFont="1" applyFill="1" applyBorder="1"/>
    <xf numFmtId="10" fontId="10" fillId="9" borderId="0" xfId="1" applyNumberFormat="1" applyFont="1" applyFill="1" applyBorder="1"/>
    <xf numFmtId="164" fontId="10" fillId="9" borderId="3" xfId="0" applyNumberFormat="1" applyFont="1" applyFill="1" applyBorder="1"/>
    <xf numFmtId="164" fontId="10" fillId="9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3F5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4064-8197-4774-A1FA-A1F3B33925A7}">
  <dimension ref="A1:CH66"/>
  <sheetViews>
    <sheetView tabSelected="1" zoomScaleNormal="100" workbookViewId="0">
      <selection activeCell="G7" sqref="G7"/>
    </sheetView>
  </sheetViews>
  <sheetFormatPr defaultRowHeight="15" x14ac:dyDescent="0.25"/>
  <cols>
    <col min="1" max="1" width="9.140625" style="2"/>
    <col min="2" max="2" width="17.28515625" style="2" customWidth="1"/>
    <col min="3" max="6" width="9.140625" style="2"/>
    <col min="7" max="7" width="10.140625" style="2" bestFit="1" customWidth="1"/>
    <col min="8" max="8" width="11.140625" style="2" customWidth="1"/>
    <col min="9" max="9" width="10.42578125" style="2" customWidth="1"/>
    <col min="10" max="10" width="10.5703125" style="2" bestFit="1" customWidth="1"/>
    <col min="11" max="11" width="9.42578125" style="2" customWidth="1"/>
    <col min="12" max="12" width="10.5703125" style="2" bestFit="1" customWidth="1"/>
    <col min="13" max="15" width="11.5703125" style="2" bestFit="1" customWidth="1"/>
    <col min="16" max="17" width="12.5703125" style="2" bestFit="1" customWidth="1"/>
    <col min="18" max="18" width="10.5703125" style="2" bestFit="1" customWidth="1"/>
    <col min="19" max="16384" width="9.140625" style="2"/>
  </cols>
  <sheetData>
    <row r="1" spans="1:18" s="51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spans="1:18" s="51" customFormat="1" ht="23.25" x14ac:dyDescent="0.35">
      <c r="A2" s="3"/>
      <c r="B2" s="4" t="s">
        <v>53</v>
      </c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0"/>
    </row>
    <row r="3" spans="1:18" s="51" customFormat="1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spans="1:18" s="51" customFormat="1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spans="1:18" s="51" customFormat="1" x14ac:dyDescent="0.25">
      <c r="A5" s="1"/>
      <c r="B5" s="1"/>
      <c r="C5" s="7" t="s">
        <v>1</v>
      </c>
      <c r="D5" s="1"/>
      <c r="E5" s="8">
        <f>WACC!K14</f>
        <v>8.2458765027062328E-2</v>
      </c>
      <c r="F5" s="2"/>
      <c r="G5" s="1"/>
      <c r="H5" s="1" t="s">
        <v>2</v>
      </c>
      <c r="I5" s="1"/>
      <c r="J5" s="7">
        <v>293.43</v>
      </c>
      <c r="K5" s="1"/>
      <c r="L5" s="1" t="s">
        <v>3</v>
      </c>
      <c r="M5" s="1"/>
      <c r="N5" s="7">
        <f>(J6/J5)-1</f>
        <v>0.18480032704973137</v>
      </c>
      <c r="O5" s="1"/>
      <c r="P5" s="2"/>
      <c r="Q5" s="1"/>
      <c r="R5" s="2"/>
    </row>
    <row r="6" spans="1:18" s="51" customFormat="1" x14ac:dyDescent="0.25">
      <c r="A6" s="1"/>
      <c r="B6" s="1"/>
      <c r="C6" s="7" t="s">
        <v>4</v>
      </c>
      <c r="D6" s="1"/>
      <c r="E6" s="8">
        <v>0.02</v>
      </c>
      <c r="F6" s="2"/>
      <c r="G6" s="1"/>
      <c r="H6" s="1" t="s">
        <v>5</v>
      </c>
      <c r="I6" s="1"/>
      <c r="J6" s="58">
        <f>E65</f>
        <v>347.65595996620272</v>
      </c>
      <c r="K6" s="1"/>
      <c r="L6" s="1" t="s">
        <v>54</v>
      </c>
      <c r="M6" s="1"/>
      <c r="N6" s="1"/>
      <c r="O6" s="1"/>
      <c r="P6" s="1"/>
      <c r="Q6" s="1"/>
      <c r="R6" s="2"/>
    </row>
    <row r="7" spans="1:18" s="51" customFormat="1" x14ac:dyDescent="0.25">
      <c r="A7" s="1"/>
      <c r="B7" s="1"/>
      <c r="C7" s="1"/>
      <c r="D7" s="1"/>
      <c r="E7" s="8"/>
      <c r="F7" s="1"/>
      <c r="G7" s="1"/>
      <c r="H7" s="1"/>
      <c r="I7" s="1"/>
      <c r="J7" s="1"/>
      <c r="K7" s="18"/>
      <c r="L7" s="2"/>
      <c r="M7" s="2"/>
      <c r="N7" s="1"/>
      <c r="O7" s="1"/>
      <c r="P7" s="1"/>
      <c r="Q7" s="1"/>
      <c r="R7" s="2"/>
    </row>
    <row r="8" spans="1:18" s="51" customFormat="1" x14ac:dyDescent="0.25">
      <c r="A8" s="1"/>
      <c r="B8" s="1"/>
      <c r="C8" s="1"/>
      <c r="D8" s="1"/>
      <c r="E8" s="8"/>
      <c r="F8" s="1"/>
      <c r="G8" s="1"/>
      <c r="H8" s="1"/>
      <c r="I8" s="1"/>
      <c r="J8" s="1"/>
      <c r="K8" s="18"/>
      <c r="L8" s="1"/>
      <c r="M8" s="1"/>
      <c r="N8" s="1"/>
      <c r="O8" s="1"/>
      <c r="P8" s="1"/>
      <c r="Q8" s="1"/>
      <c r="R8" s="2"/>
    </row>
    <row r="9" spans="1:18" s="51" customFormat="1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18" s="51" customFormat="1" x14ac:dyDescent="0.25">
      <c r="A10" s="1"/>
      <c r="B10" s="9" t="s">
        <v>6</v>
      </c>
      <c r="C10" s="9">
        <v>2017</v>
      </c>
      <c r="D10" s="9">
        <v>2018</v>
      </c>
      <c r="E10" s="9">
        <v>2019</v>
      </c>
      <c r="F10" s="9">
        <v>2020</v>
      </c>
      <c r="G10" s="9">
        <v>2021</v>
      </c>
      <c r="H10" s="9">
        <v>2022</v>
      </c>
      <c r="I10" s="64">
        <v>2023</v>
      </c>
      <c r="J10" s="10">
        <v>2024</v>
      </c>
      <c r="K10" s="10">
        <v>2025</v>
      </c>
      <c r="L10" s="10">
        <v>2026</v>
      </c>
      <c r="M10" s="10">
        <v>2027</v>
      </c>
      <c r="N10" s="10">
        <v>2028</v>
      </c>
      <c r="O10" s="10">
        <v>2029</v>
      </c>
      <c r="P10" s="10">
        <v>2030</v>
      </c>
      <c r="Q10" s="10">
        <v>2031</v>
      </c>
      <c r="R10" s="10">
        <v>2032</v>
      </c>
    </row>
    <row r="11" spans="1:18" s="51" customFormat="1" x14ac:dyDescent="0.25">
      <c r="A11" s="1"/>
      <c r="B11" s="1" t="s">
        <v>7</v>
      </c>
      <c r="C11" s="11">
        <v>2787979</v>
      </c>
      <c r="D11" s="11">
        <v>3432867</v>
      </c>
      <c r="E11" s="11">
        <v>3618774</v>
      </c>
      <c r="F11" s="11">
        <v>4117411</v>
      </c>
      <c r="G11" s="11">
        <v>4357373</v>
      </c>
      <c r="H11" s="11">
        <v>4537158</v>
      </c>
      <c r="I11" s="69">
        <f>H11*(1+I12)</f>
        <v>4610000</v>
      </c>
      <c r="J11" s="26">
        <f t="shared" ref="J11:R11" si="1">I11*(1+J12)</f>
        <v>4850000</v>
      </c>
      <c r="K11" s="26">
        <f t="shared" si="1"/>
        <v>5050000</v>
      </c>
      <c r="L11" s="26">
        <f t="shared" si="1"/>
        <v>5270000</v>
      </c>
      <c r="M11" s="26">
        <f t="shared" si="1"/>
        <v>5580000</v>
      </c>
      <c r="N11" s="26">
        <f t="shared" si="1"/>
        <v>6540000</v>
      </c>
      <c r="O11" s="26">
        <f t="shared" si="1"/>
        <v>6940000</v>
      </c>
      <c r="P11" s="26">
        <f t="shared" si="1"/>
        <v>7320000.0000000009</v>
      </c>
      <c r="Q11" s="26">
        <f t="shared" si="1"/>
        <v>7660000.0000000009</v>
      </c>
      <c r="R11" s="26">
        <f t="shared" si="1"/>
        <v>8020000.0000000009</v>
      </c>
    </row>
    <row r="12" spans="1:18" s="51" customFormat="1" x14ac:dyDescent="0.25">
      <c r="A12" s="1"/>
      <c r="B12" s="13" t="s">
        <v>8</v>
      </c>
      <c r="C12" s="65"/>
      <c r="D12" s="65">
        <f>(D11/C11)-1</f>
        <v>0.23131020714288031</v>
      </c>
      <c r="E12" s="65">
        <f>(E11/D11)-1</f>
        <v>5.4155025522398592E-2</v>
      </c>
      <c r="F12" s="65">
        <f>(F11/E11)-1</f>
        <v>0.13779169409308234</v>
      </c>
      <c r="G12" s="65">
        <f>(G11/F11)-1</f>
        <v>5.827982681350008E-2</v>
      </c>
      <c r="H12" s="65">
        <f>(H11/G11)-1</f>
        <v>4.1259951810414197E-2</v>
      </c>
      <c r="I12" s="78">
        <v>1.6054543394785847E-2</v>
      </c>
      <c r="J12" s="79">
        <v>5.2060737527114931E-2</v>
      </c>
      <c r="K12" s="79">
        <v>4.1237113402061931E-2</v>
      </c>
      <c r="L12" s="79">
        <v>4.3564356435643603E-2</v>
      </c>
      <c r="M12" s="79">
        <v>5.8823529411764719E-2</v>
      </c>
      <c r="N12" s="79">
        <v>0.17204301075268824</v>
      </c>
      <c r="O12" s="79">
        <v>6.1162079510703293E-2</v>
      </c>
      <c r="P12" s="79">
        <v>5.4755043227665778E-2</v>
      </c>
      <c r="Q12" s="79">
        <v>4.644808743169393E-2</v>
      </c>
      <c r="R12" s="79">
        <v>4.6997389033942572E-2</v>
      </c>
    </row>
    <row r="13" spans="1:18" s="51" customFormat="1" x14ac:dyDescent="0.25">
      <c r="A13" s="1"/>
      <c r="B13" s="6"/>
      <c r="C13" s="1"/>
      <c r="D13" s="1"/>
      <c r="E13" s="1"/>
      <c r="F13" s="1"/>
      <c r="G13" s="1"/>
      <c r="H13" s="1"/>
      <c r="I13" s="20"/>
      <c r="J13" s="74"/>
      <c r="K13" s="74"/>
      <c r="L13" s="74"/>
      <c r="M13" s="74"/>
      <c r="N13" s="74"/>
      <c r="O13" s="74"/>
      <c r="P13" s="74"/>
      <c r="Q13" s="74"/>
      <c r="R13" s="74"/>
    </row>
    <row r="14" spans="1:18" s="51" customFormat="1" x14ac:dyDescent="0.25">
      <c r="A14" s="1"/>
      <c r="B14" s="1" t="s">
        <v>9</v>
      </c>
      <c r="C14" s="11">
        <v>1921988</v>
      </c>
      <c r="D14" s="11">
        <v>2130188</v>
      </c>
      <c r="E14" s="11">
        <v>2216275</v>
      </c>
      <c r="F14" s="11">
        <v>2522918</v>
      </c>
      <c r="G14" s="11">
        <v>2669131</v>
      </c>
      <c r="H14" s="11">
        <v>2888552</v>
      </c>
      <c r="I14" s="76">
        <f t="shared" ref="I14:R14" si="2">I11-I16</f>
        <v>2879867</v>
      </c>
      <c r="J14" s="77">
        <f t="shared" si="2"/>
        <v>3010880</v>
      </c>
      <c r="K14" s="77">
        <f t="shared" si="2"/>
        <v>3077975</v>
      </c>
      <c r="L14" s="77">
        <f t="shared" si="2"/>
        <v>3177810</v>
      </c>
      <c r="M14" s="77">
        <f t="shared" si="2"/>
        <v>3336840</v>
      </c>
      <c r="N14" s="77">
        <f t="shared" si="2"/>
        <v>3891300</v>
      </c>
      <c r="O14" s="77">
        <f t="shared" si="2"/>
        <v>4108480</v>
      </c>
      <c r="P14" s="77">
        <f t="shared" si="2"/>
        <v>4311480.0000000009</v>
      </c>
      <c r="Q14" s="77">
        <f t="shared" si="2"/>
        <v>4496420.0000000009</v>
      </c>
      <c r="R14" s="77">
        <f t="shared" si="2"/>
        <v>4707740.0000000009</v>
      </c>
    </row>
    <row r="15" spans="1:18" s="51" customFormat="1" x14ac:dyDescent="0.25">
      <c r="A15" s="1"/>
      <c r="B15" s="17"/>
      <c r="C15" s="17"/>
      <c r="D15" s="17"/>
      <c r="E15" s="17"/>
      <c r="F15" s="17"/>
      <c r="G15" s="17"/>
      <c r="H15" s="17"/>
      <c r="I15" s="20"/>
      <c r="J15" s="2"/>
      <c r="K15" s="2"/>
      <c r="L15" s="2"/>
      <c r="M15" s="2"/>
      <c r="N15" s="2"/>
      <c r="O15" s="2"/>
      <c r="P15" s="2"/>
      <c r="Q15" s="2"/>
      <c r="R15" s="2"/>
    </row>
    <row r="16" spans="1:18" s="51" customFormat="1" x14ac:dyDescent="0.25">
      <c r="A16" s="1"/>
      <c r="B16" s="1" t="s">
        <v>10</v>
      </c>
      <c r="C16" s="11">
        <f t="shared" ref="C16:H16" si="3">C11-C14</f>
        <v>865991</v>
      </c>
      <c r="D16" s="11">
        <f t="shared" si="3"/>
        <v>1302679</v>
      </c>
      <c r="E16" s="11">
        <f t="shared" si="3"/>
        <v>1402499</v>
      </c>
      <c r="F16" s="11">
        <f t="shared" si="3"/>
        <v>1594493</v>
      </c>
      <c r="G16" s="11">
        <f t="shared" si="3"/>
        <v>1688242</v>
      </c>
      <c r="H16" s="11">
        <f t="shared" si="3"/>
        <v>1648606</v>
      </c>
      <c r="I16" s="69">
        <f>I11*I17</f>
        <v>1730133</v>
      </c>
      <c r="J16" s="26">
        <f t="shared" ref="J16:R16" si="4">J11*J17</f>
        <v>1839120</v>
      </c>
      <c r="K16" s="26">
        <f>K11*K17</f>
        <v>1972025</v>
      </c>
      <c r="L16" s="26">
        <f t="shared" si="4"/>
        <v>2092190</v>
      </c>
      <c r="M16" s="26">
        <f t="shared" si="4"/>
        <v>2243160</v>
      </c>
      <c r="N16" s="26">
        <f t="shared" si="4"/>
        <v>2648700</v>
      </c>
      <c r="O16" s="26">
        <f t="shared" si="4"/>
        <v>2831520</v>
      </c>
      <c r="P16" s="26">
        <f t="shared" si="4"/>
        <v>3008520</v>
      </c>
      <c r="Q16" s="26">
        <f t="shared" si="4"/>
        <v>3163580</v>
      </c>
      <c r="R16" s="26">
        <f t="shared" si="4"/>
        <v>3312260</v>
      </c>
    </row>
    <row r="17" spans="1:18" s="51" customFormat="1" x14ac:dyDescent="0.25">
      <c r="A17" s="1"/>
      <c r="B17" s="13" t="s">
        <v>11</v>
      </c>
      <c r="C17" s="65">
        <f t="shared" ref="C17:H17" si="5">C16/C11</f>
        <v>0.31061604122556158</v>
      </c>
      <c r="D17" s="65">
        <f t="shared" si="5"/>
        <v>0.37947260992051252</v>
      </c>
      <c r="E17" s="65">
        <f t="shared" si="5"/>
        <v>0.38756192014201496</v>
      </c>
      <c r="F17" s="65">
        <f t="shared" si="5"/>
        <v>0.38725621513130459</v>
      </c>
      <c r="G17" s="65">
        <f t="shared" si="5"/>
        <v>0.38744491233594186</v>
      </c>
      <c r="H17" s="65">
        <f t="shared" si="5"/>
        <v>0.36335653287807035</v>
      </c>
      <c r="I17" s="80">
        <v>0.37530000000000002</v>
      </c>
      <c r="J17" s="81">
        <v>0.37919999999999998</v>
      </c>
      <c r="K17" s="81">
        <v>0.39050000000000001</v>
      </c>
      <c r="L17" s="81">
        <v>0.39700000000000002</v>
      </c>
      <c r="M17" s="81">
        <v>0.40200000000000002</v>
      </c>
      <c r="N17" s="81">
        <v>0.40500000000000003</v>
      </c>
      <c r="O17" s="81">
        <v>0.40799999999999997</v>
      </c>
      <c r="P17" s="81">
        <v>0.41099999999999998</v>
      </c>
      <c r="Q17" s="81">
        <v>0.41299999999999998</v>
      </c>
      <c r="R17" s="81">
        <v>0.41299999999999998</v>
      </c>
    </row>
    <row r="18" spans="1:18" s="51" customFormat="1" x14ac:dyDescent="0.25">
      <c r="A18" s="1"/>
      <c r="B18" s="1"/>
      <c r="C18" s="11"/>
      <c r="D18" s="11"/>
      <c r="E18" s="11"/>
      <c r="F18" s="11"/>
      <c r="G18" s="11"/>
      <c r="H18" s="11"/>
      <c r="I18" s="69"/>
      <c r="J18" s="26"/>
      <c r="K18" s="26"/>
      <c r="L18" s="26"/>
      <c r="M18" s="26"/>
      <c r="N18" s="26"/>
      <c r="O18" s="26"/>
      <c r="P18" s="26"/>
      <c r="Q18" s="26"/>
      <c r="R18" s="26"/>
    </row>
    <row r="19" spans="1:18" s="51" customFormat="1" x14ac:dyDescent="0.25">
      <c r="A19" s="1"/>
      <c r="B19" s="1" t="s">
        <v>40</v>
      </c>
      <c r="C19" s="11">
        <v>344759</v>
      </c>
      <c r="D19" s="11">
        <v>372464</v>
      </c>
      <c r="E19" s="11">
        <v>382293</v>
      </c>
      <c r="F19" s="11">
        <v>406613</v>
      </c>
      <c r="G19" s="11">
        <v>428333</v>
      </c>
      <c r="H19" s="11">
        <v>416524</v>
      </c>
      <c r="I19" s="69">
        <f t="shared" ref="I19:R19" si="6">I20*I11</f>
        <v>414900</v>
      </c>
      <c r="J19" s="26">
        <f t="shared" si="6"/>
        <v>431650</v>
      </c>
      <c r="K19" s="26">
        <f t="shared" si="6"/>
        <v>459550</v>
      </c>
      <c r="L19" s="26">
        <f t="shared" si="6"/>
        <v>479570</v>
      </c>
      <c r="M19" s="26">
        <f t="shared" si="6"/>
        <v>502200</v>
      </c>
      <c r="N19" s="26">
        <f t="shared" si="6"/>
        <v>588600</v>
      </c>
      <c r="O19" s="26">
        <f t="shared" si="6"/>
        <v>624600</v>
      </c>
      <c r="P19" s="26">
        <f t="shared" si="6"/>
        <v>658800.00000000012</v>
      </c>
      <c r="Q19" s="26">
        <f t="shared" si="6"/>
        <v>689400.00000000012</v>
      </c>
      <c r="R19" s="26">
        <f t="shared" si="6"/>
        <v>721800</v>
      </c>
    </row>
    <row r="20" spans="1:18" s="51" customFormat="1" x14ac:dyDescent="0.25">
      <c r="A20" s="1"/>
      <c r="B20" s="13" t="s">
        <v>17</v>
      </c>
      <c r="C20" s="65">
        <f t="shared" ref="C20:H20" si="7">C19/C11</f>
        <v>0.12365910934049359</v>
      </c>
      <c r="D20" s="65">
        <f t="shared" si="7"/>
        <v>0.10849939715112761</v>
      </c>
      <c r="E20" s="65">
        <f t="shared" si="7"/>
        <v>0.10564157916465632</v>
      </c>
      <c r="F20" s="65">
        <f t="shared" si="7"/>
        <v>9.8754532884863813E-2</v>
      </c>
      <c r="G20" s="65">
        <f t="shared" si="7"/>
        <v>9.8300742213255562E-2</v>
      </c>
      <c r="H20" s="65">
        <f t="shared" si="7"/>
        <v>9.1802842219733144E-2</v>
      </c>
      <c r="I20" s="82">
        <v>0.09</v>
      </c>
      <c r="J20" s="83">
        <f t="shared" ref="J20:M20" si="8">I20-0.1%</f>
        <v>8.8999999999999996E-2</v>
      </c>
      <c r="K20" s="83">
        <v>9.0999999999999998E-2</v>
      </c>
      <c r="L20" s="83">
        <v>9.0999999999999998E-2</v>
      </c>
      <c r="M20" s="83">
        <f t="shared" si="8"/>
        <v>0.09</v>
      </c>
      <c r="N20" s="83">
        <v>0.09</v>
      </c>
      <c r="O20" s="83">
        <v>0.09</v>
      </c>
      <c r="P20" s="83">
        <v>0.09</v>
      </c>
      <c r="Q20" s="83">
        <v>0.09</v>
      </c>
      <c r="R20" s="83">
        <v>0.09</v>
      </c>
    </row>
    <row r="21" spans="1:18" s="51" customFormat="1" x14ac:dyDescent="0.25">
      <c r="A21" s="1"/>
      <c r="B21" s="1"/>
      <c r="C21" s="11"/>
      <c r="D21" s="11"/>
      <c r="E21" s="11"/>
      <c r="F21" s="11"/>
      <c r="G21" s="11"/>
      <c r="H21" s="11"/>
      <c r="I21" s="69"/>
      <c r="J21" s="26"/>
      <c r="K21" s="26"/>
      <c r="L21" s="26"/>
      <c r="M21" s="26"/>
      <c r="N21" s="26"/>
      <c r="O21" s="26"/>
      <c r="P21" s="26"/>
      <c r="Q21" s="26"/>
      <c r="R21" s="26"/>
    </row>
    <row r="22" spans="1:18" s="51" customFormat="1" x14ac:dyDescent="0.25">
      <c r="A22" s="1"/>
      <c r="B22" s="1" t="s">
        <v>12</v>
      </c>
      <c r="C22" s="11">
        <v>0</v>
      </c>
      <c r="D22" s="11">
        <v>358526</v>
      </c>
      <c r="E22" s="11">
        <v>390799</v>
      </c>
      <c r="F22" s="11">
        <v>462238</v>
      </c>
      <c r="G22" s="11">
        <v>479501</v>
      </c>
      <c r="H22" s="11">
        <v>464157</v>
      </c>
      <c r="I22" s="70">
        <f>I23*I11</f>
        <v>488236.27709336899</v>
      </c>
      <c r="J22" s="21">
        <f t="shared" ref="J22:R22" si="9">J23*J11</f>
        <v>504400</v>
      </c>
      <c r="K22" s="21">
        <f t="shared" si="9"/>
        <v>545400</v>
      </c>
      <c r="L22" s="21">
        <f t="shared" si="9"/>
        <v>569160</v>
      </c>
      <c r="M22" s="21">
        <f t="shared" si="9"/>
        <v>589481.6351548197</v>
      </c>
      <c r="N22" s="21">
        <f t="shared" si="9"/>
        <v>695267.34275776078</v>
      </c>
      <c r="O22" s="21">
        <f t="shared" si="9"/>
        <v>738349.18354935013</v>
      </c>
      <c r="P22" s="21">
        <f t="shared" si="9"/>
        <v>782277.03001404786</v>
      </c>
      <c r="Q22" s="21">
        <f t="shared" si="9"/>
        <v>816878.76227993553</v>
      </c>
      <c r="R22" s="21">
        <f t="shared" si="9"/>
        <v>853091.9175172454</v>
      </c>
    </row>
    <row r="23" spans="1:18" s="51" customFormat="1" x14ac:dyDescent="0.25">
      <c r="A23" s="1"/>
      <c r="B23" s="13" t="s">
        <v>17</v>
      </c>
      <c r="C23" s="65">
        <f>C22/C11</f>
        <v>0</v>
      </c>
      <c r="D23" s="65">
        <f t="shared" ref="D23:H23" si="10">D22/D11</f>
        <v>0.1044392340280005</v>
      </c>
      <c r="E23" s="65">
        <f t="shared" si="10"/>
        <v>0.10799209898158879</v>
      </c>
      <c r="F23" s="65">
        <f t="shared" si="10"/>
        <v>0.11226423594826944</v>
      </c>
      <c r="G23" s="65">
        <f t="shared" si="10"/>
        <v>0.11004359736933239</v>
      </c>
      <c r="H23" s="65">
        <f t="shared" si="10"/>
        <v>0.10230126435976</v>
      </c>
      <c r="I23" s="84">
        <f>AVERAGE(D23:H23)-0.15%</f>
        <v>0.10590808613739024</v>
      </c>
      <c r="J23" s="85">
        <v>0.104</v>
      </c>
      <c r="K23" s="85">
        <v>0.108</v>
      </c>
      <c r="L23" s="85">
        <v>0.108</v>
      </c>
      <c r="M23" s="85">
        <f t="shared" ref="M23:R23" si="11">AVERAGE(H23:L23)</f>
        <v>0.10564187009943005</v>
      </c>
      <c r="N23" s="85">
        <f t="shared" si="11"/>
        <v>0.10630999124736404</v>
      </c>
      <c r="O23" s="85">
        <f t="shared" si="11"/>
        <v>0.10639037226935881</v>
      </c>
      <c r="P23" s="85">
        <f t="shared" si="11"/>
        <v>0.10686844672323056</v>
      </c>
      <c r="Q23" s="85">
        <f t="shared" si="11"/>
        <v>0.10664213606787669</v>
      </c>
      <c r="R23" s="85">
        <f t="shared" si="11"/>
        <v>0.10637056328145203</v>
      </c>
    </row>
    <row r="24" spans="1:18" s="51" customFormat="1" x14ac:dyDescent="0.25">
      <c r="A24" s="1"/>
      <c r="B24" s="1"/>
      <c r="C24" s="1"/>
      <c r="D24" s="1"/>
      <c r="E24" s="1"/>
      <c r="F24" s="1"/>
      <c r="G24" s="1"/>
      <c r="H24" s="1"/>
      <c r="I24" s="20"/>
      <c r="J24" s="2"/>
      <c r="K24" s="2"/>
      <c r="L24" s="2"/>
      <c r="M24" s="2"/>
      <c r="N24" s="2"/>
      <c r="O24" s="2"/>
      <c r="P24" s="2"/>
      <c r="Q24" s="2"/>
      <c r="R24" s="2"/>
    </row>
    <row r="25" spans="1:18" s="51" customFormat="1" x14ac:dyDescent="0.25">
      <c r="A25" s="1"/>
      <c r="B25" s="1" t="s">
        <v>13</v>
      </c>
      <c r="C25" s="11">
        <f t="shared" ref="C25:G25" si="12">C19+C22</f>
        <v>344759</v>
      </c>
      <c r="D25" s="11">
        <f t="shared" si="12"/>
        <v>730990</v>
      </c>
      <c r="E25" s="11">
        <f t="shared" si="12"/>
        <v>773092</v>
      </c>
      <c r="F25" s="11">
        <f t="shared" si="12"/>
        <v>868851</v>
      </c>
      <c r="G25" s="11">
        <f t="shared" si="12"/>
        <v>907834</v>
      </c>
      <c r="H25" s="11">
        <f>H19+H22</f>
        <v>880681</v>
      </c>
      <c r="I25" s="70">
        <f t="shared" ref="I25:R25" si="13">I19+I22</f>
        <v>903136.27709336905</v>
      </c>
      <c r="J25" s="21">
        <f t="shared" si="13"/>
        <v>936050</v>
      </c>
      <c r="K25" s="21">
        <f t="shared" si="13"/>
        <v>1004950</v>
      </c>
      <c r="L25" s="21">
        <f t="shared" si="13"/>
        <v>1048730</v>
      </c>
      <c r="M25" s="21">
        <f t="shared" si="13"/>
        <v>1091681.6351548196</v>
      </c>
      <c r="N25" s="21">
        <f t="shared" si="13"/>
        <v>1283867.3427577608</v>
      </c>
      <c r="O25" s="21">
        <f t="shared" si="13"/>
        <v>1362949.1835493501</v>
      </c>
      <c r="P25" s="21">
        <f t="shared" si="13"/>
        <v>1441077.0300140479</v>
      </c>
      <c r="Q25" s="21">
        <f t="shared" si="13"/>
        <v>1506278.7622799356</v>
      </c>
      <c r="R25" s="21">
        <f t="shared" si="13"/>
        <v>1574891.9175172453</v>
      </c>
    </row>
    <row r="26" spans="1:18" s="51" customFormat="1" x14ac:dyDescent="0.25">
      <c r="A26" s="1"/>
      <c r="B26" s="13" t="s">
        <v>17</v>
      </c>
      <c r="C26" s="65">
        <f t="shared" ref="C26:R26" si="14">C25/C11</f>
        <v>0.12365910934049359</v>
      </c>
      <c r="D26" s="65">
        <f t="shared" si="14"/>
        <v>0.21293863117912812</v>
      </c>
      <c r="E26" s="65">
        <f t="shared" si="14"/>
        <v>0.21363367814624512</v>
      </c>
      <c r="F26" s="65">
        <f t="shared" si="14"/>
        <v>0.21101876883313325</v>
      </c>
      <c r="G26" s="65">
        <f t="shared" si="14"/>
        <v>0.20834433958258794</v>
      </c>
      <c r="H26" s="65">
        <f t="shared" si="14"/>
        <v>0.19410410657949315</v>
      </c>
      <c r="I26" s="78">
        <f t="shared" si="14"/>
        <v>0.19590808613739025</v>
      </c>
      <c r="J26" s="79">
        <f t="shared" si="14"/>
        <v>0.193</v>
      </c>
      <c r="K26" s="79">
        <f t="shared" si="14"/>
        <v>0.19900000000000001</v>
      </c>
      <c r="L26" s="79">
        <f t="shared" si="14"/>
        <v>0.19900000000000001</v>
      </c>
      <c r="M26" s="79">
        <f t="shared" si="14"/>
        <v>0.19564187009943004</v>
      </c>
      <c r="N26" s="79">
        <f t="shared" si="14"/>
        <v>0.19630999124736404</v>
      </c>
      <c r="O26" s="79">
        <f t="shared" si="14"/>
        <v>0.19639037226935882</v>
      </c>
      <c r="P26" s="79">
        <f t="shared" si="14"/>
        <v>0.19686844672323056</v>
      </c>
      <c r="Q26" s="79">
        <f t="shared" si="14"/>
        <v>0.1966421360678767</v>
      </c>
      <c r="R26" s="79">
        <f t="shared" si="14"/>
        <v>0.196370563281452</v>
      </c>
    </row>
    <row r="27" spans="1:18" s="51" customFormat="1" x14ac:dyDescent="0.25">
      <c r="A27" s="1"/>
      <c r="B27" s="1"/>
      <c r="C27" s="14"/>
      <c r="D27" s="14"/>
      <c r="E27" s="14"/>
      <c r="F27" s="14"/>
      <c r="G27" s="14"/>
      <c r="H27" s="14"/>
      <c r="I27" s="71"/>
      <c r="J27" s="72"/>
      <c r="K27" s="72"/>
      <c r="L27" s="72"/>
      <c r="M27" s="72"/>
      <c r="N27" s="72"/>
      <c r="O27" s="72"/>
      <c r="P27" s="72"/>
      <c r="Q27" s="72"/>
      <c r="R27" s="72"/>
    </row>
    <row r="28" spans="1:18" s="51" customFormat="1" x14ac:dyDescent="0.25">
      <c r="A28" s="1"/>
      <c r="B28" s="1" t="s">
        <v>14</v>
      </c>
      <c r="C28" s="11">
        <f t="shared" ref="C28:G28" si="15">C16-C25</f>
        <v>521232</v>
      </c>
      <c r="D28" s="11">
        <f t="shared" si="15"/>
        <v>571689</v>
      </c>
      <c r="E28" s="11">
        <f t="shared" si="15"/>
        <v>629407</v>
      </c>
      <c r="F28" s="11">
        <f t="shared" si="15"/>
        <v>725642</v>
      </c>
      <c r="G28" s="11">
        <f t="shared" si="15"/>
        <v>780408</v>
      </c>
      <c r="H28" s="11">
        <f>H16-H25</f>
        <v>767925</v>
      </c>
      <c r="I28" s="70">
        <f t="shared" ref="I28:R28" si="16">I16-I25</f>
        <v>826996.72290663095</v>
      </c>
      <c r="J28" s="21">
        <f t="shared" si="16"/>
        <v>903070</v>
      </c>
      <c r="K28" s="21">
        <f t="shared" si="16"/>
        <v>967075</v>
      </c>
      <c r="L28" s="21">
        <f t="shared" si="16"/>
        <v>1043460</v>
      </c>
      <c r="M28" s="21">
        <f t="shared" si="16"/>
        <v>1151478.3648451804</v>
      </c>
      <c r="N28" s="21">
        <f t="shared" si="16"/>
        <v>1364832.6572422392</v>
      </c>
      <c r="O28" s="21">
        <f t="shared" si="16"/>
        <v>1468570.8164506499</v>
      </c>
      <c r="P28" s="21">
        <f t="shared" si="16"/>
        <v>1567442.9699859521</v>
      </c>
      <c r="Q28" s="21">
        <f t="shared" si="16"/>
        <v>1657301.2377200644</v>
      </c>
      <c r="R28" s="21">
        <f t="shared" si="16"/>
        <v>1737368.0824827547</v>
      </c>
    </row>
    <row r="29" spans="1:18" s="51" customFormat="1" x14ac:dyDescent="0.25">
      <c r="A29" s="1"/>
      <c r="B29" s="1"/>
      <c r="C29" s="11"/>
      <c r="D29" s="11"/>
      <c r="E29" s="11"/>
      <c r="F29" s="11"/>
      <c r="G29" s="11"/>
      <c r="H29" s="11"/>
      <c r="I29" s="70"/>
      <c r="J29" s="21"/>
      <c r="K29" s="21"/>
      <c r="L29" s="21"/>
      <c r="M29" s="21"/>
      <c r="N29" s="21"/>
      <c r="O29" s="21"/>
      <c r="P29" s="21"/>
      <c r="Q29" s="21"/>
      <c r="R29" s="21"/>
    </row>
    <row r="30" spans="1:18" s="51" customFormat="1" x14ac:dyDescent="0.25">
      <c r="A30" s="1"/>
      <c r="B30" s="1" t="s">
        <v>52</v>
      </c>
      <c r="C30" s="11">
        <f t="shared" ref="C30:E30" si="17">C33-C28</f>
        <v>-121079</v>
      </c>
      <c r="D30" s="11">
        <f t="shared" si="17"/>
        <v>-143011</v>
      </c>
      <c r="E30" s="11">
        <f t="shared" si="17"/>
        <v>-146770</v>
      </c>
      <c r="F30" s="11">
        <f>F33-F28</f>
        <v>-170512</v>
      </c>
      <c r="G30" s="11">
        <f t="shared" ref="G30:H30" si="18">G33-G28</f>
        <v>-154703</v>
      </c>
      <c r="H30" s="11">
        <f t="shared" si="18"/>
        <v>-195092</v>
      </c>
      <c r="I30" s="70">
        <f>I31*I11</f>
        <v>-188672.79219392326</v>
      </c>
      <c r="J30" s="21">
        <f t="shared" ref="J30:R30" si="19">J31*J11</f>
        <v>-196472.7086463017</v>
      </c>
      <c r="K30" s="21">
        <f t="shared" si="19"/>
        <v>-207050</v>
      </c>
      <c r="L30" s="21">
        <f t="shared" si="19"/>
        <v>-231880</v>
      </c>
      <c r="M30" s="21">
        <f t="shared" si="19"/>
        <v>-234360</v>
      </c>
      <c r="N30" s="21">
        <f t="shared" si="19"/>
        <v>-300840</v>
      </c>
      <c r="O30" s="21">
        <f t="shared" si="19"/>
        <v>-319240</v>
      </c>
      <c r="P30" s="21">
        <f t="shared" si="19"/>
        <v>-336720.00000000006</v>
      </c>
      <c r="Q30" s="21">
        <f t="shared" si="19"/>
        <v>-344700.00000000006</v>
      </c>
      <c r="R30" s="21">
        <f t="shared" si="19"/>
        <v>-360900</v>
      </c>
    </row>
    <row r="31" spans="1:18" s="51" customFormat="1" x14ac:dyDescent="0.25">
      <c r="A31" s="1"/>
      <c r="B31" s="13" t="s">
        <v>17</v>
      </c>
      <c r="C31" s="65">
        <f>C30/C11</f>
        <v>-4.342894978764187E-2</v>
      </c>
      <c r="D31" s="65">
        <f t="shared" ref="D31:H31" si="20">D30/D11</f>
        <v>-4.1659347711402742E-2</v>
      </c>
      <c r="E31" s="65">
        <f t="shared" si="20"/>
        <v>-4.0557934814387415E-2</v>
      </c>
      <c r="F31" s="65">
        <f t="shared" si="20"/>
        <v>-4.1412431258380566E-2</v>
      </c>
      <c r="G31" s="65">
        <f t="shared" si="20"/>
        <v>-3.5503731261932361E-2</v>
      </c>
      <c r="H31" s="65">
        <f t="shared" si="20"/>
        <v>-4.299872298914871E-2</v>
      </c>
      <c r="I31" s="78">
        <f>AVERAGE(C31:H31)</f>
        <v>-4.0926852970482271E-2</v>
      </c>
      <c r="J31" s="79">
        <f t="shared" ref="J31" si="21">AVERAGE(D31:I31)</f>
        <v>-4.0509836834289013E-2</v>
      </c>
      <c r="K31" s="79">
        <v>-4.1000000000000002E-2</v>
      </c>
      <c r="L31" s="79">
        <v>-4.3999999999999997E-2</v>
      </c>
      <c r="M31" s="79">
        <v>-4.2000000000000003E-2</v>
      </c>
      <c r="N31" s="79">
        <v>-4.5999999999999999E-2</v>
      </c>
      <c r="O31" s="79">
        <v>-4.5999999999999999E-2</v>
      </c>
      <c r="P31" s="79">
        <v>-4.5999999999999999E-2</v>
      </c>
      <c r="Q31" s="79">
        <v>-4.4999999999999998E-2</v>
      </c>
      <c r="R31" s="79">
        <v>-4.4999999999999998E-2</v>
      </c>
    </row>
    <row r="32" spans="1:18" s="51" customFormat="1" x14ac:dyDescent="0.25">
      <c r="A32" s="1"/>
      <c r="B32" s="1"/>
      <c r="C32" s="19"/>
      <c r="D32" s="19"/>
      <c r="E32" s="19"/>
      <c r="F32" s="19"/>
      <c r="G32" s="19"/>
      <c r="H32" s="19"/>
      <c r="I32" s="20"/>
      <c r="J32" s="2"/>
      <c r="K32" s="2"/>
      <c r="L32" s="2"/>
      <c r="M32" s="2"/>
      <c r="N32" s="2"/>
      <c r="O32" s="2"/>
      <c r="P32" s="2"/>
      <c r="Q32" s="2"/>
      <c r="R32" s="2"/>
    </row>
    <row r="33" spans="1:86" s="51" customFormat="1" x14ac:dyDescent="0.25">
      <c r="A33" s="1"/>
      <c r="B33" s="1" t="s">
        <v>15</v>
      </c>
      <c r="C33" s="11">
        <v>400153</v>
      </c>
      <c r="D33" s="11">
        <v>428678</v>
      </c>
      <c r="E33" s="11">
        <v>482637</v>
      </c>
      <c r="F33" s="11">
        <v>555130</v>
      </c>
      <c r="G33" s="11">
        <v>625705</v>
      </c>
      <c r="H33" s="11">
        <v>572833</v>
      </c>
      <c r="I33" s="70">
        <f>I28+I30</f>
        <v>638323.93071270769</v>
      </c>
      <c r="J33" s="21">
        <f t="shared" ref="J33:R33" si="22">J28+J30</f>
        <v>706597.29135369835</v>
      </c>
      <c r="K33" s="21">
        <f t="shared" si="22"/>
        <v>760025</v>
      </c>
      <c r="L33" s="21">
        <f t="shared" si="22"/>
        <v>811580</v>
      </c>
      <c r="M33" s="21">
        <f t="shared" si="22"/>
        <v>917118.36484518042</v>
      </c>
      <c r="N33" s="21">
        <f t="shared" si="22"/>
        <v>1063992.6572422392</v>
      </c>
      <c r="O33" s="21">
        <f t="shared" si="22"/>
        <v>1149330.8164506499</v>
      </c>
      <c r="P33" s="21">
        <f t="shared" si="22"/>
        <v>1230722.9699859521</v>
      </c>
      <c r="Q33" s="21">
        <f t="shared" si="22"/>
        <v>1312601.2377200644</v>
      </c>
      <c r="R33" s="21">
        <f t="shared" si="22"/>
        <v>1376468.0824827547</v>
      </c>
    </row>
    <row r="34" spans="1:86" s="51" customFormat="1" x14ac:dyDescent="0.25">
      <c r="A34" s="1"/>
      <c r="B34" s="1"/>
      <c r="C34" s="19"/>
      <c r="D34" s="19"/>
      <c r="E34" s="19"/>
      <c r="F34" s="19"/>
      <c r="G34" s="19"/>
      <c r="H34" s="19"/>
      <c r="I34" s="20"/>
      <c r="J34" s="2"/>
      <c r="K34" s="2"/>
      <c r="L34" s="2"/>
      <c r="M34" s="2"/>
      <c r="N34" s="2"/>
      <c r="O34" s="2"/>
      <c r="P34" s="2"/>
      <c r="Q34" s="2"/>
      <c r="R34" s="2"/>
    </row>
    <row r="35" spans="1:86" s="51" customFormat="1" x14ac:dyDescent="0.25">
      <c r="A35" s="1"/>
      <c r="B35" s="1" t="s">
        <v>16</v>
      </c>
      <c r="C35" s="11">
        <f t="shared" ref="C35:H35" si="23">C28</f>
        <v>521232</v>
      </c>
      <c r="D35" s="11">
        <f t="shared" si="23"/>
        <v>571689</v>
      </c>
      <c r="E35" s="11">
        <f t="shared" si="23"/>
        <v>629407</v>
      </c>
      <c r="F35" s="11">
        <f t="shared" si="23"/>
        <v>725642</v>
      </c>
      <c r="G35" s="11">
        <f t="shared" si="23"/>
        <v>780408</v>
      </c>
      <c r="H35" s="11">
        <f t="shared" si="23"/>
        <v>767925</v>
      </c>
      <c r="I35" s="70">
        <f>I28</f>
        <v>826996.72290663095</v>
      </c>
      <c r="J35" s="21">
        <f t="shared" ref="J35:R35" si="24">J28</f>
        <v>903070</v>
      </c>
      <c r="K35" s="21">
        <f t="shared" si="24"/>
        <v>967075</v>
      </c>
      <c r="L35" s="21">
        <f t="shared" si="24"/>
        <v>1043460</v>
      </c>
      <c r="M35" s="21">
        <f>M28</f>
        <v>1151478.3648451804</v>
      </c>
      <c r="N35" s="21">
        <f t="shared" si="24"/>
        <v>1364832.6572422392</v>
      </c>
      <c r="O35" s="21">
        <f t="shared" si="24"/>
        <v>1468570.8164506499</v>
      </c>
      <c r="P35" s="21">
        <f t="shared" si="24"/>
        <v>1567442.9699859521</v>
      </c>
      <c r="Q35" s="21">
        <f t="shared" si="24"/>
        <v>1657301.2377200644</v>
      </c>
      <c r="R35" s="21">
        <f t="shared" si="24"/>
        <v>1737368.0824827547</v>
      </c>
    </row>
    <row r="36" spans="1:86" s="51" customFormat="1" x14ac:dyDescent="0.25">
      <c r="A36" s="1"/>
      <c r="B36" s="13" t="s">
        <v>17</v>
      </c>
      <c r="C36" s="65">
        <f t="shared" ref="C36:R36" si="25">C35/C11</f>
        <v>0.18695693188506801</v>
      </c>
      <c r="D36" s="65">
        <f t="shared" si="25"/>
        <v>0.1665339787413844</v>
      </c>
      <c r="E36" s="65">
        <f t="shared" si="25"/>
        <v>0.17392824199576984</v>
      </c>
      <c r="F36" s="65">
        <f t="shared" si="25"/>
        <v>0.17623744629817134</v>
      </c>
      <c r="G36" s="65">
        <f t="shared" si="25"/>
        <v>0.17910057275335392</v>
      </c>
      <c r="H36" s="65">
        <f t="shared" si="25"/>
        <v>0.1692524262985772</v>
      </c>
      <c r="I36" s="78">
        <f t="shared" si="25"/>
        <v>0.17939191386260975</v>
      </c>
      <c r="J36" s="79">
        <f t="shared" si="25"/>
        <v>0.1862</v>
      </c>
      <c r="K36" s="79">
        <f t="shared" si="25"/>
        <v>0.1915</v>
      </c>
      <c r="L36" s="79">
        <f t="shared" si="25"/>
        <v>0.19800000000000001</v>
      </c>
      <c r="M36" s="79">
        <f t="shared" si="25"/>
        <v>0.20635812990056998</v>
      </c>
      <c r="N36" s="79">
        <f t="shared" si="25"/>
        <v>0.20869000875263596</v>
      </c>
      <c r="O36" s="79">
        <f t="shared" si="25"/>
        <v>0.21160962773064118</v>
      </c>
      <c r="P36" s="79">
        <f t="shared" si="25"/>
        <v>0.21413155327676939</v>
      </c>
      <c r="Q36" s="79">
        <f t="shared" si="25"/>
        <v>0.21635786393212325</v>
      </c>
      <c r="R36" s="79">
        <f t="shared" si="25"/>
        <v>0.21662943671854795</v>
      </c>
    </row>
    <row r="37" spans="1:86" s="51" customFormat="1" x14ac:dyDescent="0.25">
      <c r="A37" s="1"/>
      <c r="B37" s="13"/>
      <c r="C37" s="1"/>
      <c r="D37" s="1"/>
      <c r="E37" s="2"/>
      <c r="F37" s="1"/>
      <c r="G37" s="1"/>
      <c r="H37" s="1"/>
      <c r="I37" s="20"/>
      <c r="J37" s="2"/>
      <c r="K37" s="2"/>
      <c r="L37" s="2"/>
      <c r="M37" s="2"/>
      <c r="N37" s="2"/>
      <c r="O37" s="2"/>
      <c r="P37" s="2"/>
      <c r="Q37" s="2"/>
      <c r="R37" s="2"/>
    </row>
    <row r="38" spans="1:86" s="51" customFormat="1" x14ac:dyDescent="0.25">
      <c r="A38" s="1"/>
      <c r="B38" s="1" t="s">
        <v>18</v>
      </c>
      <c r="C38" s="11">
        <v>122248</v>
      </c>
      <c r="D38" s="11">
        <v>66706</v>
      </c>
      <c r="E38" s="21">
        <v>81928</v>
      </c>
      <c r="F38" s="11">
        <v>63834</v>
      </c>
      <c r="G38" s="11">
        <v>115238</v>
      </c>
      <c r="H38" s="11">
        <v>120570</v>
      </c>
      <c r="I38" s="69">
        <f>I35*I39</f>
        <v>182518.17674549346</v>
      </c>
      <c r="J38" s="26">
        <f t="shared" ref="J38:R38" si="26">J35*J39</f>
        <v>199307.549</v>
      </c>
      <c r="K38" s="26">
        <f t="shared" si="26"/>
        <v>213433.45250000001</v>
      </c>
      <c r="L38" s="26">
        <f t="shared" si="26"/>
        <v>230291.622</v>
      </c>
      <c r="M38" s="26">
        <f t="shared" si="26"/>
        <v>254131.27512133133</v>
      </c>
      <c r="N38" s="26">
        <f t="shared" si="26"/>
        <v>301218.56745336222</v>
      </c>
      <c r="O38" s="26">
        <f t="shared" si="26"/>
        <v>324113.57919065846</v>
      </c>
      <c r="P38" s="26">
        <f t="shared" si="26"/>
        <v>345934.66347589967</v>
      </c>
      <c r="Q38" s="26">
        <f t="shared" si="26"/>
        <v>365766.38316481822</v>
      </c>
      <c r="R38" s="26">
        <f t="shared" si="26"/>
        <v>383437.13580394397</v>
      </c>
    </row>
    <row r="39" spans="1:86" s="51" customFormat="1" x14ac:dyDescent="0.25">
      <c r="A39" s="1"/>
      <c r="B39" s="13" t="s">
        <v>19</v>
      </c>
      <c r="C39" s="66">
        <f t="shared" ref="C39:H39" si="27">C38/C35</f>
        <v>0.23453663627712804</v>
      </c>
      <c r="D39" s="66">
        <f t="shared" si="27"/>
        <v>0.11668232203173404</v>
      </c>
      <c r="E39" s="66">
        <f t="shared" si="27"/>
        <v>0.13016696668451416</v>
      </c>
      <c r="F39" s="66">
        <f t="shared" si="27"/>
        <v>8.7968998486857158E-2</v>
      </c>
      <c r="G39" s="66">
        <f t="shared" si="27"/>
        <v>0.14766378612213099</v>
      </c>
      <c r="H39" s="66">
        <f t="shared" si="27"/>
        <v>0.15700752026565093</v>
      </c>
      <c r="I39" s="80">
        <v>0.22070000000000001</v>
      </c>
      <c r="J39" s="81">
        <v>0.22070000000000001</v>
      </c>
      <c r="K39" s="81">
        <v>0.22070000000000001</v>
      </c>
      <c r="L39" s="81">
        <v>0.22070000000000001</v>
      </c>
      <c r="M39" s="81">
        <v>0.22070000000000001</v>
      </c>
      <c r="N39" s="81">
        <v>0.22070000000000001</v>
      </c>
      <c r="O39" s="81">
        <v>0.22070000000000001</v>
      </c>
      <c r="P39" s="81">
        <v>0.22070000000000001</v>
      </c>
      <c r="Q39" s="81">
        <v>0.22070000000000001</v>
      </c>
      <c r="R39" s="81">
        <v>0.22070000000000001</v>
      </c>
    </row>
    <row r="40" spans="1:86" s="51" customFormat="1" x14ac:dyDescent="0.25">
      <c r="A40" s="1"/>
      <c r="B40" s="1"/>
      <c r="C40" s="1"/>
      <c r="D40" s="1"/>
      <c r="E40" s="1"/>
      <c r="F40" s="1"/>
      <c r="G40" s="1"/>
      <c r="H40" s="1"/>
      <c r="I40" s="20"/>
      <c r="J40" s="2"/>
      <c r="K40" s="2"/>
      <c r="L40" s="2"/>
      <c r="M40" s="2"/>
      <c r="N40" s="2"/>
      <c r="O40" s="2"/>
      <c r="P40" s="2"/>
      <c r="Q40" s="2"/>
      <c r="R40" s="2"/>
    </row>
    <row r="41" spans="1:86" s="51" customFormat="1" x14ac:dyDescent="0.25">
      <c r="A41" s="1"/>
      <c r="B41" s="9" t="s">
        <v>20</v>
      </c>
      <c r="C41" s="9">
        <v>2017</v>
      </c>
      <c r="D41" s="9">
        <v>2018</v>
      </c>
      <c r="E41" s="10">
        <v>2019</v>
      </c>
      <c r="F41" s="9">
        <v>2020</v>
      </c>
      <c r="G41" s="9">
        <v>2021</v>
      </c>
      <c r="H41" s="9">
        <v>2022</v>
      </c>
      <c r="I41" s="73">
        <v>2023</v>
      </c>
      <c r="J41" s="75">
        <v>2024</v>
      </c>
      <c r="K41" s="75">
        <v>2025</v>
      </c>
      <c r="L41" s="75">
        <v>2026</v>
      </c>
      <c r="M41" s="75">
        <v>2027</v>
      </c>
      <c r="N41" s="75">
        <v>2028</v>
      </c>
      <c r="O41" s="75">
        <v>2029</v>
      </c>
      <c r="P41" s="75">
        <v>2030</v>
      </c>
      <c r="Q41" s="75">
        <v>2031</v>
      </c>
      <c r="R41" s="75">
        <v>2032</v>
      </c>
      <c r="S41" s="9">
        <v>2033</v>
      </c>
      <c r="T41" s="9">
        <v>2034</v>
      </c>
      <c r="U41" s="9">
        <v>2035</v>
      </c>
      <c r="V41" s="9">
        <v>2036</v>
      </c>
      <c r="W41" s="9">
        <v>2037</v>
      </c>
      <c r="X41" s="9">
        <v>2038</v>
      </c>
      <c r="Y41" s="9">
        <v>2039</v>
      </c>
      <c r="Z41" s="9">
        <v>2040</v>
      </c>
      <c r="AA41" s="9">
        <v>2041</v>
      </c>
      <c r="AB41" s="9">
        <v>2042</v>
      </c>
      <c r="AC41" s="9">
        <v>2043</v>
      </c>
      <c r="AD41" s="9">
        <v>2044</v>
      </c>
      <c r="AE41" s="9">
        <v>2045</v>
      </c>
      <c r="AF41" s="9">
        <v>2046</v>
      </c>
      <c r="AG41" s="9">
        <v>2047</v>
      </c>
      <c r="AH41" s="9">
        <v>2048</v>
      </c>
      <c r="AI41" s="9">
        <v>2049</v>
      </c>
      <c r="AJ41" s="9">
        <v>2050</v>
      </c>
      <c r="AK41" s="9">
        <v>2051</v>
      </c>
      <c r="AL41" s="9">
        <v>2052</v>
      </c>
      <c r="AM41" s="9">
        <v>2053</v>
      </c>
      <c r="AN41" s="9">
        <v>2054</v>
      </c>
      <c r="AO41" s="9">
        <v>2055</v>
      </c>
      <c r="AP41" s="9">
        <v>2056</v>
      </c>
      <c r="AQ41" s="9">
        <v>2057</v>
      </c>
      <c r="AR41" s="9">
        <v>2058</v>
      </c>
      <c r="AS41" s="9">
        <v>2059</v>
      </c>
      <c r="AT41" s="9">
        <v>2060</v>
      </c>
      <c r="AU41" s="9">
        <v>2061</v>
      </c>
      <c r="AV41" s="9">
        <v>2062</v>
      </c>
      <c r="AW41" s="9">
        <v>2063</v>
      </c>
      <c r="AX41" s="9">
        <v>2064</v>
      </c>
      <c r="AY41" s="9">
        <v>2065</v>
      </c>
      <c r="AZ41" s="9">
        <v>2066</v>
      </c>
      <c r="BA41" s="9">
        <v>2067</v>
      </c>
      <c r="BB41" s="9">
        <v>2068</v>
      </c>
      <c r="BC41" s="9">
        <v>2069</v>
      </c>
      <c r="BD41" s="9">
        <v>2070</v>
      </c>
      <c r="BE41" s="9">
        <v>2071</v>
      </c>
      <c r="BF41" s="9">
        <v>2072</v>
      </c>
      <c r="BG41" s="9">
        <v>2073</v>
      </c>
      <c r="BH41" s="9">
        <v>2074</v>
      </c>
      <c r="BI41" s="9">
        <v>2075</v>
      </c>
      <c r="BJ41" s="9">
        <v>2076</v>
      </c>
      <c r="BK41" s="9">
        <v>2077</v>
      </c>
      <c r="BL41" s="9">
        <v>2078</v>
      </c>
      <c r="BM41" s="9">
        <v>2079</v>
      </c>
      <c r="BN41" s="9">
        <v>2080</v>
      </c>
      <c r="BO41" s="9">
        <v>2081</v>
      </c>
      <c r="BP41" s="9">
        <v>2082</v>
      </c>
      <c r="BQ41" s="9">
        <v>2083</v>
      </c>
      <c r="BR41" s="9">
        <v>2084</v>
      </c>
      <c r="BS41" s="9">
        <v>2085</v>
      </c>
      <c r="BT41" s="9">
        <v>2086</v>
      </c>
      <c r="BU41" s="9">
        <v>2087</v>
      </c>
      <c r="BV41" s="9">
        <v>2088</v>
      </c>
      <c r="BW41" s="9">
        <v>2089</v>
      </c>
      <c r="BX41" s="9">
        <v>2090</v>
      </c>
      <c r="BY41" s="9">
        <v>2091</v>
      </c>
      <c r="BZ41" s="9">
        <v>2092</v>
      </c>
      <c r="CA41" s="9">
        <v>2093</v>
      </c>
      <c r="CB41" s="9">
        <v>2094</v>
      </c>
      <c r="CC41" s="9">
        <v>2095</v>
      </c>
      <c r="CD41" s="9">
        <v>2096</v>
      </c>
      <c r="CE41" s="9">
        <v>2097</v>
      </c>
      <c r="CF41" s="9">
        <v>2098</v>
      </c>
      <c r="CG41" s="9">
        <v>2099</v>
      </c>
      <c r="CH41" s="9">
        <v>2100</v>
      </c>
    </row>
    <row r="42" spans="1:86" s="51" customFormat="1" x14ac:dyDescent="0.25">
      <c r="A42" s="1"/>
      <c r="B42" s="1" t="s">
        <v>21</v>
      </c>
      <c r="C42" s="11">
        <v>44369</v>
      </c>
      <c r="D42" s="11">
        <v>53665</v>
      </c>
      <c r="E42" s="21">
        <v>59930</v>
      </c>
      <c r="F42" s="11">
        <v>65038</v>
      </c>
      <c r="G42" s="11">
        <v>72923</v>
      </c>
      <c r="H42" s="11">
        <v>80251</v>
      </c>
      <c r="I42" s="69">
        <f>I43*I11</f>
        <v>79950</v>
      </c>
      <c r="J42" s="26">
        <f t="shared" ref="J42:R42" si="28">J43*J11</f>
        <v>84100</v>
      </c>
      <c r="K42" s="26">
        <f t="shared" si="28"/>
        <v>85000</v>
      </c>
      <c r="L42" s="26">
        <f t="shared" si="28"/>
        <v>86260</v>
      </c>
      <c r="M42" s="26">
        <f t="shared" si="28"/>
        <v>84280</v>
      </c>
      <c r="N42" s="26">
        <f t="shared" si="28"/>
        <v>90000</v>
      </c>
      <c r="O42" s="26">
        <f t="shared" si="28"/>
        <v>95000</v>
      </c>
      <c r="P42" s="26">
        <f t="shared" si="28"/>
        <v>100000.00000000001</v>
      </c>
      <c r="Q42" s="26">
        <f t="shared" si="28"/>
        <v>105000.00000000001</v>
      </c>
      <c r="R42" s="26">
        <f t="shared" si="28"/>
        <v>125000.00000000001</v>
      </c>
    </row>
    <row r="43" spans="1:86" s="51" customFormat="1" x14ac:dyDescent="0.25">
      <c r="A43" s="1"/>
      <c r="B43" s="13" t="s">
        <v>17</v>
      </c>
      <c r="C43" s="65">
        <f t="shared" ref="C43:H43" si="29">C42/C11</f>
        <v>1.5914395337984971E-2</v>
      </c>
      <c r="D43" s="65">
        <f t="shared" si="29"/>
        <v>1.5632705840336953E-2</v>
      </c>
      <c r="E43" s="65">
        <f t="shared" si="29"/>
        <v>1.6560857351136049E-2</v>
      </c>
      <c r="F43" s="65">
        <f t="shared" si="29"/>
        <v>1.5795848410566738E-2</v>
      </c>
      <c r="G43" s="65">
        <f t="shared" si="29"/>
        <v>1.6735542263652894E-2</v>
      </c>
      <c r="H43" s="65">
        <f t="shared" si="29"/>
        <v>1.7687503939690881E-2</v>
      </c>
      <c r="I43" s="78">
        <v>1.7342733188720174E-2</v>
      </c>
      <c r="J43" s="79">
        <v>1.734020618556701E-2</v>
      </c>
      <c r="K43" s="79">
        <v>1.6831683168316833E-2</v>
      </c>
      <c r="L43" s="79">
        <v>1.6368121442125239E-2</v>
      </c>
      <c r="M43" s="79">
        <v>1.510394265232975E-2</v>
      </c>
      <c r="N43" s="79">
        <v>1.3761467889908258E-2</v>
      </c>
      <c r="O43" s="79">
        <v>1.3688760806916427E-2</v>
      </c>
      <c r="P43" s="79">
        <v>1.3661202185792349E-2</v>
      </c>
      <c r="Q43" s="79">
        <v>1.370757180156658E-2</v>
      </c>
      <c r="R43" s="79">
        <v>1.5586034912718205E-2</v>
      </c>
    </row>
    <row r="44" spans="1:86" s="51" customFormat="1" x14ac:dyDescent="0.25">
      <c r="A44" s="1"/>
      <c r="B44" s="1"/>
      <c r="C44" s="1"/>
      <c r="D44" s="1"/>
      <c r="E44" s="2"/>
      <c r="F44" s="1"/>
      <c r="G44" s="1"/>
      <c r="H44" s="1"/>
      <c r="I44" s="20"/>
      <c r="J44" s="2"/>
      <c r="K44" s="2"/>
      <c r="L44" s="2"/>
      <c r="M44" s="2"/>
      <c r="N44" s="2"/>
      <c r="O44" s="2"/>
      <c r="P44" s="2"/>
      <c r="Q44" s="2"/>
      <c r="R44" s="2"/>
    </row>
    <row r="45" spans="1:86" s="51" customFormat="1" x14ac:dyDescent="0.25">
      <c r="A45" s="1"/>
      <c r="B45" s="1" t="s">
        <v>22</v>
      </c>
      <c r="C45" s="11">
        <v>-90011</v>
      </c>
      <c r="D45" s="11">
        <v>-119888</v>
      </c>
      <c r="E45" s="21">
        <v>-85565</v>
      </c>
      <c r="F45" s="37">
        <v>-88768</v>
      </c>
      <c r="G45" s="11">
        <v>-94172</v>
      </c>
      <c r="H45" s="11">
        <v>-87234</v>
      </c>
      <c r="I45" s="69">
        <f>I46*I11</f>
        <v>-94850</v>
      </c>
      <c r="J45" s="26">
        <f t="shared" ref="J45:R45" si="30">J46*J11</f>
        <v>-102190</v>
      </c>
      <c r="K45" s="26">
        <f t="shared" si="30"/>
        <v>-106760</v>
      </c>
      <c r="L45" s="26">
        <f t="shared" si="30"/>
        <v>-109340</v>
      </c>
      <c r="M45" s="26">
        <f t="shared" si="30"/>
        <v>-111790</v>
      </c>
      <c r="N45" s="26">
        <f t="shared" si="30"/>
        <v>-137000</v>
      </c>
      <c r="O45" s="26">
        <f t="shared" si="30"/>
        <v>-146000</v>
      </c>
      <c r="P45" s="26">
        <f t="shared" si="30"/>
        <v>-154000.00000000003</v>
      </c>
      <c r="Q45" s="26">
        <f t="shared" si="30"/>
        <v>-161000.00000000003</v>
      </c>
      <c r="R45" s="26">
        <f t="shared" si="30"/>
        <v>-168000.00000000003</v>
      </c>
    </row>
    <row r="46" spans="1:86" s="51" customFormat="1" x14ac:dyDescent="0.25">
      <c r="A46" s="1"/>
      <c r="B46" s="13" t="s">
        <v>17</v>
      </c>
      <c r="C46" s="65">
        <f t="shared" ref="C46:H46" si="31">C45/C11</f>
        <v>-3.2285393828289238E-2</v>
      </c>
      <c r="D46" s="65">
        <f t="shared" si="31"/>
        <v>-3.4923578454976553E-2</v>
      </c>
      <c r="E46" s="65">
        <f t="shared" si="31"/>
        <v>-2.3644748193725279E-2</v>
      </c>
      <c r="F46" s="65">
        <f t="shared" si="31"/>
        <v>-2.1559178814065442E-2</v>
      </c>
      <c r="G46" s="65">
        <f t="shared" si="31"/>
        <v>-2.1612104357373124E-2</v>
      </c>
      <c r="H46" s="65">
        <f t="shared" si="31"/>
        <v>-1.922657311030385E-2</v>
      </c>
      <c r="I46" s="78">
        <v>-2.0574837310195229E-2</v>
      </c>
      <c r="J46" s="79">
        <v>-2.1070103092783506E-2</v>
      </c>
      <c r="K46" s="79">
        <v>-2.1140594059405941E-2</v>
      </c>
      <c r="L46" s="79">
        <v>-2.0747628083491461E-2</v>
      </c>
      <c r="M46" s="79">
        <v>-2.003405017921147E-2</v>
      </c>
      <c r="N46" s="79">
        <v>-2.0948012232415901E-2</v>
      </c>
      <c r="O46" s="79">
        <v>-2.1037463976945246E-2</v>
      </c>
      <c r="P46" s="79">
        <v>-2.1038251366120218E-2</v>
      </c>
      <c r="Q46" s="79">
        <v>-2.1018276762402088E-2</v>
      </c>
      <c r="R46" s="79">
        <v>-2.0947630922693267E-2</v>
      </c>
    </row>
    <row r="47" spans="1:86" s="51" customFormat="1" x14ac:dyDescent="0.25">
      <c r="A47" s="1"/>
      <c r="B47" s="1"/>
      <c r="C47" s="1"/>
      <c r="D47" s="1"/>
      <c r="E47" s="2"/>
      <c r="F47" s="1"/>
      <c r="G47" s="1"/>
      <c r="H47" s="1"/>
      <c r="I47" s="20"/>
      <c r="J47" s="2"/>
      <c r="K47" s="2"/>
      <c r="L47" s="2"/>
      <c r="M47" s="2"/>
      <c r="N47" s="2"/>
      <c r="O47" s="2"/>
      <c r="P47" s="2"/>
      <c r="Q47" s="2"/>
      <c r="R47" s="2"/>
    </row>
    <row r="48" spans="1:86" s="51" customFormat="1" x14ac:dyDescent="0.25">
      <c r="A48" s="1"/>
      <c r="B48" s="1" t="s">
        <v>23</v>
      </c>
      <c r="C48" s="1">
        <v>11790</v>
      </c>
      <c r="D48" s="1">
        <v>-23795</v>
      </c>
      <c r="E48" s="1">
        <v>37112</v>
      </c>
      <c r="F48" s="1">
        <v>47574</v>
      </c>
      <c r="G48" s="1">
        <v>86470</v>
      </c>
      <c r="H48" s="1">
        <v>-73811</v>
      </c>
      <c r="I48" s="69">
        <f t="shared" ref="I48:R48" si="32">I49*I11</f>
        <v>-46100</v>
      </c>
      <c r="J48" s="26">
        <f t="shared" si="32"/>
        <v>48500</v>
      </c>
      <c r="K48" s="26">
        <f t="shared" si="32"/>
        <v>75750</v>
      </c>
      <c r="L48" s="26">
        <f t="shared" si="32"/>
        <v>105400</v>
      </c>
      <c r="M48" s="26">
        <f t="shared" si="32"/>
        <v>111600</v>
      </c>
      <c r="N48" s="26">
        <f t="shared" si="32"/>
        <v>130800</v>
      </c>
      <c r="O48" s="26">
        <f t="shared" si="32"/>
        <v>208200</v>
      </c>
      <c r="P48" s="26">
        <f t="shared" si="32"/>
        <v>219600.00000000003</v>
      </c>
      <c r="Q48" s="26">
        <f t="shared" si="32"/>
        <v>229800.00000000003</v>
      </c>
      <c r="R48" s="26">
        <f t="shared" si="32"/>
        <v>240600.00000000003</v>
      </c>
    </row>
    <row r="49" spans="1:86" s="51" customFormat="1" x14ac:dyDescent="0.25">
      <c r="A49" s="1"/>
      <c r="B49" s="13" t="s">
        <v>17</v>
      </c>
      <c r="C49" s="65">
        <f t="shared" ref="C49:H49" si="33">C48/C11</f>
        <v>4.2288697296500441E-3</v>
      </c>
      <c r="D49" s="65">
        <f t="shared" si="33"/>
        <v>-6.9315240002015806E-3</v>
      </c>
      <c r="E49" s="65">
        <f t="shared" si="33"/>
        <v>1.0255406941687986E-2</v>
      </c>
      <c r="F49" s="65">
        <f t="shared" si="33"/>
        <v>1.1554348108556566E-2</v>
      </c>
      <c r="G49" s="65">
        <f t="shared" si="33"/>
        <v>1.9844525589156586E-2</v>
      </c>
      <c r="H49" s="65">
        <f t="shared" si="33"/>
        <v>-1.6268113210957169E-2</v>
      </c>
      <c r="I49" s="84">
        <v>-0.01</v>
      </c>
      <c r="J49" s="85">
        <v>0.01</v>
      </c>
      <c r="K49" s="85">
        <v>1.4999999999999999E-2</v>
      </c>
      <c r="L49" s="85">
        <v>0.02</v>
      </c>
      <c r="M49" s="85">
        <v>0.02</v>
      </c>
      <c r="N49" s="85">
        <f>M49</f>
        <v>0.02</v>
      </c>
      <c r="O49" s="85">
        <v>0.03</v>
      </c>
      <c r="P49" s="85">
        <v>0.03</v>
      </c>
      <c r="Q49" s="85">
        <v>0.03</v>
      </c>
      <c r="R49" s="85">
        <v>0.03</v>
      </c>
    </row>
    <row r="50" spans="1:86" s="51" customFormat="1" x14ac:dyDescent="0.25">
      <c r="A50" s="1"/>
      <c r="B50" s="1"/>
      <c r="C50" s="1"/>
      <c r="D50" s="1"/>
      <c r="E50" s="1"/>
      <c r="F50" s="1"/>
      <c r="G50" s="1"/>
      <c r="H50" s="1"/>
      <c r="I50" s="20"/>
      <c r="J50" s="2"/>
      <c r="K50" s="2"/>
      <c r="L50" s="2"/>
      <c r="M50" s="2"/>
      <c r="N50" s="2"/>
      <c r="O50" s="2"/>
      <c r="P50" s="2"/>
      <c r="Q50" s="2"/>
      <c r="R50" s="2"/>
    </row>
    <row r="51" spans="1:86" s="51" customFormat="1" x14ac:dyDescent="0.25">
      <c r="A51" s="1"/>
      <c r="B51" s="9" t="s">
        <v>24</v>
      </c>
      <c r="C51" s="11">
        <f t="shared" ref="C51:G51" si="34">C35-C38</f>
        <v>398984</v>
      </c>
      <c r="D51" s="11">
        <f t="shared" si="34"/>
        <v>504983</v>
      </c>
      <c r="E51" s="11">
        <f t="shared" si="34"/>
        <v>547479</v>
      </c>
      <c r="F51" s="11">
        <f t="shared" si="34"/>
        <v>661808</v>
      </c>
      <c r="G51" s="11">
        <f t="shared" si="34"/>
        <v>665170</v>
      </c>
      <c r="H51" s="11">
        <f>H35-H38</f>
        <v>647355</v>
      </c>
      <c r="I51" s="70">
        <f t="shared" ref="I51" si="35">I35-I38</f>
        <v>644478.54616113752</v>
      </c>
      <c r="J51" s="21">
        <f t="shared" ref="J51:R51" si="36">J35-J38</f>
        <v>703762.451</v>
      </c>
      <c r="K51" s="21">
        <f t="shared" si="36"/>
        <v>753641.54749999999</v>
      </c>
      <c r="L51" s="21">
        <f t="shared" si="36"/>
        <v>813168.37800000003</v>
      </c>
      <c r="M51" s="21">
        <f t="shared" si="36"/>
        <v>897347.08972384909</v>
      </c>
      <c r="N51" s="21">
        <f t="shared" si="36"/>
        <v>1063614.0897888769</v>
      </c>
      <c r="O51" s="21">
        <f t="shared" si="36"/>
        <v>1144457.2372599915</v>
      </c>
      <c r="P51" s="21">
        <f t="shared" si="36"/>
        <v>1221508.3065100524</v>
      </c>
      <c r="Q51" s="21">
        <f t="shared" si="36"/>
        <v>1291534.8545552462</v>
      </c>
      <c r="R51" s="21">
        <f t="shared" si="36"/>
        <v>1353930.9466788108</v>
      </c>
    </row>
    <row r="52" spans="1:86" s="51" customFormat="1" x14ac:dyDescent="0.25">
      <c r="A52" s="1"/>
      <c r="B52" s="9" t="s">
        <v>25</v>
      </c>
      <c r="C52" s="11">
        <f t="shared" ref="C52:G52" si="37">C33-C38</f>
        <v>277905</v>
      </c>
      <c r="D52" s="11">
        <f t="shared" si="37"/>
        <v>361972</v>
      </c>
      <c r="E52" s="11">
        <f t="shared" si="37"/>
        <v>400709</v>
      </c>
      <c r="F52" s="11">
        <f t="shared" si="37"/>
        <v>491296</v>
      </c>
      <c r="G52" s="11">
        <f t="shared" si="37"/>
        <v>510467</v>
      </c>
      <c r="H52" s="11">
        <f>H33-H38</f>
        <v>452263</v>
      </c>
      <c r="I52" s="70">
        <f>I33-I38</f>
        <v>455805.75396721426</v>
      </c>
      <c r="J52" s="21">
        <f t="shared" ref="J52:R52" si="38">J33-J38</f>
        <v>507289.74235369836</v>
      </c>
      <c r="K52" s="21">
        <f t="shared" si="38"/>
        <v>546591.54749999999</v>
      </c>
      <c r="L52" s="21">
        <f t="shared" si="38"/>
        <v>581288.37800000003</v>
      </c>
      <c r="M52" s="21">
        <f t="shared" si="38"/>
        <v>662987.08972384909</v>
      </c>
      <c r="N52" s="21">
        <f t="shared" si="38"/>
        <v>762774.08978887694</v>
      </c>
      <c r="O52" s="21">
        <f t="shared" si="38"/>
        <v>825217.23725999147</v>
      </c>
      <c r="P52" s="21">
        <f t="shared" si="38"/>
        <v>884788.30651005241</v>
      </c>
      <c r="Q52" s="21">
        <f t="shared" si="38"/>
        <v>946834.85455524619</v>
      </c>
      <c r="R52" s="21">
        <f t="shared" si="38"/>
        <v>993030.94667881075</v>
      </c>
      <c r="S52" s="52">
        <f>R52*(1+$E$6)</f>
        <v>1012891.565612387</v>
      </c>
      <c r="T52" s="52">
        <f t="shared" ref="T52:CE52" si="39">S52*(1+$E$6)</f>
        <v>1033149.3969246348</v>
      </c>
      <c r="U52" s="52">
        <f t="shared" si="39"/>
        <v>1053812.3848631275</v>
      </c>
      <c r="V52" s="52">
        <f t="shared" si="39"/>
        <v>1074888.63256039</v>
      </c>
      <c r="W52" s="52">
        <f t="shared" si="39"/>
        <v>1096386.4052115979</v>
      </c>
      <c r="X52" s="52">
        <f t="shared" si="39"/>
        <v>1118314.1333158298</v>
      </c>
      <c r="Y52" s="52">
        <f t="shared" si="39"/>
        <v>1140680.4159821465</v>
      </c>
      <c r="Z52" s="52">
        <f t="shared" si="39"/>
        <v>1163494.0243017895</v>
      </c>
      <c r="AA52" s="52">
        <f t="shared" si="39"/>
        <v>1186763.9047878252</v>
      </c>
      <c r="AB52" s="52">
        <f t="shared" si="39"/>
        <v>1210499.1828835816</v>
      </c>
      <c r="AC52" s="52">
        <f t="shared" si="39"/>
        <v>1234709.1665412532</v>
      </c>
      <c r="AD52" s="52">
        <f t="shared" si="39"/>
        <v>1259403.3498720783</v>
      </c>
      <c r="AE52" s="52">
        <f t="shared" si="39"/>
        <v>1284591.41686952</v>
      </c>
      <c r="AF52" s="52">
        <f t="shared" si="39"/>
        <v>1310283.2452069104</v>
      </c>
      <c r="AG52" s="52">
        <f t="shared" si="39"/>
        <v>1336488.9101110487</v>
      </c>
      <c r="AH52" s="52">
        <f t="shared" si="39"/>
        <v>1363218.6883132698</v>
      </c>
      <c r="AI52" s="52">
        <f t="shared" si="39"/>
        <v>1390483.0620795351</v>
      </c>
      <c r="AJ52" s="52">
        <f t="shared" si="39"/>
        <v>1418292.7233211258</v>
      </c>
      <c r="AK52" s="52">
        <f t="shared" si="39"/>
        <v>1446658.5777875483</v>
      </c>
      <c r="AL52" s="52">
        <f t="shared" si="39"/>
        <v>1475591.7493432993</v>
      </c>
      <c r="AM52" s="52">
        <f t="shared" si="39"/>
        <v>1505103.5843301653</v>
      </c>
      <c r="AN52" s="52">
        <f t="shared" si="39"/>
        <v>1535205.6560167687</v>
      </c>
      <c r="AO52" s="52">
        <f t="shared" si="39"/>
        <v>1565909.769137104</v>
      </c>
      <c r="AP52" s="52">
        <f t="shared" si="39"/>
        <v>1597227.9645198463</v>
      </c>
      <c r="AQ52" s="52">
        <f t="shared" si="39"/>
        <v>1629172.5238102432</v>
      </c>
      <c r="AR52" s="52">
        <f t="shared" si="39"/>
        <v>1661755.9742864482</v>
      </c>
      <c r="AS52" s="52">
        <f t="shared" si="39"/>
        <v>1694991.0937721771</v>
      </c>
      <c r="AT52" s="52">
        <f t="shared" si="39"/>
        <v>1728890.9156476208</v>
      </c>
      <c r="AU52" s="52">
        <f t="shared" si="39"/>
        <v>1763468.7339605733</v>
      </c>
      <c r="AV52" s="52">
        <f t="shared" si="39"/>
        <v>1798738.1086397849</v>
      </c>
      <c r="AW52" s="52">
        <f t="shared" si="39"/>
        <v>1834712.8708125807</v>
      </c>
      <c r="AX52" s="52">
        <f t="shared" si="39"/>
        <v>1871407.1282288323</v>
      </c>
      <c r="AY52" s="52">
        <f t="shared" si="39"/>
        <v>1908835.2707934089</v>
      </c>
      <c r="AZ52" s="52">
        <f t="shared" si="39"/>
        <v>1947011.9762092771</v>
      </c>
      <c r="BA52" s="52">
        <f t="shared" si="39"/>
        <v>1985952.2157334627</v>
      </c>
      <c r="BB52" s="52">
        <f t="shared" si="39"/>
        <v>2025671.2600481319</v>
      </c>
      <c r="BC52" s="52">
        <f t="shared" si="39"/>
        <v>2066184.6852490946</v>
      </c>
      <c r="BD52" s="52">
        <f t="shared" si="39"/>
        <v>2107508.3789540767</v>
      </c>
      <c r="BE52" s="52">
        <f t="shared" si="39"/>
        <v>2149658.546533158</v>
      </c>
      <c r="BF52" s="52">
        <f t="shared" si="39"/>
        <v>2192651.7174638212</v>
      </c>
      <c r="BG52" s="52">
        <f t="shared" si="39"/>
        <v>2236504.7518130979</v>
      </c>
      <c r="BH52" s="52">
        <f t="shared" si="39"/>
        <v>2281234.84684936</v>
      </c>
      <c r="BI52" s="52">
        <f t="shared" si="39"/>
        <v>2326859.5437863474</v>
      </c>
      <c r="BJ52" s="52">
        <f t="shared" si="39"/>
        <v>2373396.7346620746</v>
      </c>
      <c r="BK52" s="52">
        <f t="shared" si="39"/>
        <v>2420864.6693553161</v>
      </c>
      <c r="BL52" s="52">
        <f t="shared" si="39"/>
        <v>2469281.9627424222</v>
      </c>
      <c r="BM52" s="52">
        <f t="shared" si="39"/>
        <v>2518667.6019972707</v>
      </c>
      <c r="BN52" s="52">
        <f t="shared" si="39"/>
        <v>2569040.954037216</v>
      </c>
      <c r="BO52" s="52">
        <f t="shared" si="39"/>
        <v>2620421.7731179604</v>
      </c>
      <c r="BP52" s="52">
        <f t="shared" si="39"/>
        <v>2672830.2085803198</v>
      </c>
      <c r="BQ52" s="52">
        <f t="shared" si="39"/>
        <v>2726286.812751926</v>
      </c>
      <c r="BR52" s="52">
        <f t="shared" si="39"/>
        <v>2780812.5490069645</v>
      </c>
      <c r="BS52" s="52">
        <f t="shared" si="39"/>
        <v>2836428.7999871038</v>
      </c>
      <c r="BT52" s="52">
        <f t="shared" si="39"/>
        <v>2893157.3759868457</v>
      </c>
      <c r="BU52" s="52">
        <f t="shared" si="39"/>
        <v>2951020.5235065827</v>
      </c>
      <c r="BV52" s="52">
        <f t="shared" si="39"/>
        <v>3010040.9339767145</v>
      </c>
      <c r="BW52" s="52">
        <f t="shared" si="39"/>
        <v>3070241.7526562489</v>
      </c>
      <c r="BX52" s="52">
        <f t="shared" si="39"/>
        <v>3131646.5877093738</v>
      </c>
      <c r="BY52" s="52">
        <f t="shared" si="39"/>
        <v>3194279.5194635615</v>
      </c>
      <c r="BZ52" s="52">
        <f t="shared" si="39"/>
        <v>3258165.1098528327</v>
      </c>
      <c r="CA52" s="52">
        <f t="shared" si="39"/>
        <v>3323328.4120498896</v>
      </c>
      <c r="CB52" s="52">
        <f t="shared" si="39"/>
        <v>3389794.9802908874</v>
      </c>
      <c r="CC52" s="52">
        <f t="shared" si="39"/>
        <v>3457590.879896705</v>
      </c>
      <c r="CD52" s="52">
        <f t="shared" si="39"/>
        <v>3526742.6974946391</v>
      </c>
      <c r="CE52" s="52">
        <f t="shared" si="39"/>
        <v>3597277.5514445319</v>
      </c>
      <c r="CF52" s="52">
        <f t="shared" ref="CF52:CH52" si="40">CE52*(1+$E$6)</f>
        <v>3669223.1024734224</v>
      </c>
      <c r="CG52" s="52">
        <f t="shared" si="40"/>
        <v>3742607.5645228908</v>
      </c>
      <c r="CH52" s="52">
        <f t="shared" si="40"/>
        <v>3817459.7158133485</v>
      </c>
    </row>
    <row r="53" spans="1:86" s="51" customFormat="1" x14ac:dyDescent="0.25">
      <c r="A53" s="1"/>
      <c r="B53" s="6"/>
      <c r="C53" s="11"/>
      <c r="D53" s="11"/>
      <c r="E53" s="11"/>
      <c r="F53" s="11"/>
      <c r="G53" s="11"/>
      <c r="H53" s="11"/>
      <c r="I53" s="20"/>
      <c r="J53" s="2"/>
      <c r="K53" s="2"/>
      <c r="L53" s="2"/>
      <c r="M53" s="2"/>
      <c r="N53" s="2"/>
      <c r="O53" s="2"/>
      <c r="P53" s="2"/>
      <c r="Q53" s="2"/>
      <c r="R53" s="2"/>
    </row>
    <row r="54" spans="1:86" s="51" customFormat="1" x14ac:dyDescent="0.25">
      <c r="A54" s="1"/>
      <c r="B54" s="9" t="s">
        <v>26</v>
      </c>
      <c r="C54" s="22">
        <f>C51+C42+C45-C48</f>
        <v>341552</v>
      </c>
      <c r="D54" s="22">
        <f t="shared" ref="D54:R54" si="41">D51+D42+D45-D48</f>
        <v>462555</v>
      </c>
      <c r="E54" s="22">
        <f t="shared" si="41"/>
        <v>484732</v>
      </c>
      <c r="F54" s="22">
        <f t="shared" si="41"/>
        <v>590504</v>
      </c>
      <c r="G54" s="22">
        <f t="shared" si="41"/>
        <v>557451</v>
      </c>
      <c r="H54" s="22">
        <f t="shared" si="41"/>
        <v>714183</v>
      </c>
      <c r="I54" s="70">
        <f t="shared" si="41"/>
        <v>675678.54616113752</v>
      </c>
      <c r="J54" s="21">
        <f t="shared" si="41"/>
        <v>637172.451</v>
      </c>
      <c r="K54" s="21">
        <f t="shared" si="41"/>
        <v>656131.54749999999</v>
      </c>
      <c r="L54" s="21">
        <f t="shared" si="41"/>
        <v>684688.37800000003</v>
      </c>
      <c r="M54" s="21">
        <f t="shared" si="41"/>
        <v>758237.08972384909</v>
      </c>
      <c r="N54" s="21">
        <f t="shared" si="41"/>
        <v>885814.08978887694</v>
      </c>
      <c r="O54" s="21">
        <f t="shared" si="41"/>
        <v>885257.23725999147</v>
      </c>
      <c r="P54" s="21">
        <f t="shared" si="41"/>
        <v>947908.30651005241</v>
      </c>
      <c r="Q54" s="21">
        <f t="shared" si="41"/>
        <v>1005734.8545552462</v>
      </c>
      <c r="R54" s="21">
        <f t="shared" si="41"/>
        <v>1070330.9466788108</v>
      </c>
    </row>
    <row r="55" spans="1:86" s="51" customFormat="1" x14ac:dyDescent="0.25">
      <c r="A55" s="1"/>
      <c r="B55" s="23" t="s">
        <v>27</v>
      </c>
      <c r="C55" s="1"/>
      <c r="D55" s="1"/>
      <c r="E55" s="1"/>
      <c r="F55" s="1"/>
      <c r="G55" s="1"/>
      <c r="H55" s="1"/>
      <c r="I55" s="53">
        <f t="shared" ref="I55:R55" si="42">I54/((1+$E$5)^I9)</f>
        <v>624207.19198873604</v>
      </c>
      <c r="J55" s="18">
        <f t="shared" si="42"/>
        <v>543793.81964434427</v>
      </c>
      <c r="K55" s="18">
        <f t="shared" si="42"/>
        <v>517317.10124357068</v>
      </c>
      <c r="L55" s="18">
        <f t="shared" si="42"/>
        <v>498709.34987125441</v>
      </c>
      <c r="M55" s="18">
        <f t="shared" si="42"/>
        <v>510209.12002329662</v>
      </c>
      <c r="N55" s="18">
        <f t="shared" si="42"/>
        <v>550648.44284502347</v>
      </c>
      <c r="O55" s="18">
        <f t="shared" si="42"/>
        <v>508381.75503199914</v>
      </c>
      <c r="P55" s="18">
        <f t="shared" si="42"/>
        <v>502892.82305803301</v>
      </c>
      <c r="Q55" s="18">
        <f t="shared" si="42"/>
        <v>492925.45786387462</v>
      </c>
      <c r="R55" s="18">
        <f t="shared" si="42"/>
        <v>484623.49836850277</v>
      </c>
    </row>
    <row r="56" spans="1:86" s="51" customFormat="1" x14ac:dyDescent="0.25">
      <c r="A56" s="1"/>
      <c r="B56" s="24"/>
      <c r="C56" s="24"/>
      <c r="D56" s="24"/>
      <c r="E56" s="24"/>
      <c r="F56" s="24"/>
      <c r="G56" s="24"/>
      <c r="H56" s="24"/>
      <c r="I56" s="25"/>
      <c r="J56" s="24"/>
      <c r="K56" s="24"/>
      <c r="L56" s="24"/>
      <c r="M56" s="24"/>
      <c r="N56" s="24"/>
      <c r="O56" s="24"/>
      <c r="P56" s="24"/>
      <c r="Q56" s="24"/>
      <c r="R56" s="24"/>
    </row>
    <row r="57" spans="1:86" s="51" customFormat="1" x14ac:dyDescent="0.25">
      <c r="A57" s="1"/>
      <c r="B57" s="1" t="s">
        <v>28</v>
      </c>
      <c r="C57" s="26">
        <f>(R54*(1+$E$6))/($E$5-$E$6)</f>
        <v>17479333.207106408</v>
      </c>
      <c r="D57" s="1"/>
      <c r="E57" s="1" t="s">
        <v>29</v>
      </c>
      <c r="F57" s="18">
        <f>NPV($E$5,I52:CH52)</f>
        <v>11699317.224560805</v>
      </c>
      <c r="G57" s="1"/>
      <c r="H57" s="1"/>
      <c r="I57" s="15"/>
      <c r="J57" s="1"/>
      <c r="K57" s="1"/>
      <c r="L57" s="1"/>
      <c r="M57" s="1"/>
      <c r="N57" s="1"/>
      <c r="O57" s="1"/>
      <c r="P57" s="1"/>
      <c r="Q57" s="1"/>
      <c r="R57" s="2"/>
    </row>
    <row r="58" spans="1:86" s="51" customFormat="1" x14ac:dyDescent="0.25">
      <c r="A58" s="1"/>
      <c r="B58" s="3" t="s">
        <v>30</v>
      </c>
      <c r="C58" s="27">
        <f>C57/((1+$E$5)^$R$9)</f>
        <v>7914277.0133494325</v>
      </c>
      <c r="D58" s="16"/>
      <c r="E58" s="3"/>
      <c r="F58" s="3"/>
      <c r="G58" s="3"/>
      <c r="H58" s="16"/>
      <c r="I58" s="12"/>
      <c r="J58" s="1"/>
      <c r="K58" s="2"/>
      <c r="L58" s="54" t="s">
        <v>51</v>
      </c>
      <c r="M58" s="55"/>
      <c r="N58" s="55"/>
      <c r="O58" s="55"/>
      <c r="P58" s="55"/>
      <c r="Q58" s="54"/>
      <c r="R58" s="2"/>
    </row>
    <row r="59" spans="1:86" x14ac:dyDescent="0.25">
      <c r="A59" s="1"/>
      <c r="B59" s="6" t="s">
        <v>31</v>
      </c>
      <c r="C59" s="6"/>
      <c r="D59" s="1"/>
      <c r="E59" s="6"/>
      <c r="F59" s="6"/>
      <c r="G59" s="28" t="s">
        <v>32</v>
      </c>
      <c r="H59" s="28" t="s">
        <v>29</v>
      </c>
      <c r="I59" s="15"/>
      <c r="J59" s="1"/>
      <c r="K59" s="54"/>
      <c r="L59" s="59">
        <f>E65</f>
        <v>347.65595996620272</v>
      </c>
      <c r="M59" s="68">
        <v>-0.01</v>
      </c>
      <c r="N59" s="68">
        <v>0</v>
      </c>
      <c r="O59" s="68">
        <v>0.01</v>
      </c>
      <c r="P59" s="68">
        <v>0.02</v>
      </c>
      <c r="Q59" s="68">
        <v>0.03</v>
      </c>
    </row>
    <row r="60" spans="1:86" x14ac:dyDescent="0.25">
      <c r="A60" s="1"/>
      <c r="B60" s="29" t="s">
        <v>33</v>
      </c>
      <c r="C60" s="1"/>
      <c r="D60" s="21">
        <f>154193+170798</f>
        <v>324991</v>
      </c>
      <c r="E60" s="1"/>
      <c r="F60" s="1"/>
      <c r="G60" s="26">
        <f>C58+SUM(I55:R55)</f>
        <v>13147985.573288068</v>
      </c>
      <c r="H60" s="18">
        <f>F57</f>
        <v>11699317.224560805</v>
      </c>
      <c r="I60" s="15"/>
      <c r="K60" s="54"/>
      <c r="L60" s="56">
        <f>L61-1%</f>
        <v>6.2458765027062331E-2</v>
      </c>
      <c r="M60" s="60">
        <f t="dataTable" ref="M60:Q64" dt2D="1" dtr="1" r1="E6" r2="E5"/>
        <v>365.34539077245506</v>
      </c>
      <c r="N60" s="60">
        <v>401.6041078243336</v>
      </c>
      <c r="O60" s="60">
        <v>450.53092844975771</v>
      </c>
      <c r="P60" s="60">
        <v>519.72556856575011</v>
      </c>
      <c r="Q60" s="60">
        <v>624.52670005338882</v>
      </c>
    </row>
    <row r="61" spans="1:86" x14ac:dyDescent="0.25">
      <c r="A61" s="1"/>
      <c r="B61" s="30" t="s">
        <v>34</v>
      </c>
      <c r="C61" s="3"/>
      <c r="D61" s="38">
        <f>556365-93547</f>
        <v>462818</v>
      </c>
      <c r="E61" s="3"/>
      <c r="F61" s="3"/>
      <c r="G61" s="3"/>
      <c r="H61" s="3"/>
      <c r="I61" s="15"/>
      <c r="K61" s="55"/>
      <c r="L61" s="56">
        <f>L62-1%</f>
        <v>7.2458765027062333E-2</v>
      </c>
      <c r="M61" s="60">
        <v>314.58646664367257</v>
      </c>
      <c r="N61" s="61">
        <v>340.15608269219888</v>
      </c>
      <c r="O61" s="61">
        <v>373.44597945324921</v>
      </c>
      <c r="P61" s="61">
        <v>418.34457664604201</v>
      </c>
      <c r="Q61" s="60">
        <v>481.80477614489979</v>
      </c>
      <c r="R61" s="47"/>
    </row>
    <row r="62" spans="1:86" x14ac:dyDescent="0.25">
      <c r="A62" s="1"/>
      <c r="B62" s="6" t="s">
        <v>35</v>
      </c>
      <c r="C62" s="6"/>
      <c r="D62" s="6"/>
      <c r="E62" s="6"/>
      <c r="F62" s="6"/>
      <c r="G62" s="31">
        <f>G60+D60-D61</f>
        <v>13010158.573288068</v>
      </c>
      <c r="H62" s="32">
        <f>H60+D60-D61</f>
        <v>11561490.224560805</v>
      </c>
      <c r="I62" s="15"/>
      <c r="K62" s="54" t="s">
        <v>1</v>
      </c>
      <c r="L62" s="56">
        <v>8.2458765027062328E-2</v>
      </c>
      <c r="M62" s="60">
        <v>274.99365871447355</v>
      </c>
      <c r="N62" s="61">
        <v>293.5655854570258</v>
      </c>
      <c r="O62" s="62">
        <v>317.06837823374394</v>
      </c>
      <c r="P62" s="61">
        <v>347.65595996620272</v>
      </c>
      <c r="Q62" s="60">
        <v>388.88966234232601</v>
      </c>
    </row>
    <row r="63" spans="1:86" x14ac:dyDescent="0.25">
      <c r="A63" s="1"/>
      <c r="B63" s="3" t="s">
        <v>36</v>
      </c>
      <c r="C63" s="3"/>
      <c r="D63" s="67">
        <f>35339030/1000</f>
        <v>35339.03</v>
      </c>
      <c r="E63" s="3"/>
      <c r="F63" s="3"/>
      <c r="G63" s="3"/>
      <c r="H63" s="33"/>
      <c r="I63" s="15"/>
      <c r="K63" s="54"/>
      <c r="L63" s="57">
        <f>L62+1%</f>
        <v>9.2458765027062323E-2</v>
      </c>
      <c r="M63" s="60">
        <v>243.35777954647858</v>
      </c>
      <c r="N63" s="61">
        <v>257.17777782039889</v>
      </c>
      <c r="O63" s="61">
        <v>274.26597481320647</v>
      </c>
      <c r="P63" s="61">
        <v>295.88527229366309</v>
      </c>
      <c r="Q63" s="60">
        <v>324.0110418821651</v>
      </c>
    </row>
    <row r="64" spans="1:86" x14ac:dyDescent="0.25">
      <c r="A64" s="1"/>
      <c r="B64" s="17" t="s">
        <v>37</v>
      </c>
      <c r="C64" s="17"/>
      <c r="D64" s="63">
        <f>D63*$J$5</f>
        <v>10369531.572899999</v>
      </c>
      <c r="E64" s="17"/>
      <c r="F64" s="17"/>
      <c r="G64" s="17"/>
      <c r="H64" s="34"/>
      <c r="I64" s="1"/>
      <c r="K64" s="54"/>
      <c r="L64" s="57">
        <f>L63+1%</f>
        <v>0.10245876502706232</v>
      </c>
      <c r="M64" s="60">
        <v>217.57181103240117</v>
      </c>
      <c r="N64" s="60">
        <v>228.06617286162009</v>
      </c>
      <c r="O64" s="60">
        <v>240.79389026784264</v>
      </c>
      <c r="P64" s="60">
        <v>256.52854791030302</v>
      </c>
      <c r="Q64" s="60">
        <v>276.42998868866306</v>
      </c>
    </row>
    <row r="65" spans="1:9" x14ac:dyDescent="0.25">
      <c r="A65" s="1"/>
      <c r="B65" s="6" t="s">
        <v>38</v>
      </c>
      <c r="D65" s="6" t="s">
        <v>39</v>
      </c>
      <c r="E65" s="35">
        <f>(G65+H65)/2</f>
        <v>347.65595996620272</v>
      </c>
      <c r="F65" s="6"/>
      <c r="G65" s="35">
        <f>G62/D63</f>
        <v>368.15267915639078</v>
      </c>
      <c r="H65" s="36">
        <f>H62/D63</f>
        <v>327.15924077601466</v>
      </c>
      <c r="I65" s="15"/>
    </row>
    <row r="66" spans="1:9" x14ac:dyDescent="0.25">
      <c r="B66" s="40"/>
      <c r="C66" s="40"/>
      <c r="D66" s="40"/>
      <c r="E66" s="40"/>
      <c r="F66" s="40"/>
      <c r="G66" s="40"/>
      <c r="H66" s="40"/>
      <c r="I66" s="20"/>
    </row>
  </sheetData>
  <sortState xmlns:xlrd2="http://schemas.microsoft.com/office/spreadsheetml/2017/richdata2" columnSort="1" ref="C10:H55">
    <sortCondition ref="C10:H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50DA-B624-4752-9D51-D896479F0D02}">
  <dimension ref="A1:L15"/>
  <sheetViews>
    <sheetView workbookViewId="0">
      <selection activeCell="F9" sqref="F9"/>
    </sheetView>
  </sheetViews>
  <sheetFormatPr defaultRowHeight="15" x14ac:dyDescent="0.25"/>
  <cols>
    <col min="3" max="3" width="12.5703125" customWidth="1"/>
    <col min="7" max="7" width="10.28515625" customWidth="1"/>
    <col min="11" max="11" width="10.85546875" customWidth="1"/>
  </cols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3.25" x14ac:dyDescent="0.35">
      <c r="A2" s="2"/>
      <c r="B2" s="39" t="s">
        <v>1</v>
      </c>
      <c r="C2" s="2"/>
      <c r="D2" s="2"/>
      <c r="E2" s="2"/>
      <c r="F2" s="2"/>
      <c r="G2" s="2"/>
      <c r="H2" s="2"/>
      <c r="I2" s="2"/>
      <c r="J2" s="2"/>
      <c r="K2" s="2"/>
      <c r="L2" s="40"/>
    </row>
    <row r="3" spans="1:12" x14ac:dyDescent="0.2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2"/>
    </row>
    <row r="4" spans="1:12" x14ac:dyDescent="0.25">
      <c r="A4" s="42" t="s">
        <v>41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 t="s">
        <v>42</v>
      </c>
      <c r="C6" s="2"/>
      <c r="D6" s="43">
        <f>'DPZ DCF'!I39</f>
        <v>0.22070000000000001</v>
      </c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 t="s">
        <v>43</v>
      </c>
      <c r="C7" s="2"/>
      <c r="D7" s="43">
        <v>3.6999999999999998E-2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 t="s">
        <v>44</v>
      </c>
      <c r="C8" s="2"/>
      <c r="D8" s="44">
        <v>0.79</v>
      </c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 t="s">
        <v>45</v>
      </c>
      <c r="C9" s="2"/>
      <c r="D9" s="43">
        <v>0.06</v>
      </c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35</v>
      </c>
      <c r="B12" s="2"/>
      <c r="C12" s="21">
        <f>'DPZ DCF'!D64</f>
        <v>10369531.572899999</v>
      </c>
      <c r="D12" s="2"/>
      <c r="E12" s="2" t="s">
        <v>34</v>
      </c>
      <c r="F12" s="2"/>
      <c r="G12" s="21">
        <f>'DPZ DCF'!D61</f>
        <v>462818</v>
      </c>
      <c r="H12" s="2"/>
      <c r="I12" s="2" t="s">
        <v>46</v>
      </c>
      <c r="J12" s="2"/>
      <c r="K12" s="21">
        <f>G12+C12</f>
        <v>10832349.572899999</v>
      </c>
      <c r="L12" s="2"/>
    </row>
    <row r="13" spans="1:12" x14ac:dyDescent="0.25">
      <c r="A13" s="2" t="s">
        <v>47</v>
      </c>
      <c r="B13" s="2"/>
      <c r="C13" s="45">
        <f>C12/K12</f>
        <v>0.95727445861257454</v>
      </c>
      <c r="D13" s="2"/>
      <c r="E13" s="2" t="s">
        <v>48</v>
      </c>
      <c r="F13" s="2"/>
      <c r="G13" s="46">
        <f>G12/K12</f>
        <v>4.2725541387425514E-2</v>
      </c>
      <c r="H13" s="2"/>
      <c r="I13" s="2"/>
      <c r="J13" s="2"/>
      <c r="K13" s="2"/>
      <c r="L13" s="2"/>
    </row>
    <row r="14" spans="1:12" x14ac:dyDescent="0.25">
      <c r="A14" s="2" t="s">
        <v>49</v>
      </c>
      <c r="B14" s="2"/>
      <c r="C14" s="47">
        <f>D7+D8*(D9)</f>
        <v>8.4400000000000003E-2</v>
      </c>
      <c r="D14" s="2"/>
      <c r="E14" s="2" t="s">
        <v>50</v>
      </c>
      <c r="F14" s="2"/>
      <c r="G14" s="46">
        <v>0.05</v>
      </c>
      <c r="H14" s="2"/>
      <c r="I14" s="48" t="s">
        <v>1</v>
      </c>
      <c r="J14" s="49"/>
      <c r="K14" s="50">
        <f>C13*C14+G14*G13*(1-D6)</f>
        <v>8.2458765027062328E-2</v>
      </c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DPZ DCF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2023-05-02T11:48:48Z</dcterms:created>
  <dcterms:modified xsi:type="dcterms:W3CDTF">2023-06-01T14:27:27Z</dcterms:modified>
</cp:coreProperties>
</file>