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ente1\Downloads\"/>
    </mc:Choice>
  </mc:AlternateContent>
  <xr:revisionPtr revIDLastSave="0" documentId="13_ncr:1_{5E9673A5-4A27-43DD-9787-81533BE4A6FC}" xr6:coauthVersionLast="47" xr6:coauthVersionMax="47" xr10:uidLastSave="{00000000-0000-0000-0000-000000000000}"/>
  <bookViews>
    <workbookView xWindow="-120" yWindow="-120" windowWidth="20730" windowHeight="11040" xr2:uid="{AED10510-8238-4EDE-B018-BD7F77967871}"/>
  </bookViews>
  <sheets>
    <sheet name="ABNB DCF" sheetId="1" r:id="rId1"/>
    <sheet name="WACC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6" i="2" l="1"/>
  <c r="I31" i="1"/>
  <c r="H56" i="1"/>
  <c r="M11" i="1"/>
  <c r="J11" i="1"/>
  <c r="K11" i="1"/>
  <c r="L11" i="1" s="1"/>
  <c r="D64" i="1"/>
  <c r="J49" i="1"/>
  <c r="J46" i="1"/>
  <c r="J19" i="1"/>
  <c r="E55" i="1"/>
  <c r="F55" i="1"/>
  <c r="G55" i="1"/>
  <c r="H55" i="1"/>
  <c r="F31" i="1"/>
  <c r="G31" i="1"/>
  <c r="H31" i="1"/>
  <c r="F34" i="1"/>
  <c r="F37" i="1" s="1"/>
  <c r="E31" i="1"/>
  <c r="E34" i="1"/>
  <c r="E20" i="1"/>
  <c r="F20" i="1"/>
  <c r="G20" i="1"/>
  <c r="H20" i="1"/>
  <c r="F19" i="1"/>
  <c r="E19" i="1"/>
  <c r="E11" i="1"/>
  <c r="E23" i="1" s="1"/>
  <c r="F32" i="1"/>
  <c r="F29" i="1"/>
  <c r="G29" i="1"/>
  <c r="H29" i="1"/>
  <c r="F26" i="1"/>
  <c r="G26" i="1"/>
  <c r="H26" i="1"/>
  <c r="F23" i="1"/>
  <c r="G23" i="1"/>
  <c r="H23" i="1"/>
  <c r="L49" i="1" l="1"/>
  <c r="L19" i="1"/>
  <c r="L46" i="1"/>
  <c r="K19" i="1"/>
  <c r="K46" i="1"/>
  <c r="K49" i="1"/>
  <c r="E26" i="1"/>
  <c r="E29" i="1"/>
  <c r="G12" i="2"/>
  <c r="D68" i="1"/>
  <c r="C12" i="2" s="1"/>
  <c r="E16" i="1"/>
  <c r="E17" i="1" s="1"/>
  <c r="L65" i="1"/>
  <c r="L64" i="1" s="1"/>
  <c r="L67" i="1"/>
  <c r="L68" i="1" s="1"/>
  <c r="E37" i="1" l="1"/>
  <c r="E56" i="1" s="1"/>
  <c r="H32" i="1"/>
  <c r="C14" i="2"/>
  <c r="F50" i="1"/>
  <c r="G50" i="1"/>
  <c r="H50" i="1"/>
  <c r="E50" i="1"/>
  <c r="F47" i="1"/>
  <c r="H47" i="1"/>
  <c r="G53" i="1"/>
  <c r="H53" i="1"/>
  <c r="G47" i="1"/>
  <c r="G16" i="1"/>
  <c r="F16" i="1"/>
  <c r="H16" i="1"/>
  <c r="E53" i="1"/>
  <c r="E47" i="1"/>
  <c r="E45" i="1"/>
  <c r="H12" i="1"/>
  <c r="G12" i="1"/>
  <c r="F12" i="1"/>
  <c r="J9" i="1"/>
  <c r="K9" i="1" s="1"/>
  <c r="L9" i="1" s="1"/>
  <c r="M9" i="1" s="1"/>
  <c r="N9" i="1" s="1"/>
  <c r="O9" i="1" s="1"/>
  <c r="P9" i="1" s="1"/>
  <c r="Q9" i="1" s="1"/>
  <c r="R9" i="1" s="1"/>
  <c r="H34" i="1" l="1"/>
  <c r="H37" i="1" s="1"/>
  <c r="H17" i="1"/>
  <c r="G17" i="1"/>
  <c r="G34" i="1"/>
  <c r="G37" i="1" s="1"/>
  <c r="G56" i="1" s="1"/>
  <c r="F56" i="1"/>
  <c r="F17" i="1"/>
  <c r="H39" i="1"/>
  <c r="G39" i="1"/>
  <c r="F53" i="1"/>
  <c r="K12" i="2"/>
  <c r="E32" i="1"/>
  <c r="G32" i="1"/>
  <c r="G58" i="1" l="1"/>
  <c r="G40" i="1"/>
  <c r="H58" i="1"/>
  <c r="F39" i="1"/>
  <c r="F58" i="1" s="1"/>
  <c r="C13" i="2"/>
  <c r="G13" i="2"/>
  <c r="E39" i="1"/>
  <c r="E43" i="1" s="1"/>
  <c r="F43" i="1" l="1"/>
  <c r="H43" i="1"/>
  <c r="G43" i="1"/>
  <c r="E58" i="1"/>
  <c r="F40" i="1"/>
  <c r="H40" i="1"/>
  <c r="K14" i="2"/>
  <c r="E5" i="1" s="1"/>
  <c r="E40" i="1"/>
  <c r="J28" i="1" l="1"/>
  <c r="J22" i="1"/>
  <c r="J52" i="1"/>
  <c r="J16" i="1"/>
  <c r="J25" i="1"/>
  <c r="J14" i="1" l="1"/>
  <c r="K28" i="1"/>
  <c r="J31" i="1"/>
  <c r="J34" i="1" s="1"/>
  <c r="J37" i="1" s="1"/>
  <c r="J32" i="1"/>
  <c r="K22" i="1"/>
  <c r="K16" i="1"/>
  <c r="K52" i="1"/>
  <c r="K25" i="1"/>
  <c r="L28" i="1" l="1"/>
  <c r="J39" i="1"/>
  <c r="K31" i="1"/>
  <c r="K34" i="1" s="1"/>
  <c r="K37" i="1" s="1"/>
  <c r="L22" i="1"/>
  <c r="L25" i="1"/>
  <c r="L52" i="1"/>
  <c r="L16" i="1"/>
  <c r="K14" i="1"/>
  <c r="K32" i="1" l="1"/>
  <c r="K39" i="1"/>
  <c r="L31" i="1"/>
  <c r="L34" i="1" s="1"/>
  <c r="L37" i="1" s="1"/>
  <c r="L14" i="1"/>
  <c r="L32" i="1" l="1"/>
  <c r="L39" i="1"/>
  <c r="J42" i="1"/>
  <c r="J40" i="1"/>
  <c r="J56" i="1" l="1"/>
  <c r="J55" i="1"/>
  <c r="J58" i="1" s="1"/>
  <c r="J59" i="1" s="1"/>
  <c r="K40" i="1"/>
  <c r="K42" i="1"/>
  <c r="K56" i="1" l="1"/>
  <c r="K55" i="1"/>
  <c r="K58" i="1" s="1"/>
  <c r="K59" i="1" s="1"/>
  <c r="L40" i="1"/>
  <c r="L42" i="1"/>
  <c r="L56" i="1" l="1"/>
  <c r="L55" i="1"/>
  <c r="L58" i="1" s="1"/>
  <c r="L59" i="1" s="1"/>
  <c r="I11" i="1" l="1"/>
  <c r="I19" i="1" s="1"/>
  <c r="I52" i="1" l="1"/>
  <c r="I28" i="1"/>
  <c r="I49" i="1"/>
  <c r="I16" i="1"/>
  <c r="I22" i="1"/>
  <c r="I25" i="1"/>
  <c r="I46" i="1"/>
  <c r="I14" i="1" l="1"/>
  <c r="I32" i="1" l="1"/>
  <c r="I34" i="1"/>
  <c r="I37" i="1" s="1"/>
  <c r="I39" i="1" l="1"/>
  <c r="I42" i="1" s="1"/>
  <c r="I56" i="1" s="1"/>
  <c r="M16" i="1"/>
  <c r="I40" i="1" l="1"/>
  <c r="I55" i="1"/>
  <c r="I58" i="1" s="1"/>
  <c r="I59" i="1" s="1"/>
  <c r="M19" i="1"/>
  <c r="M14" i="1"/>
  <c r="M46" i="1"/>
  <c r="M25" i="1"/>
  <c r="M49" i="1"/>
  <c r="M28" i="1"/>
  <c r="M52" i="1"/>
  <c r="M22" i="1"/>
  <c r="N11" i="1"/>
  <c r="M31" i="1" l="1"/>
  <c r="M32" i="1" s="1"/>
  <c r="N25" i="1"/>
  <c r="N14" i="1"/>
  <c r="N28" i="1"/>
  <c r="N22" i="1"/>
  <c r="N49" i="1"/>
  <c r="N46" i="1"/>
  <c r="N19" i="1"/>
  <c r="N52" i="1"/>
  <c r="N16" i="1"/>
  <c r="O11" i="1"/>
  <c r="M34" i="1" l="1"/>
  <c r="N31" i="1"/>
  <c r="N32" i="1" s="1"/>
  <c r="O22" i="1"/>
  <c r="O28" i="1"/>
  <c r="O49" i="1"/>
  <c r="O25" i="1"/>
  <c r="O46" i="1"/>
  <c r="O19" i="1"/>
  <c r="O52" i="1"/>
  <c r="O14" i="1"/>
  <c r="O16" i="1"/>
  <c r="P11" i="1"/>
  <c r="M39" i="1"/>
  <c r="M37" i="1"/>
  <c r="N34" i="1" l="1"/>
  <c r="N39" i="1" s="1"/>
  <c r="P49" i="1"/>
  <c r="P19" i="1"/>
  <c r="P28" i="1"/>
  <c r="P52" i="1"/>
  <c r="P46" i="1"/>
  <c r="P25" i="1"/>
  <c r="P22" i="1"/>
  <c r="P16" i="1"/>
  <c r="Q11" i="1"/>
  <c r="N37" i="1"/>
  <c r="M40" i="1"/>
  <c r="M42" i="1"/>
  <c r="M55" i="1" s="1"/>
  <c r="M58" i="1" s="1"/>
  <c r="M59" i="1" s="1"/>
  <c r="O31" i="1"/>
  <c r="O32" i="1" s="1"/>
  <c r="O34" i="1" l="1"/>
  <c r="O37" i="1" s="1"/>
  <c r="N42" i="1"/>
  <c r="N55" i="1" s="1"/>
  <c r="N58" i="1" s="1"/>
  <c r="N59" i="1" s="1"/>
  <c r="N40" i="1"/>
  <c r="M56" i="1"/>
  <c r="Q28" i="1"/>
  <c r="Q25" i="1"/>
  <c r="Q19" i="1"/>
  <c r="Q46" i="1"/>
  <c r="R11" i="1"/>
  <c r="Q22" i="1"/>
  <c r="Q31" i="1" s="1"/>
  <c r="Q32" i="1" s="1"/>
  <c r="Q49" i="1"/>
  <c r="Q52" i="1"/>
  <c r="Q16" i="1"/>
  <c r="P31" i="1"/>
  <c r="P32" i="1" s="1"/>
  <c r="P14" i="1"/>
  <c r="N56" i="1" l="1"/>
  <c r="O39" i="1"/>
  <c r="O42" i="1" s="1"/>
  <c r="O55" i="1" s="1"/>
  <c r="O58" i="1" s="1"/>
  <c r="O59" i="1" s="1"/>
  <c r="Q34" i="1"/>
  <c r="Q37" i="1" s="1"/>
  <c r="O40" i="1"/>
  <c r="Q39" i="1"/>
  <c r="R49" i="1"/>
  <c r="R19" i="1"/>
  <c r="R52" i="1"/>
  <c r="R22" i="1"/>
  <c r="R28" i="1"/>
  <c r="R25" i="1"/>
  <c r="R46" i="1"/>
  <c r="R16" i="1"/>
  <c r="R14" i="1" s="1"/>
  <c r="Q14" i="1"/>
  <c r="P34" i="1"/>
  <c r="O56" i="1" l="1"/>
  <c r="R31" i="1"/>
  <c r="R32" i="1" s="1"/>
  <c r="Q42" i="1"/>
  <c r="Q55" i="1" s="1"/>
  <c r="Q58" i="1" s="1"/>
  <c r="Q59" i="1" s="1"/>
  <c r="Q40" i="1"/>
  <c r="P39" i="1"/>
  <c r="P37" i="1"/>
  <c r="R34" i="1" l="1"/>
  <c r="R37" i="1" s="1"/>
  <c r="R39" i="1"/>
  <c r="P40" i="1"/>
  <c r="P42" i="1"/>
  <c r="P55" i="1" s="1"/>
  <c r="P58" i="1" s="1"/>
  <c r="P59" i="1" s="1"/>
  <c r="Q56" i="1"/>
  <c r="P56" i="1"/>
  <c r="R40" i="1" l="1"/>
  <c r="R42" i="1"/>
  <c r="R55" i="1" s="1"/>
  <c r="R58" i="1" s="1"/>
  <c r="R56" i="1" l="1"/>
  <c r="S56" i="1" s="1"/>
  <c r="T56" i="1" s="1"/>
  <c r="U56" i="1" s="1"/>
  <c r="V56" i="1" s="1"/>
  <c r="W56" i="1" s="1"/>
  <c r="X56" i="1" s="1"/>
  <c r="Y56" i="1" s="1"/>
  <c r="Z56" i="1" s="1"/>
  <c r="AA56" i="1" s="1"/>
  <c r="AB56" i="1" s="1"/>
  <c r="AC56" i="1" s="1"/>
  <c r="AD56" i="1" s="1"/>
  <c r="AE56" i="1" s="1"/>
  <c r="AF56" i="1" s="1"/>
  <c r="AG56" i="1" s="1"/>
  <c r="AH56" i="1" s="1"/>
  <c r="AI56" i="1" s="1"/>
  <c r="AJ56" i="1" s="1"/>
  <c r="AK56" i="1" s="1"/>
  <c r="AL56" i="1" s="1"/>
  <c r="AM56" i="1" s="1"/>
  <c r="AN56" i="1" s="1"/>
  <c r="AO56" i="1" s="1"/>
  <c r="AP56" i="1" s="1"/>
  <c r="AQ56" i="1" s="1"/>
  <c r="AR56" i="1" s="1"/>
  <c r="AS56" i="1" s="1"/>
  <c r="AT56" i="1" s="1"/>
  <c r="AU56" i="1" s="1"/>
  <c r="AV56" i="1" s="1"/>
  <c r="AW56" i="1" s="1"/>
  <c r="AX56" i="1" s="1"/>
  <c r="AY56" i="1" s="1"/>
  <c r="AZ56" i="1" s="1"/>
  <c r="BA56" i="1" s="1"/>
  <c r="BB56" i="1" s="1"/>
  <c r="BC56" i="1" s="1"/>
  <c r="BD56" i="1" s="1"/>
  <c r="BE56" i="1" s="1"/>
  <c r="BF56" i="1" s="1"/>
  <c r="BG56" i="1" s="1"/>
  <c r="BH56" i="1" s="1"/>
  <c r="BI56" i="1" s="1"/>
  <c r="BJ56" i="1" s="1"/>
  <c r="BK56" i="1" s="1"/>
  <c r="BL56" i="1" s="1"/>
  <c r="BM56" i="1" s="1"/>
  <c r="BN56" i="1" s="1"/>
  <c r="BO56" i="1" s="1"/>
  <c r="BP56" i="1" s="1"/>
  <c r="BQ56" i="1" s="1"/>
  <c r="BR56" i="1" s="1"/>
  <c r="BS56" i="1" s="1"/>
  <c r="BT56" i="1" s="1"/>
  <c r="BU56" i="1" s="1"/>
  <c r="BV56" i="1" s="1"/>
  <c r="BW56" i="1" s="1"/>
  <c r="BX56" i="1" s="1"/>
  <c r="BY56" i="1" s="1"/>
  <c r="BZ56" i="1" s="1"/>
  <c r="CA56" i="1" s="1"/>
  <c r="CB56" i="1" s="1"/>
  <c r="CC56" i="1" s="1"/>
  <c r="CD56" i="1" s="1"/>
  <c r="CE56" i="1" s="1"/>
  <c r="CF56" i="1" s="1"/>
  <c r="CG56" i="1" s="1"/>
  <c r="CH56" i="1" s="1"/>
  <c r="R59" i="1"/>
  <c r="C61" i="1"/>
  <c r="C62" i="1" s="1"/>
  <c r="F61" i="1" l="1"/>
  <c r="H64" i="1" s="1"/>
  <c r="H66" i="1" s="1"/>
  <c r="H69" i="1" s="1"/>
  <c r="G64" i="1"/>
  <c r="G66" i="1" s="1"/>
  <c r="G69" i="1" s="1"/>
  <c r="D69" i="1" l="1"/>
  <c r="J6" i="1" s="1"/>
  <c r="N5" i="1" s="1"/>
  <c r="L63" i="1" l="1"/>
</calcChain>
</file>

<file path=xl/sharedStrings.xml><?xml version="1.0" encoding="utf-8"?>
<sst xmlns="http://schemas.openxmlformats.org/spreadsheetml/2006/main" count="85" uniqueCount="58">
  <si>
    <t xml:space="preserve">Valuation Assumptions: </t>
  </si>
  <si>
    <t>WACC</t>
  </si>
  <si>
    <t>Current price   :</t>
  </si>
  <si>
    <t xml:space="preserve">Upside/Downside : </t>
  </si>
  <si>
    <t>Terminal rate</t>
  </si>
  <si>
    <t xml:space="preserve">Implied price   : </t>
  </si>
  <si>
    <t>Income Statement</t>
  </si>
  <si>
    <t>Revenue</t>
  </si>
  <si>
    <t>% growth</t>
  </si>
  <si>
    <t>COGS</t>
  </si>
  <si>
    <t>Gross Profit</t>
  </si>
  <si>
    <t>% Gross Margin</t>
  </si>
  <si>
    <t>R&amp;D</t>
  </si>
  <si>
    <t>Opex</t>
  </si>
  <si>
    <t>Operating income</t>
  </si>
  <si>
    <t>Other income</t>
  </si>
  <si>
    <t>Pre-tax income</t>
  </si>
  <si>
    <t>EBIT</t>
  </si>
  <si>
    <t>% Revenue</t>
  </si>
  <si>
    <t>Taxes</t>
  </si>
  <si>
    <t>% EBIT</t>
  </si>
  <si>
    <t>Cash Flow Statement</t>
  </si>
  <si>
    <t>D&amp;A</t>
  </si>
  <si>
    <t>CapEx</t>
  </si>
  <si>
    <t>change NWC</t>
  </si>
  <si>
    <t>EBIAT</t>
  </si>
  <si>
    <t>Net income</t>
  </si>
  <si>
    <t>FCF</t>
  </si>
  <si>
    <t>Present value FCF</t>
  </si>
  <si>
    <t>TV</t>
  </si>
  <si>
    <t>DNI</t>
  </si>
  <si>
    <t>PV of TV</t>
  </si>
  <si>
    <t>Enterprise Value</t>
  </si>
  <si>
    <t>DCF</t>
  </si>
  <si>
    <t>Cash</t>
  </si>
  <si>
    <t>Debt</t>
  </si>
  <si>
    <t>Equity Value</t>
  </si>
  <si>
    <t>Shares</t>
  </si>
  <si>
    <t xml:space="preserve">Current market cap </t>
  </si>
  <si>
    <t>Share Price</t>
  </si>
  <si>
    <t>Mean:</t>
  </si>
  <si>
    <t>​</t>
  </si>
  <si>
    <t xml:space="preserve">Assumpions: </t>
  </si>
  <si>
    <t>Tax Rate</t>
  </si>
  <si>
    <t>Risk Free Rate</t>
  </si>
  <si>
    <t>Beta</t>
  </si>
  <si>
    <t>Market Risk Premium</t>
  </si>
  <si>
    <t>D+E</t>
  </si>
  <si>
    <t>% Equity</t>
  </si>
  <si>
    <t>% Debt</t>
  </si>
  <si>
    <t>Cost of Equity</t>
  </si>
  <si>
    <t>Cost of Debt</t>
  </si>
  <si>
    <t xml:space="preserve">                                             Terminal Growth Rate</t>
  </si>
  <si>
    <t>Other</t>
  </si>
  <si>
    <t>Last update :</t>
  </si>
  <si>
    <t>S&amp;M</t>
  </si>
  <si>
    <t>G&amp;A</t>
  </si>
  <si>
    <t>Airbnb DCF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</si>
</sst>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0000%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8"/>
      <name val="Calibri"/>
      <family val="2"/>
      <scheme val="minor"/>
    </font>
    <font>
      <b/>
      <sz val="16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0.59999389629810485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theme="1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theme="1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20">
    <xf numFmtId="0" fontId="0" fillId="0" borderId="0" xfId="0"/>
    <xf numFmtId="0" fontId="3" fillId="2" borderId="0" xfId="0" applyFont="1" applyFill="1"/>
    <xf numFmtId="0" fontId="0" fillId="2" borderId="0" xfId="0" applyFill="1"/>
    <xf numFmtId="0" fontId="3" fillId="2" borderId="1" xfId="0" applyFont="1" applyFill="1" applyBorder="1"/>
    <xf numFmtId="0" fontId="4" fillId="2" borderId="1" xfId="0" applyFont="1" applyFill="1" applyBorder="1"/>
    <xf numFmtId="0" fontId="5" fillId="2" borderId="0" xfId="0" applyFont="1" applyFill="1"/>
    <xf numFmtId="0" fontId="6" fillId="2" borderId="0" xfId="0" applyFont="1" applyFill="1"/>
    <xf numFmtId="0" fontId="3" fillId="2" borderId="0" xfId="0" applyFont="1" applyFill="1" applyAlignment="1">
      <alignment horizontal="left"/>
    </xf>
    <xf numFmtId="164" fontId="3" fillId="2" borderId="0" xfId="0" applyNumberFormat="1" applyFont="1" applyFill="1" applyAlignment="1">
      <alignment horizontal="center"/>
    </xf>
    <xf numFmtId="0" fontId="6" fillId="3" borderId="0" xfId="0" applyFont="1" applyFill="1"/>
    <xf numFmtId="0" fontId="6" fillId="4" borderId="0" xfId="0" applyFont="1" applyFill="1"/>
    <xf numFmtId="3" fontId="3" fillId="2" borderId="0" xfId="0" applyNumberFormat="1" applyFont="1" applyFill="1"/>
    <xf numFmtId="0" fontId="3" fillId="2" borderId="4" xfId="0" applyFont="1" applyFill="1" applyBorder="1"/>
    <xf numFmtId="0" fontId="7" fillId="2" borderId="0" xfId="0" applyFont="1" applyFill="1"/>
    <xf numFmtId="164" fontId="7" fillId="2" borderId="0" xfId="1" applyNumberFormat="1" applyFont="1" applyFill="1"/>
    <xf numFmtId="0" fontId="3" fillId="2" borderId="3" xfId="0" applyFont="1" applyFill="1" applyBorder="1"/>
    <xf numFmtId="0" fontId="3" fillId="2" borderId="5" xfId="0" applyFont="1" applyFill="1" applyBorder="1"/>
    <xf numFmtId="0" fontId="3" fillId="2" borderId="6" xfId="0" applyFont="1" applyFill="1" applyBorder="1"/>
    <xf numFmtId="1" fontId="3" fillId="2" borderId="0" xfId="0" applyNumberFormat="1" applyFont="1" applyFill="1"/>
    <xf numFmtId="1" fontId="3" fillId="2" borderId="4" xfId="0" applyNumberFormat="1" applyFont="1" applyFill="1" applyBorder="1"/>
    <xf numFmtId="10" fontId="3" fillId="2" borderId="0" xfId="1" applyNumberFormat="1" applyFont="1" applyFill="1"/>
    <xf numFmtId="3" fontId="0" fillId="2" borderId="0" xfId="0" applyNumberFormat="1" applyFill="1"/>
    <xf numFmtId="3" fontId="3" fillId="0" borderId="0" xfId="0" applyNumberFormat="1" applyFont="1"/>
    <xf numFmtId="0" fontId="3" fillId="4" borderId="0" xfId="0" applyFont="1" applyFill="1"/>
    <xf numFmtId="0" fontId="3" fillId="2" borderId="7" xfId="0" applyFont="1" applyFill="1" applyBorder="1"/>
    <xf numFmtId="1" fontId="0" fillId="2" borderId="0" xfId="0" applyNumberFormat="1" applyFill="1"/>
    <xf numFmtId="1" fontId="0" fillId="2" borderId="5" xfId="0" applyNumberFormat="1" applyFill="1" applyBorder="1"/>
    <xf numFmtId="0" fontId="0" fillId="5" borderId="0" xfId="0" applyFill="1"/>
    <xf numFmtId="0" fontId="3" fillId="2" borderId="0" xfId="0" quotePrefix="1" applyFont="1" applyFill="1"/>
    <xf numFmtId="0" fontId="3" fillId="2" borderId="1" xfId="0" quotePrefix="1" applyFont="1" applyFill="1" applyBorder="1"/>
    <xf numFmtId="3" fontId="6" fillId="2" borderId="0" xfId="0" applyNumberFormat="1" applyFont="1" applyFill="1"/>
    <xf numFmtId="3" fontId="2" fillId="2" borderId="0" xfId="0" applyNumberFormat="1" applyFont="1" applyFill="1"/>
    <xf numFmtId="0" fontId="3" fillId="2" borderId="8" xfId="0" applyFont="1" applyFill="1" applyBorder="1"/>
    <xf numFmtId="2" fontId="6" fillId="2" borderId="0" xfId="0" applyNumberFormat="1" applyFont="1" applyFill="1"/>
    <xf numFmtId="3" fontId="3" fillId="2" borderId="5" xfId="0" applyNumberFormat="1" applyFont="1" applyFill="1" applyBorder="1"/>
    <xf numFmtId="3" fontId="0" fillId="0" borderId="0" xfId="0" applyNumberFormat="1"/>
    <xf numFmtId="3" fontId="3" fillId="2" borderId="0" xfId="0" applyNumberFormat="1" applyFont="1" applyFill="1" applyAlignment="1">
      <alignment horizontal="center"/>
    </xf>
    <xf numFmtId="0" fontId="8" fillId="2" borderId="0" xfId="0" applyFont="1" applyFill="1"/>
    <xf numFmtId="0" fontId="0" fillId="2" borderId="1" xfId="0" applyFill="1" applyBorder="1"/>
    <xf numFmtId="0" fontId="0" fillId="2" borderId="6" xfId="0" applyFill="1" applyBorder="1"/>
    <xf numFmtId="0" fontId="0" fillId="6" borderId="0" xfId="0" applyFill="1"/>
    <xf numFmtId="164" fontId="0" fillId="7" borderId="0" xfId="0" applyNumberFormat="1" applyFill="1" applyAlignment="1">
      <alignment horizontal="right"/>
    </xf>
    <xf numFmtId="9" fontId="0" fillId="2" borderId="0" xfId="1" applyFont="1" applyFill="1"/>
    <xf numFmtId="164" fontId="0" fillId="2" borderId="0" xfId="0" applyNumberFormat="1" applyFill="1" applyAlignment="1">
      <alignment horizontal="right"/>
    </xf>
    <xf numFmtId="164" fontId="0" fillId="2" borderId="0" xfId="0" applyNumberFormat="1" applyFill="1"/>
    <xf numFmtId="164" fontId="0" fillId="2" borderId="2" xfId="0" applyNumberFormat="1" applyFill="1" applyBorder="1" applyAlignment="1">
      <alignment horizontal="right"/>
    </xf>
    <xf numFmtId="0" fontId="2" fillId="2" borderId="9" xfId="0" applyFont="1" applyFill="1" applyBorder="1"/>
    <xf numFmtId="0" fontId="0" fillId="2" borderId="10" xfId="0" applyFill="1" applyBorder="1"/>
    <xf numFmtId="0" fontId="0" fillId="8" borderId="0" xfId="0" applyFill="1"/>
    <xf numFmtId="0" fontId="3" fillId="9" borderId="0" xfId="0" applyFont="1" applyFill="1"/>
    <xf numFmtId="0" fontId="3" fillId="9" borderId="0" xfId="0" applyFont="1" applyFill="1" applyAlignment="1">
      <alignment horizontal="center"/>
    </xf>
    <xf numFmtId="2" fontId="3" fillId="2" borderId="0" xfId="0" applyNumberFormat="1" applyFont="1" applyFill="1"/>
    <xf numFmtId="164" fontId="0" fillId="10" borderId="0" xfId="0" applyNumberFormat="1" applyFill="1"/>
    <xf numFmtId="164" fontId="0" fillId="10" borderId="0" xfId="0" applyNumberFormat="1" applyFill="1" applyAlignment="1">
      <alignment horizontal="left"/>
    </xf>
    <xf numFmtId="2" fontId="0" fillId="2" borderId="0" xfId="0" applyNumberFormat="1" applyFill="1"/>
    <xf numFmtId="2" fontId="0" fillId="3" borderId="0" xfId="0" applyNumberFormat="1" applyFill="1"/>
    <xf numFmtId="164" fontId="3" fillId="10" borderId="0" xfId="1" applyNumberFormat="1" applyFont="1" applyFill="1" applyBorder="1" applyAlignment="1">
      <alignment horizontal="left"/>
    </xf>
    <xf numFmtId="2" fontId="9" fillId="11" borderId="0" xfId="0" applyNumberFormat="1" applyFont="1" applyFill="1"/>
    <xf numFmtId="164" fontId="0" fillId="10" borderId="0" xfId="1" applyNumberFormat="1" applyFont="1" applyFill="1" applyBorder="1" applyAlignment="1">
      <alignment horizontal="left"/>
    </xf>
    <xf numFmtId="3" fontId="3" fillId="8" borderId="0" xfId="0" applyNumberFormat="1" applyFont="1" applyFill="1"/>
    <xf numFmtId="1" fontId="3" fillId="2" borderId="1" xfId="0" applyNumberFormat="1" applyFont="1" applyFill="1" applyBorder="1"/>
    <xf numFmtId="0" fontId="6" fillId="4" borderId="4" xfId="0" applyFont="1" applyFill="1" applyBorder="1"/>
    <xf numFmtId="1" fontId="3" fillId="2" borderId="12" xfId="0" applyNumberFormat="1" applyFont="1" applyFill="1" applyBorder="1"/>
    <xf numFmtId="3" fontId="3" fillId="2" borderId="4" xfId="0" applyNumberFormat="1" applyFont="1" applyFill="1" applyBorder="1"/>
    <xf numFmtId="14" fontId="3" fillId="2" borderId="0" xfId="0" applyNumberFormat="1" applyFont="1" applyFill="1"/>
    <xf numFmtId="9" fontId="3" fillId="2" borderId="0" xfId="1" applyFont="1" applyFill="1" applyAlignment="1">
      <alignment horizontal="left"/>
    </xf>
    <xf numFmtId="165" fontId="2" fillId="2" borderId="11" xfId="0" applyNumberFormat="1" applyFont="1" applyFill="1" applyBorder="1"/>
    <xf numFmtId="0" fontId="7" fillId="12" borderId="0" xfId="0" applyFont="1" applyFill="1"/>
    <xf numFmtId="164" fontId="7" fillId="12" borderId="0" xfId="1" applyNumberFormat="1" applyFont="1" applyFill="1"/>
    <xf numFmtId="164" fontId="3" fillId="12" borderId="0" xfId="1" applyNumberFormat="1" applyFont="1" applyFill="1"/>
    <xf numFmtId="0" fontId="3" fillId="2" borderId="0" xfId="1" applyNumberFormat="1" applyFont="1" applyFill="1"/>
    <xf numFmtId="0" fontId="3" fillId="12" borderId="0" xfId="0" applyFont="1" applyFill="1"/>
    <xf numFmtId="10" fontId="7" fillId="12" borderId="0" xfId="1" applyNumberFormat="1" applyFont="1" applyFill="1"/>
    <xf numFmtId="3" fontId="0" fillId="2" borderId="1" xfId="0" applyNumberFormat="1" applyFill="1" applyBorder="1"/>
    <xf numFmtId="14" fontId="3" fillId="2" borderId="0" xfId="0" applyNumberFormat="1" applyFont="1" applyFill="1" applyAlignment="1">
      <alignment horizontal="left"/>
    </xf>
    <xf numFmtId="164" fontId="3" fillId="2" borderId="0" xfId="1" applyNumberFormat="1" applyFont="1" applyFill="1"/>
    <xf numFmtId="1" fontId="3" fillId="2" borderId="0" xfId="1" applyNumberFormat="1" applyFont="1" applyFill="1"/>
    <xf numFmtId="0" fontId="0" fillId="7" borderId="0" xfId="0" applyFill="1" applyAlignment="1">
      <alignment horizontal="right"/>
    </xf>
    <xf numFmtId="164" fontId="7" fillId="8" borderId="0" xfId="1" applyNumberFormat="1" applyFont="1" applyFill="1"/>
    <xf numFmtId="0" fontId="3" fillId="8" borderId="0" xfId="0" applyFont="1" applyFill="1"/>
    <xf numFmtId="0" fontId="3" fillId="8" borderId="6" xfId="0" applyFont="1" applyFill="1" applyBorder="1"/>
    <xf numFmtId="0" fontId="7" fillId="8" borderId="0" xfId="1" applyNumberFormat="1" applyFont="1" applyFill="1"/>
    <xf numFmtId="1" fontId="3" fillId="8" borderId="0" xfId="1" applyNumberFormat="1" applyFont="1" applyFill="1"/>
    <xf numFmtId="164" fontId="3" fillId="8" borderId="0" xfId="1" applyNumberFormat="1" applyFont="1" applyFill="1"/>
    <xf numFmtId="10" fontId="3" fillId="8" borderId="0" xfId="1" applyNumberFormat="1" applyFont="1" applyFill="1"/>
    <xf numFmtId="0" fontId="3" fillId="8" borderId="0" xfId="1" applyNumberFormat="1" applyFont="1" applyFill="1"/>
    <xf numFmtId="1" fontId="3" fillId="8" borderId="0" xfId="0" applyNumberFormat="1" applyFont="1" applyFill="1"/>
    <xf numFmtId="3" fontId="3" fillId="3" borderId="0" xfId="0" applyNumberFormat="1" applyFont="1" applyFill="1"/>
    <xf numFmtId="0" fontId="3" fillId="3" borderId="0" xfId="0" applyFont="1" applyFill="1"/>
    <xf numFmtId="164" fontId="10" fillId="8" borderId="4" xfId="1" applyNumberFormat="1" applyFont="1" applyFill="1" applyBorder="1"/>
    <xf numFmtId="0" fontId="1" fillId="2" borderId="4" xfId="0" applyFont="1" applyFill="1" applyBorder="1"/>
    <xf numFmtId="1" fontId="1" fillId="2" borderId="12" xfId="0" applyNumberFormat="1" applyFont="1" applyFill="1" applyBorder="1"/>
    <xf numFmtId="1" fontId="1" fillId="2" borderId="1" xfId="0" applyNumberFormat="1" applyFont="1" applyFill="1" applyBorder="1"/>
    <xf numFmtId="1" fontId="1" fillId="2" borderId="4" xfId="0" applyNumberFormat="1" applyFont="1" applyFill="1" applyBorder="1"/>
    <xf numFmtId="164" fontId="10" fillId="8" borderId="4" xfId="0" applyNumberFormat="1" applyFont="1" applyFill="1" applyBorder="1"/>
    <xf numFmtId="164" fontId="10" fillId="2" borderId="4" xfId="0" applyNumberFormat="1" applyFont="1" applyFill="1" applyBorder="1"/>
    <xf numFmtId="164" fontId="10" fillId="12" borderId="4" xfId="0" applyNumberFormat="1" applyFont="1" applyFill="1" applyBorder="1"/>
    <xf numFmtId="3" fontId="1" fillId="2" borderId="4" xfId="0" applyNumberFormat="1" applyFont="1" applyFill="1" applyBorder="1"/>
    <xf numFmtId="10" fontId="10" fillId="8" borderId="4" xfId="0" applyNumberFormat="1" applyFont="1" applyFill="1" applyBorder="1"/>
    <xf numFmtId="10" fontId="1" fillId="2" borderId="4" xfId="0" applyNumberFormat="1" applyFont="1" applyFill="1" applyBorder="1"/>
    <xf numFmtId="164" fontId="10" fillId="8" borderId="0" xfId="1" applyNumberFormat="1" applyFont="1" applyFill="1" applyBorder="1"/>
    <xf numFmtId="164" fontId="10" fillId="2" borderId="4" xfId="1" applyNumberFormat="1" applyFont="1" applyFill="1" applyBorder="1"/>
    <xf numFmtId="164" fontId="10" fillId="2" borderId="0" xfId="1" applyNumberFormat="1" applyFont="1" applyFill="1" applyBorder="1"/>
    <xf numFmtId="0" fontId="2" fillId="3" borderId="4" xfId="0" applyFont="1" applyFill="1" applyBorder="1"/>
    <xf numFmtId="164" fontId="1" fillId="8" borderId="4" xfId="0" applyNumberFormat="1" applyFont="1" applyFill="1" applyBorder="1"/>
    <xf numFmtId="1" fontId="3" fillId="2" borderId="0" xfId="0" applyNumberFormat="1" applyFont="1" applyFill="1" applyBorder="1"/>
    <xf numFmtId="0" fontId="1" fillId="2" borderId="0" xfId="0" applyFont="1" applyFill="1" applyBorder="1"/>
    <xf numFmtId="1" fontId="1" fillId="2" borderId="0" xfId="0" applyNumberFormat="1" applyFont="1" applyFill="1" applyBorder="1"/>
    <xf numFmtId="164" fontId="10" fillId="8" borderId="0" xfId="0" applyNumberFormat="1" applyFont="1" applyFill="1" applyBorder="1"/>
    <xf numFmtId="164" fontId="10" fillId="2" borderId="0" xfId="0" applyNumberFormat="1" applyFont="1" applyFill="1" applyBorder="1"/>
    <xf numFmtId="164" fontId="10" fillId="12" borderId="0" xfId="0" applyNumberFormat="1" applyFont="1" applyFill="1" applyBorder="1"/>
    <xf numFmtId="3" fontId="1" fillId="2" borderId="0" xfId="0" applyNumberFormat="1" applyFont="1" applyFill="1" applyBorder="1"/>
    <xf numFmtId="10" fontId="10" fillId="8" borderId="0" xfId="0" applyNumberFormat="1" applyFont="1" applyFill="1" applyBorder="1"/>
    <xf numFmtId="10" fontId="1" fillId="2" borderId="0" xfId="0" applyNumberFormat="1" applyFont="1" applyFill="1" applyBorder="1"/>
    <xf numFmtId="1" fontId="1" fillId="2" borderId="0" xfId="1" applyNumberFormat="1" applyFont="1" applyFill="1" applyBorder="1"/>
    <xf numFmtId="0" fontId="1" fillId="2" borderId="0" xfId="1" applyNumberFormat="1" applyFont="1" applyFill="1" applyBorder="1"/>
    <xf numFmtId="0" fontId="2" fillId="3" borderId="0" xfId="0" applyFont="1" applyFill="1" applyBorder="1"/>
    <xf numFmtId="164" fontId="1" fillId="8" borderId="0" xfId="0" applyNumberFormat="1" applyFont="1" applyFill="1" applyBorder="1"/>
    <xf numFmtId="0" fontId="3" fillId="2" borderId="0" xfId="0" applyFont="1" applyFill="1" applyBorder="1"/>
    <xf numFmtId="1" fontId="1" fillId="2" borderId="4" xfId="1" applyNumberFormat="1" applyFont="1" applyFill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CCFFCC"/>
      <color rgb="FFCCECFF"/>
      <color rgb="FFCCFF99"/>
      <color rgb="FF99FFCC"/>
      <color rgb="FF00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D9B77-4948-48A4-A619-C1F4913720ED}">
  <dimension ref="A1:CH70"/>
  <sheetViews>
    <sheetView tabSelected="1" topLeftCell="D2" workbookViewId="0">
      <selection activeCell="J12" sqref="J12"/>
    </sheetView>
  </sheetViews>
  <sheetFormatPr defaultRowHeight="15" x14ac:dyDescent="0.25"/>
  <cols>
    <col min="1" max="1" width="7.7109375" style="2" customWidth="1"/>
    <col min="2" max="2" width="20.140625" style="2" customWidth="1"/>
    <col min="3" max="3" width="11" style="2" customWidth="1"/>
    <col min="4" max="6" width="9.140625" style="2"/>
    <col min="7" max="7" width="11.5703125" style="2" customWidth="1"/>
    <col min="8" max="8" width="11.28515625" style="2" customWidth="1"/>
    <col min="9" max="15" width="12.5703125" style="2" bestFit="1" customWidth="1"/>
    <col min="16" max="16" width="10.7109375" style="2" customWidth="1"/>
    <col min="17" max="18" width="12.5703125" style="2" bestFit="1" customWidth="1"/>
    <col min="19" max="16384" width="9.140625" style="48"/>
  </cols>
  <sheetData>
    <row r="1" spans="1:86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86" ht="23.25" x14ac:dyDescent="0.35">
      <c r="A2" s="3"/>
      <c r="B2" s="4" t="s">
        <v>57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8"/>
    </row>
    <row r="3" spans="1:86" ht="21" x14ac:dyDescent="0.35">
      <c r="A3" s="1"/>
      <c r="B3" s="5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86" x14ac:dyDescent="0.25">
      <c r="A4" s="1"/>
      <c r="B4" s="6" t="s">
        <v>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86" x14ac:dyDescent="0.25">
      <c r="A5" s="1"/>
      <c r="B5" s="1"/>
      <c r="C5" s="7" t="s">
        <v>1</v>
      </c>
      <c r="D5" s="1"/>
      <c r="E5" s="8">
        <f>WACC!K14</f>
        <v>0.10463310934943401</v>
      </c>
      <c r="G5" s="1"/>
      <c r="H5" s="1" t="s">
        <v>2</v>
      </c>
      <c r="I5" s="1"/>
      <c r="J5" s="7">
        <v>106.56</v>
      </c>
      <c r="K5" s="1"/>
      <c r="L5" s="1" t="s">
        <v>3</v>
      </c>
      <c r="M5" s="1"/>
      <c r="N5" s="65">
        <f>(J6/J5)-1</f>
        <v>-4.2541704691309801E-2</v>
      </c>
      <c r="O5" s="1"/>
      <c r="P5" s="1"/>
      <c r="Q5" s="1"/>
    </row>
    <row r="6" spans="1:86" x14ac:dyDescent="0.25">
      <c r="A6" s="1"/>
      <c r="B6" s="1"/>
      <c r="C6" s="7" t="s">
        <v>4</v>
      </c>
      <c r="D6" s="1"/>
      <c r="E6" s="8">
        <v>0.03</v>
      </c>
      <c r="G6" s="1"/>
      <c r="H6" s="1" t="s">
        <v>5</v>
      </c>
      <c r="I6" s="1"/>
      <c r="J6" s="7">
        <f>D69</f>
        <v>102.02675594809403</v>
      </c>
      <c r="K6" s="1"/>
      <c r="L6" s="1" t="s">
        <v>54</v>
      </c>
      <c r="M6" s="1"/>
      <c r="N6" s="74">
        <v>45057</v>
      </c>
      <c r="O6" s="1"/>
      <c r="P6" s="1"/>
      <c r="Q6" s="1"/>
    </row>
    <row r="7" spans="1:86" x14ac:dyDescent="0.25">
      <c r="B7" s="64"/>
      <c r="C7" s="1"/>
      <c r="D7" s="1"/>
      <c r="E7" s="8"/>
      <c r="F7" s="1"/>
      <c r="G7" s="1"/>
      <c r="H7" s="1"/>
      <c r="I7" s="1"/>
      <c r="J7" s="1"/>
      <c r="K7" s="1"/>
      <c r="L7" s="54"/>
      <c r="M7" s="1"/>
      <c r="N7" s="1"/>
      <c r="O7" s="1"/>
      <c r="P7" s="1"/>
      <c r="Q7" s="1"/>
    </row>
    <row r="8" spans="1:86" x14ac:dyDescent="0.25">
      <c r="A8" s="1"/>
      <c r="B8" s="11"/>
      <c r="C8" s="1"/>
      <c r="D8" s="1"/>
      <c r="E8" s="36"/>
      <c r="F8" s="1"/>
      <c r="G8" s="1"/>
      <c r="H8" s="11"/>
      <c r="I8" s="1"/>
      <c r="J8" s="1"/>
      <c r="K8" s="1"/>
      <c r="L8" s="1"/>
      <c r="M8" s="1"/>
      <c r="N8" s="1"/>
      <c r="O8" s="1"/>
      <c r="P8" s="1"/>
      <c r="Q8" s="1"/>
    </row>
    <row r="9" spans="1:86" x14ac:dyDescent="0.25">
      <c r="A9" s="1"/>
      <c r="B9" s="1"/>
      <c r="C9" s="1"/>
      <c r="D9" s="1"/>
      <c r="E9" s="1"/>
      <c r="F9" s="1"/>
      <c r="G9" s="1"/>
      <c r="H9" s="1"/>
      <c r="I9" s="1">
        <v>1</v>
      </c>
      <c r="J9" s="1">
        <f>I9+1</f>
        <v>2</v>
      </c>
      <c r="K9" s="1">
        <f t="shared" ref="K9:R9" si="0">J9+1</f>
        <v>3</v>
      </c>
      <c r="L9" s="1">
        <f t="shared" si="0"/>
        <v>4</v>
      </c>
      <c r="M9" s="1">
        <f t="shared" si="0"/>
        <v>5</v>
      </c>
      <c r="N9" s="1">
        <f t="shared" si="0"/>
        <v>6</v>
      </c>
      <c r="O9" s="1">
        <f t="shared" si="0"/>
        <v>7</v>
      </c>
      <c r="P9" s="1">
        <f t="shared" si="0"/>
        <v>8</v>
      </c>
      <c r="Q9" s="1">
        <f t="shared" si="0"/>
        <v>9</v>
      </c>
      <c r="R9" s="1">
        <f t="shared" si="0"/>
        <v>10</v>
      </c>
    </row>
    <row r="10" spans="1:86" x14ac:dyDescent="0.25">
      <c r="A10" s="1"/>
      <c r="B10" s="9" t="s">
        <v>6</v>
      </c>
      <c r="C10" s="9"/>
      <c r="D10" s="9"/>
      <c r="E10" s="10">
        <v>2019</v>
      </c>
      <c r="F10" s="9">
        <v>2020</v>
      </c>
      <c r="G10" s="9">
        <v>2021</v>
      </c>
      <c r="H10" s="9">
        <v>2022</v>
      </c>
      <c r="I10" s="61">
        <v>2023</v>
      </c>
      <c r="J10" s="10">
        <v>2024</v>
      </c>
      <c r="K10" s="10">
        <v>2025</v>
      </c>
      <c r="L10" s="10">
        <v>2026</v>
      </c>
      <c r="M10" s="10">
        <v>2027</v>
      </c>
      <c r="N10" s="10">
        <v>2028</v>
      </c>
      <c r="O10" s="10">
        <v>2029</v>
      </c>
      <c r="P10" s="10">
        <v>2030</v>
      </c>
      <c r="Q10" s="10">
        <v>2031</v>
      </c>
      <c r="R10" s="10">
        <v>2032</v>
      </c>
      <c r="S10" s="9">
        <v>2033</v>
      </c>
      <c r="T10" s="9">
        <v>2034</v>
      </c>
      <c r="U10" s="9">
        <v>2035</v>
      </c>
      <c r="V10" s="9">
        <v>2036</v>
      </c>
      <c r="W10" s="9">
        <v>2037</v>
      </c>
      <c r="X10" s="9">
        <v>2038</v>
      </c>
      <c r="Y10" s="9">
        <v>2039</v>
      </c>
      <c r="Z10" s="9">
        <v>2040</v>
      </c>
      <c r="AA10" s="9">
        <v>2041</v>
      </c>
      <c r="AB10" s="9">
        <v>2042</v>
      </c>
      <c r="AC10" s="9">
        <v>2043</v>
      </c>
      <c r="AD10" s="9">
        <v>2044</v>
      </c>
      <c r="AE10" s="9">
        <v>2045</v>
      </c>
      <c r="AF10" s="9">
        <v>2046</v>
      </c>
      <c r="AG10" s="9">
        <v>2047</v>
      </c>
      <c r="AH10" s="9">
        <v>2048</v>
      </c>
      <c r="AI10" s="9">
        <v>2049</v>
      </c>
      <c r="AJ10" s="9">
        <v>2050</v>
      </c>
      <c r="AK10" s="9">
        <v>2051</v>
      </c>
      <c r="AL10" s="9">
        <v>2052</v>
      </c>
      <c r="AM10" s="9">
        <v>2053</v>
      </c>
      <c r="AN10" s="9">
        <v>2054</v>
      </c>
      <c r="AO10" s="9">
        <v>2055</v>
      </c>
      <c r="AP10" s="9">
        <v>2056</v>
      </c>
      <c r="AQ10" s="9">
        <v>2057</v>
      </c>
      <c r="AR10" s="9">
        <v>2058</v>
      </c>
      <c r="AS10" s="9">
        <v>2059</v>
      </c>
      <c r="AT10" s="9">
        <v>2060</v>
      </c>
      <c r="AU10" s="9">
        <v>2061</v>
      </c>
      <c r="AV10" s="9">
        <v>2062</v>
      </c>
      <c r="AW10" s="9">
        <v>2063</v>
      </c>
      <c r="AX10" s="9">
        <v>2064</v>
      </c>
      <c r="AY10" s="9">
        <v>2065</v>
      </c>
      <c r="AZ10" s="9">
        <v>2066</v>
      </c>
      <c r="BA10" s="9">
        <v>2067</v>
      </c>
      <c r="BB10" s="9">
        <v>2068</v>
      </c>
      <c r="BC10" s="9">
        <v>2069</v>
      </c>
      <c r="BD10" s="9">
        <v>2070</v>
      </c>
      <c r="BE10" s="9">
        <v>2071</v>
      </c>
      <c r="BF10" s="9">
        <v>2072</v>
      </c>
      <c r="BG10" s="9">
        <v>2073</v>
      </c>
      <c r="BH10" s="9">
        <v>2074</v>
      </c>
      <c r="BI10" s="9">
        <v>2075</v>
      </c>
      <c r="BJ10" s="9">
        <v>2076</v>
      </c>
      <c r="BK10" s="9">
        <v>2077</v>
      </c>
      <c r="BL10" s="9">
        <v>2078</v>
      </c>
      <c r="BM10" s="9">
        <v>2079</v>
      </c>
      <c r="BN10" s="9">
        <v>2080</v>
      </c>
      <c r="BO10" s="9">
        <v>2081</v>
      </c>
      <c r="BP10" s="9">
        <v>2082</v>
      </c>
      <c r="BQ10" s="9">
        <v>2083</v>
      </c>
      <c r="BR10" s="9">
        <v>2084</v>
      </c>
      <c r="BS10" s="9">
        <v>2085</v>
      </c>
      <c r="BT10" s="9">
        <v>2086</v>
      </c>
      <c r="BU10" s="9">
        <v>2087</v>
      </c>
      <c r="BV10" s="9">
        <v>2088</v>
      </c>
      <c r="BW10" s="9">
        <v>2089</v>
      </c>
      <c r="BX10" s="9">
        <v>2090</v>
      </c>
      <c r="BY10" s="9">
        <v>2091</v>
      </c>
      <c r="BZ10" s="9">
        <v>2092</v>
      </c>
      <c r="CA10" s="9">
        <v>2093</v>
      </c>
      <c r="CB10" s="9">
        <v>2094</v>
      </c>
      <c r="CC10" s="9">
        <v>2095</v>
      </c>
      <c r="CD10" s="9">
        <v>2096</v>
      </c>
      <c r="CE10" s="9">
        <v>2097</v>
      </c>
      <c r="CF10" s="9">
        <v>2098</v>
      </c>
      <c r="CG10" s="9">
        <v>2099</v>
      </c>
      <c r="CH10" s="9">
        <v>2100</v>
      </c>
    </row>
    <row r="11" spans="1:86" x14ac:dyDescent="0.25">
      <c r="A11" s="1"/>
      <c r="B11" s="1" t="s">
        <v>7</v>
      </c>
      <c r="C11" s="59"/>
      <c r="D11" s="59"/>
      <c r="E11" s="11">
        <f>4805239/1000</f>
        <v>4805.2389999999996</v>
      </c>
      <c r="F11" s="11">
        <v>3378</v>
      </c>
      <c r="G11" s="11">
        <v>5992</v>
      </c>
      <c r="H11" s="11">
        <v>8399</v>
      </c>
      <c r="I11" s="19">
        <f>H11*(1+I12)</f>
        <v>9510</v>
      </c>
      <c r="J11" s="105">
        <f t="shared" ref="J11:L11" si="1">I11*(1+J12)</f>
        <v>10760</v>
      </c>
      <c r="K11" s="105">
        <f t="shared" si="1"/>
        <v>12300</v>
      </c>
      <c r="L11" s="105">
        <f t="shared" si="1"/>
        <v>14069.999999999998</v>
      </c>
      <c r="M11" s="105">
        <f>L11*(1+M12)</f>
        <v>16049.999999999998</v>
      </c>
      <c r="N11" s="105">
        <f t="shared" ref="J11:R11" si="2">M11*(1+N12)</f>
        <v>17980</v>
      </c>
      <c r="O11" s="105">
        <f t="shared" si="2"/>
        <v>20140</v>
      </c>
      <c r="P11" s="105">
        <f t="shared" si="2"/>
        <v>22440</v>
      </c>
      <c r="Q11" s="105">
        <f t="shared" si="2"/>
        <v>25002.66137040715</v>
      </c>
      <c r="R11" s="105">
        <f t="shared" si="2"/>
        <v>29810.449005080503</v>
      </c>
    </row>
    <row r="12" spans="1:86" x14ac:dyDescent="0.25">
      <c r="A12" s="1"/>
      <c r="B12" s="67" t="s">
        <v>8</v>
      </c>
      <c r="C12" s="68"/>
      <c r="D12" s="68"/>
      <c r="E12" s="68"/>
      <c r="F12" s="68">
        <f t="shared" ref="E12:H12" si="3">(F11/E11)-1</f>
        <v>-0.29701727635191499</v>
      </c>
      <c r="G12" s="68">
        <f t="shared" si="3"/>
        <v>0.77383066903493192</v>
      </c>
      <c r="H12" s="68">
        <f t="shared" si="3"/>
        <v>0.401702269692924</v>
      </c>
      <c r="I12" s="89">
        <v>0.1322776521014406</v>
      </c>
      <c r="J12" s="100">
        <v>0.13144058885383814</v>
      </c>
      <c r="K12" s="100">
        <v>0.14312267657992561</v>
      </c>
      <c r="L12" s="100">
        <v>0.14390243902439015</v>
      </c>
      <c r="M12" s="100">
        <v>0.14072494669509594</v>
      </c>
      <c r="N12" s="100">
        <v>0.12024922118380066</v>
      </c>
      <c r="O12" s="100">
        <v>0.12013348164627358</v>
      </c>
      <c r="P12" s="100">
        <v>0.11420059582919562</v>
      </c>
      <c r="Q12" s="100">
        <v>0.11420059582919562</v>
      </c>
      <c r="R12" s="100">
        <v>0.19229103508012124</v>
      </c>
    </row>
    <row r="13" spans="1:86" x14ac:dyDescent="0.25">
      <c r="A13" s="1"/>
      <c r="B13" s="6"/>
      <c r="C13" s="79"/>
      <c r="D13" s="79"/>
      <c r="E13" s="1"/>
      <c r="F13" s="11"/>
      <c r="G13" s="11"/>
      <c r="H13" s="11"/>
      <c r="I13" s="90"/>
      <c r="J13" s="106"/>
      <c r="K13" s="106"/>
      <c r="L13" s="106"/>
      <c r="M13" s="106"/>
      <c r="N13" s="106"/>
      <c r="O13" s="106"/>
      <c r="P13" s="106"/>
      <c r="Q13" s="106"/>
      <c r="R13" s="106"/>
    </row>
    <row r="14" spans="1:86" x14ac:dyDescent="0.25">
      <c r="A14" s="1"/>
      <c r="B14" s="1" t="s">
        <v>9</v>
      </c>
      <c r="C14" s="59"/>
      <c r="D14" s="59"/>
      <c r="E14" s="11">
        <v>2011.3869999999999</v>
      </c>
      <c r="F14" s="11">
        <v>1753.943</v>
      </c>
      <c r="G14" s="11">
        <v>2003</v>
      </c>
      <c r="H14" s="34">
        <v>2540</v>
      </c>
      <c r="I14" s="91">
        <f>I11-I16</f>
        <v>2853</v>
      </c>
      <c r="J14" s="92">
        <f t="shared" ref="J14:K14" si="4">J11-J16</f>
        <v>3120.4000000000005</v>
      </c>
      <c r="K14" s="92">
        <f t="shared" si="4"/>
        <v>3567</v>
      </c>
      <c r="L14" s="92">
        <f t="shared" ref="L14:R14" si="5">L11-L16</f>
        <v>4080.2999999999993</v>
      </c>
      <c r="M14" s="92">
        <f t="shared" si="5"/>
        <v>4654.5</v>
      </c>
      <c r="N14" s="92">
        <f t="shared" si="5"/>
        <v>5214.2000000000007</v>
      </c>
      <c r="O14" s="92">
        <f t="shared" si="5"/>
        <v>5840.6</v>
      </c>
      <c r="P14" s="92">
        <f t="shared" si="5"/>
        <v>6507.6</v>
      </c>
      <c r="Q14" s="92">
        <f t="shared" si="5"/>
        <v>7250.7717974180741</v>
      </c>
      <c r="R14" s="92">
        <f t="shared" si="5"/>
        <v>8645.0302114733458</v>
      </c>
    </row>
    <row r="15" spans="1:86" x14ac:dyDescent="0.25">
      <c r="A15" s="1"/>
      <c r="B15" s="17"/>
      <c r="C15" s="80"/>
      <c r="D15" s="80"/>
      <c r="E15" s="17"/>
      <c r="F15" s="17"/>
      <c r="G15" s="17"/>
      <c r="H15" s="17"/>
      <c r="I15" s="90"/>
      <c r="J15" s="106"/>
      <c r="K15" s="106"/>
      <c r="L15" s="106"/>
      <c r="M15" s="106"/>
      <c r="N15" s="106"/>
      <c r="O15" s="106"/>
      <c r="P15" s="106"/>
      <c r="Q15" s="106"/>
      <c r="R15" s="106"/>
    </row>
    <row r="16" spans="1:86" x14ac:dyDescent="0.25">
      <c r="A16" s="1"/>
      <c r="B16" s="1" t="s">
        <v>10</v>
      </c>
      <c r="C16" s="59"/>
      <c r="D16" s="59"/>
      <c r="E16" s="11">
        <f t="shared" ref="D16:E16" si="6">E11-E14</f>
        <v>2793.8519999999999</v>
      </c>
      <c r="F16" s="11">
        <f t="shared" ref="F16" si="7">F11-F14</f>
        <v>1624.057</v>
      </c>
      <c r="G16" s="11">
        <f>G11-G14</f>
        <v>3989</v>
      </c>
      <c r="H16" s="11">
        <f>H11-H14</f>
        <v>5859</v>
      </c>
      <c r="I16" s="93">
        <f>I11*I17</f>
        <v>6657</v>
      </c>
      <c r="J16" s="107">
        <f t="shared" ref="J16:R16" si="8">J11*J17</f>
        <v>7639.5999999999995</v>
      </c>
      <c r="K16" s="107">
        <f t="shared" si="8"/>
        <v>8733</v>
      </c>
      <c r="L16" s="107">
        <f t="shared" si="8"/>
        <v>9989.6999999999989</v>
      </c>
      <c r="M16" s="107">
        <f t="shared" si="8"/>
        <v>11395.499999999998</v>
      </c>
      <c r="N16" s="107">
        <f t="shared" si="8"/>
        <v>12765.8</v>
      </c>
      <c r="O16" s="107">
        <f t="shared" si="8"/>
        <v>14299.4</v>
      </c>
      <c r="P16" s="107">
        <f t="shared" si="8"/>
        <v>15932.4</v>
      </c>
      <c r="Q16" s="107">
        <f t="shared" si="8"/>
        <v>17751.889572989076</v>
      </c>
      <c r="R16" s="107">
        <f t="shared" si="8"/>
        <v>21165.418793607158</v>
      </c>
    </row>
    <row r="17" spans="1:18" x14ac:dyDescent="0.25">
      <c r="A17" s="1"/>
      <c r="B17" s="67" t="s">
        <v>11</v>
      </c>
      <c r="C17" s="68"/>
      <c r="D17" s="68"/>
      <c r="E17" s="68">
        <f t="shared" ref="D17:H17" si="9">E16/E11</f>
        <v>0.58141790658071324</v>
      </c>
      <c r="F17" s="68">
        <f t="shared" si="9"/>
        <v>0.48077471876850209</v>
      </c>
      <c r="G17" s="68">
        <f t="shared" si="9"/>
        <v>0.66572096128170899</v>
      </c>
      <c r="H17" s="68">
        <f t="shared" si="9"/>
        <v>0.69758304560066675</v>
      </c>
      <c r="I17" s="94">
        <v>0.7</v>
      </c>
      <c r="J17" s="108">
        <v>0.71</v>
      </c>
      <c r="K17" s="108">
        <v>0.71</v>
      </c>
      <c r="L17" s="108">
        <v>0.71</v>
      </c>
      <c r="M17" s="108">
        <v>0.71</v>
      </c>
      <c r="N17" s="108">
        <v>0.71</v>
      </c>
      <c r="O17" s="108">
        <v>0.71</v>
      </c>
      <c r="P17" s="108">
        <v>0.71</v>
      </c>
      <c r="Q17" s="108">
        <v>0.71</v>
      </c>
      <c r="R17" s="108">
        <v>0.71</v>
      </c>
    </row>
    <row r="18" spans="1:18" x14ac:dyDescent="0.25">
      <c r="A18" s="1"/>
      <c r="B18" s="13"/>
      <c r="C18" s="78"/>
      <c r="D18" s="78"/>
      <c r="E18" s="14"/>
      <c r="F18" s="14"/>
      <c r="G18" s="14"/>
      <c r="H18" s="14"/>
      <c r="I18" s="95"/>
      <c r="J18" s="109"/>
      <c r="K18" s="109"/>
      <c r="L18" s="109"/>
      <c r="M18" s="109"/>
      <c r="N18" s="109"/>
      <c r="O18" s="109"/>
      <c r="P18" s="109"/>
      <c r="Q18" s="109"/>
      <c r="R18" s="109"/>
    </row>
    <row r="19" spans="1:18" x14ac:dyDescent="0.25">
      <c r="A19" s="1"/>
      <c r="B19" s="1" t="s">
        <v>12</v>
      </c>
      <c r="C19" s="81"/>
      <c r="D19" s="82"/>
      <c r="E19" s="76">
        <f>976695/1000</f>
        <v>976.69500000000005</v>
      </c>
      <c r="F19" s="76">
        <f>2752872/1000</f>
        <v>2752.8719999999998</v>
      </c>
      <c r="G19" s="76">
        <v>1425</v>
      </c>
      <c r="H19" s="76">
        <v>1502</v>
      </c>
      <c r="I19" s="93">
        <f>I20*I11</f>
        <v>1997.1</v>
      </c>
      <c r="J19" s="107">
        <f t="shared" ref="J19:R19" si="10">J20*J11</f>
        <v>2259.6</v>
      </c>
      <c r="K19" s="107">
        <f t="shared" si="10"/>
        <v>2583</v>
      </c>
      <c r="L19" s="107">
        <f t="shared" si="10"/>
        <v>2954.6999999999994</v>
      </c>
      <c r="M19" s="107">
        <f t="shared" si="10"/>
        <v>3370.4999999999995</v>
      </c>
      <c r="N19" s="107">
        <f t="shared" si="10"/>
        <v>3775.7999999999997</v>
      </c>
      <c r="O19" s="107">
        <f t="shared" si="10"/>
        <v>4229.3999999999996</v>
      </c>
      <c r="P19" s="107">
        <f t="shared" si="10"/>
        <v>4712.3999999999996</v>
      </c>
      <c r="Q19" s="107">
        <f t="shared" si="10"/>
        <v>5250.5588877855016</v>
      </c>
      <c r="R19" s="107">
        <f t="shared" si="10"/>
        <v>6260.1942910669059</v>
      </c>
    </row>
    <row r="20" spans="1:18" x14ac:dyDescent="0.25">
      <c r="A20" s="1"/>
      <c r="B20" s="67" t="s">
        <v>18</v>
      </c>
      <c r="C20" s="68"/>
      <c r="D20" s="68"/>
      <c r="E20" s="68">
        <f t="shared" ref="E20:H20" si="11">E19/E11</f>
        <v>0.20325627924022097</v>
      </c>
      <c r="F20" s="68">
        <f t="shared" si="11"/>
        <v>0.8149413854351687</v>
      </c>
      <c r="G20" s="68">
        <f t="shared" si="11"/>
        <v>0.23781708945260346</v>
      </c>
      <c r="H20" s="68">
        <f t="shared" si="11"/>
        <v>0.17883081319204666</v>
      </c>
      <c r="I20" s="96">
        <v>0.21</v>
      </c>
      <c r="J20" s="110">
        <v>0.21</v>
      </c>
      <c r="K20" s="110">
        <v>0.21</v>
      </c>
      <c r="L20" s="110">
        <v>0.21</v>
      </c>
      <c r="M20" s="110">
        <v>0.21</v>
      </c>
      <c r="N20" s="110">
        <v>0.21</v>
      </c>
      <c r="O20" s="110">
        <v>0.21</v>
      </c>
      <c r="P20" s="110">
        <v>0.21</v>
      </c>
      <c r="Q20" s="110">
        <v>0.21</v>
      </c>
      <c r="R20" s="110">
        <v>0.21</v>
      </c>
    </row>
    <row r="21" spans="1:18" x14ac:dyDescent="0.25">
      <c r="A21" s="1"/>
      <c r="B21" s="6"/>
      <c r="C21" s="79"/>
      <c r="D21" s="79"/>
      <c r="E21" s="1"/>
      <c r="F21" s="1"/>
      <c r="G21" s="1"/>
      <c r="H21" s="1"/>
      <c r="I21" s="90"/>
      <c r="J21" s="106"/>
      <c r="K21" s="106"/>
      <c r="L21" s="106"/>
      <c r="M21" s="106"/>
      <c r="N21" s="106"/>
      <c r="O21" s="106"/>
      <c r="P21" s="106"/>
      <c r="Q21" s="106"/>
      <c r="R21" s="106"/>
    </row>
    <row r="22" spans="1:18" x14ac:dyDescent="0.25">
      <c r="A22" s="1"/>
      <c r="B22" s="1" t="s">
        <v>55</v>
      </c>
      <c r="C22" s="59"/>
      <c r="D22" s="59"/>
      <c r="E22" s="11">
        <v>1621.519</v>
      </c>
      <c r="F22" s="11">
        <v>1175.325</v>
      </c>
      <c r="G22" s="11">
        <v>1186</v>
      </c>
      <c r="H22" s="11">
        <v>1516</v>
      </c>
      <c r="I22" s="93">
        <f>I23*I11</f>
        <v>2187.3000000000002</v>
      </c>
      <c r="J22" s="107">
        <f t="shared" ref="J22:R22" si="12">J23*J11</f>
        <v>2474.8000000000002</v>
      </c>
      <c r="K22" s="107">
        <f t="shared" si="12"/>
        <v>2829</v>
      </c>
      <c r="L22" s="107">
        <f t="shared" si="12"/>
        <v>2884.3499999999995</v>
      </c>
      <c r="M22" s="107">
        <f t="shared" si="12"/>
        <v>3290.2499999999995</v>
      </c>
      <c r="N22" s="107">
        <f t="shared" si="12"/>
        <v>3685.8999999999996</v>
      </c>
      <c r="O22" s="107">
        <f t="shared" si="12"/>
        <v>4128.7</v>
      </c>
      <c r="P22" s="107">
        <f t="shared" si="12"/>
        <v>4600.2</v>
      </c>
      <c r="Q22" s="107">
        <f t="shared" si="12"/>
        <v>5125.5455809334653</v>
      </c>
      <c r="R22" s="107">
        <f t="shared" si="12"/>
        <v>6111.1420460415029</v>
      </c>
    </row>
    <row r="23" spans="1:18" x14ac:dyDescent="0.25">
      <c r="A23" s="1"/>
      <c r="B23" s="67" t="s">
        <v>18</v>
      </c>
      <c r="C23" s="68"/>
      <c r="D23" s="68"/>
      <c r="E23" s="68">
        <f t="shared" ref="D23:H23" si="13">E22/E11</f>
        <v>0.33744814774041421</v>
      </c>
      <c r="F23" s="68">
        <f t="shared" si="13"/>
        <v>0.34793516873889879</v>
      </c>
      <c r="G23" s="68">
        <f t="shared" si="13"/>
        <v>0.19793057409879838</v>
      </c>
      <c r="H23" s="68">
        <f t="shared" si="13"/>
        <v>0.18049767829503513</v>
      </c>
      <c r="I23" s="89">
        <v>0.23</v>
      </c>
      <c r="J23" s="100">
        <v>0.23</v>
      </c>
      <c r="K23" s="100">
        <v>0.23</v>
      </c>
      <c r="L23" s="100">
        <v>0.20499999999999999</v>
      </c>
      <c r="M23" s="100">
        <v>0.20499999999999999</v>
      </c>
      <c r="N23" s="100">
        <v>0.20499999999999999</v>
      </c>
      <c r="O23" s="100">
        <v>0.20499999999999999</v>
      </c>
      <c r="P23" s="100">
        <v>0.20499999999999999</v>
      </c>
      <c r="Q23" s="100">
        <v>0.20499999999999999</v>
      </c>
      <c r="R23" s="100">
        <v>0.20499999999999999</v>
      </c>
    </row>
    <row r="24" spans="1:18" x14ac:dyDescent="0.25">
      <c r="A24" s="1"/>
      <c r="B24" s="13"/>
      <c r="C24" s="83"/>
      <c r="D24" s="83"/>
      <c r="E24" s="75"/>
      <c r="F24" s="75"/>
      <c r="G24" s="75"/>
      <c r="H24" s="75"/>
      <c r="I24" s="93"/>
      <c r="J24" s="107"/>
      <c r="K24" s="107"/>
      <c r="L24" s="107"/>
      <c r="M24" s="107"/>
      <c r="N24" s="107"/>
      <c r="O24" s="107"/>
      <c r="P24" s="107"/>
      <c r="Q24" s="107"/>
      <c r="R24" s="107"/>
    </row>
    <row r="25" spans="1:18" x14ac:dyDescent="0.25">
      <c r="A25" s="1"/>
      <c r="B25" s="1" t="s">
        <v>56</v>
      </c>
      <c r="C25" s="59"/>
      <c r="D25" s="59"/>
      <c r="E25" s="11">
        <v>697.18100000000004</v>
      </c>
      <c r="F25" s="11">
        <v>1134.8510000000001</v>
      </c>
      <c r="G25" s="11">
        <v>836</v>
      </c>
      <c r="H25" s="11">
        <v>950</v>
      </c>
      <c r="I25" s="93">
        <f>I26*I11</f>
        <v>1141.2</v>
      </c>
      <c r="J25" s="107">
        <f t="shared" ref="J25:R25" si="14">J26*J11</f>
        <v>1398.8</v>
      </c>
      <c r="K25" s="107">
        <f t="shared" si="14"/>
        <v>1599</v>
      </c>
      <c r="L25" s="107">
        <f t="shared" si="14"/>
        <v>1829.1</v>
      </c>
      <c r="M25" s="107">
        <f t="shared" si="14"/>
        <v>2006.2499999999998</v>
      </c>
      <c r="N25" s="107">
        <f t="shared" si="14"/>
        <v>2067.7000000000003</v>
      </c>
      <c r="O25" s="107">
        <f t="shared" si="14"/>
        <v>2316.1</v>
      </c>
      <c r="P25" s="107">
        <f t="shared" si="14"/>
        <v>2580.6</v>
      </c>
      <c r="Q25" s="107">
        <f t="shared" si="14"/>
        <v>2875.3060575968225</v>
      </c>
      <c r="R25" s="107">
        <f t="shared" si="14"/>
        <v>3428.2016355842579</v>
      </c>
    </row>
    <row r="26" spans="1:18" x14ac:dyDescent="0.25">
      <c r="A26" s="1"/>
      <c r="B26" s="67" t="s">
        <v>18</v>
      </c>
      <c r="C26" s="68"/>
      <c r="D26" s="68"/>
      <c r="E26" s="68">
        <f t="shared" ref="D26:H26" si="15">E25/E11</f>
        <v>0.14508768450435039</v>
      </c>
      <c r="F26" s="68">
        <f t="shared" si="15"/>
        <v>0.33595352279455304</v>
      </c>
      <c r="G26" s="68">
        <f t="shared" si="15"/>
        <v>0.13951935914552738</v>
      </c>
      <c r="H26" s="68">
        <f t="shared" si="15"/>
        <v>0.11310870341707346</v>
      </c>
      <c r="I26" s="89">
        <v>0.12</v>
      </c>
      <c r="J26" s="100">
        <v>0.13</v>
      </c>
      <c r="K26" s="100">
        <v>0.13</v>
      </c>
      <c r="L26" s="100">
        <v>0.13</v>
      </c>
      <c r="M26" s="100">
        <v>0.125</v>
      </c>
      <c r="N26" s="100">
        <v>0.115</v>
      </c>
      <c r="O26" s="100">
        <v>0.115</v>
      </c>
      <c r="P26" s="100">
        <v>0.115</v>
      </c>
      <c r="Q26" s="100">
        <v>0.115</v>
      </c>
      <c r="R26" s="100">
        <v>0.115</v>
      </c>
    </row>
    <row r="27" spans="1:18" x14ac:dyDescent="0.25">
      <c r="A27" s="1"/>
      <c r="B27" s="13"/>
      <c r="C27" s="59"/>
      <c r="D27" s="59"/>
      <c r="E27" s="11"/>
      <c r="F27" s="11"/>
      <c r="G27" s="11"/>
      <c r="H27" s="11"/>
      <c r="I27" s="97"/>
      <c r="J27" s="111"/>
      <c r="K27" s="111"/>
      <c r="L27" s="111"/>
      <c r="M27" s="111"/>
      <c r="N27" s="111"/>
      <c r="O27" s="111"/>
      <c r="P27" s="111"/>
      <c r="Q27" s="111"/>
      <c r="R27" s="111"/>
    </row>
    <row r="28" spans="1:18" x14ac:dyDescent="0.25">
      <c r="A28" s="1"/>
      <c r="B28" s="1" t="s">
        <v>53</v>
      </c>
      <c r="C28" s="59"/>
      <c r="D28" s="59"/>
      <c r="E28" s="11">
        <v>0</v>
      </c>
      <c r="F28" s="11">
        <v>151</v>
      </c>
      <c r="G28" s="11">
        <v>113</v>
      </c>
      <c r="H28" s="11">
        <v>89</v>
      </c>
      <c r="I28" s="93">
        <f>I29*I11</f>
        <v>123.63</v>
      </c>
      <c r="J28" s="107">
        <f t="shared" ref="J28:R28" si="16">J29*J11</f>
        <v>139.88</v>
      </c>
      <c r="K28" s="107">
        <f t="shared" si="16"/>
        <v>159.9</v>
      </c>
      <c r="L28" s="107">
        <f t="shared" si="16"/>
        <v>182.90999999999997</v>
      </c>
      <c r="M28" s="107">
        <f t="shared" si="16"/>
        <v>208.64999999999998</v>
      </c>
      <c r="N28" s="107">
        <f t="shared" si="16"/>
        <v>233.73999999999998</v>
      </c>
      <c r="O28" s="107">
        <f t="shared" si="16"/>
        <v>261.82</v>
      </c>
      <c r="P28" s="107">
        <f t="shared" si="16"/>
        <v>291.71999999999997</v>
      </c>
      <c r="Q28" s="107">
        <f t="shared" si="16"/>
        <v>325.03459781529295</v>
      </c>
      <c r="R28" s="107">
        <f t="shared" si="16"/>
        <v>387.53583706604655</v>
      </c>
    </row>
    <row r="29" spans="1:18" x14ac:dyDescent="0.25">
      <c r="A29" s="1"/>
      <c r="B29" s="71" t="s">
        <v>18</v>
      </c>
      <c r="C29" s="72"/>
      <c r="D29" s="72"/>
      <c r="E29" s="72">
        <f t="shared" ref="D29:H29" si="17">E28/E11</f>
        <v>0</v>
      </c>
      <c r="F29" s="72">
        <f t="shared" si="17"/>
        <v>4.4701006512729423E-2</v>
      </c>
      <c r="G29" s="72">
        <f t="shared" si="17"/>
        <v>1.8858477970627504E-2</v>
      </c>
      <c r="H29" s="72">
        <f t="shared" si="17"/>
        <v>1.0596499583283724E-2</v>
      </c>
      <c r="I29" s="98">
        <v>1.2999999999999999E-2</v>
      </c>
      <c r="J29" s="112">
        <v>1.2999999999999999E-2</v>
      </c>
      <c r="K29" s="112">
        <v>1.2999999999999999E-2</v>
      </c>
      <c r="L29" s="112">
        <v>1.2999999999999999E-2</v>
      </c>
      <c r="M29" s="112">
        <v>1.2999999999999999E-2</v>
      </c>
      <c r="N29" s="112">
        <v>1.2999999999999999E-2</v>
      </c>
      <c r="O29" s="112">
        <v>1.2999999999999999E-2</v>
      </c>
      <c r="P29" s="112">
        <v>1.2999999999999999E-2</v>
      </c>
      <c r="Q29" s="112">
        <v>1.2999999999999999E-2</v>
      </c>
      <c r="R29" s="112">
        <v>1.2999999999999999E-2</v>
      </c>
    </row>
    <row r="30" spans="1:18" x14ac:dyDescent="0.25">
      <c r="A30" s="1"/>
      <c r="B30" s="1"/>
      <c r="C30" s="84"/>
      <c r="D30" s="84"/>
      <c r="E30" s="20"/>
      <c r="F30" s="20"/>
      <c r="G30" s="20"/>
      <c r="H30" s="20"/>
      <c r="I30" s="99"/>
      <c r="J30" s="113"/>
      <c r="K30" s="113"/>
      <c r="L30" s="113"/>
      <c r="M30" s="113"/>
      <c r="N30" s="113"/>
      <c r="O30" s="113"/>
      <c r="P30" s="113"/>
      <c r="Q30" s="113"/>
      <c r="R30" s="113"/>
    </row>
    <row r="31" spans="1:18" x14ac:dyDescent="0.25">
      <c r="A31" s="1"/>
      <c r="B31" s="1" t="s">
        <v>13</v>
      </c>
      <c r="C31" s="59"/>
      <c r="D31" s="59"/>
      <c r="E31" s="11">
        <f>E22+E25+E28+E19</f>
        <v>3295.395</v>
      </c>
      <c r="F31" s="11">
        <f t="shared" ref="F31:H31" si="18">F22+F25+F28+F19</f>
        <v>5214.0480000000007</v>
      </c>
      <c r="G31" s="11">
        <f t="shared" si="18"/>
        <v>3560</v>
      </c>
      <c r="H31" s="11">
        <f t="shared" si="18"/>
        <v>4057</v>
      </c>
      <c r="I31" s="97">
        <f>I22+I25+I28</f>
        <v>3452.13</v>
      </c>
      <c r="J31" s="111">
        <f t="shared" ref="I31:R31" si="19">J22+J25+J28</f>
        <v>4013.4800000000005</v>
      </c>
      <c r="K31" s="111">
        <f t="shared" si="19"/>
        <v>4587.8999999999996</v>
      </c>
      <c r="L31" s="111">
        <f t="shared" si="19"/>
        <v>4896.3599999999988</v>
      </c>
      <c r="M31" s="111">
        <f t="shared" si="19"/>
        <v>5505.1499999999987</v>
      </c>
      <c r="N31" s="111">
        <f t="shared" si="19"/>
        <v>5987.34</v>
      </c>
      <c r="O31" s="111">
        <f t="shared" si="19"/>
        <v>6706.619999999999</v>
      </c>
      <c r="P31" s="111">
        <f t="shared" si="19"/>
        <v>7472.5199999999995</v>
      </c>
      <c r="Q31" s="111">
        <f t="shared" si="19"/>
        <v>8325.886236345581</v>
      </c>
      <c r="R31" s="111">
        <f t="shared" si="19"/>
        <v>9926.8795186918069</v>
      </c>
    </row>
    <row r="32" spans="1:18" x14ac:dyDescent="0.25">
      <c r="A32" s="1"/>
      <c r="B32" s="67" t="s">
        <v>18</v>
      </c>
      <c r="C32" s="68"/>
      <c r="D32" s="68"/>
      <c r="E32" s="68">
        <f t="shared" ref="D32:R32" si="20">E31/E11</f>
        <v>0.68579211148498553</v>
      </c>
      <c r="F32" s="68">
        <f t="shared" si="20"/>
        <v>1.54353108348135</v>
      </c>
      <c r="G32" s="68">
        <f t="shared" si="20"/>
        <v>0.59412550066755676</v>
      </c>
      <c r="H32" s="68">
        <f t="shared" si="20"/>
        <v>0.48303369448743899</v>
      </c>
      <c r="I32" s="89">
        <f t="shared" si="20"/>
        <v>0.36299999999999999</v>
      </c>
      <c r="J32" s="100">
        <f t="shared" si="20"/>
        <v>0.37300000000000005</v>
      </c>
      <c r="K32" s="100">
        <f t="shared" si="20"/>
        <v>0.37299999999999994</v>
      </c>
      <c r="L32" s="100">
        <f t="shared" si="20"/>
        <v>0.34799999999999998</v>
      </c>
      <c r="M32" s="100">
        <f t="shared" si="20"/>
        <v>0.34299999999999997</v>
      </c>
      <c r="N32" s="100">
        <f t="shared" si="20"/>
        <v>0.33300000000000002</v>
      </c>
      <c r="O32" s="100">
        <f t="shared" si="20"/>
        <v>0.33299999999999996</v>
      </c>
      <c r="P32" s="100">
        <f t="shared" si="20"/>
        <v>0.33299999999999996</v>
      </c>
      <c r="Q32" s="100">
        <f t="shared" si="20"/>
        <v>0.33300000000000002</v>
      </c>
      <c r="R32" s="100">
        <f t="shared" si="20"/>
        <v>0.33299999999999996</v>
      </c>
    </row>
    <row r="33" spans="1:86" x14ac:dyDescent="0.25">
      <c r="A33" s="1"/>
      <c r="B33" s="1"/>
      <c r="C33" s="78"/>
      <c r="D33" s="78"/>
      <c r="E33" s="14"/>
      <c r="F33" s="70"/>
      <c r="G33" s="70"/>
      <c r="H33" s="70"/>
      <c r="I33" s="101"/>
      <c r="J33" s="102"/>
      <c r="K33" s="102"/>
      <c r="L33" s="102"/>
      <c r="M33" s="102"/>
      <c r="N33" s="102"/>
      <c r="O33" s="102"/>
      <c r="P33" s="102"/>
      <c r="Q33" s="102"/>
      <c r="R33" s="102"/>
    </row>
    <row r="34" spans="1:86" x14ac:dyDescent="0.25">
      <c r="A34" s="1"/>
      <c r="B34" s="1" t="s">
        <v>14</v>
      </c>
      <c r="C34" s="59"/>
      <c r="D34" s="59"/>
      <c r="E34" s="11">
        <f>E16-E31</f>
        <v>-501.54300000000012</v>
      </c>
      <c r="F34" s="11">
        <f>F16-F31</f>
        <v>-3589.9910000000009</v>
      </c>
      <c r="G34" s="11">
        <f t="shared" ref="D34:G34" si="21">G16-G31</f>
        <v>429</v>
      </c>
      <c r="H34" s="11">
        <f>H16-H31</f>
        <v>1802</v>
      </c>
      <c r="I34" s="97">
        <f>I16-I31</f>
        <v>3204.87</v>
      </c>
      <c r="J34" s="111">
        <f t="shared" ref="I34:R34" si="22">J16-J31</f>
        <v>3626.119999999999</v>
      </c>
      <c r="K34" s="111">
        <f t="shared" si="22"/>
        <v>4145.1000000000004</v>
      </c>
      <c r="L34" s="111">
        <f t="shared" si="22"/>
        <v>5093.34</v>
      </c>
      <c r="M34" s="111">
        <f t="shared" si="22"/>
        <v>5890.3499999999995</v>
      </c>
      <c r="N34" s="111">
        <f t="shared" si="22"/>
        <v>6778.4599999999991</v>
      </c>
      <c r="O34" s="111">
        <f t="shared" si="22"/>
        <v>7592.7800000000007</v>
      </c>
      <c r="P34" s="111">
        <f t="shared" si="22"/>
        <v>8459.880000000001</v>
      </c>
      <c r="Q34" s="111">
        <f t="shared" si="22"/>
        <v>9426.0033366434945</v>
      </c>
      <c r="R34" s="111">
        <f t="shared" si="22"/>
        <v>11238.539274915351</v>
      </c>
    </row>
    <row r="35" spans="1:86" x14ac:dyDescent="0.25">
      <c r="A35" s="1"/>
      <c r="B35" s="1" t="s">
        <v>15</v>
      </c>
      <c r="C35" s="85"/>
      <c r="D35" s="82"/>
      <c r="E35" s="76">
        <v>89.84</v>
      </c>
      <c r="F35" s="76">
        <v>-1091.7909999999999</v>
      </c>
      <c r="G35" s="70">
        <v>-729</v>
      </c>
      <c r="H35" s="70">
        <v>187</v>
      </c>
      <c r="I35" s="119">
        <v>-453.55779999999999</v>
      </c>
      <c r="J35" s="114">
        <v>-503.69959999999998</v>
      </c>
      <c r="K35" s="114">
        <v>-553.84140000000002</v>
      </c>
      <c r="L35" s="115">
        <v>-603.98320000000001</v>
      </c>
      <c r="M35" s="115">
        <v>-654.12499999999898</v>
      </c>
      <c r="N35" s="114">
        <v>-704.26679999999897</v>
      </c>
      <c r="O35" s="114">
        <v>-754.40859999999896</v>
      </c>
      <c r="P35" s="114">
        <v>-804.55039999999894</v>
      </c>
      <c r="Q35" s="115">
        <v>-854.69219999999905</v>
      </c>
      <c r="R35" s="115">
        <v>-904.83399999999904</v>
      </c>
    </row>
    <row r="36" spans="1:86" x14ac:dyDescent="0.25">
      <c r="A36" s="1"/>
      <c r="B36" s="13"/>
      <c r="C36" s="84"/>
      <c r="D36" s="84"/>
      <c r="E36" s="20"/>
      <c r="F36" s="20"/>
      <c r="G36" s="20"/>
      <c r="H36" s="20"/>
      <c r="I36" s="90"/>
      <c r="J36" s="106"/>
      <c r="K36" s="106"/>
      <c r="L36" s="106"/>
      <c r="M36" s="106"/>
      <c r="N36" s="106"/>
      <c r="O36" s="106"/>
      <c r="P36" s="106"/>
      <c r="Q36" s="106"/>
      <c r="R36" s="106"/>
    </row>
    <row r="37" spans="1:86" x14ac:dyDescent="0.25">
      <c r="A37" s="1"/>
      <c r="B37" s="1" t="s">
        <v>16</v>
      </c>
      <c r="C37" s="59"/>
      <c r="D37" s="59"/>
      <c r="E37" s="11">
        <f t="shared" ref="D37:G37" si="23">E34+E35</f>
        <v>-411.70300000000009</v>
      </c>
      <c r="F37" s="11">
        <f>F34+F35</f>
        <v>-4681.7820000000011</v>
      </c>
      <c r="G37" s="11">
        <f t="shared" si="23"/>
        <v>-300</v>
      </c>
      <c r="H37" s="11">
        <f>H34+H35</f>
        <v>1989</v>
      </c>
      <c r="I37" s="97">
        <f>I34+I35</f>
        <v>2751.3121999999998</v>
      </c>
      <c r="J37" s="111">
        <f t="shared" ref="I37:R37" si="24">J34+J35</f>
        <v>3122.4203999999991</v>
      </c>
      <c r="K37" s="111">
        <f t="shared" si="24"/>
        <v>3591.2586000000001</v>
      </c>
      <c r="L37" s="111">
        <f t="shared" si="24"/>
        <v>4489.3568000000005</v>
      </c>
      <c r="M37" s="111">
        <f t="shared" si="24"/>
        <v>5236.2250000000004</v>
      </c>
      <c r="N37" s="111">
        <f t="shared" si="24"/>
        <v>6074.1931999999997</v>
      </c>
      <c r="O37" s="111">
        <f t="shared" si="24"/>
        <v>6838.3714000000018</v>
      </c>
      <c r="P37" s="111">
        <f t="shared" si="24"/>
        <v>7655.3296000000018</v>
      </c>
      <c r="Q37" s="111">
        <f t="shared" si="24"/>
        <v>8571.311136643495</v>
      </c>
      <c r="R37" s="111">
        <f t="shared" si="24"/>
        <v>10333.705274915352</v>
      </c>
    </row>
    <row r="38" spans="1:86" x14ac:dyDescent="0.25">
      <c r="A38" s="1"/>
      <c r="B38" s="1"/>
      <c r="C38" s="84"/>
      <c r="D38" s="84"/>
      <c r="E38" s="20"/>
      <c r="F38" s="20"/>
      <c r="G38" s="20"/>
      <c r="H38" s="20"/>
      <c r="I38" s="90"/>
      <c r="J38" s="106"/>
      <c r="K38" s="106"/>
      <c r="L38" s="106"/>
      <c r="M38" s="106"/>
      <c r="N38" s="106"/>
      <c r="O38" s="106"/>
      <c r="P38" s="106"/>
      <c r="Q38" s="106"/>
      <c r="R38" s="106"/>
    </row>
    <row r="39" spans="1:86" x14ac:dyDescent="0.25">
      <c r="A39" s="1"/>
      <c r="B39" s="1" t="s">
        <v>17</v>
      </c>
      <c r="C39" s="59"/>
      <c r="D39" s="59"/>
      <c r="E39" s="11">
        <f t="shared" ref="D39:F39" si="25">E34</f>
        <v>-501.54300000000012</v>
      </c>
      <c r="F39" s="11">
        <f t="shared" si="25"/>
        <v>-3589.9910000000009</v>
      </c>
      <c r="G39" s="11">
        <f>G34</f>
        <v>429</v>
      </c>
      <c r="H39" s="11">
        <f>H34</f>
        <v>1802</v>
      </c>
      <c r="I39" s="97">
        <f>I34</f>
        <v>3204.87</v>
      </c>
      <c r="J39" s="111">
        <f t="shared" ref="J39:R39" si="26">J34</f>
        <v>3626.119999999999</v>
      </c>
      <c r="K39" s="111">
        <f t="shared" si="26"/>
        <v>4145.1000000000004</v>
      </c>
      <c r="L39" s="111">
        <f t="shared" si="26"/>
        <v>5093.34</v>
      </c>
      <c r="M39" s="111">
        <f t="shared" si="26"/>
        <v>5890.3499999999995</v>
      </c>
      <c r="N39" s="111">
        <f t="shared" si="26"/>
        <v>6778.4599999999991</v>
      </c>
      <c r="O39" s="111">
        <f t="shared" si="26"/>
        <v>7592.7800000000007</v>
      </c>
      <c r="P39" s="111">
        <f t="shared" si="26"/>
        <v>8459.880000000001</v>
      </c>
      <c r="Q39" s="111">
        <f t="shared" si="26"/>
        <v>9426.0033366434945</v>
      </c>
      <c r="R39" s="111">
        <f t="shared" si="26"/>
        <v>11238.539274915351</v>
      </c>
    </row>
    <row r="40" spans="1:86" x14ac:dyDescent="0.25">
      <c r="A40" s="1"/>
      <c r="B40" s="67" t="s">
        <v>18</v>
      </c>
      <c r="C40" s="68"/>
      <c r="D40" s="68"/>
      <c r="E40" s="68">
        <f t="shared" ref="D40:R40" si="27">E39/E11</f>
        <v>-0.10437420490427222</v>
      </c>
      <c r="F40" s="68">
        <f t="shared" si="27"/>
        <v>-1.0627563647128482</v>
      </c>
      <c r="G40" s="68">
        <f t="shared" si="27"/>
        <v>7.1595460614152201E-2</v>
      </c>
      <c r="H40" s="68">
        <f t="shared" si="27"/>
        <v>0.21454935111322776</v>
      </c>
      <c r="I40" s="89">
        <f t="shared" si="27"/>
        <v>0.33699999999999997</v>
      </c>
      <c r="J40" s="100">
        <f t="shared" si="27"/>
        <v>0.33699999999999991</v>
      </c>
      <c r="K40" s="100">
        <f t="shared" si="27"/>
        <v>0.33700000000000002</v>
      </c>
      <c r="L40" s="100">
        <f t="shared" si="27"/>
        <v>0.36200000000000004</v>
      </c>
      <c r="M40" s="100">
        <f t="shared" si="27"/>
        <v>0.36699999999999999</v>
      </c>
      <c r="N40" s="100">
        <f t="shared" si="27"/>
        <v>0.37699999999999995</v>
      </c>
      <c r="O40" s="100">
        <f t="shared" si="27"/>
        <v>0.37700000000000006</v>
      </c>
      <c r="P40" s="100">
        <f t="shared" si="27"/>
        <v>0.37700000000000006</v>
      </c>
      <c r="Q40" s="100">
        <f t="shared" si="27"/>
        <v>0.37699999999999995</v>
      </c>
      <c r="R40" s="100">
        <f t="shared" si="27"/>
        <v>0.37700000000000006</v>
      </c>
    </row>
    <row r="41" spans="1:86" x14ac:dyDescent="0.25">
      <c r="A41" s="1"/>
      <c r="B41" s="13"/>
      <c r="C41" s="79"/>
      <c r="D41" s="79"/>
      <c r="F41" s="1"/>
      <c r="G41" s="1"/>
      <c r="H41" s="1"/>
      <c r="I41" s="90"/>
      <c r="J41" s="106"/>
      <c r="K41" s="106"/>
      <c r="L41" s="106"/>
      <c r="M41" s="106"/>
      <c r="N41" s="106"/>
      <c r="O41" s="106"/>
      <c r="P41" s="106"/>
      <c r="Q41" s="106"/>
      <c r="R41" s="106"/>
    </row>
    <row r="42" spans="1:86" x14ac:dyDescent="0.25">
      <c r="A42" s="1"/>
      <c r="B42" s="1" t="s">
        <v>19</v>
      </c>
      <c r="C42" s="59"/>
      <c r="D42" s="59"/>
      <c r="E42" s="21">
        <v>262.63600000000002</v>
      </c>
      <c r="F42" s="11">
        <v>-97</v>
      </c>
      <c r="G42" s="11">
        <v>52</v>
      </c>
      <c r="H42" s="18">
        <v>96</v>
      </c>
      <c r="I42" s="93">
        <f>I43*I39</f>
        <v>382.98196499999995</v>
      </c>
      <c r="J42" s="107">
        <f t="shared" ref="J42:R42" si="28">J43*J39</f>
        <v>433.32133999999985</v>
      </c>
      <c r="K42" s="107">
        <f t="shared" si="28"/>
        <v>495.33945</v>
      </c>
      <c r="L42" s="107">
        <f t="shared" si="28"/>
        <v>608.65413000000001</v>
      </c>
      <c r="M42" s="107">
        <f t="shared" si="28"/>
        <v>703.89682499999992</v>
      </c>
      <c r="N42" s="107">
        <f t="shared" si="28"/>
        <v>810.02596999999992</v>
      </c>
      <c r="O42" s="107">
        <f t="shared" si="28"/>
        <v>907.33721000000003</v>
      </c>
      <c r="P42" s="107">
        <f t="shared" si="28"/>
        <v>1010.9556600000001</v>
      </c>
      <c r="Q42" s="107">
        <f t="shared" si="28"/>
        <v>1126.4073987288975</v>
      </c>
      <c r="R42" s="107">
        <f t="shared" si="28"/>
        <v>1343.0054433523844</v>
      </c>
    </row>
    <row r="43" spans="1:86" x14ac:dyDescent="0.25">
      <c r="A43" s="1"/>
      <c r="B43" s="67" t="s">
        <v>20</v>
      </c>
      <c r="C43" s="69"/>
      <c r="D43" s="69"/>
      <c r="E43" s="69">
        <f>E42/E39</f>
        <v>-0.52365599759143278</v>
      </c>
      <c r="F43" s="69">
        <f>F42/F39</f>
        <v>2.7019566344316733E-2</v>
      </c>
      <c r="G43" s="69">
        <f t="shared" ref="D43:G43" si="29">G42/G39</f>
        <v>0.12121212121212122</v>
      </c>
      <c r="H43" s="69">
        <f>H42/H39</f>
        <v>5.327413984461709E-2</v>
      </c>
      <c r="I43" s="98">
        <v>0.1195</v>
      </c>
      <c r="J43" s="112">
        <v>0.1195</v>
      </c>
      <c r="K43" s="112">
        <v>0.1195</v>
      </c>
      <c r="L43" s="112">
        <v>0.1195</v>
      </c>
      <c r="M43" s="112">
        <v>0.1195</v>
      </c>
      <c r="N43" s="112">
        <v>0.1195</v>
      </c>
      <c r="O43" s="112">
        <v>0.1195</v>
      </c>
      <c r="P43" s="112">
        <v>0.1195</v>
      </c>
      <c r="Q43" s="112">
        <v>0.1195</v>
      </c>
      <c r="R43" s="112">
        <v>0.1195</v>
      </c>
    </row>
    <row r="44" spans="1:86" x14ac:dyDescent="0.25">
      <c r="A44" s="1"/>
      <c r="B44" s="1"/>
      <c r="C44" s="79"/>
      <c r="D44" s="79"/>
      <c r="E44" s="1"/>
      <c r="F44" s="1"/>
      <c r="G44" s="1"/>
      <c r="H44" s="1"/>
      <c r="I44" s="90"/>
      <c r="J44" s="106"/>
      <c r="K44" s="106"/>
      <c r="L44" s="106"/>
      <c r="M44" s="106"/>
      <c r="N44" s="106"/>
      <c r="O44" s="106"/>
      <c r="P44" s="106"/>
      <c r="Q44" s="106"/>
      <c r="R44" s="106"/>
    </row>
    <row r="45" spans="1:86" x14ac:dyDescent="0.25">
      <c r="A45" s="1"/>
      <c r="B45" s="9" t="s">
        <v>21</v>
      </c>
      <c r="C45" s="9"/>
      <c r="D45" s="9"/>
      <c r="E45" s="9">
        <f>D45+1</f>
        <v>1</v>
      </c>
      <c r="F45" s="9">
        <v>2020</v>
      </c>
      <c r="G45" s="9">
        <v>2021</v>
      </c>
      <c r="H45" s="9">
        <v>2022</v>
      </c>
      <c r="I45" s="103">
        <v>2023</v>
      </c>
      <c r="J45" s="116">
        <v>2024</v>
      </c>
      <c r="K45" s="116">
        <v>2025</v>
      </c>
      <c r="L45" s="116">
        <v>2026</v>
      </c>
      <c r="M45" s="116">
        <v>2027</v>
      </c>
      <c r="N45" s="116">
        <v>2028</v>
      </c>
      <c r="O45" s="116">
        <v>2029</v>
      </c>
      <c r="P45" s="116">
        <v>2030</v>
      </c>
      <c r="Q45" s="116">
        <v>2031</v>
      </c>
      <c r="R45" s="116">
        <v>2032</v>
      </c>
      <c r="S45" s="9">
        <v>2033</v>
      </c>
      <c r="T45" s="9">
        <v>2034</v>
      </c>
      <c r="U45" s="9">
        <v>2035</v>
      </c>
      <c r="V45" s="9">
        <v>2036</v>
      </c>
      <c r="W45" s="9">
        <v>2037</v>
      </c>
      <c r="X45" s="9">
        <v>2038</v>
      </c>
      <c r="Y45" s="9">
        <v>2039</v>
      </c>
      <c r="Z45" s="9">
        <v>2040</v>
      </c>
      <c r="AA45" s="9">
        <v>2041</v>
      </c>
      <c r="AB45" s="9">
        <v>2042</v>
      </c>
      <c r="AC45" s="9">
        <v>2043</v>
      </c>
      <c r="AD45" s="9">
        <v>2044</v>
      </c>
      <c r="AE45" s="9">
        <v>2045</v>
      </c>
      <c r="AF45" s="9">
        <v>2046</v>
      </c>
      <c r="AG45" s="9">
        <v>2047</v>
      </c>
      <c r="AH45" s="9">
        <v>2048</v>
      </c>
      <c r="AI45" s="9">
        <v>2049</v>
      </c>
      <c r="AJ45" s="9">
        <v>2050</v>
      </c>
      <c r="AK45" s="9">
        <v>2051</v>
      </c>
      <c r="AL45" s="9">
        <v>2052</v>
      </c>
      <c r="AM45" s="9">
        <v>2053</v>
      </c>
      <c r="AN45" s="9">
        <v>2054</v>
      </c>
      <c r="AO45" s="9">
        <v>2055</v>
      </c>
      <c r="AP45" s="9">
        <v>2056</v>
      </c>
      <c r="AQ45" s="9">
        <v>2057</v>
      </c>
      <c r="AR45" s="9">
        <v>2058</v>
      </c>
      <c r="AS45" s="9">
        <v>2059</v>
      </c>
      <c r="AT45" s="9">
        <v>2060</v>
      </c>
      <c r="AU45" s="9">
        <v>2061</v>
      </c>
      <c r="AV45" s="9">
        <v>2062</v>
      </c>
      <c r="AW45" s="9">
        <v>2063</v>
      </c>
      <c r="AX45" s="9">
        <v>2064</v>
      </c>
      <c r="AY45" s="9">
        <v>2065</v>
      </c>
      <c r="AZ45" s="9">
        <v>2066</v>
      </c>
      <c r="BA45" s="9">
        <v>2067</v>
      </c>
      <c r="BB45" s="9">
        <v>2068</v>
      </c>
      <c r="BC45" s="9">
        <v>2069</v>
      </c>
      <c r="BD45" s="9">
        <v>2070</v>
      </c>
      <c r="BE45" s="9">
        <v>2071</v>
      </c>
      <c r="BF45" s="9">
        <v>2072</v>
      </c>
      <c r="BG45" s="9">
        <v>2073</v>
      </c>
      <c r="BH45" s="9">
        <v>2074</v>
      </c>
      <c r="BI45" s="9">
        <v>2075</v>
      </c>
      <c r="BJ45" s="9">
        <v>2076</v>
      </c>
      <c r="BK45" s="9">
        <v>2077</v>
      </c>
      <c r="BL45" s="9">
        <v>2078</v>
      </c>
      <c r="BM45" s="9">
        <v>2079</v>
      </c>
      <c r="BN45" s="9">
        <v>2080</v>
      </c>
      <c r="BO45" s="9">
        <v>2081</v>
      </c>
      <c r="BP45" s="9">
        <v>2082</v>
      </c>
      <c r="BQ45" s="9">
        <v>2083</v>
      </c>
      <c r="BR45" s="9">
        <v>2084</v>
      </c>
      <c r="BS45" s="9">
        <v>2085</v>
      </c>
      <c r="BT45" s="9">
        <v>2086</v>
      </c>
      <c r="BU45" s="9">
        <v>2087</v>
      </c>
      <c r="BV45" s="9">
        <v>2088</v>
      </c>
      <c r="BW45" s="9">
        <v>2089</v>
      </c>
      <c r="BX45" s="9">
        <v>2090</v>
      </c>
      <c r="BY45" s="9">
        <v>2091</v>
      </c>
      <c r="BZ45" s="9">
        <v>2092</v>
      </c>
      <c r="CA45" s="9">
        <v>2093</v>
      </c>
      <c r="CB45" s="9">
        <v>2094</v>
      </c>
      <c r="CC45" s="9">
        <v>2095</v>
      </c>
      <c r="CD45" s="9">
        <v>2096</v>
      </c>
      <c r="CE45" s="9">
        <v>2097</v>
      </c>
      <c r="CF45" s="9">
        <v>2098</v>
      </c>
      <c r="CG45" s="9">
        <v>2099</v>
      </c>
      <c r="CH45" s="9">
        <v>2100</v>
      </c>
    </row>
    <row r="46" spans="1:86" x14ac:dyDescent="0.25">
      <c r="A46" s="1"/>
      <c r="B46" s="1" t="s">
        <v>22</v>
      </c>
      <c r="C46" s="59"/>
      <c r="D46" s="59"/>
      <c r="E46" s="21">
        <v>114.16200000000001</v>
      </c>
      <c r="F46" s="11">
        <v>126</v>
      </c>
      <c r="G46" s="11">
        <v>138</v>
      </c>
      <c r="H46" s="11">
        <v>81</v>
      </c>
      <c r="I46" s="93">
        <f>I47*I11</f>
        <v>66</v>
      </c>
      <c r="J46" s="107">
        <f t="shared" ref="J46:R46" si="30">J47*J11</f>
        <v>71.733333333333334</v>
      </c>
      <c r="K46" s="107">
        <f t="shared" si="30"/>
        <v>75.753646677471636</v>
      </c>
      <c r="L46" s="107">
        <f t="shared" si="30"/>
        <v>80</v>
      </c>
      <c r="M46" s="107">
        <f t="shared" si="30"/>
        <v>96</v>
      </c>
      <c r="N46" s="107">
        <f t="shared" si="30"/>
        <v>112</v>
      </c>
      <c r="O46" s="107">
        <f t="shared" si="30"/>
        <v>124</v>
      </c>
      <c r="P46" s="107">
        <f t="shared" si="30"/>
        <v>135</v>
      </c>
      <c r="Q46" s="107">
        <f t="shared" si="30"/>
        <v>132.10587644823178</v>
      </c>
      <c r="R46" s="107">
        <f t="shared" si="30"/>
        <v>208.98716520089127</v>
      </c>
    </row>
    <row r="47" spans="1:86" x14ac:dyDescent="0.25">
      <c r="A47" s="1"/>
      <c r="B47" s="67" t="s">
        <v>18</v>
      </c>
      <c r="C47" s="68"/>
      <c r="D47" s="68"/>
      <c r="E47" s="68">
        <f t="shared" ref="D47:H47" si="31">E46/E11</f>
        <v>2.3757819330110327E-2</v>
      </c>
      <c r="F47" s="68">
        <f t="shared" si="31"/>
        <v>3.7300177619893425E-2</v>
      </c>
      <c r="G47" s="68">
        <f t="shared" si="31"/>
        <v>2.3030707610146861E-2</v>
      </c>
      <c r="H47" s="68">
        <f t="shared" si="31"/>
        <v>9.6440052387188942E-3</v>
      </c>
      <c r="I47" s="89">
        <v>6.9400630914826502E-3</v>
      </c>
      <c r="J47" s="100">
        <v>6.6666666666666671E-3</v>
      </c>
      <c r="K47" s="100">
        <v>6.1588330632090758E-3</v>
      </c>
      <c r="L47" s="100">
        <v>5.6858564321250896E-3</v>
      </c>
      <c r="M47" s="100">
        <v>5.9813084112149539E-3</v>
      </c>
      <c r="N47" s="100">
        <v>6.2291434927697438E-3</v>
      </c>
      <c r="O47" s="100">
        <v>6.1569016881827211E-3</v>
      </c>
      <c r="P47" s="100">
        <v>6.0160427807486629E-3</v>
      </c>
      <c r="Q47" s="100">
        <v>5.2836725855348633E-3</v>
      </c>
      <c r="R47" s="100">
        <v>7.0105339629495094E-3</v>
      </c>
    </row>
    <row r="48" spans="1:86" x14ac:dyDescent="0.25">
      <c r="A48" s="1"/>
      <c r="B48" s="1"/>
      <c r="C48" s="79"/>
      <c r="D48" s="79"/>
      <c r="F48" s="1"/>
      <c r="G48" s="1"/>
      <c r="H48" s="1"/>
      <c r="I48" s="90"/>
      <c r="J48" s="106"/>
      <c r="K48" s="106"/>
      <c r="L48" s="106"/>
      <c r="M48" s="106"/>
      <c r="N48" s="106"/>
      <c r="O48" s="106"/>
      <c r="P48" s="106"/>
      <c r="Q48" s="106"/>
      <c r="R48" s="106"/>
    </row>
    <row r="49" spans="1:86" x14ac:dyDescent="0.25">
      <c r="A49" s="1"/>
      <c r="B49" s="1" t="s">
        <v>23</v>
      </c>
      <c r="C49" s="59"/>
      <c r="D49" s="59"/>
      <c r="E49" s="21">
        <v>-125.452</v>
      </c>
      <c r="F49" s="11">
        <v>-37.371000000000002</v>
      </c>
      <c r="G49" s="11">
        <v>-25</v>
      </c>
      <c r="H49" s="11">
        <v>-25</v>
      </c>
      <c r="I49" s="93">
        <f>I50*I11</f>
        <v>-33</v>
      </c>
      <c r="J49" s="107">
        <f t="shared" ref="J49:R49" si="32">J50*J11</f>
        <v>-47.822222222222223</v>
      </c>
      <c r="K49" s="107">
        <f t="shared" si="32"/>
        <v>-78.743922204213945</v>
      </c>
      <c r="L49" s="107">
        <f t="shared" si="32"/>
        <v>-140</v>
      </c>
      <c r="M49" s="107">
        <f t="shared" si="32"/>
        <v>-158</v>
      </c>
      <c r="N49" s="107">
        <f t="shared" si="32"/>
        <v>-127</v>
      </c>
      <c r="O49" s="107">
        <f t="shared" si="32"/>
        <v>-142</v>
      </c>
      <c r="P49" s="107">
        <f t="shared" si="32"/>
        <v>-158</v>
      </c>
      <c r="Q49" s="107">
        <f t="shared" si="32"/>
        <v>-70.384278435533346</v>
      </c>
      <c r="R49" s="107">
        <f t="shared" si="32"/>
        <v>-83.918544189269511</v>
      </c>
    </row>
    <row r="50" spans="1:86" x14ac:dyDescent="0.25">
      <c r="A50" s="1"/>
      <c r="B50" s="67" t="s">
        <v>18</v>
      </c>
      <c r="C50" s="68"/>
      <c r="D50" s="68"/>
      <c r="E50" s="68">
        <f t="shared" ref="D50:H50" si="33">E49/E11</f>
        <v>-2.6107338261426749E-2</v>
      </c>
      <c r="F50" s="68">
        <f t="shared" si="33"/>
        <v>-1.1063055062166963E-2</v>
      </c>
      <c r="G50" s="68">
        <f t="shared" si="33"/>
        <v>-4.1722296395193589E-3</v>
      </c>
      <c r="H50" s="68">
        <f t="shared" si="33"/>
        <v>-2.9765448267650911E-3</v>
      </c>
      <c r="I50" s="89">
        <v>-3.4700315457413251E-3</v>
      </c>
      <c r="J50" s="100">
        <v>-4.4444444444444444E-3</v>
      </c>
      <c r="K50" s="100">
        <v>-6.40194489465154E-3</v>
      </c>
      <c r="L50" s="100">
        <v>-9.950248756218907E-3</v>
      </c>
      <c r="M50" s="100">
        <v>-9.8442367601246118E-3</v>
      </c>
      <c r="N50" s="100">
        <v>-7.0634037819799775E-3</v>
      </c>
      <c r="O50" s="100">
        <v>-7.0506454816286002E-3</v>
      </c>
      <c r="P50" s="100">
        <v>-7.0409982174688057E-3</v>
      </c>
      <c r="Q50" s="100">
        <v>-2.81507145950628E-3</v>
      </c>
      <c r="R50" s="100">
        <v>-2.81507145950628E-3</v>
      </c>
    </row>
    <row r="51" spans="1:86" x14ac:dyDescent="0.25">
      <c r="A51" s="1"/>
      <c r="B51" s="1"/>
      <c r="C51" s="79"/>
      <c r="D51" s="79"/>
      <c r="F51" s="1"/>
      <c r="G51" s="1"/>
      <c r="H51" s="1"/>
      <c r="I51" s="90"/>
      <c r="J51" s="106"/>
      <c r="K51" s="106"/>
      <c r="L51" s="106"/>
      <c r="M51" s="106"/>
      <c r="N51" s="106"/>
      <c r="O51" s="106"/>
      <c r="P51" s="106"/>
      <c r="Q51" s="106"/>
      <c r="R51" s="106"/>
    </row>
    <row r="52" spans="1:86" x14ac:dyDescent="0.25">
      <c r="A52" s="1"/>
      <c r="B52" s="1" t="s">
        <v>24</v>
      </c>
      <c r="C52" s="79"/>
      <c r="D52" s="86"/>
      <c r="E52" s="25">
        <v>620.38199999999995</v>
      </c>
      <c r="F52" s="35">
        <v>-395</v>
      </c>
      <c r="G52" s="35">
        <v>761</v>
      </c>
      <c r="H52" s="35">
        <v>319</v>
      </c>
      <c r="I52" s="93">
        <f t="shared" ref="I52:R52" si="34">I53*I11</f>
        <v>570.6</v>
      </c>
      <c r="J52" s="107">
        <f t="shared" si="34"/>
        <v>645.6</v>
      </c>
      <c r="K52" s="107">
        <f t="shared" si="34"/>
        <v>738</v>
      </c>
      <c r="L52" s="107">
        <f t="shared" si="34"/>
        <v>844.19999999999982</v>
      </c>
      <c r="M52" s="107">
        <f t="shared" si="34"/>
        <v>962.99999999999989</v>
      </c>
      <c r="N52" s="107">
        <f t="shared" si="34"/>
        <v>1078.8</v>
      </c>
      <c r="O52" s="107">
        <f t="shared" si="34"/>
        <v>1208.3999999999999</v>
      </c>
      <c r="P52" s="107">
        <f t="shared" si="34"/>
        <v>1346.3999999999999</v>
      </c>
      <c r="Q52" s="107">
        <f t="shared" si="34"/>
        <v>1500.1596822244289</v>
      </c>
      <c r="R52" s="107">
        <f t="shared" si="34"/>
        <v>1788.6269403048302</v>
      </c>
    </row>
    <row r="53" spans="1:86" x14ac:dyDescent="0.25">
      <c r="A53" s="1"/>
      <c r="B53" s="67" t="s">
        <v>18</v>
      </c>
      <c r="C53" s="68"/>
      <c r="D53" s="68"/>
      <c r="E53" s="68">
        <f t="shared" ref="D53:H53" si="35">E52/E11</f>
        <v>0.12910533690415815</v>
      </c>
      <c r="F53" s="68">
        <f t="shared" si="35"/>
        <v>-0.11693309650680876</v>
      </c>
      <c r="G53" s="68">
        <f t="shared" si="35"/>
        <v>0.12700267022696929</v>
      </c>
      <c r="H53" s="68">
        <f t="shared" si="35"/>
        <v>3.7980711989522561E-2</v>
      </c>
      <c r="I53" s="104">
        <v>0.06</v>
      </c>
      <c r="J53" s="117">
        <v>0.06</v>
      </c>
      <c r="K53" s="117">
        <v>0.06</v>
      </c>
      <c r="L53" s="117">
        <v>0.06</v>
      </c>
      <c r="M53" s="117">
        <v>0.06</v>
      </c>
      <c r="N53" s="117">
        <v>0.06</v>
      </c>
      <c r="O53" s="117">
        <v>0.06</v>
      </c>
      <c r="P53" s="117">
        <v>0.06</v>
      </c>
      <c r="Q53" s="117">
        <v>0.06</v>
      </c>
      <c r="R53" s="117">
        <v>0.06</v>
      </c>
    </row>
    <row r="54" spans="1:86" x14ac:dyDescent="0.25">
      <c r="A54" s="1"/>
      <c r="B54" s="1"/>
      <c r="C54" s="79"/>
      <c r="D54" s="79"/>
      <c r="E54" s="1"/>
      <c r="F54" s="1"/>
      <c r="G54" s="1"/>
      <c r="H54" s="1"/>
      <c r="I54" s="90"/>
      <c r="J54" s="106"/>
      <c r="K54" s="106"/>
      <c r="L54" s="106"/>
      <c r="M54" s="106"/>
      <c r="N54" s="106"/>
      <c r="O54" s="106"/>
      <c r="P54" s="106"/>
      <c r="Q54" s="106"/>
      <c r="R54" s="106"/>
    </row>
    <row r="55" spans="1:86" x14ac:dyDescent="0.25">
      <c r="A55" s="1"/>
      <c r="B55" s="9" t="s">
        <v>25</v>
      </c>
      <c r="C55" s="87"/>
      <c r="D55" s="87"/>
      <c r="E55" s="11">
        <f>E39-E42</f>
        <v>-764.17900000000009</v>
      </c>
      <c r="F55" s="11">
        <f t="shared" ref="F55:R55" si="36">F39-F42</f>
        <v>-3492.9910000000009</v>
      </c>
      <c r="G55" s="11">
        <f t="shared" si="36"/>
        <v>377</v>
      </c>
      <c r="H55" s="11">
        <f t="shared" si="36"/>
        <v>1706</v>
      </c>
      <c r="I55" s="97">
        <f t="shared" si="36"/>
        <v>2821.8880349999999</v>
      </c>
      <c r="J55" s="111">
        <f t="shared" si="36"/>
        <v>3192.798659999999</v>
      </c>
      <c r="K55" s="111">
        <f t="shared" si="36"/>
        <v>3649.7605500000004</v>
      </c>
      <c r="L55" s="111">
        <f t="shared" si="36"/>
        <v>4484.6858700000003</v>
      </c>
      <c r="M55" s="111">
        <f t="shared" si="36"/>
        <v>5186.4531749999996</v>
      </c>
      <c r="N55" s="111">
        <f t="shared" si="36"/>
        <v>5968.4340299999994</v>
      </c>
      <c r="O55" s="111">
        <f t="shared" si="36"/>
        <v>6685.442790000001</v>
      </c>
      <c r="P55" s="111">
        <f t="shared" si="36"/>
        <v>7448.9243400000014</v>
      </c>
      <c r="Q55" s="111">
        <f t="shared" si="36"/>
        <v>8299.595937914597</v>
      </c>
      <c r="R55" s="111">
        <f t="shared" si="36"/>
        <v>9895.533831562967</v>
      </c>
    </row>
    <row r="56" spans="1:86" x14ac:dyDescent="0.25">
      <c r="A56" s="1"/>
      <c r="B56" s="9" t="s">
        <v>26</v>
      </c>
      <c r="C56" s="87"/>
      <c r="D56" s="87"/>
      <c r="E56" s="11">
        <f t="shared" ref="D56:R56" si="37">E37-E42</f>
        <v>-674.33900000000017</v>
      </c>
      <c r="F56" s="11">
        <f t="shared" si="37"/>
        <v>-4584.7820000000011</v>
      </c>
      <c r="G56" s="11">
        <f t="shared" si="37"/>
        <v>-352</v>
      </c>
      <c r="H56" s="11">
        <f>H37-H42</f>
        <v>1893</v>
      </c>
      <c r="I56" s="97">
        <f t="shared" si="37"/>
        <v>2368.3302349999999</v>
      </c>
      <c r="J56" s="111">
        <f t="shared" si="37"/>
        <v>2689.0990599999991</v>
      </c>
      <c r="K56" s="111">
        <f t="shared" si="37"/>
        <v>3095.9191500000002</v>
      </c>
      <c r="L56" s="111">
        <f t="shared" si="37"/>
        <v>3880.7026700000006</v>
      </c>
      <c r="M56" s="111">
        <f t="shared" si="37"/>
        <v>4532.3281750000006</v>
      </c>
      <c r="N56" s="111">
        <f t="shared" si="37"/>
        <v>5264.16723</v>
      </c>
      <c r="O56" s="111">
        <f t="shared" si="37"/>
        <v>5931.0341900000021</v>
      </c>
      <c r="P56" s="111">
        <f t="shared" si="37"/>
        <v>6644.3739400000013</v>
      </c>
      <c r="Q56" s="111">
        <f t="shared" si="37"/>
        <v>7444.9037379145975</v>
      </c>
      <c r="R56" s="111">
        <f t="shared" si="37"/>
        <v>8990.699831562968</v>
      </c>
      <c r="S56" s="59">
        <f>R56*(1+$E$6)</f>
        <v>9260.4208265098569</v>
      </c>
      <c r="T56" s="59">
        <f t="shared" ref="T56:CE56" si="38">S56*(1+$E$6)</f>
        <v>9538.2334513051519</v>
      </c>
      <c r="U56" s="59">
        <f t="shared" si="38"/>
        <v>9824.3804548443059</v>
      </c>
      <c r="V56" s="59">
        <f t="shared" si="38"/>
        <v>10119.111868489636</v>
      </c>
      <c r="W56" s="59">
        <f t="shared" si="38"/>
        <v>10422.685224544324</v>
      </c>
      <c r="X56" s="59">
        <f t="shared" si="38"/>
        <v>10735.365781280654</v>
      </c>
      <c r="Y56" s="59">
        <f t="shared" si="38"/>
        <v>11057.426754719074</v>
      </c>
      <c r="Z56" s="59">
        <f t="shared" si="38"/>
        <v>11389.149557360646</v>
      </c>
      <c r="AA56" s="59">
        <f t="shared" si="38"/>
        <v>11730.824044081466</v>
      </c>
      <c r="AB56" s="59">
        <f t="shared" si="38"/>
        <v>12082.748765403911</v>
      </c>
      <c r="AC56" s="59">
        <f t="shared" si="38"/>
        <v>12445.231228366029</v>
      </c>
      <c r="AD56" s="59">
        <f t="shared" si="38"/>
        <v>12818.58816521701</v>
      </c>
      <c r="AE56" s="59">
        <f t="shared" si="38"/>
        <v>13203.145810173521</v>
      </c>
      <c r="AF56" s="59">
        <f t="shared" si="38"/>
        <v>13599.240184478727</v>
      </c>
      <c r="AG56" s="59">
        <f t="shared" si="38"/>
        <v>14007.217390013089</v>
      </c>
      <c r="AH56" s="59">
        <f t="shared" si="38"/>
        <v>14427.433911713482</v>
      </c>
      <c r="AI56" s="59">
        <f t="shared" si="38"/>
        <v>14860.256929064888</v>
      </c>
      <c r="AJ56" s="59">
        <f t="shared" si="38"/>
        <v>15306.064636936835</v>
      </c>
      <c r="AK56" s="59">
        <f t="shared" si="38"/>
        <v>15765.246576044941</v>
      </c>
      <c r="AL56" s="59">
        <f t="shared" si="38"/>
        <v>16238.20397332629</v>
      </c>
      <c r="AM56" s="59">
        <f t="shared" si="38"/>
        <v>16725.350092526078</v>
      </c>
      <c r="AN56" s="59">
        <f t="shared" si="38"/>
        <v>17227.11059530186</v>
      </c>
      <c r="AO56" s="59">
        <f t="shared" si="38"/>
        <v>17743.923913160917</v>
      </c>
      <c r="AP56" s="59">
        <f t="shared" si="38"/>
        <v>18276.241630555745</v>
      </c>
      <c r="AQ56" s="59">
        <f t="shared" si="38"/>
        <v>18824.528879472418</v>
      </c>
      <c r="AR56" s="59">
        <f t="shared" si="38"/>
        <v>19389.264745856592</v>
      </c>
      <c r="AS56" s="59">
        <f t="shared" si="38"/>
        <v>19970.942688232291</v>
      </c>
      <c r="AT56" s="59">
        <f t="shared" si="38"/>
        <v>20570.070968879259</v>
      </c>
      <c r="AU56" s="59">
        <f t="shared" si="38"/>
        <v>21187.173097945637</v>
      </c>
      <c r="AV56" s="59">
        <f t="shared" si="38"/>
        <v>21822.788290884007</v>
      </c>
      <c r="AW56" s="59">
        <f t="shared" si="38"/>
        <v>22477.471939610528</v>
      </c>
      <c r="AX56" s="59">
        <f t="shared" si="38"/>
        <v>23151.796097798844</v>
      </c>
      <c r="AY56" s="59">
        <f t="shared" si="38"/>
        <v>23846.349980732812</v>
      </c>
      <c r="AZ56" s="59">
        <f t="shared" si="38"/>
        <v>24561.740480154796</v>
      </c>
      <c r="BA56" s="59">
        <f t="shared" si="38"/>
        <v>25298.59269455944</v>
      </c>
      <c r="BB56" s="59">
        <f t="shared" si="38"/>
        <v>26057.550475396223</v>
      </c>
      <c r="BC56" s="59">
        <f t="shared" si="38"/>
        <v>26839.276989658112</v>
      </c>
      <c r="BD56" s="59">
        <f t="shared" si="38"/>
        <v>27644.455299347857</v>
      </c>
      <c r="BE56" s="59">
        <f t="shared" si="38"/>
        <v>28473.788958328292</v>
      </c>
      <c r="BF56" s="59">
        <f t="shared" si="38"/>
        <v>29328.002627078142</v>
      </c>
      <c r="BG56" s="59">
        <f t="shared" si="38"/>
        <v>30207.842705890485</v>
      </c>
      <c r="BH56" s="59">
        <f t="shared" si="38"/>
        <v>31114.077987067201</v>
      </c>
      <c r="BI56" s="59">
        <f t="shared" si="38"/>
        <v>32047.500326679219</v>
      </c>
      <c r="BJ56" s="59">
        <f t="shared" si="38"/>
        <v>33008.925336479595</v>
      </c>
      <c r="BK56" s="59">
        <f t="shared" si="38"/>
        <v>33999.193096573981</v>
      </c>
      <c r="BL56" s="59">
        <f t="shared" si="38"/>
        <v>35019.168889471199</v>
      </c>
      <c r="BM56" s="59">
        <f t="shared" si="38"/>
        <v>36069.743956155333</v>
      </c>
      <c r="BN56" s="59">
        <f t="shared" si="38"/>
        <v>37151.836274839996</v>
      </c>
      <c r="BO56" s="59">
        <f t="shared" si="38"/>
        <v>38266.391363085197</v>
      </c>
      <c r="BP56" s="59">
        <f t="shared" si="38"/>
        <v>39414.383103977751</v>
      </c>
      <c r="BQ56" s="59">
        <f t="shared" si="38"/>
        <v>40596.814597097087</v>
      </c>
      <c r="BR56" s="59">
        <f t="shared" si="38"/>
        <v>41814.719035009999</v>
      </c>
      <c r="BS56" s="59">
        <f t="shared" si="38"/>
        <v>43069.160606060301</v>
      </c>
      <c r="BT56" s="59">
        <f t="shared" si="38"/>
        <v>44361.235424242113</v>
      </c>
      <c r="BU56" s="59">
        <f t="shared" si="38"/>
        <v>45692.07248696938</v>
      </c>
      <c r="BV56" s="59">
        <f t="shared" si="38"/>
        <v>47062.834661578461</v>
      </c>
      <c r="BW56" s="59">
        <f t="shared" si="38"/>
        <v>48474.71970142582</v>
      </c>
      <c r="BX56" s="59">
        <f t="shared" si="38"/>
        <v>49928.961292468593</v>
      </c>
      <c r="BY56" s="59">
        <f t="shared" si="38"/>
        <v>51426.830131242656</v>
      </c>
      <c r="BZ56" s="59">
        <f t="shared" si="38"/>
        <v>52969.635035179934</v>
      </c>
      <c r="CA56" s="59">
        <f t="shared" si="38"/>
        <v>54558.724086235336</v>
      </c>
      <c r="CB56" s="59">
        <f t="shared" si="38"/>
        <v>56195.485808822399</v>
      </c>
      <c r="CC56" s="59">
        <f t="shared" si="38"/>
        <v>57881.350383087076</v>
      </c>
      <c r="CD56" s="59">
        <f t="shared" si="38"/>
        <v>59617.790894579688</v>
      </c>
      <c r="CE56" s="59">
        <f t="shared" si="38"/>
        <v>61406.324621417079</v>
      </c>
      <c r="CF56" s="59">
        <f t="shared" ref="CF56:CH56" si="39">CE56*(1+$E$6)</f>
        <v>63248.514360059591</v>
      </c>
      <c r="CG56" s="59">
        <f t="shared" si="39"/>
        <v>65145.969790861382</v>
      </c>
      <c r="CH56" s="59">
        <f t="shared" si="39"/>
        <v>67100.34888458722</v>
      </c>
    </row>
    <row r="57" spans="1:86" x14ac:dyDescent="0.25">
      <c r="A57" s="1"/>
      <c r="B57" s="6"/>
      <c r="C57" s="84"/>
      <c r="D57" s="84"/>
      <c r="E57" s="20"/>
      <c r="F57" s="20"/>
      <c r="G57" s="20"/>
      <c r="H57" s="20"/>
      <c r="I57" s="12"/>
      <c r="J57" s="118"/>
      <c r="K57" s="118"/>
      <c r="L57" s="118"/>
      <c r="M57" s="118"/>
      <c r="N57" s="118"/>
      <c r="O57" s="118"/>
      <c r="P57" s="118"/>
      <c r="Q57" s="118"/>
      <c r="R57" s="118"/>
    </row>
    <row r="58" spans="1:86" x14ac:dyDescent="0.25">
      <c r="A58" s="1"/>
      <c r="B58" s="9" t="s">
        <v>27</v>
      </c>
      <c r="C58" s="87"/>
      <c r="D58" s="87"/>
      <c r="E58" s="22">
        <f t="shared" ref="D58:R58" si="40">E55+E46+E49-E52</f>
        <v>-1395.8510000000001</v>
      </c>
      <c r="F58" s="22">
        <f t="shared" si="40"/>
        <v>-3009.362000000001</v>
      </c>
      <c r="G58" s="22">
        <f t="shared" si="40"/>
        <v>-271</v>
      </c>
      <c r="H58" s="22">
        <f t="shared" si="40"/>
        <v>1443</v>
      </c>
      <c r="I58" s="63">
        <f t="shared" si="40"/>
        <v>2284.288035</v>
      </c>
      <c r="J58" s="11">
        <f t="shared" si="40"/>
        <v>2571.1097711111101</v>
      </c>
      <c r="K58" s="11">
        <f t="shared" si="40"/>
        <v>2908.7702744732583</v>
      </c>
      <c r="L58" s="11">
        <f t="shared" si="40"/>
        <v>3580.4858700000004</v>
      </c>
      <c r="M58" s="11">
        <f t="shared" si="40"/>
        <v>4161.4531749999996</v>
      </c>
      <c r="N58" s="11">
        <f t="shared" si="40"/>
        <v>4874.6340299999993</v>
      </c>
      <c r="O58" s="11">
        <f t="shared" si="40"/>
        <v>5459.0427900000013</v>
      </c>
      <c r="P58" s="11">
        <f t="shared" si="40"/>
        <v>6079.5243400000018</v>
      </c>
      <c r="Q58" s="11">
        <f t="shared" si="40"/>
        <v>6861.1578537028663</v>
      </c>
      <c r="R58" s="11">
        <f t="shared" si="40"/>
        <v>8231.9755122697588</v>
      </c>
    </row>
    <row r="59" spans="1:86" x14ac:dyDescent="0.25">
      <c r="A59" s="1"/>
      <c r="B59" s="23" t="s">
        <v>28</v>
      </c>
      <c r="C59" s="88"/>
      <c r="D59" s="88"/>
      <c r="E59" s="1"/>
      <c r="F59" s="1"/>
      <c r="G59" s="1"/>
      <c r="H59" s="1"/>
      <c r="I59" s="62">
        <f t="shared" ref="I59:R59" si="41">I58/((1+$E$5)^I9)</f>
        <v>2067.9155962881791</v>
      </c>
      <c r="J59" s="60">
        <f t="shared" si="41"/>
        <v>2107.0968910112829</v>
      </c>
      <c r="K59" s="60">
        <f t="shared" si="41"/>
        <v>2158.0189530342204</v>
      </c>
      <c r="L59" s="60">
        <f t="shared" si="41"/>
        <v>2404.7489242048928</v>
      </c>
      <c r="M59" s="60">
        <f t="shared" si="41"/>
        <v>2530.1992983723167</v>
      </c>
      <c r="N59" s="60">
        <f t="shared" si="41"/>
        <v>2683.0803485472766</v>
      </c>
      <c r="O59" s="60">
        <f t="shared" si="41"/>
        <v>2720.132783319395</v>
      </c>
      <c r="P59" s="60">
        <f t="shared" si="41"/>
        <v>2742.3643302680566</v>
      </c>
      <c r="Q59" s="60">
        <f t="shared" si="41"/>
        <v>2801.7856384866482</v>
      </c>
      <c r="R59" s="60">
        <f t="shared" si="41"/>
        <v>3043.1510337115324</v>
      </c>
    </row>
    <row r="60" spans="1:86" x14ac:dyDescent="0.25">
      <c r="A60" s="1"/>
      <c r="B60" s="24"/>
      <c r="C60" s="24"/>
      <c r="D60" s="24"/>
      <c r="E60" s="24"/>
      <c r="F60" s="24"/>
      <c r="G60" s="24"/>
      <c r="H60" s="24"/>
      <c r="I60" s="15"/>
      <c r="J60" s="1"/>
      <c r="K60" s="1"/>
      <c r="L60" s="1"/>
      <c r="M60" s="1"/>
      <c r="N60" s="1"/>
      <c r="O60" s="1"/>
      <c r="P60" s="1"/>
      <c r="Q60" s="1"/>
      <c r="R60" s="1"/>
    </row>
    <row r="61" spans="1:86" x14ac:dyDescent="0.25">
      <c r="A61" s="1"/>
      <c r="B61" s="1" t="s">
        <v>29</v>
      </c>
      <c r="C61" s="25">
        <f>(R58*(1+$E$6))/($E$5-$E$6)</f>
        <v>113608.22095645615</v>
      </c>
      <c r="D61" s="1"/>
      <c r="E61" s="1" t="s">
        <v>30</v>
      </c>
      <c r="F61" s="18">
        <f>NPV($E$5,I56:CH56)</f>
        <v>72695.30238519769</v>
      </c>
      <c r="G61" s="1"/>
      <c r="H61" s="1"/>
      <c r="I61" s="15"/>
      <c r="J61" s="1"/>
      <c r="K61" s="1"/>
      <c r="L61" s="1"/>
      <c r="M61" s="1"/>
      <c r="N61" s="1"/>
      <c r="O61" s="1"/>
      <c r="P61" s="1"/>
      <c r="Q61" s="1"/>
    </row>
    <row r="62" spans="1:86" x14ac:dyDescent="0.25">
      <c r="A62" s="1"/>
      <c r="B62" s="3" t="s">
        <v>31</v>
      </c>
      <c r="C62" s="26">
        <f>C61/((1+$E$5)^$R$9)</f>
        <v>41998.056788004491</v>
      </c>
      <c r="D62" s="16"/>
      <c r="E62" s="3"/>
      <c r="F62" s="3"/>
      <c r="G62" s="3"/>
      <c r="H62" s="16"/>
      <c r="I62" s="12"/>
      <c r="J62" s="1"/>
      <c r="L62" s="49" t="s">
        <v>52</v>
      </c>
      <c r="M62" s="50"/>
      <c r="N62" s="50"/>
      <c r="O62" s="50"/>
      <c r="P62" s="50"/>
      <c r="Q62" s="49"/>
    </row>
    <row r="63" spans="1:86" x14ac:dyDescent="0.25">
      <c r="A63" s="1"/>
      <c r="B63" s="6" t="s">
        <v>32</v>
      </c>
      <c r="C63" s="6"/>
      <c r="D63" s="1"/>
      <c r="E63" s="6"/>
      <c r="F63" s="6"/>
      <c r="G63" s="27" t="s">
        <v>33</v>
      </c>
      <c r="H63" s="27" t="s">
        <v>30</v>
      </c>
      <c r="I63" s="15"/>
      <c r="J63" s="1"/>
      <c r="K63" s="49"/>
      <c r="L63" s="51">
        <f>D69</f>
        <v>102.02675594809403</v>
      </c>
      <c r="M63" s="52">
        <v>-0.03</v>
      </c>
      <c r="N63" s="52">
        <v>-0.01</v>
      </c>
      <c r="O63" s="52">
        <v>0.03</v>
      </c>
      <c r="P63" s="52">
        <v>0.03</v>
      </c>
      <c r="Q63" s="52">
        <v>0.05</v>
      </c>
    </row>
    <row r="64" spans="1:86" x14ac:dyDescent="0.25">
      <c r="A64" s="1"/>
      <c r="B64" s="28" t="s">
        <v>34</v>
      </c>
      <c r="C64" s="1"/>
      <c r="D64" s="21">
        <f>8166+2428</f>
        <v>10594</v>
      </c>
      <c r="E64" s="1"/>
      <c r="F64" s="1"/>
      <c r="G64" s="25">
        <f>C62+SUM(I59:R59)</f>
        <v>67256.550585248304</v>
      </c>
      <c r="H64" s="18">
        <f>F61</f>
        <v>72695.30238519769</v>
      </c>
      <c r="I64" s="15"/>
      <c r="J64" s="1"/>
      <c r="K64" s="49"/>
      <c r="L64" s="53">
        <f>L65-2%</f>
        <v>7.8279985364690441E-2</v>
      </c>
      <c r="M64" s="54">
        <f t="dataTable" ref="M64:Q68" dt2D="1" dtr="1" r1="E6" r2="E5"/>
        <v>96.98429653677124</v>
      </c>
      <c r="N64" s="54">
        <v>110.54600162457348</v>
      </c>
      <c r="O64" s="54">
        <v>168.87544262144127</v>
      </c>
      <c r="P64" s="54">
        <v>168.87544262144127</v>
      </c>
      <c r="Q64" s="54">
        <v>248.16718724914955</v>
      </c>
    </row>
    <row r="65" spans="1:17" x14ac:dyDescent="0.25">
      <c r="A65" s="1"/>
      <c r="B65" s="29" t="s">
        <v>35</v>
      </c>
      <c r="C65" s="3"/>
      <c r="D65" s="73">
        <v>12212</v>
      </c>
      <c r="E65" s="3"/>
      <c r="F65" s="3"/>
      <c r="G65" s="3"/>
      <c r="H65" s="3"/>
      <c r="I65" s="15"/>
      <c r="J65" s="1"/>
      <c r="K65" s="50"/>
      <c r="L65" s="53">
        <f>L66-2%</f>
        <v>9.8279985364690445E-2</v>
      </c>
      <c r="M65" s="54">
        <v>76.159105561587751</v>
      </c>
      <c r="N65" s="55">
        <v>84.102483128870631</v>
      </c>
      <c r="O65" s="55">
        <v>113.52765533337757</v>
      </c>
      <c r="P65" s="55">
        <v>113.52765533337757</v>
      </c>
      <c r="Q65" s="54">
        <v>144.88300187368355</v>
      </c>
    </row>
    <row r="66" spans="1:17" x14ac:dyDescent="0.25">
      <c r="A66" s="1"/>
      <c r="B66" s="6" t="s">
        <v>36</v>
      </c>
      <c r="C66" s="6"/>
      <c r="D66" s="6"/>
      <c r="E66" s="6"/>
      <c r="F66" s="6"/>
      <c r="G66" s="30">
        <f>(G64+D64-D65)</f>
        <v>65638.550585248304</v>
      </c>
      <c r="H66" s="31">
        <f>(H64+D64-D65)</f>
        <v>71077.30238519769</v>
      </c>
      <c r="I66" s="15"/>
      <c r="J66"/>
      <c r="K66" s="49" t="s">
        <v>1</v>
      </c>
      <c r="L66" s="56">
        <v>0.11827998536469045</v>
      </c>
      <c r="M66" s="54">
        <v>61.53669021242716</v>
      </c>
      <c r="N66" s="55">
        <v>66.47448938242529</v>
      </c>
      <c r="O66" s="57">
        <v>82.982250900206367</v>
      </c>
      <c r="P66" s="55">
        <v>82.982250900206367</v>
      </c>
      <c r="Q66" s="54">
        <v>98.205087566022016</v>
      </c>
    </row>
    <row r="67" spans="1:17" x14ac:dyDescent="0.25">
      <c r="A67" s="1"/>
      <c r="B67" s="3" t="s">
        <v>37</v>
      </c>
      <c r="C67" s="3"/>
      <c r="D67" s="35">
        <v>670</v>
      </c>
      <c r="E67" s="3"/>
      <c r="F67" s="3"/>
      <c r="G67" s="3"/>
      <c r="H67" s="3"/>
      <c r="I67" s="15"/>
      <c r="J67" s="1"/>
      <c r="K67" s="49"/>
      <c r="L67" s="58">
        <f>L66+2%</f>
        <v>0.13827998536469044</v>
      </c>
      <c r="M67" s="54">
        <v>50.831596724973963</v>
      </c>
      <c r="N67" s="55">
        <v>54.042081168502406</v>
      </c>
      <c r="O67" s="55">
        <v>64.004697929733211</v>
      </c>
      <c r="P67" s="55">
        <v>64.004697929733211</v>
      </c>
      <c r="Q67" s="54">
        <v>72.316463912634589</v>
      </c>
    </row>
    <row r="68" spans="1:17" x14ac:dyDescent="0.25">
      <c r="A68" s="1"/>
      <c r="B68" s="17" t="s">
        <v>38</v>
      </c>
      <c r="C68" s="17"/>
      <c r="D68" s="17">
        <f>D67*$J$5</f>
        <v>71395.199999999997</v>
      </c>
      <c r="E68" s="17"/>
      <c r="F68" s="17"/>
      <c r="G68" s="17"/>
      <c r="H68" s="32"/>
      <c r="I68" s="1"/>
      <c r="J68" s="1"/>
      <c r="K68" s="49"/>
      <c r="L68" s="58">
        <f>L67+2%</f>
        <v>0.15827998536469043</v>
      </c>
      <c r="M68" s="54">
        <v>42.73760420487443</v>
      </c>
      <c r="N68" s="54">
        <v>44.89949760008021</v>
      </c>
      <c r="O68" s="54">
        <v>51.24209228999603</v>
      </c>
      <c r="P68" s="54">
        <v>51.24209228999603</v>
      </c>
      <c r="Q68" s="54">
        <v>56.159116023419251</v>
      </c>
    </row>
    <row r="69" spans="1:17" x14ac:dyDescent="0.25">
      <c r="A69" s="1"/>
      <c r="B69" s="6" t="s">
        <v>39</v>
      </c>
      <c r="C69" s="6" t="s">
        <v>40</v>
      </c>
      <c r="D69" s="33">
        <f>(G69+H69)/2</f>
        <v>102.02675594809403</v>
      </c>
      <c r="F69" s="6"/>
      <c r="G69" s="33">
        <f>G66/D67</f>
        <v>97.967985948131798</v>
      </c>
      <c r="H69" s="33">
        <f>H66/D67</f>
        <v>106.08552594805626</v>
      </c>
      <c r="I69" s="15"/>
      <c r="J69" s="1"/>
    </row>
    <row r="70" spans="1:17" x14ac:dyDescent="0.25">
      <c r="A70"/>
      <c r="C70" s="1"/>
      <c r="D70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6A8D0-EB60-4713-9C2D-7D0CE764B52F}">
  <dimension ref="A1:N21"/>
  <sheetViews>
    <sheetView workbookViewId="0">
      <selection activeCell="F9" sqref="F9"/>
    </sheetView>
  </sheetViews>
  <sheetFormatPr defaultRowHeight="15" x14ac:dyDescent="0.25"/>
  <cols>
    <col min="3" max="3" width="11.5703125" customWidth="1"/>
    <col min="11" max="11" width="11.7109375" customWidth="1"/>
  </cols>
  <sheetData>
    <row r="1" spans="1:14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4" ht="23.25" x14ac:dyDescent="0.35">
      <c r="A2" s="2"/>
      <c r="B2" s="37" t="s">
        <v>1</v>
      </c>
      <c r="C2" s="2"/>
      <c r="D2" s="2"/>
      <c r="E2" s="2"/>
      <c r="F2" s="2"/>
      <c r="G2" s="2"/>
      <c r="H2" s="2"/>
      <c r="I2" s="2"/>
      <c r="J2" s="2"/>
      <c r="K2" s="2"/>
      <c r="L2" s="38"/>
    </row>
    <row r="3" spans="1:14" x14ac:dyDescent="0.25">
      <c r="A3" s="39"/>
      <c r="B3" s="39"/>
      <c r="C3" s="39"/>
      <c r="D3" s="39"/>
      <c r="E3" s="39"/>
      <c r="F3" s="39"/>
      <c r="G3" s="39"/>
      <c r="H3" s="39"/>
      <c r="I3" s="39"/>
      <c r="J3" s="39"/>
      <c r="K3" s="39"/>
      <c r="L3" s="2"/>
    </row>
    <row r="4" spans="1:14" x14ac:dyDescent="0.25">
      <c r="A4" s="40" t="s">
        <v>42</v>
      </c>
      <c r="B4" s="40"/>
      <c r="C4" s="40"/>
      <c r="D4" s="40"/>
      <c r="E4" s="40"/>
      <c r="F4" s="40"/>
      <c r="G4" s="40"/>
      <c r="H4" s="40"/>
      <c r="I4" s="40"/>
      <c r="J4" s="40"/>
      <c r="K4" s="40"/>
      <c r="L4" s="40"/>
    </row>
    <row r="5" spans="1:1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4" x14ac:dyDescent="0.25">
      <c r="A6" s="2"/>
      <c r="B6" s="2" t="s">
        <v>43</v>
      </c>
      <c r="C6" s="2"/>
      <c r="D6" s="41">
        <f>'ABNB DCF'!I43</f>
        <v>0.1195</v>
      </c>
      <c r="E6" s="2"/>
      <c r="F6" s="2"/>
      <c r="G6" s="2"/>
      <c r="H6" s="2"/>
      <c r="I6" s="2"/>
      <c r="J6" s="2"/>
      <c r="K6" s="2"/>
      <c r="L6" s="2"/>
    </row>
    <row r="7" spans="1:14" x14ac:dyDescent="0.25">
      <c r="A7" s="2"/>
      <c r="B7" s="2" t="s">
        <v>44</v>
      </c>
      <c r="C7" s="2"/>
      <c r="D7" s="41">
        <v>3.6999999999999998E-2</v>
      </c>
      <c r="E7" s="2"/>
      <c r="F7" s="2"/>
      <c r="G7" s="2"/>
      <c r="H7" s="2"/>
      <c r="I7" s="2"/>
      <c r="J7" s="2"/>
      <c r="K7" s="2"/>
      <c r="L7" s="2"/>
    </row>
    <row r="8" spans="1:14" x14ac:dyDescent="0.25">
      <c r="A8" s="2"/>
      <c r="B8" s="2" t="s">
        <v>45</v>
      </c>
      <c r="C8" s="2"/>
      <c r="D8" s="77">
        <v>1.3</v>
      </c>
      <c r="E8" s="2"/>
      <c r="F8" s="2"/>
      <c r="G8" s="2"/>
      <c r="H8" s="2"/>
      <c r="I8" s="2"/>
      <c r="J8" s="2"/>
      <c r="K8" s="2"/>
      <c r="L8" s="2"/>
    </row>
    <row r="9" spans="1:14" x14ac:dyDescent="0.25">
      <c r="A9" s="2"/>
      <c r="B9" s="2" t="s">
        <v>46</v>
      </c>
      <c r="C9" s="2"/>
      <c r="D9" s="41">
        <v>0.06</v>
      </c>
      <c r="E9" s="2"/>
      <c r="F9" s="2"/>
      <c r="G9" s="2"/>
      <c r="H9" s="2"/>
      <c r="I9" s="2"/>
      <c r="J9" s="2"/>
      <c r="K9" s="2"/>
      <c r="L9" s="2"/>
    </row>
    <row r="10" spans="1:1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35"/>
    </row>
    <row r="11" spans="1:1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4" x14ac:dyDescent="0.25">
      <c r="A12" s="2" t="s">
        <v>36</v>
      </c>
      <c r="B12" s="2"/>
      <c r="C12" s="21">
        <f>'ABNB DCF'!D68</f>
        <v>71395.199999999997</v>
      </c>
      <c r="D12" s="2"/>
      <c r="E12" s="2" t="s">
        <v>35</v>
      </c>
      <c r="F12" s="2"/>
      <c r="G12" s="21">
        <f>'ABNB DCF'!D65</f>
        <v>12212</v>
      </c>
      <c r="H12" s="2"/>
      <c r="I12" s="2" t="s">
        <v>47</v>
      </c>
      <c r="J12" s="2"/>
      <c r="K12" s="21">
        <f>G12+C12</f>
        <v>83607.199999999997</v>
      </c>
      <c r="L12" s="2"/>
    </row>
    <row r="13" spans="1:14" x14ac:dyDescent="0.25">
      <c r="A13" s="2" t="s">
        <v>48</v>
      </c>
      <c r="B13" s="2"/>
      <c r="C13" s="42">
        <f>C12/K12</f>
        <v>0.85393602464859486</v>
      </c>
      <c r="D13" s="2"/>
      <c r="E13" s="2" t="s">
        <v>49</v>
      </c>
      <c r="F13" s="2"/>
      <c r="G13" s="43">
        <f>G12/K12</f>
        <v>0.14606397535140514</v>
      </c>
      <c r="H13" s="2"/>
      <c r="I13" s="2"/>
      <c r="J13" s="2"/>
      <c r="K13" s="2"/>
      <c r="L13" s="2"/>
      <c r="M13" s="35"/>
    </row>
    <row r="14" spans="1:14" x14ac:dyDescent="0.25">
      <c r="A14" s="2" t="s">
        <v>50</v>
      </c>
      <c r="B14" s="2"/>
      <c r="C14" s="44">
        <f>D7+D8*(D9)</f>
        <v>0.11499999999999999</v>
      </c>
      <c r="D14" s="2"/>
      <c r="E14" s="2" t="s">
        <v>51</v>
      </c>
      <c r="F14" s="2"/>
      <c r="G14" s="45">
        <v>0.05</v>
      </c>
      <c r="H14" s="2"/>
      <c r="I14" s="46" t="s">
        <v>1</v>
      </c>
      <c r="J14" s="47"/>
      <c r="K14" s="66">
        <f>C13*C14+G14*G13*(1-D6)</f>
        <v>0.10463310934943401</v>
      </c>
      <c r="L14" s="2"/>
    </row>
    <row r="15" spans="1:14" x14ac:dyDescent="0.25">
      <c r="D15" s="35"/>
      <c r="G15" s="35"/>
      <c r="J15" s="35"/>
      <c r="M15" s="35"/>
    </row>
    <row r="16" spans="1:14" x14ac:dyDescent="0.25">
      <c r="A16" t="s">
        <v>41</v>
      </c>
      <c r="B16" t="s">
        <v>41</v>
      </c>
      <c r="C16" t="s">
        <v>41</v>
      </c>
      <c r="D16" t="s">
        <v>41</v>
      </c>
      <c r="E16" t="s">
        <v>41</v>
      </c>
      <c r="F16" t="s">
        <v>41</v>
      </c>
      <c r="G16" t="s">
        <v>41</v>
      </c>
      <c r="H16" t="s">
        <v>41</v>
      </c>
      <c r="I16" t="s">
        <v>41</v>
      </c>
      <c r="J16" t="s">
        <v>41</v>
      </c>
      <c r="K16" t="s">
        <v>41</v>
      </c>
      <c r="L16" t="s">
        <v>41</v>
      </c>
      <c r="M16" t="s">
        <v>41</v>
      </c>
      <c r="N16" t="s">
        <v>41</v>
      </c>
    </row>
    <row r="17" spans="4:13" x14ac:dyDescent="0.25">
      <c r="D17" s="35"/>
      <c r="G17" s="35"/>
      <c r="J17" s="35"/>
      <c r="M17" s="35"/>
    </row>
    <row r="21" spans="4:13" x14ac:dyDescent="0.25">
      <c r="D21" s="35"/>
      <c r="E21" s="35"/>
      <c r="F21" s="35"/>
      <c r="G21" s="35"/>
      <c r="H21" s="35"/>
      <c r="I21" s="35"/>
      <c r="J21" s="35"/>
      <c r="K21" s="35"/>
      <c r="L21" s="35"/>
      <c r="M21" s="35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BC471E9-7A90-4972-BBDB-AEF67D9678B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ABNB DCF</vt:lpstr>
      <vt:lpstr>WACC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UTENTE</cp:lastModifiedBy>
  <dcterms:created xsi:type="dcterms:W3CDTF">2023-05-03T08:58:35Z</dcterms:created>
  <dcterms:modified xsi:type="dcterms:W3CDTF">2023-05-22T10:56:50Z</dcterms:modified>
</cp:coreProperties>
</file>