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84B5755A-48FF-47D8-8FBB-3B4FA1E2BF30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ETA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L23" i="1"/>
  <c r="M23" i="1" s="1"/>
  <c r="J23" i="1"/>
  <c r="K20" i="1"/>
  <c r="L20" i="1" s="1"/>
  <c r="M20" i="1" s="1"/>
  <c r="N20" i="1" s="1"/>
  <c r="O20" i="1" s="1"/>
  <c r="P20" i="1" s="1"/>
  <c r="Q20" i="1" s="1"/>
  <c r="R20" i="1" s="1"/>
  <c r="M26" i="1"/>
  <c r="N26" i="1"/>
  <c r="O26" i="1" s="1"/>
  <c r="P26" i="1" s="1"/>
  <c r="Q26" i="1" s="1"/>
  <c r="R26" i="1" s="1"/>
  <c r="L26" i="1"/>
  <c r="I11" i="1"/>
  <c r="D63" i="1"/>
  <c r="F38" i="1"/>
  <c r="F36" i="1"/>
  <c r="F31" i="1"/>
  <c r="F34" i="1"/>
  <c r="D6" i="2"/>
  <c r="C31" i="1"/>
  <c r="H31" i="1"/>
  <c r="G12" i="2"/>
  <c r="D31" i="1"/>
  <c r="E31" i="1"/>
  <c r="G31" i="1"/>
  <c r="H32" i="1"/>
  <c r="L64" i="1"/>
  <c r="L63" i="1" s="1"/>
  <c r="D67" i="1"/>
  <c r="C12" i="2" s="1"/>
  <c r="L66" i="1"/>
  <c r="L67" i="1" s="1"/>
  <c r="D29" i="1" l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49" i="1"/>
  <c r="G49" i="1"/>
  <c r="H49" i="1"/>
  <c r="E49" i="1"/>
  <c r="D49" i="1"/>
  <c r="C49" i="1"/>
  <c r="D46" i="1"/>
  <c r="C46" i="1"/>
  <c r="F46" i="1"/>
  <c r="H46" i="1"/>
  <c r="F32" i="1"/>
  <c r="D32" i="1"/>
  <c r="D26" i="1"/>
  <c r="G52" i="1"/>
  <c r="H52" i="1"/>
  <c r="G46" i="1"/>
  <c r="F26" i="1"/>
  <c r="H26" i="1"/>
  <c r="G16" i="1"/>
  <c r="F16" i="1"/>
  <c r="F55" i="1" s="1"/>
  <c r="H16" i="1"/>
  <c r="E52" i="1"/>
  <c r="D52" i="1"/>
  <c r="C52" i="1"/>
  <c r="E46" i="1"/>
  <c r="D44" i="1"/>
  <c r="E44" i="1" s="1"/>
  <c r="E16" i="1"/>
  <c r="D16" i="1"/>
  <c r="D34" i="1" s="1"/>
  <c r="C16" i="1"/>
  <c r="C34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36" i="1" l="1"/>
  <c r="C55" i="1" s="1"/>
  <c r="H34" i="1"/>
  <c r="H36" i="1" s="1"/>
  <c r="H55" i="1" s="1"/>
  <c r="D36" i="1"/>
  <c r="D55" i="1" s="1"/>
  <c r="E17" i="1"/>
  <c r="E34" i="1"/>
  <c r="G17" i="1"/>
  <c r="G34" i="1"/>
  <c r="I28" i="1"/>
  <c r="I19" i="1"/>
  <c r="I22" i="1"/>
  <c r="I25" i="1"/>
  <c r="I45" i="1"/>
  <c r="J11" i="1"/>
  <c r="J45" i="1" s="1"/>
  <c r="C17" i="1"/>
  <c r="I48" i="1"/>
  <c r="I51" i="1"/>
  <c r="F52" i="1"/>
  <c r="K12" i="2"/>
  <c r="I16" i="1"/>
  <c r="D17" i="1"/>
  <c r="H17" i="1"/>
  <c r="F17" i="1"/>
  <c r="C32" i="1"/>
  <c r="E32" i="1"/>
  <c r="G32" i="1"/>
  <c r="I31" i="1" l="1"/>
  <c r="I32" i="1" s="1"/>
  <c r="I34" i="1"/>
  <c r="G36" i="1"/>
  <c r="G55" i="1" s="1"/>
  <c r="E36" i="1"/>
  <c r="E55" i="1" s="1"/>
  <c r="F54" i="1"/>
  <c r="F42" i="1"/>
  <c r="D38" i="1"/>
  <c r="K11" i="1"/>
  <c r="K28" i="1" s="1"/>
  <c r="J28" i="1"/>
  <c r="J25" i="1"/>
  <c r="J22" i="1"/>
  <c r="J19" i="1"/>
  <c r="J48" i="1"/>
  <c r="H38" i="1"/>
  <c r="I14" i="1"/>
  <c r="C13" i="2"/>
  <c r="G13" i="2"/>
  <c r="G38" i="1"/>
  <c r="E38" i="1"/>
  <c r="E42" i="1" s="1"/>
  <c r="C38" i="1"/>
  <c r="C42" i="1" s="1"/>
  <c r="J51" i="1"/>
  <c r="J16" i="1"/>
  <c r="I36" i="1" l="1"/>
  <c r="I38" i="1"/>
  <c r="H42" i="1"/>
  <c r="H54" i="1"/>
  <c r="H57" i="1" s="1"/>
  <c r="K48" i="1"/>
  <c r="D54" i="1"/>
  <c r="D57" i="1" s="1"/>
  <c r="D42" i="1"/>
  <c r="G54" i="1"/>
  <c r="G57" i="1" s="1"/>
  <c r="G42" i="1"/>
  <c r="K25" i="1"/>
  <c r="J31" i="1"/>
  <c r="J32" i="1" s="1"/>
  <c r="J34" i="1"/>
  <c r="K45" i="1"/>
  <c r="K19" i="1"/>
  <c r="K22" i="1"/>
  <c r="D39" i="1"/>
  <c r="E54" i="1"/>
  <c r="E57" i="1" s="1"/>
  <c r="C54" i="1"/>
  <c r="C57" i="1" s="1"/>
  <c r="F57" i="1"/>
  <c r="F39" i="1"/>
  <c r="H39" i="1"/>
  <c r="K14" i="2"/>
  <c r="E5" i="1" s="1"/>
  <c r="J14" i="1"/>
  <c r="K16" i="1"/>
  <c r="L11" i="1"/>
  <c r="G39" i="1"/>
  <c r="C39" i="1"/>
  <c r="E39" i="1"/>
  <c r="K51" i="1"/>
  <c r="J36" i="1" l="1"/>
  <c r="J38" i="1"/>
  <c r="I39" i="1"/>
  <c r="I41" i="1"/>
  <c r="I54" i="1" s="1"/>
  <c r="I57" i="1" s="1"/>
  <c r="I58" i="1" s="1"/>
  <c r="K14" i="1"/>
  <c r="K34" i="1"/>
  <c r="K31" i="1"/>
  <c r="K32" i="1" s="1"/>
  <c r="L25" i="1"/>
  <c r="L22" i="1"/>
  <c r="L19" i="1"/>
  <c r="L28" i="1"/>
  <c r="L51" i="1"/>
  <c r="L48" i="1"/>
  <c r="L45" i="1"/>
  <c r="L16" i="1"/>
  <c r="M11" i="1"/>
  <c r="J39" i="1" l="1"/>
  <c r="J41" i="1"/>
  <c r="J55" i="1" s="1"/>
  <c r="K36" i="1"/>
  <c r="K38" i="1"/>
  <c r="I55" i="1"/>
  <c r="L31" i="1"/>
  <c r="L34" i="1"/>
  <c r="L32" i="1"/>
  <c r="M28" i="1"/>
  <c r="M25" i="1"/>
  <c r="M22" i="1"/>
  <c r="M19" i="1"/>
  <c r="M48" i="1"/>
  <c r="M45" i="1"/>
  <c r="L14" i="1"/>
  <c r="M16" i="1"/>
  <c r="N11" i="1"/>
  <c r="M51" i="1"/>
  <c r="K39" i="1" l="1"/>
  <c r="K41" i="1"/>
  <c r="K55" i="1" s="1"/>
  <c r="L36" i="1"/>
  <c r="L38" i="1"/>
  <c r="J54" i="1"/>
  <c r="J57" i="1" s="1"/>
  <c r="J58" i="1" s="1"/>
  <c r="M31" i="1"/>
  <c r="M32" i="1" s="1"/>
  <c r="M14" i="1"/>
  <c r="M34" i="1"/>
  <c r="N25" i="1"/>
  <c r="N22" i="1"/>
  <c r="N19" i="1"/>
  <c r="N28" i="1"/>
  <c r="N51" i="1"/>
  <c r="N48" i="1"/>
  <c r="N45" i="1"/>
  <c r="N16" i="1"/>
  <c r="N14" i="1" s="1"/>
  <c r="O11" i="1"/>
  <c r="M36" i="1" l="1"/>
  <c r="M38" i="1"/>
  <c r="L39" i="1"/>
  <c r="L41" i="1"/>
  <c r="L55" i="1" s="1"/>
  <c r="K54" i="1"/>
  <c r="K57" i="1" s="1"/>
  <c r="K58" i="1" s="1"/>
  <c r="N31" i="1"/>
  <c r="N32" i="1" s="1"/>
  <c r="N34" i="1"/>
  <c r="O28" i="1"/>
  <c r="O25" i="1"/>
  <c r="O22" i="1"/>
  <c r="O19" i="1"/>
  <c r="O48" i="1"/>
  <c r="O45" i="1"/>
  <c r="O16" i="1"/>
  <c r="P11" i="1"/>
  <c r="O51" i="1"/>
  <c r="M39" i="1" l="1"/>
  <c r="M41" i="1"/>
  <c r="M55" i="1" s="1"/>
  <c r="N36" i="1"/>
  <c r="N38" i="1"/>
  <c r="L54" i="1"/>
  <c r="L57" i="1" s="1"/>
  <c r="L58" i="1" s="1"/>
  <c r="O31" i="1"/>
  <c r="O32" i="1" s="1"/>
  <c r="O14" i="1"/>
  <c r="O34" i="1"/>
  <c r="P25" i="1"/>
  <c r="P22" i="1"/>
  <c r="P19" i="1"/>
  <c r="P28" i="1"/>
  <c r="P48" i="1"/>
  <c r="P45" i="1"/>
  <c r="P16" i="1"/>
  <c r="Q11" i="1"/>
  <c r="P51" i="1"/>
  <c r="O36" i="1" l="1"/>
  <c r="O38" i="1"/>
  <c r="N39" i="1"/>
  <c r="N41" i="1"/>
  <c r="N55" i="1" s="1"/>
  <c r="M54" i="1"/>
  <c r="M57" i="1" s="1"/>
  <c r="M58" i="1" s="1"/>
  <c r="P34" i="1"/>
  <c r="P31" i="1"/>
  <c r="P32" i="1" s="1"/>
  <c r="Q28" i="1"/>
  <c r="Q25" i="1"/>
  <c r="Q22" i="1"/>
  <c r="Q19" i="1"/>
  <c r="Q48" i="1"/>
  <c r="Q45" i="1"/>
  <c r="P14" i="1"/>
  <c r="Q16" i="1"/>
  <c r="R11" i="1"/>
  <c r="Q51" i="1"/>
  <c r="P36" i="1" l="1"/>
  <c r="P38" i="1"/>
  <c r="O39" i="1"/>
  <c r="O41" i="1"/>
  <c r="O55" i="1" s="1"/>
  <c r="N54" i="1"/>
  <c r="N57" i="1" s="1"/>
  <c r="N58" i="1" s="1"/>
  <c r="Q34" i="1"/>
  <c r="Q31" i="1"/>
  <c r="Q32" i="1" s="1"/>
  <c r="R25" i="1"/>
  <c r="R22" i="1"/>
  <c r="R19" i="1"/>
  <c r="R28" i="1"/>
  <c r="R48" i="1"/>
  <c r="R45" i="1"/>
  <c r="R16" i="1"/>
  <c r="R51" i="1"/>
  <c r="Q14" i="1"/>
  <c r="Q36" i="1" l="1"/>
  <c r="Q38" i="1"/>
  <c r="P39" i="1"/>
  <c r="P41" i="1"/>
  <c r="P55" i="1" s="1"/>
  <c r="O54" i="1"/>
  <c r="O57" i="1" s="1"/>
  <c r="O58" i="1" s="1"/>
  <c r="R31" i="1"/>
  <c r="R32" i="1" s="1"/>
  <c r="R14" i="1"/>
  <c r="R34" i="1"/>
  <c r="R36" i="1" l="1"/>
  <c r="R38" i="1"/>
  <c r="Q39" i="1"/>
  <c r="Q41" i="1"/>
  <c r="Q55" i="1" s="1"/>
  <c r="P54" i="1"/>
  <c r="P57" i="1" s="1"/>
  <c r="P58" i="1" s="1"/>
  <c r="R39" i="1" l="1"/>
  <c r="R41" i="1"/>
  <c r="R55" i="1" s="1"/>
  <c r="Q54" i="1"/>
  <c r="Q57" i="1" s="1"/>
  <c r="Q58" i="1" s="1"/>
  <c r="R54" i="1" l="1"/>
  <c r="R57" i="1" s="1"/>
  <c r="C60" i="1" l="1"/>
  <c r="C61" i="1" s="1"/>
  <c r="R58" i="1"/>
  <c r="S55" i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G63" i="1" l="1"/>
  <c r="G65" i="1" s="1"/>
  <c r="G68" i="1" s="1"/>
  <c r="F60" i="1"/>
  <c r="H63" i="1" s="1"/>
  <c r="H65" i="1" s="1"/>
  <c r="H68" i="1" l="1"/>
  <c r="D68" i="1" s="1"/>
  <c r="L62" i="1" s="1"/>
  <c r="J6" i="1" l="1"/>
  <c r="N5" i="1" s="1"/>
</calcChain>
</file>

<file path=xl/sharedStrings.xml><?xml version="1.0" encoding="utf-8"?>
<sst xmlns="http://schemas.openxmlformats.org/spreadsheetml/2006/main" count="84" uniqueCount="57">
  <si>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</si>
  <si>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</si>
  <si>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</si>
  <si>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</si>
  <si>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</si>
  <si>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</si>
  <si>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</si>
  <si>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</si>
  <si>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</si>
  <si>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</si>
  <si>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</si>
  <si>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</si>
  <si>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</si>
  <si>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</si>
  <si>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</si>
  <si>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</si>
  <si>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</si>
  <si>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</si>
  <si>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</si>
  <si>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</si>
  <si>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</si>
  <si>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</si>
  <si>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</si>
  <si>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</si>
  <si>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</si>
  <si>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</si>
  <si>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</si>
  <si>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</si>
  <si>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</si>
  <si>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</si>
  <si>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</si>
  <si>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</si>
  <si>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</si>
  <si>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</si>
  <si>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</si>
  <si>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</si>
  <si>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</si>
  <si>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</si>
  <si>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</si>
  <si>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</si>
  <si>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</si>
  <si>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</si>
  <si>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</si>
  <si>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</si>
  <si>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</si>
  <si>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</si>
  <si>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</si>
  <si>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</si>
  <si>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</si>
  <si>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</si>
  <si>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</si>
  <si>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</si>
  <si>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</si>
  <si>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</si>
  <si>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</si>
  <si>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</si>
  <si>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Meta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</si>
</sst>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2" borderId="0" xfId="0" applyNumberFormat="1" applyFont="1" applyFill="1" applyBorder="1"/>
    <xf numFmtId="3" fontId="3" fillId="2" borderId="0" xfId="0" applyNumberFormat="1" applyFont="1" applyFill="1" applyBorder="1"/>
    <xf numFmtId="10" fontId="8" fillId="2" borderId="0" xfId="0" applyNumberFormat="1" applyFont="1" applyFill="1" applyBorder="1"/>
    <xf numFmtId="0" fontId="6" fillId="3" borderId="0" xfId="0" applyFont="1" applyFill="1" applyBorder="1"/>
    <xf numFmtId="164" fontId="3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workbookViewId="0">
      <selection activeCell="G7" sqref="G7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4"/>
      <c r="Q4" s="54"/>
    </row>
    <row r="5" spans="1:86" x14ac:dyDescent="0.25">
      <c r="A5" s="1"/>
      <c r="B5" s="1"/>
      <c r="C5" s="7" t="s">
        <v>1</v>
      </c>
      <c r="D5" s="1"/>
      <c r="E5" s="8">
        <f>WACC!K14</f>
        <v>0.10470211034042626</v>
      </c>
      <c r="G5" s="1"/>
      <c r="H5" s="1" t="s">
        <v>2</v>
      </c>
      <c r="I5" s="1"/>
      <c r="J5" s="7">
        <v>232.44</v>
      </c>
      <c r="K5" s="1"/>
      <c r="L5" s="1" t="s">
        <v>3</v>
      </c>
      <c r="M5" s="1"/>
      <c r="N5" s="77">
        <f>(J6/J5)-1</f>
        <v>-6.77891741949459E-2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0.01</v>
      </c>
      <c r="G6" s="1"/>
      <c r="H6" s="1" t="s">
        <v>5</v>
      </c>
      <c r="I6" s="1"/>
      <c r="J6" s="7">
        <f>D68</f>
        <v>216.68308435012676</v>
      </c>
      <c r="K6" s="1"/>
      <c r="L6" s="1" t="s">
        <v>53</v>
      </c>
      <c r="M6" s="1"/>
      <c r="N6" s="76">
        <v>45051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40653</v>
      </c>
      <c r="D11" s="12">
        <v>55838</v>
      </c>
      <c r="E11" s="12">
        <v>70697</v>
      </c>
      <c r="F11" s="12">
        <v>85965</v>
      </c>
      <c r="G11" s="12">
        <v>117929</v>
      </c>
      <c r="H11" s="12">
        <v>116609</v>
      </c>
      <c r="I11" s="22">
        <f>H11*(1+I12)</f>
        <v>126520.765</v>
      </c>
      <c r="J11" s="84">
        <f t="shared" ref="J11:R11" si="1">I11*(1+J12)</f>
        <v>139425.88303</v>
      </c>
      <c r="K11" s="84">
        <f t="shared" si="1"/>
        <v>153786.74898209001</v>
      </c>
      <c r="L11" s="84">
        <f t="shared" si="1"/>
        <v>166397.26239862139</v>
      </c>
      <c r="M11" s="84">
        <f t="shared" si="1"/>
        <v>180041.83791530837</v>
      </c>
      <c r="N11" s="84">
        <f t="shared" si="1"/>
        <v>193544.97575895648</v>
      </c>
      <c r="O11" s="84">
        <f t="shared" si="1"/>
        <v>205157.67430449388</v>
      </c>
      <c r="P11" s="84">
        <f t="shared" si="1"/>
        <v>217467.13476276351</v>
      </c>
      <c r="Q11" s="84">
        <f t="shared" si="1"/>
        <v>230515.16284852935</v>
      </c>
      <c r="R11" s="84">
        <f t="shared" si="1"/>
        <v>244346.07261944111</v>
      </c>
    </row>
    <row r="12" spans="1:86" x14ac:dyDescent="0.25">
      <c r="A12" s="1"/>
      <c r="B12" s="80" t="s">
        <v>8</v>
      </c>
      <c r="C12" s="81"/>
      <c r="D12" s="81">
        <f>(D11/C11)-1</f>
        <v>0.37352716896661997</v>
      </c>
      <c r="E12" s="81">
        <f t="shared" ref="E12:H12" si="2">(E11/D11)-1</f>
        <v>0.26610910132884413</v>
      </c>
      <c r="F12" s="81">
        <f t="shared" si="2"/>
        <v>0.21596390228722573</v>
      </c>
      <c r="G12" s="81">
        <f t="shared" si="2"/>
        <v>0.37182574303495608</v>
      </c>
      <c r="H12" s="81">
        <f t="shared" si="2"/>
        <v>-1.1193175554782941E-2</v>
      </c>
      <c r="I12" s="70">
        <v>8.5000000000000006E-2</v>
      </c>
      <c r="J12" s="66">
        <v>0.10199999999999999</v>
      </c>
      <c r="K12" s="66">
        <v>0.10299999999999999</v>
      </c>
      <c r="L12" s="66">
        <v>8.2000000000000003E-2</v>
      </c>
      <c r="M12" s="66">
        <v>8.2000000000000003E-2</v>
      </c>
      <c r="N12" s="66">
        <v>7.4999999999999997E-2</v>
      </c>
      <c r="O12" s="66">
        <v>0.06</v>
      </c>
      <c r="P12" s="66">
        <v>0.06</v>
      </c>
      <c r="Q12" s="66">
        <v>0.06</v>
      </c>
      <c r="R12" s="66">
        <v>0.06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5"/>
      <c r="K13" s="85"/>
      <c r="L13" s="85"/>
      <c r="M13" s="85"/>
      <c r="N13" s="85"/>
      <c r="O13" s="85"/>
      <c r="P13" s="85"/>
      <c r="Q13" s="85"/>
      <c r="R13" s="86"/>
    </row>
    <row r="14" spans="1:86" x14ac:dyDescent="0.25">
      <c r="A14" s="1"/>
      <c r="B14" s="1" t="s">
        <v>9</v>
      </c>
      <c r="C14" s="12">
        <v>5454</v>
      </c>
      <c r="D14" s="12">
        <v>9355</v>
      </c>
      <c r="E14" s="12">
        <v>12770</v>
      </c>
      <c r="F14" s="12">
        <v>16692</v>
      </c>
      <c r="G14" s="12">
        <v>22649</v>
      </c>
      <c r="H14" s="38">
        <v>25249</v>
      </c>
      <c r="I14" s="71">
        <f>I11-I16</f>
        <v>26278.362890499993</v>
      </c>
      <c r="J14" s="68">
        <f t="shared" ref="J14:K14" si="3">J11-J16</f>
        <v>28638.076374362005</v>
      </c>
      <c r="K14" s="68">
        <f t="shared" si="3"/>
        <v>31587.798240921285</v>
      </c>
      <c r="L14" s="68">
        <f t="shared" ref="L14:R14" si="4">L11-L16</f>
        <v>36607.397727696705</v>
      </c>
      <c r="M14" s="68">
        <f t="shared" si="4"/>
        <v>39609.204341367848</v>
      </c>
      <c r="N14" s="68">
        <f t="shared" si="4"/>
        <v>42579.894666970416</v>
      </c>
      <c r="O14" s="68">
        <f t="shared" si="4"/>
        <v>45134.688346988638</v>
      </c>
      <c r="P14" s="68">
        <f t="shared" si="4"/>
        <v>47842.76964780796</v>
      </c>
      <c r="Q14" s="68">
        <f t="shared" si="4"/>
        <v>50713.335826676455</v>
      </c>
      <c r="R14" s="68">
        <f t="shared" si="4"/>
        <v>53756.13597627703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85"/>
      <c r="K15" s="85"/>
      <c r="L15" s="85"/>
      <c r="M15" s="85"/>
      <c r="N15" s="85"/>
      <c r="O15" s="85"/>
      <c r="P15" s="85"/>
      <c r="Q15" s="85"/>
      <c r="R15" s="86"/>
    </row>
    <row r="16" spans="1:86" x14ac:dyDescent="0.25">
      <c r="A16" s="1"/>
      <c r="B16" s="1" t="s">
        <v>10</v>
      </c>
      <c r="C16" s="12">
        <f t="shared" ref="C16:F16" si="5">C11-C14</f>
        <v>35199</v>
      </c>
      <c r="D16" s="12">
        <f t="shared" si="5"/>
        <v>46483</v>
      </c>
      <c r="E16" s="12">
        <f t="shared" si="5"/>
        <v>57927</v>
      </c>
      <c r="F16" s="12">
        <f t="shared" si="5"/>
        <v>69273</v>
      </c>
      <c r="G16" s="12">
        <f>G11-G14</f>
        <v>95280</v>
      </c>
      <c r="H16" s="12">
        <f>H11-H14</f>
        <v>91360</v>
      </c>
      <c r="I16" s="22">
        <f>I11*I17</f>
        <v>100242.40210950001</v>
      </c>
      <c r="J16" s="84">
        <f t="shared" ref="J16:R16" si="6">J11*J17</f>
        <v>110787.80665563799</v>
      </c>
      <c r="K16" s="84">
        <f t="shared" si="6"/>
        <v>122198.95074116872</v>
      </c>
      <c r="L16" s="84">
        <f t="shared" si="6"/>
        <v>129789.86467092468</v>
      </c>
      <c r="M16" s="84">
        <f t="shared" si="6"/>
        <v>140432.63357394052</v>
      </c>
      <c r="N16" s="84">
        <f t="shared" si="6"/>
        <v>150965.08109198607</v>
      </c>
      <c r="O16" s="84">
        <f t="shared" si="6"/>
        <v>160022.98595750524</v>
      </c>
      <c r="P16" s="84">
        <f t="shared" si="6"/>
        <v>169624.36511495555</v>
      </c>
      <c r="Q16" s="84">
        <f t="shared" si="6"/>
        <v>179801.82702185289</v>
      </c>
      <c r="R16" s="84">
        <f t="shared" si="6"/>
        <v>190589.93664316408</v>
      </c>
    </row>
    <row r="17" spans="1:18" x14ac:dyDescent="0.25">
      <c r="A17" s="1"/>
      <c r="B17" s="80" t="s">
        <v>11</v>
      </c>
      <c r="C17" s="81">
        <f>C16/C11</f>
        <v>0.86584015939783043</v>
      </c>
      <c r="D17" s="81">
        <f t="shared" ref="D17:H17" si="7">D16/D11</f>
        <v>0.8324617643898421</v>
      </c>
      <c r="E17" s="81">
        <f t="shared" si="7"/>
        <v>0.81936998741106415</v>
      </c>
      <c r="F17" s="81">
        <f t="shared" si="7"/>
        <v>0.80582795323678236</v>
      </c>
      <c r="G17" s="81">
        <f t="shared" si="7"/>
        <v>0.80794376277251567</v>
      </c>
      <c r="H17" s="81">
        <f t="shared" si="7"/>
        <v>0.78347297378418479</v>
      </c>
      <c r="I17" s="79">
        <v>0.7923</v>
      </c>
      <c r="J17" s="87">
        <v>0.79459999999999997</v>
      </c>
      <c r="K17" s="87">
        <v>0.79459999999999997</v>
      </c>
      <c r="L17" s="87">
        <v>0.78</v>
      </c>
      <c r="M17" s="87">
        <v>0.78</v>
      </c>
      <c r="N17" s="87">
        <v>0.78</v>
      </c>
      <c r="O17" s="87">
        <v>0.78</v>
      </c>
      <c r="P17" s="87">
        <v>0.78</v>
      </c>
      <c r="Q17" s="87">
        <v>0.78</v>
      </c>
      <c r="R17" s="87">
        <v>0.78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85"/>
      <c r="K18" s="85"/>
      <c r="L18" s="85"/>
      <c r="M18" s="85"/>
      <c r="N18" s="85"/>
      <c r="O18" s="85"/>
      <c r="P18" s="85"/>
      <c r="Q18" s="85"/>
      <c r="R18" s="86"/>
    </row>
    <row r="19" spans="1:18" x14ac:dyDescent="0.25">
      <c r="A19" s="1"/>
      <c r="B19" s="1" t="s">
        <v>12</v>
      </c>
      <c r="C19" s="12">
        <v>7754</v>
      </c>
      <c r="D19" s="12">
        <v>10273</v>
      </c>
      <c r="E19" s="12">
        <v>13600</v>
      </c>
      <c r="F19" s="12">
        <v>18447</v>
      </c>
      <c r="G19" s="12">
        <v>24655</v>
      </c>
      <c r="H19" s="12">
        <v>35338</v>
      </c>
      <c r="I19" s="22">
        <f>I20*I11</f>
        <v>37956.229500000001</v>
      </c>
      <c r="J19" s="84">
        <f t="shared" ref="J19:R19" si="8">J20*J11</f>
        <v>41827.764908999998</v>
      </c>
      <c r="K19" s="84">
        <f t="shared" si="8"/>
        <v>44982.624077261324</v>
      </c>
      <c r="L19" s="84">
        <f t="shared" si="8"/>
        <v>47423.219783607092</v>
      </c>
      <c r="M19" s="84">
        <f t="shared" si="8"/>
        <v>49961.610021498069</v>
      </c>
      <c r="N19" s="84">
        <f t="shared" si="8"/>
        <v>52257.143454918245</v>
      </c>
      <c r="O19" s="84">
        <f t="shared" si="8"/>
        <v>53853.889504929633</v>
      </c>
      <c r="P19" s="84">
        <f t="shared" si="8"/>
        <v>55454.119364504688</v>
      </c>
      <c r="Q19" s="84">
        <f t="shared" si="8"/>
        <v>57052.502805010998</v>
      </c>
      <c r="R19" s="84">
        <f t="shared" si="8"/>
        <v>58643.057428665852</v>
      </c>
    </row>
    <row r="20" spans="1:18" x14ac:dyDescent="0.25">
      <c r="A20" s="1"/>
      <c r="B20" s="80" t="s">
        <v>18</v>
      </c>
      <c r="C20" s="81">
        <f>C19/C11</f>
        <v>0.19073623102846038</v>
      </c>
      <c r="D20" s="81">
        <f t="shared" ref="D20:H20" si="9">D19/D11</f>
        <v>0.18397865253053475</v>
      </c>
      <c r="E20" s="81">
        <f t="shared" si="9"/>
        <v>0.19237025616362788</v>
      </c>
      <c r="F20" s="81">
        <f t="shared" si="9"/>
        <v>0.21458733205374281</v>
      </c>
      <c r="G20" s="81">
        <f t="shared" si="9"/>
        <v>0.20906647219937419</v>
      </c>
      <c r="H20" s="81">
        <f t="shared" si="9"/>
        <v>0.30304693462768739</v>
      </c>
      <c r="I20" s="70">
        <v>0.3</v>
      </c>
      <c r="J20" s="66">
        <v>0.3</v>
      </c>
      <c r="K20" s="66">
        <f t="shared" ref="J20:K20" si="10">J20-0.75%</f>
        <v>0.29249999999999998</v>
      </c>
      <c r="L20" s="66">
        <f>K20-0.75%</f>
        <v>0.28499999999999998</v>
      </c>
      <c r="M20" s="66">
        <f t="shared" ref="M20:R20" si="11">L20-0.75%</f>
        <v>0.27749999999999997</v>
      </c>
      <c r="N20" s="66">
        <f t="shared" si="11"/>
        <v>0.26999999999999996</v>
      </c>
      <c r="O20" s="66">
        <f t="shared" si="11"/>
        <v>0.26249999999999996</v>
      </c>
      <c r="P20" s="66">
        <f t="shared" si="11"/>
        <v>0.25499999999999995</v>
      </c>
      <c r="Q20" s="66">
        <f t="shared" si="11"/>
        <v>0.24749999999999994</v>
      </c>
      <c r="R20" s="66">
        <f t="shared" si="11"/>
        <v>0.23999999999999994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4"/>
      <c r="K21" s="84"/>
      <c r="L21" s="84"/>
      <c r="M21" s="84"/>
      <c r="N21" s="84"/>
      <c r="O21" s="84"/>
      <c r="P21" s="84"/>
      <c r="Q21" s="84"/>
      <c r="R21" s="84"/>
    </row>
    <row r="22" spans="1:18" x14ac:dyDescent="0.25">
      <c r="A22" s="1"/>
      <c r="B22" s="1" t="s">
        <v>54</v>
      </c>
      <c r="C22" s="12">
        <v>4725</v>
      </c>
      <c r="D22" s="12">
        <v>7846</v>
      </c>
      <c r="E22" s="12">
        <v>9876</v>
      </c>
      <c r="F22" s="12">
        <v>11591</v>
      </c>
      <c r="G22" s="12">
        <v>14043</v>
      </c>
      <c r="H22" s="12">
        <v>15262</v>
      </c>
      <c r="I22" s="22">
        <f>I23*I11</f>
        <v>16700.740980000002</v>
      </c>
      <c r="J22" s="84">
        <f t="shared" ref="J22:R22" si="12">J23*J11</f>
        <v>18752.781267535</v>
      </c>
      <c r="K22" s="84">
        <f t="shared" si="12"/>
        <v>21068.784610546332</v>
      </c>
      <c r="L22" s="84">
        <f t="shared" si="12"/>
        <v>23212.418104607685</v>
      </c>
      <c r="M22" s="84">
        <f t="shared" si="12"/>
        <v>25565.940983973789</v>
      </c>
      <c r="N22" s="84">
        <f t="shared" si="12"/>
        <v>27483.386557771817</v>
      </c>
      <c r="O22" s="84">
        <f t="shared" si="12"/>
        <v>29132.389751238126</v>
      </c>
      <c r="P22" s="84">
        <f t="shared" si="12"/>
        <v>30880.333136312416</v>
      </c>
      <c r="Q22" s="84">
        <f t="shared" si="12"/>
        <v>32733.153124491164</v>
      </c>
      <c r="R22" s="84">
        <f t="shared" si="12"/>
        <v>34697.142311960633</v>
      </c>
    </row>
    <row r="23" spans="1:18" x14ac:dyDescent="0.25">
      <c r="A23" s="1"/>
      <c r="B23" s="80" t="s">
        <v>18</v>
      </c>
      <c r="C23" s="81">
        <f>C22/C11</f>
        <v>0.1162275846800974</v>
      </c>
      <c r="D23" s="81">
        <f t="shared" ref="D23:H23" si="13">D22/D11</f>
        <v>0.14051362871163006</v>
      </c>
      <c r="E23" s="81">
        <f t="shared" si="13"/>
        <v>0.139694753667058</v>
      </c>
      <c r="F23" s="81">
        <f t="shared" si="13"/>
        <v>0.13483394404699586</v>
      </c>
      <c r="G23" s="81">
        <f t="shared" si="13"/>
        <v>0.11908012448167965</v>
      </c>
      <c r="H23" s="81">
        <f t="shared" si="13"/>
        <v>0.13088183587887728</v>
      </c>
      <c r="I23" s="70">
        <v>0.13200000000000001</v>
      </c>
      <c r="J23" s="66">
        <f>I23+0.25%</f>
        <v>0.13450000000000001</v>
      </c>
      <c r="K23" s="66">
        <f t="shared" ref="K23:R23" si="14">J23+0.25%</f>
        <v>0.13700000000000001</v>
      </c>
      <c r="L23" s="66">
        <f t="shared" si="14"/>
        <v>0.13950000000000001</v>
      </c>
      <c r="M23" s="66">
        <f t="shared" si="14"/>
        <v>0.14200000000000002</v>
      </c>
      <c r="N23" s="66">
        <v>0.14199999999999999</v>
      </c>
      <c r="O23" s="66">
        <v>0.14199999999999999</v>
      </c>
      <c r="P23" s="66">
        <v>0.14199999999999999</v>
      </c>
      <c r="Q23" s="66">
        <v>0.14199999999999999</v>
      </c>
      <c r="R23" s="66">
        <v>0.14199999999999999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4"/>
      <c r="K24" s="84"/>
      <c r="L24" s="84"/>
      <c r="M24" s="84"/>
      <c r="N24" s="84"/>
      <c r="O24" s="84"/>
      <c r="P24" s="84"/>
      <c r="Q24" s="84"/>
      <c r="R24" s="84"/>
    </row>
    <row r="25" spans="1:18" x14ac:dyDescent="0.25">
      <c r="A25" s="1"/>
      <c r="B25" s="1" t="s">
        <v>55</v>
      </c>
      <c r="C25" s="12">
        <v>2517</v>
      </c>
      <c r="D25" s="12">
        <v>3451</v>
      </c>
      <c r="E25" s="12">
        <v>10465</v>
      </c>
      <c r="F25" s="12">
        <v>6564</v>
      </c>
      <c r="G25" s="12">
        <v>9829</v>
      </c>
      <c r="H25" s="12">
        <v>11816</v>
      </c>
      <c r="I25" s="73">
        <f t="shared" ref="I25:R25" si="15">I26*I11</f>
        <v>12652.076500000001</v>
      </c>
      <c r="J25" s="88">
        <f t="shared" si="15"/>
        <v>13942.588303</v>
      </c>
      <c r="K25" s="88">
        <f t="shared" si="15"/>
        <v>15378.674898209001</v>
      </c>
      <c r="L25" s="88">
        <f t="shared" si="15"/>
        <v>15807.739927869032</v>
      </c>
      <c r="M25" s="88">
        <f t="shared" si="15"/>
        <v>16203.765412377752</v>
      </c>
      <c r="N25" s="88">
        <f t="shared" si="15"/>
        <v>16451.322939511301</v>
      </c>
      <c r="O25" s="88">
        <f t="shared" si="15"/>
        <v>16412.613944359509</v>
      </c>
      <c r="P25" s="88">
        <f t="shared" si="15"/>
        <v>16310.035107207259</v>
      </c>
      <c r="Q25" s="88">
        <f t="shared" si="15"/>
        <v>16136.061399397049</v>
      </c>
      <c r="R25" s="88">
        <f t="shared" si="15"/>
        <v>15882.494720263667</v>
      </c>
    </row>
    <row r="26" spans="1:18" x14ac:dyDescent="0.25">
      <c r="A26" s="1"/>
      <c r="B26" s="80" t="s">
        <v>18</v>
      </c>
      <c r="C26" s="81">
        <f t="shared" ref="C26:H26" si="16">C25/C11</f>
        <v>6.1914249870858237E-2</v>
      </c>
      <c r="D26" s="81">
        <f t="shared" si="16"/>
        <v>6.1803789534009099E-2</v>
      </c>
      <c r="E26" s="81">
        <f t="shared" si="16"/>
        <v>0.14802608314355631</v>
      </c>
      <c r="F26" s="81">
        <f t="shared" si="16"/>
        <v>7.6356656778921658E-2</v>
      </c>
      <c r="G26" s="81">
        <f t="shared" si="16"/>
        <v>8.3346759490880107E-2</v>
      </c>
      <c r="H26" s="81">
        <f t="shared" si="16"/>
        <v>0.10133008601394404</v>
      </c>
      <c r="I26" s="20">
        <v>0.1</v>
      </c>
      <c r="J26" s="67">
        <v>0.1</v>
      </c>
      <c r="K26" s="67">
        <v>0.1</v>
      </c>
      <c r="L26" s="67">
        <f>K26-0.5%</f>
        <v>9.5000000000000001E-2</v>
      </c>
      <c r="M26" s="67">
        <f t="shared" ref="M26:R26" si="17">L26-0.5%</f>
        <v>0.09</v>
      </c>
      <c r="N26" s="67">
        <f t="shared" si="17"/>
        <v>8.4999999999999992E-2</v>
      </c>
      <c r="O26" s="67">
        <f t="shared" si="17"/>
        <v>7.9999999999999988E-2</v>
      </c>
      <c r="P26" s="67">
        <f t="shared" si="17"/>
        <v>7.4999999999999983E-2</v>
      </c>
      <c r="Q26" s="67">
        <f t="shared" si="17"/>
        <v>6.9999999999999979E-2</v>
      </c>
      <c r="R26" s="67">
        <f t="shared" si="17"/>
        <v>6.4999999999999974E-2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88"/>
      <c r="K27" s="88"/>
      <c r="L27" s="88"/>
      <c r="M27" s="88"/>
      <c r="N27" s="88"/>
      <c r="O27" s="88"/>
      <c r="P27" s="88"/>
      <c r="Q27" s="88"/>
      <c r="R27" s="88"/>
    </row>
    <row r="28" spans="1:18" x14ac:dyDescent="0.25">
      <c r="A28" s="1"/>
      <c r="B28" s="1" t="s">
        <v>15</v>
      </c>
      <c r="C28" s="12">
        <v>391</v>
      </c>
      <c r="D28" s="12">
        <v>448</v>
      </c>
      <c r="E28" s="12">
        <v>826</v>
      </c>
      <c r="F28" s="12">
        <v>509</v>
      </c>
      <c r="G28" s="12">
        <v>531</v>
      </c>
      <c r="H28" s="12">
        <v>-125</v>
      </c>
      <c r="I28" s="73">
        <f t="shared" ref="I28:R28" si="18">I29*I11</f>
        <v>632.60382500000003</v>
      </c>
      <c r="J28" s="88">
        <f t="shared" si="18"/>
        <v>697.12941515</v>
      </c>
      <c r="K28" s="88">
        <f t="shared" si="18"/>
        <v>768.93374491045006</v>
      </c>
      <c r="L28" s="88">
        <f t="shared" si="18"/>
        <v>831.98631199310694</v>
      </c>
      <c r="M28" s="88">
        <f t="shared" si="18"/>
        <v>900.2091895765418</v>
      </c>
      <c r="N28" s="88">
        <f t="shared" si="18"/>
        <v>967.7248787947824</v>
      </c>
      <c r="O28" s="88">
        <f t="shared" si="18"/>
        <v>1025.7883715224693</v>
      </c>
      <c r="P28" s="88">
        <f t="shared" si="18"/>
        <v>1087.3356738138175</v>
      </c>
      <c r="Q28" s="88">
        <f t="shared" si="18"/>
        <v>1152.5758142426469</v>
      </c>
      <c r="R28" s="88">
        <f t="shared" si="18"/>
        <v>1221.7303630972056</v>
      </c>
    </row>
    <row r="29" spans="1:18" x14ac:dyDescent="0.25">
      <c r="A29" s="1"/>
      <c r="B29" s="80" t="s">
        <v>18</v>
      </c>
      <c r="C29" s="81">
        <f t="shared" ref="C29:H29" si="19">C28/C11</f>
        <v>9.6179863724694357E-3</v>
      </c>
      <c r="D29" s="81">
        <f t="shared" si="19"/>
        <v>8.0232100003581799E-3</v>
      </c>
      <c r="E29" s="81">
        <f t="shared" si="19"/>
        <v>1.1683664087585047E-2</v>
      </c>
      <c r="F29" s="81">
        <f t="shared" si="19"/>
        <v>5.9210143663118711E-3</v>
      </c>
      <c r="G29" s="81">
        <f t="shared" si="19"/>
        <v>4.5027092572649642E-3</v>
      </c>
      <c r="H29" s="81">
        <f t="shared" si="19"/>
        <v>-1.0719584251644384E-3</v>
      </c>
      <c r="I29" s="20">
        <v>5.0000000000000001E-3</v>
      </c>
      <c r="J29" s="67">
        <v>5.0000000000000001E-3</v>
      </c>
      <c r="K29" s="67">
        <v>5.0000000000000001E-3</v>
      </c>
      <c r="L29" s="67">
        <v>5.0000000000000001E-3</v>
      </c>
      <c r="M29" s="67">
        <v>5.0000000000000001E-3</v>
      </c>
      <c r="N29" s="67">
        <v>5.0000000000000001E-3</v>
      </c>
      <c r="O29" s="67">
        <v>5.0000000000000001E-3</v>
      </c>
      <c r="P29" s="67">
        <v>5.0000000000000001E-3</v>
      </c>
      <c r="Q29" s="67">
        <v>5.0000000000000001E-3</v>
      </c>
      <c r="R29" s="67">
        <v>5.0000000000000001E-3</v>
      </c>
    </row>
    <row r="30" spans="1:18" x14ac:dyDescent="0.25">
      <c r="A30" s="1"/>
      <c r="B30" s="1"/>
      <c r="C30" s="1"/>
      <c r="D30" s="1"/>
      <c r="E30" s="1"/>
      <c r="F30" s="12"/>
      <c r="G30" s="12"/>
      <c r="H30" s="12"/>
      <c r="I30" s="13"/>
      <c r="J30" s="85"/>
      <c r="K30" s="85"/>
      <c r="L30" s="85"/>
      <c r="M30" s="85"/>
      <c r="N30" s="85"/>
      <c r="O30" s="85"/>
      <c r="P30" s="85"/>
      <c r="Q30" s="85"/>
      <c r="R30" s="86"/>
    </row>
    <row r="31" spans="1:18" x14ac:dyDescent="0.25">
      <c r="A31" s="1"/>
      <c r="B31" s="1" t="s">
        <v>13</v>
      </c>
      <c r="C31" s="12">
        <f t="shared" ref="C31:R31" si="20">C19+C22+C25</f>
        <v>14996</v>
      </c>
      <c r="D31" s="12">
        <f t="shared" si="20"/>
        <v>21570</v>
      </c>
      <c r="E31" s="12">
        <f t="shared" si="20"/>
        <v>33941</v>
      </c>
      <c r="F31" s="12">
        <f>F19+F22+F25</f>
        <v>36602</v>
      </c>
      <c r="G31" s="12">
        <f t="shared" si="20"/>
        <v>48527</v>
      </c>
      <c r="H31" s="12">
        <f t="shared" si="20"/>
        <v>62416</v>
      </c>
      <c r="I31" s="73">
        <f t="shared" si="20"/>
        <v>67309.046979999999</v>
      </c>
      <c r="J31" s="88">
        <f t="shared" si="20"/>
        <v>74523.134479535001</v>
      </c>
      <c r="K31" s="88">
        <f t="shared" si="20"/>
        <v>81430.083586016655</v>
      </c>
      <c r="L31" s="88">
        <f t="shared" si="20"/>
        <v>86443.377816083812</v>
      </c>
      <c r="M31" s="88">
        <f t="shared" si="20"/>
        <v>91731.316417849608</v>
      </c>
      <c r="N31" s="88">
        <f t="shared" si="20"/>
        <v>96191.852952201356</v>
      </c>
      <c r="O31" s="88">
        <f t="shared" si="20"/>
        <v>99398.893200527265</v>
      </c>
      <c r="P31" s="88">
        <f t="shared" si="20"/>
        <v>102644.48760802436</v>
      </c>
      <c r="Q31" s="88">
        <f t="shared" si="20"/>
        <v>105921.71732889921</v>
      </c>
      <c r="R31" s="88">
        <f t="shared" si="20"/>
        <v>109222.69446089015</v>
      </c>
    </row>
    <row r="32" spans="1:18" x14ac:dyDescent="0.25">
      <c r="A32" s="1"/>
      <c r="B32" s="80" t="s">
        <v>18</v>
      </c>
      <c r="C32" s="81">
        <f t="shared" ref="C32:R32" si="21">C31/C11</f>
        <v>0.36887806557941605</v>
      </c>
      <c r="D32" s="81">
        <f t="shared" si="21"/>
        <v>0.38629607077617395</v>
      </c>
      <c r="E32" s="81">
        <f t="shared" si="21"/>
        <v>0.48009109297424218</v>
      </c>
      <c r="F32" s="81">
        <f t="shared" si="21"/>
        <v>0.42577793287966031</v>
      </c>
      <c r="G32" s="81">
        <f t="shared" si="21"/>
        <v>0.41149335617193394</v>
      </c>
      <c r="H32" s="81">
        <f t="shared" si="21"/>
        <v>0.53525885652050875</v>
      </c>
      <c r="I32" s="20">
        <f t="shared" si="21"/>
        <v>0.53200000000000003</v>
      </c>
      <c r="J32" s="67">
        <f t="shared" si="21"/>
        <v>0.53449999999999998</v>
      </c>
      <c r="K32" s="67">
        <f t="shared" si="21"/>
        <v>0.52949999999999997</v>
      </c>
      <c r="L32" s="67">
        <f t="shared" si="21"/>
        <v>0.51949999999999996</v>
      </c>
      <c r="M32" s="67">
        <f t="shared" si="21"/>
        <v>0.50949999999999995</v>
      </c>
      <c r="N32" s="67">
        <f t="shared" si="21"/>
        <v>0.49699999999999994</v>
      </c>
      <c r="O32" s="67">
        <f t="shared" si="21"/>
        <v>0.48449999999999993</v>
      </c>
      <c r="P32" s="67">
        <f t="shared" si="21"/>
        <v>0.47199999999999992</v>
      </c>
      <c r="Q32" s="67">
        <f t="shared" si="21"/>
        <v>0.45949999999999985</v>
      </c>
      <c r="R32" s="67">
        <f t="shared" si="21"/>
        <v>0.4469999999999999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 t="shared" ref="C34:R34" si="22">C16-C19-C22-C25</f>
        <v>20203</v>
      </c>
      <c r="D34" s="12">
        <f t="shared" si="22"/>
        <v>24913</v>
      </c>
      <c r="E34" s="12">
        <f t="shared" si="22"/>
        <v>23986</v>
      </c>
      <c r="F34" s="12">
        <f>F16-F19-F22-F25</f>
        <v>32671</v>
      </c>
      <c r="G34" s="12">
        <f t="shared" si="22"/>
        <v>46753</v>
      </c>
      <c r="H34" s="12">
        <f t="shared" si="22"/>
        <v>28944</v>
      </c>
      <c r="I34" s="73">
        <f t="shared" si="22"/>
        <v>32933.3551295</v>
      </c>
      <c r="J34" s="88">
        <f t="shared" si="22"/>
        <v>36264.672176102991</v>
      </c>
      <c r="K34" s="88">
        <f t="shared" si="22"/>
        <v>40768.867155152067</v>
      </c>
      <c r="L34" s="88">
        <f t="shared" si="22"/>
        <v>43346.48685484087</v>
      </c>
      <c r="M34" s="88">
        <f t="shared" si="22"/>
        <v>48701.317156090903</v>
      </c>
      <c r="N34" s="88">
        <f t="shared" si="22"/>
        <v>54773.228139784711</v>
      </c>
      <c r="O34" s="88">
        <f t="shared" si="22"/>
        <v>60624.092756977981</v>
      </c>
      <c r="P34" s="88">
        <f t="shared" si="22"/>
        <v>66979.877506931196</v>
      </c>
      <c r="Q34" s="88">
        <f t="shared" si="22"/>
        <v>73880.109692953687</v>
      </c>
      <c r="R34" s="88">
        <f t="shared" si="22"/>
        <v>81367.242182273912</v>
      </c>
    </row>
    <row r="35" spans="1:86" x14ac:dyDescent="0.25">
      <c r="A35" s="1"/>
      <c r="B35" s="1"/>
      <c r="C35" s="23"/>
      <c r="D35" s="23"/>
      <c r="E35" s="23"/>
      <c r="F35" s="23"/>
      <c r="G35" s="23"/>
      <c r="H35" s="23"/>
      <c r="I35" s="24"/>
      <c r="J35" s="86"/>
      <c r="K35" s="86"/>
      <c r="L35" s="86"/>
      <c r="M35" s="86"/>
      <c r="N35" s="86"/>
      <c r="O35" s="86"/>
      <c r="P35" s="86"/>
      <c r="Q35" s="86"/>
      <c r="R35" s="86"/>
    </row>
    <row r="36" spans="1:86" x14ac:dyDescent="0.25">
      <c r="A36" s="1"/>
      <c r="B36" s="1" t="s">
        <v>16</v>
      </c>
      <c r="C36" s="12">
        <f t="shared" ref="C36:G36" si="23">C34+C28</f>
        <v>20594</v>
      </c>
      <c r="D36" s="12">
        <f t="shared" si="23"/>
        <v>25361</v>
      </c>
      <c r="E36" s="12">
        <f t="shared" si="23"/>
        <v>24812</v>
      </c>
      <c r="F36" s="12">
        <f>F34+F28</f>
        <v>33180</v>
      </c>
      <c r="G36" s="12">
        <f t="shared" si="23"/>
        <v>47284</v>
      </c>
      <c r="H36" s="12">
        <f>H34+H28</f>
        <v>28819</v>
      </c>
      <c r="I36" s="73">
        <f>I34+I28</f>
        <v>33565.958954499998</v>
      </c>
      <c r="J36" s="88">
        <f t="shared" ref="J36:R36" si="24">J34+J28</f>
        <v>36961.801591252988</v>
      </c>
      <c r="K36" s="88">
        <f t="shared" si="24"/>
        <v>41537.800900062517</v>
      </c>
      <c r="L36" s="88">
        <f t="shared" si="24"/>
        <v>44178.473166833981</v>
      </c>
      <c r="M36" s="88">
        <f t="shared" si="24"/>
        <v>49601.526345667444</v>
      </c>
      <c r="N36" s="88">
        <f t="shared" si="24"/>
        <v>55740.953018579494</v>
      </c>
      <c r="O36" s="88">
        <f t="shared" si="24"/>
        <v>61649.881128500449</v>
      </c>
      <c r="P36" s="88">
        <f t="shared" si="24"/>
        <v>68067.213180745021</v>
      </c>
      <c r="Q36" s="88">
        <f t="shared" si="24"/>
        <v>75032.685507196336</v>
      </c>
      <c r="R36" s="88">
        <f t="shared" si="24"/>
        <v>82588.972545371114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13"/>
      <c r="J37" s="85"/>
      <c r="K37" s="85"/>
      <c r="L37" s="85"/>
      <c r="M37" s="85"/>
      <c r="N37" s="85"/>
      <c r="O37" s="85"/>
      <c r="P37" s="85"/>
      <c r="Q37" s="85"/>
      <c r="R37" s="86"/>
    </row>
    <row r="38" spans="1:86" x14ac:dyDescent="0.25">
      <c r="A38" s="1"/>
      <c r="B38" s="1" t="s">
        <v>17</v>
      </c>
      <c r="C38" s="12">
        <f t="shared" ref="C38:R38" si="25">C34</f>
        <v>20203</v>
      </c>
      <c r="D38" s="12">
        <f t="shared" si="25"/>
        <v>24913</v>
      </c>
      <c r="E38" s="12">
        <f t="shared" si="25"/>
        <v>23986</v>
      </c>
      <c r="F38" s="12">
        <f>F34</f>
        <v>32671</v>
      </c>
      <c r="G38" s="12">
        <f t="shared" si="25"/>
        <v>46753</v>
      </c>
      <c r="H38" s="12">
        <f t="shared" si="25"/>
        <v>28944</v>
      </c>
      <c r="I38" s="73">
        <f t="shared" si="25"/>
        <v>32933.3551295</v>
      </c>
      <c r="J38" s="88">
        <f t="shared" si="25"/>
        <v>36264.672176102991</v>
      </c>
      <c r="K38" s="88">
        <f t="shared" si="25"/>
        <v>40768.867155152067</v>
      </c>
      <c r="L38" s="88">
        <f t="shared" si="25"/>
        <v>43346.48685484087</v>
      </c>
      <c r="M38" s="88">
        <f t="shared" si="25"/>
        <v>48701.317156090903</v>
      </c>
      <c r="N38" s="88">
        <f t="shared" si="25"/>
        <v>54773.228139784711</v>
      </c>
      <c r="O38" s="88">
        <f t="shared" si="25"/>
        <v>60624.092756977981</v>
      </c>
      <c r="P38" s="88">
        <f t="shared" si="25"/>
        <v>66979.877506931196</v>
      </c>
      <c r="Q38" s="88">
        <f t="shared" si="25"/>
        <v>73880.109692953687</v>
      </c>
      <c r="R38" s="88">
        <f t="shared" si="25"/>
        <v>81367.242182273912</v>
      </c>
    </row>
    <row r="39" spans="1:86" x14ac:dyDescent="0.25">
      <c r="A39" s="1"/>
      <c r="B39" s="80" t="s">
        <v>18</v>
      </c>
      <c r="C39" s="81">
        <f t="shared" ref="C39:H39" si="26">C38/C11</f>
        <v>0.49696209381841439</v>
      </c>
      <c r="D39" s="81">
        <f t="shared" si="26"/>
        <v>0.44616569361366809</v>
      </c>
      <c r="E39" s="81">
        <f t="shared" si="26"/>
        <v>0.33927889443682191</v>
      </c>
      <c r="F39" s="81">
        <f t="shared" si="26"/>
        <v>0.3800500203571221</v>
      </c>
      <c r="G39" s="81">
        <f t="shared" si="26"/>
        <v>0.39645040660058173</v>
      </c>
      <c r="H39" s="81">
        <f t="shared" si="26"/>
        <v>0.24821411726367604</v>
      </c>
      <c r="I39" s="70">
        <f>I38/I11</f>
        <v>0.26029999999999998</v>
      </c>
      <c r="J39" s="66">
        <f t="shared" ref="J39:R39" si="27">J38/J11</f>
        <v>0.26009999999999994</v>
      </c>
      <c r="K39" s="66">
        <f t="shared" si="27"/>
        <v>0.26510000000000006</v>
      </c>
      <c r="L39" s="66">
        <f t="shared" si="27"/>
        <v>0.26050000000000001</v>
      </c>
      <c r="M39" s="66">
        <f t="shared" si="27"/>
        <v>0.27049999999999996</v>
      </c>
      <c r="N39" s="66">
        <f t="shared" si="27"/>
        <v>0.28300000000000014</v>
      </c>
      <c r="O39" s="66">
        <f t="shared" si="27"/>
        <v>0.29550000000000021</v>
      </c>
      <c r="P39" s="66">
        <f t="shared" si="27"/>
        <v>0.30800000000000016</v>
      </c>
      <c r="Q39" s="66">
        <f t="shared" si="27"/>
        <v>0.32050000000000012</v>
      </c>
      <c r="R39" s="66">
        <f t="shared" si="27"/>
        <v>0.33300000000000007</v>
      </c>
    </row>
    <row r="40" spans="1:86" x14ac:dyDescent="0.25">
      <c r="A40" s="1"/>
      <c r="B40" s="14"/>
      <c r="C40" s="1"/>
      <c r="D40" s="1"/>
      <c r="F40" s="1"/>
      <c r="G40" s="1"/>
      <c r="H40" s="1"/>
      <c r="I40" s="13"/>
      <c r="J40" s="85"/>
      <c r="K40" s="85"/>
      <c r="L40" s="85"/>
      <c r="M40" s="85"/>
      <c r="N40" s="85"/>
      <c r="O40" s="86"/>
      <c r="P40" s="86"/>
      <c r="Q40" s="86"/>
      <c r="R40" s="86"/>
    </row>
    <row r="41" spans="1:86" x14ac:dyDescent="0.25">
      <c r="A41" s="1"/>
      <c r="B41" s="1" t="s">
        <v>19</v>
      </c>
      <c r="C41" s="12">
        <v>4660</v>
      </c>
      <c r="D41" s="12">
        <v>3249</v>
      </c>
      <c r="E41" s="25">
        <v>6327</v>
      </c>
      <c r="F41" s="12">
        <v>4034</v>
      </c>
      <c r="G41" s="12">
        <v>7914</v>
      </c>
      <c r="H41" s="19">
        <v>5619</v>
      </c>
      <c r="I41" s="22">
        <f>I42*I38</f>
        <v>6800.7378342417496</v>
      </c>
      <c r="J41" s="84">
        <f t="shared" ref="J41:R41" si="28">J42*J38</f>
        <v>7448.7636649715541</v>
      </c>
      <c r="K41" s="84">
        <f t="shared" si="28"/>
        <v>8373.9253136682346</v>
      </c>
      <c r="L41" s="84">
        <f t="shared" si="28"/>
        <v>8903.3683999843142</v>
      </c>
      <c r="M41" s="84">
        <f t="shared" si="28"/>
        <v>10003.250543861071</v>
      </c>
      <c r="N41" s="84">
        <f t="shared" si="28"/>
        <v>11250.42105991178</v>
      </c>
      <c r="O41" s="84">
        <f t="shared" si="28"/>
        <v>12452.188652283277</v>
      </c>
      <c r="P41" s="84">
        <f t="shared" si="28"/>
        <v>13757.666839923668</v>
      </c>
      <c r="Q41" s="84">
        <f t="shared" si="28"/>
        <v>15174.974530932688</v>
      </c>
      <c r="R41" s="84">
        <f t="shared" si="28"/>
        <v>16712.831544239063</v>
      </c>
    </row>
    <row r="42" spans="1:86" x14ac:dyDescent="0.25">
      <c r="A42" s="1"/>
      <c r="B42" s="80" t="s">
        <v>20</v>
      </c>
      <c r="C42" s="82">
        <f>C41/C38</f>
        <v>0.23065881304756719</v>
      </c>
      <c r="D42" s="82">
        <f t="shared" ref="D42:G42" si="29">D41/D38</f>
        <v>0.13041384016376992</v>
      </c>
      <c r="E42" s="82">
        <f t="shared" si="29"/>
        <v>0.26377887100808806</v>
      </c>
      <c r="F42" s="82">
        <f>F41/F38</f>
        <v>0.12347341679165008</v>
      </c>
      <c r="G42" s="82">
        <f t="shared" si="29"/>
        <v>0.16927256004962249</v>
      </c>
      <c r="H42" s="82">
        <f>H41/H38</f>
        <v>0.1941334991708126</v>
      </c>
      <c r="I42" s="72">
        <v>0.20649999999999999</v>
      </c>
      <c r="J42" s="89">
        <v>0.2054</v>
      </c>
      <c r="K42" s="89">
        <v>0.2054</v>
      </c>
      <c r="L42" s="89">
        <v>0.2054</v>
      </c>
      <c r="M42" s="89">
        <v>0.2054</v>
      </c>
      <c r="N42" s="89">
        <v>0.2054</v>
      </c>
      <c r="O42" s="89">
        <v>0.2054</v>
      </c>
      <c r="P42" s="89">
        <v>0.2054</v>
      </c>
      <c r="Q42" s="89">
        <v>0.2054</v>
      </c>
      <c r="R42" s="89">
        <v>0.2054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13"/>
      <c r="J43" s="85"/>
      <c r="K43" s="85"/>
      <c r="L43" s="85"/>
      <c r="M43" s="85"/>
      <c r="N43" s="85"/>
      <c r="O43" s="85"/>
      <c r="P43" s="85"/>
      <c r="Q43" s="85"/>
      <c r="R43" s="86"/>
    </row>
    <row r="44" spans="1:86" x14ac:dyDescent="0.25">
      <c r="A44" s="1"/>
      <c r="B44" s="10" t="s">
        <v>21</v>
      </c>
      <c r="C44" s="10">
        <v>2017</v>
      </c>
      <c r="D44" s="10">
        <f>C44+1</f>
        <v>2018</v>
      </c>
      <c r="E44" s="10">
        <f>D44+1</f>
        <v>2019</v>
      </c>
      <c r="F44" s="10">
        <v>2020</v>
      </c>
      <c r="G44" s="10">
        <v>2021</v>
      </c>
      <c r="H44" s="10">
        <v>2022</v>
      </c>
      <c r="I44" s="74">
        <v>2023</v>
      </c>
      <c r="J44" s="90">
        <v>2024</v>
      </c>
      <c r="K44" s="90">
        <v>2025</v>
      </c>
      <c r="L44" s="90">
        <v>2026</v>
      </c>
      <c r="M44" s="90">
        <v>2027</v>
      </c>
      <c r="N44" s="90">
        <v>2028</v>
      </c>
      <c r="O44" s="90">
        <v>2029</v>
      </c>
      <c r="P44" s="90">
        <v>2030</v>
      </c>
      <c r="Q44" s="90">
        <v>2031</v>
      </c>
      <c r="R44" s="90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>
        <v>3025</v>
      </c>
      <c r="D45" s="12">
        <v>4315</v>
      </c>
      <c r="E45" s="25">
        <v>5741</v>
      </c>
      <c r="F45" s="12">
        <v>6862</v>
      </c>
      <c r="G45" s="12">
        <v>7967</v>
      </c>
      <c r="H45" s="12">
        <v>8686</v>
      </c>
      <c r="I45" s="22">
        <f t="shared" ref="I45:R45" si="30">I46*I11</f>
        <v>10374.702730000001</v>
      </c>
      <c r="J45" s="84">
        <f t="shared" si="30"/>
        <v>11990.625940579999</v>
      </c>
      <c r="K45" s="84">
        <f t="shared" si="30"/>
        <v>14455.954404316461</v>
      </c>
      <c r="L45" s="84">
        <f t="shared" si="30"/>
        <v>14809.356353477302</v>
      </c>
      <c r="M45" s="84">
        <f t="shared" si="30"/>
        <v>18184.225629446148</v>
      </c>
      <c r="N45" s="84">
        <f t="shared" si="30"/>
        <v>22064.127236521039</v>
      </c>
      <c r="O45" s="84">
        <f t="shared" si="30"/>
        <v>35492.27765467744</v>
      </c>
      <c r="P45" s="84">
        <f t="shared" si="30"/>
        <v>36534.478640144269</v>
      </c>
      <c r="Q45" s="84">
        <f t="shared" si="30"/>
        <v>37343.456381461758</v>
      </c>
      <c r="R45" s="84">
        <f t="shared" si="30"/>
        <v>39584.063764349463</v>
      </c>
    </row>
    <row r="46" spans="1:86" x14ac:dyDescent="0.25">
      <c r="A46" s="1"/>
      <c r="B46" s="80" t="s">
        <v>18</v>
      </c>
      <c r="C46" s="81">
        <f t="shared" ref="C46:H46" si="31">C45/C11</f>
        <v>7.4410252625882467E-2</v>
      </c>
      <c r="D46" s="81">
        <f t="shared" si="31"/>
        <v>7.7277123106128442E-2</v>
      </c>
      <c r="E46" s="81">
        <f t="shared" si="31"/>
        <v>8.1205708870249096E-2</v>
      </c>
      <c r="F46" s="81">
        <f t="shared" si="31"/>
        <v>7.9823183853894031E-2</v>
      </c>
      <c r="G46" s="81">
        <f t="shared" si="31"/>
        <v>6.7557598215875647E-2</v>
      </c>
      <c r="H46" s="81">
        <f t="shared" si="31"/>
        <v>7.44882470478265E-2</v>
      </c>
      <c r="I46" s="21">
        <v>8.2000000000000003E-2</v>
      </c>
      <c r="J46" s="53">
        <v>8.5999999999999993E-2</v>
      </c>
      <c r="K46" s="53">
        <v>9.4E-2</v>
      </c>
      <c r="L46" s="53">
        <v>8.8999999999999996E-2</v>
      </c>
      <c r="M46" s="53">
        <v>0.10100000000000001</v>
      </c>
      <c r="N46" s="53">
        <v>0.114</v>
      </c>
      <c r="O46" s="53">
        <v>0.17299999999999999</v>
      </c>
      <c r="P46" s="53">
        <v>0.16800000000000001</v>
      </c>
      <c r="Q46" s="53">
        <v>0.16200000000000001</v>
      </c>
      <c r="R46" s="53">
        <v>0.16200000000000001</v>
      </c>
    </row>
    <row r="47" spans="1:86" x14ac:dyDescent="0.25">
      <c r="A47" s="1"/>
      <c r="B47" s="1"/>
      <c r="C47" s="1"/>
      <c r="D47" s="1"/>
      <c r="F47" s="1"/>
      <c r="G47" s="1"/>
      <c r="H47" s="1"/>
      <c r="I47" s="13"/>
      <c r="J47" s="85"/>
      <c r="K47" s="85"/>
      <c r="L47" s="85"/>
      <c r="M47" s="85"/>
      <c r="N47" s="85"/>
      <c r="O47" s="86"/>
      <c r="P47" s="86"/>
      <c r="Q47" s="86"/>
      <c r="R47" s="86"/>
    </row>
    <row r="48" spans="1:86" x14ac:dyDescent="0.25">
      <c r="A48" s="1"/>
      <c r="B48" s="1" t="s">
        <v>23</v>
      </c>
      <c r="C48" s="12">
        <v>-6733</v>
      </c>
      <c r="D48" s="12">
        <v>-13915</v>
      </c>
      <c r="E48" s="25">
        <v>-15102</v>
      </c>
      <c r="F48" s="12">
        <v>-15163</v>
      </c>
      <c r="G48" s="12">
        <v>-18690</v>
      </c>
      <c r="H48" s="12">
        <v>-31431</v>
      </c>
      <c r="I48" s="22">
        <f t="shared" ref="I48:R48" si="32">I49*I11</f>
        <v>-31630.19125</v>
      </c>
      <c r="J48" s="84">
        <f t="shared" si="32"/>
        <v>-32067.953096900001</v>
      </c>
      <c r="K48" s="84">
        <f t="shared" si="32"/>
        <v>-33833.084776059804</v>
      </c>
      <c r="L48" s="84">
        <f t="shared" si="32"/>
        <v>-31615.479855738064</v>
      </c>
      <c r="M48" s="84">
        <f t="shared" si="32"/>
        <v>-31507.321635178963</v>
      </c>
      <c r="N48" s="84">
        <f t="shared" si="32"/>
        <v>-34451.005685094249</v>
      </c>
      <c r="O48" s="84">
        <f t="shared" si="32"/>
        <v>-42057.323232421244</v>
      </c>
      <c r="P48" s="84">
        <f t="shared" si="32"/>
        <v>-42841.025548264413</v>
      </c>
      <c r="Q48" s="84">
        <f t="shared" si="32"/>
        <v>-47947.153872494106</v>
      </c>
      <c r="R48" s="84">
        <f t="shared" si="32"/>
        <v>-48624.868451268783</v>
      </c>
    </row>
    <row r="49" spans="1:86" x14ac:dyDescent="0.25">
      <c r="A49" s="1"/>
      <c r="B49" s="80" t="s">
        <v>18</v>
      </c>
      <c r="C49" s="81">
        <f t="shared" ref="C49:H49" si="33">C48/C11</f>
        <v>-0.16562123336531129</v>
      </c>
      <c r="D49" s="81">
        <f t="shared" si="33"/>
        <v>-0.24920305168523227</v>
      </c>
      <c r="E49" s="81">
        <f t="shared" si="33"/>
        <v>-0.21361585357228738</v>
      </c>
      <c r="F49" s="81">
        <f t="shared" si="33"/>
        <v>-0.17638573838189961</v>
      </c>
      <c r="G49" s="81">
        <f t="shared" si="33"/>
        <v>-0.15848519024158603</v>
      </c>
      <c r="H49" s="81">
        <f t="shared" si="33"/>
        <v>-0.26954180209074774</v>
      </c>
      <c r="I49" s="21">
        <v>-0.25</v>
      </c>
      <c r="J49" s="53">
        <v>-0.23</v>
      </c>
      <c r="K49" s="53">
        <v>-0.22</v>
      </c>
      <c r="L49" s="53">
        <v>-0.19</v>
      </c>
      <c r="M49" s="53">
        <v>-0.17499999999999999</v>
      </c>
      <c r="N49" s="53">
        <v>-0.17799999999999999</v>
      </c>
      <c r="O49" s="53">
        <v>-0.20499999999999999</v>
      </c>
      <c r="P49" s="53">
        <v>-0.19700000000000001</v>
      </c>
      <c r="Q49" s="53">
        <v>-0.20799999999999999</v>
      </c>
      <c r="R49" s="53">
        <v>-0.19900000000000001</v>
      </c>
    </row>
    <row r="50" spans="1:86" x14ac:dyDescent="0.25">
      <c r="A50" s="1"/>
      <c r="B50" s="1"/>
      <c r="C50" s="1"/>
      <c r="D50" s="1"/>
      <c r="F50" s="1"/>
      <c r="G50" s="1"/>
      <c r="H50" s="1"/>
      <c r="I50" s="13"/>
      <c r="J50" s="85"/>
      <c r="K50" s="85"/>
      <c r="L50" s="85"/>
      <c r="M50" s="85"/>
      <c r="N50" s="85"/>
      <c r="O50" s="86"/>
      <c r="P50" s="86"/>
      <c r="Q50" s="86"/>
      <c r="R50" s="86"/>
    </row>
    <row r="51" spans="1:86" x14ac:dyDescent="0.25">
      <c r="A51" s="1"/>
      <c r="B51" s="1" t="s">
        <v>24</v>
      </c>
      <c r="C51" s="1">
        <v>1887</v>
      </c>
      <c r="D51" s="1">
        <v>-1527</v>
      </c>
      <c r="E51" s="2">
        <v>7250</v>
      </c>
      <c r="F51" s="39">
        <v>-2723</v>
      </c>
      <c r="G51" s="39">
        <v>700</v>
      </c>
      <c r="H51" s="39">
        <v>5683</v>
      </c>
      <c r="I51" s="22">
        <f t="shared" ref="I51:R51" si="34">I52*I11</f>
        <v>-1265.2076500000001</v>
      </c>
      <c r="J51" s="84">
        <f t="shared" si="34"/>
        <v>1394.2588303</v>
      </c>
      <c r="K51" s="84">
        <f t="shared" si="34"/>
        <v>1537.8674898209001</v>
      </c>
      <c r="L51" s="84">
        <f t="shared" si="34"/>
        <v>3327.9452479724278</v>
      </c>
      <c r="M51" s="84">
        <f t="shared" si="34"/>
        <v>3600.8367583061672</v>
      </c>
      <c r="N51" s="84">
        <f t="shared" si="34"/>
        <v>3870.8995151791296</v>
      </c>
      <c r="O51" s="84">
        <f t="shared" si="34"/>
        <v>4103.1534860898773</v>
      </c>
      <c r="P51" s="84">
        <f t="shared" si="34"/>
        <v>4349.34269525527</v>
      </c>
      <c r="Q51" s="84">
        <f t="shared" si="34"/>
        <v>4610.3032569705874</v>
      </c>
      <c r="R51" s="84">
        <f t="shared" si="34"/>
        <v>4886.9214523888222</v>
      </c>
    </row>
    <row r="52" spans="1:86" x14ac:dyDescent="0.25">
      <c r="A52" s="1"/>
      <c r="B52" s="80" t="s">
        <v>18</v>
      </c>
      <c r="C52" s="81">
        <f t="shared" ref="C52:H52" si="35">C51/C11</f>
        <v>4.6417238580178585E-2</v>
      </c>
      <c r="D52" s="81">
        <f t="shared" si="35"/>
        <v>-2.7346968014613705E-2</v>
      </c>
      <c r="E52" s="81">
        <f t="shared" si="35"/>
        <v>0.10255032038134575</v>
      </c>
      <c r="F52" s="81">
        <f t="shared" si="35"/>
        <v>-3.167568196358983E-2</v>
      </c>
      <c r="G52" s="81">
        <f t="shared" si="35"/>
        <v>5.9357749154152076E-3</v>
      </c>
      <c r="H52" s="81">
        <f t="shared" si="35"/>
        <v>4.8735517841676027E-2</v>
      </c>
      <c r="I52" s="75">
        <v>-0.01</v>
      </c>
      <c r="J52" s="91">
        <v>0.01</v>
      </c>
      <c r="K52" s="91">
        <v>0.01</v>
      </c>
      <c r="L52" s="91">
        <v>0.02</v>
      </c>
      <c r="M52" s="91">
        <v>0.02</v>
      </c>
      <c r="N52" s="91">
        <v>0.02</v>
      </c>
      <c r="O52" s="91">
        <v>0.02</v>
      </c>
      <c r="P52" s="91">
        <v>0.02</v>
      </c>
      <c r="Q52" s="91">
        <v>0.02</v>
      </c>
      <c r="R52" s="91">
        <v>0.02</v>
      </c>
    </row>
    <row r="53" spans="1:86" x14ac:dyDescent="0.25">
      <c r="A53" s="1"/>
      <c r="B53" s="1"/>
      <c r="C53" s="1"/>
      <c r="D53" s="1"/>
      <c r="E53" s="1"/>
      <c r="F53" s="1"/>
      <c r="G53" s="1"/>
      <c r="H53" s="1"/>
      <c r="I53" s="13"/>
      <c r="J53" s="85"/>
      <c r="K53" s="85"/>
      <c r="L53" s="85"/>
      <c r="M53" s="85"/>
      <c r="N53" s="85"/>
      <c r="O53" s="85"/>
      <c r="P53" s="85"/>
      <c r="Q53" s="85"/>
      <c r="R53" s="86"/>
    </row>
    <row r="54" spans="1:86" x14ac:dyDescent="0.25">
      <c r="A54" s="1"/>
      <c r="B54" s="10" t="s">
        <v>25</v>
      </c>
      <c r="C54" s="12">
        <f>C38+C41</f>
        <v>24863</v>
      </c>
      <c r="D54" s="12">
        <f t="shared" ref="D54:R54" si="36">D38+D41</f>
        <v>28162</v>
      </c>
      <c r="E54" s="12">
        <f t="shared" si="36"/>
        <v>30313</v>
      </c>
      <c r="F54" s="12">
        <f>F38+F41</f>
        <v>36705</v>
      </c>
      <c r="G54" s="12">
        <f t="shared" si="36"/>
        <v>54667</v>
      </c>
      <c r="H54" s="12">
        <f>H38+H41</f>
        <v>34563</v>
      </c>
      <c r="I54" s="73">
        <f>I38+I41</f>
        <v>39734.09296374175</v>
      </c>
      <c r="J54" s="88">
        <f t="shared" si="36"/>
        <v>43713.435841074548</v>
      </c>
      <c r="K54" s="88">
        <f t="shared" si="36"/>
        <v>49142.792468820306</v>
      </c>
      <c r="L54" s="88">
        <f t="shared" si="36"/>
        <v>52249.855254825183</v>
      </c>
      <c r="M54" s="88">
        <f t="shared" si="36"/>
        <v>58704.567699951978</v>
      </c>
      <c r="N54" s="88">
        <f t="shared" si="36"/>
        <v>66023.649199696491</v>
      </c>
      <c r="O54" s="88">
        <f t="shared" si="36"/>
        <v>73076.281409261253</v>
      </c>
      <c r="P54" s="88">
        <f t="shared" si="36"/>
        <v>80737.544346854862</v>
      </c>
      <c r="Q54" s="88">
        <f t="shared" si="36"/>
        <v>89055.08422388637</v>
      </c>
      <c r="R54" s="88">
        <f t="shared" si="36"/>
        <v>98080.073726512972</v>
      </c>
    </row>
    <row r="55" spans="1:86" x14ac:dyDescent="0.25">
      <c r="A55" s="1"/>
      <c r="B55" s="10" t="s">
        <v>26</v>
      </c>
      <c r="C55" s="12">
        <f t="shared" ref="C55:G55" si="37">C36-C41</f>
        <v>15934</v>
      </c>
      <c r="D55" s="12">
        <f t="shared" si="37"/>
        <v>22112</v>
      </c>
      <c r="E55" s="12">
        <f t="shared" si="37"/>
        <v>18485</v>
      </c>
      <c r="F55" s="12">
        <f t="shared" si="37"/>
        <v>29146</v>
      </c>
      <c r="G55" s="12">
        <f t="shared" si="37"/>
        <v>39370</v>
      </c>
      <c r="H55" s="12">
        <f>H36-H41</f>
        <v>23200</v>
      </c>
      <c r="I55" s="73">
        <f>I36-I41</f>
        <v>26765.221120258248</v>
      </c>
      <c r="J55" s="88">
        <f t="shared" ref="J55:R55" si="38">J36-J41</f>
        <v>29513.037926281435</v>
      </c>
      <c r="K55" s="88">
        <f t="shared" si="38"/>
        <v>33163.875586394279</v>
      </c>
      <c r="L55" s="88">
        <f t="shared" si="38"/>
        <v>35275.104766849669</v>
      </c>
      <c r="M55" s="88">
        <f t="shared" si="38"/>
        <v>39598.275801806376</v>
      </c>
      <c r="N55" s="88">
        <f t="shared" si="38"/>
        <v>44490.531958667714</v>
      </c>
      <c r="O55" s="88">
        <f t="shared" si="38"/>
        <v>49197.692476217169</v>
      </c>
      <c r="P55" s="88">
        <f t="shared" si="38"/>
        <v>54309.546340821355</v>
      </c>
      <c r="Q55" s="88">
        <f t="shared" si="38"/>
        <v>59857.710976263646</v>
      </c>
      <c r="R55" s="88">
        <f t="shared" si="38"/>
        <v>65876.141001132055</v>
      </c>
      <c r="S55" s="65">
        <f>R55*(1+$E$6)</f>
        <v>66534.902411143383</v>
      </c>
      <c r="T55" s="65">
        <f t="shared" ref="T55:CE55" si="39">S55*(1+$E$6)</f>
        <v>67200.251435254817</v>
      </c>
      <c r="U55" s="65">
        <f t="shared" si="39"/>
        <v>67872.253949607359</v>
      </c>
      <c r="V55" s="65">
        <f t="shared" si="39"/>
        <v>68550.976489103428</v>
      </c>
      <c r="W55" s="65">
        <f t="shared" si="39"/>
        <v>69236.486253994459</v>
      </c>
      <c r="X55" s="65">
        <f t="shared" si="39"/>
        <v>69928.85111653441</v>
      </c>
      <c r="Y55" s="65">
        <f t="shared" si="39"/>
        <v>70628.139627699755</v>
      </c>
      <c r="Z55" s="65">
        <f t="shared" si="39"/>
        <v>71334.421023976756</v>
      </c>
      <c r="AA55" s="65">
        <f t="shared" si="39"/>
        <v>72047.765234216524</v>
      </c>
      <c r="AB55" s="65">
        <f t="shared" si="39"/>
        <v>72768.242886558684</v>
      </c>
      <c r="AC55" s="65">
        <f t="shared" si="39"/>
        <v>73495.925315424276</v>
      </c>
      <c r="AD55" s="65">
        <f t="shared" si="39"/>
        <v>74230.88456857852</v>
      </c>
      <c r="AE55" s="65">
        <f t="shared" si="39"/>
        <v>74973.1934142643</v>
      </c>
      <c r="AF55" s="65">
        <f t="shared" si="39"/>
        <v>75722.925348406949</v>
      </c>
      <c r="AG55" s="65">
        <f t="shared" si="39"/>
        <v>76480.154601891016</v>
      </c>
      <c r="AH55" s="65">
        <f t="shared" si="39"/>
        <v>77244.956147909921</v>
      </c>
      <c r="AI55" s="65">
        <f t="shared" si="39"/>
        <v>78017.405709389015</v>
      </c>
      <c r="AJ55" s="65">
        <f t="shared" si="39"/>
        <v>78797.579766482901</v>
      </c>
      <c r="AK55" s="65">
        <f t="shared" si="39"/>
        <v>79585.555564147726</v>
      </c>
      <c r="AL55" s="65">
        <f t="shared" si="39"/>
        <v>80381.411119789205</v>
      </c>
      <c r="AM55" s="65">
        <f t="shared" si="39"/>
        <v>81185.225230987096</v>
      </c>
      <c r="AN55" s="65">
        <f t="shared" si="39"/>
        <v>81997.077483296962</v>
      </c>
      <c r="AO55" s="65">
        <f t="shared" si="39"/>
        <v>82817.048258129929</v>
      </c>
      <c r="AP55" s="65">
        <f t="shared" si="39"/>
        <v>83645.218740711236</v>
      </c>
      <c r="AQ55" s="65">
        <f t="shared" si="39"/>
        <v>84481.670928118343</v>
      </c>
      <c r="AR55" s="65">
        <f t="shared" si="39"/>
        <v>85326.487637399521</v>
      </c>
      <c r="AS55" s="65">
        <f t="shared" si="39"/>
        <v>86179.752513773521</v>
      </c>
      <c r="AT55" s="65">
        <f t="shared" si="39"/>
        <v>87041.550038911257</v>
      </c>
      <c r="AU55" s="65">
        <f t="shared" si="39"/>
        <v>87911.965539300363</v>
      </c>
      <c r="AV55" s="65">
        <f t="shared" si="39"/>
        <v>88791.085194693369</v>
      </c>
      <c r="AW55" s="65">
        <f t="shared" si="39"/>
        <v>89678.996046640299</v>
      </c>
      <c r="AX55" s="65">
        <f t="shared" si="39"/>
        <v>90575.786007106697</v>
      </c>
      <c r="AY55" s="65">
        <f t="shared" si="39"/>
        <v>91481.543867177767</v>
      </c>
      <c r="AZ55" s="65">
        <f t="shared" si="39"/>
        <v>92396.359305849546</v>
      </c>
      <c r="BA55" s="65">
        <f t="shared" si="39"/>
        <v>93320.322898908038</v>
      </c>
      <c r="BB55" s="65">
        <f t="shared" si="39"/>
        <v>94253.526127897116</v>
      </c>
      <c r="BC55" s="65">
        <f t="shared" si="39"/>
        <v>95196.061389176088</v>
      </c>
      <c r="BD55" s="65">
        <f t="shared" si="39"/>
        <v>96148.022003067847</v>
      </c>
      <c r="BE55" s="65">
        <f t="shared" si="39"/>
        <v>97109.50222309852</v>
      </c>
      <c r="BF55" s="65">
        <f t="shared" si="39"/>
        <v>98080.597245329511</v>
      </c>
      <c r="BG55" s="65">
        <f t="shared" si="39"/>
        <v>99061.403217782805</v>
      </c>
      <c r="BH55" s="65">
        <f t="shared" si="39"/>
        <v>100052.01724996063</v>
      </c>
      <c r="BI55" s="65">
        <f t="shared" si="39"/>
        <v>101052.53742246023</v>
      </c>
      <c r="BJ55" s="65">
        <f t="shared" si="39"/>
        <v>102063.06279668483</v>
      </c>
      <c r="BK55" s="65">
        <f t="shared" si="39"/>
        <v>103083.69342465168</v>
      </c>
      <c r="BL55" s="65">
        <f t="shared" si="39"/>
        <v>104114.53035889819</v>
      </c>
      <c r="BM55" s="65">
        <f t="shared" si="39"/>
        <v>105155.67566248718</v>
      </c>
      <c r="BN55" s="65">
        <f t="shared" si="39"/>
        <v>106207.23241911206</v>
      </c>
      <c r="BO55" s="65">
        <f t="shared" si="39"/>
        <v>107269.30474330318</v>
      </c>
      <c r="BP55" s="65">
        <f t="shared" si="39"/>
        <v>108341.9977907362</v>
      </c>
      <c r="BQ55" s="65">
        <f t="shared" si="39"/>
        <v>109425.41776864357</v>
      </c>
      <c r="BR55" s="65">
        <f t="shared" si="39"/>
        <v>110519.67194633001</v>
      </c>
      <c r="BS55" s="65">
        <f t="shared" si="39"/>
        <v>111624.86866579331</v>
      </c>
      <c r="BT55" s="65">
        <f t="shared" si="39"/>
        <v>112741.11735245124</v>
      </c>
      <c r="BU55" s="65">
        <f t="shared" si="39"/>
        <v>113868.52852597575</v>
      </c>
      <c r="BV55" s="65">
        <f t="shared" si="39"/>
        <v>115007.2138112355</v>
      </c>
      <c r="BW55" s="65">
        <f t="shared" si="39"/>
        <v>116157.28594934786</v>
      </c>
      <c r="BX55" s="65">
        <f t="shared" si="39"/>
        <v>117318.85880884134</v>
      </c>
      <c r="BY55" s="65">
        <f t="shared" si="39"/>
        <v>118492.04739692975</v>
      </c>
      <c r="BZ55" s="65">
        <f t="shared" si="39"/>
        <v>119676.96787089904</v>
      </c>
      <c r="CA55" s="65">
        <f t="shared" si="39"/>
        <v>120873.73754960803</v>
      </c>
      <c r="CB55" s="65">
        <f t="shared" si="39"/>
        <v>122082.47492510412</v>
      </c>
      <c r="CC55" s="65">
        <f t="shared" si="39"/>
        <v>123303.29967435516</v>
      </c>
      <c r="CD55" s="65">
        <f t="shared" si="39"/>
        <v>124536.33267109872</v>
      </c>
      <c r="CE55" s="65">
        <f t="shared" si="39"/>
        <v>125781.6959978097</v>
      </c>
      <c r="CF55" s="65">
        <f t="shared" ref="CF55:CH55" si="40">CE55*(1+$E$6)</f>
        <v>127039.5129577878</v>
      </c>
      <c r="CG55" s="65">
        <f t="shared" si="40"/>
        <v>128309.90808736568</v>
      </c>
      <c r="CH55" s="65">
        <f t="shared" si="40"/>
        <v>129593.00716823933</v>
      </c>
    </row>
    <row r="56" spans="1:86" x14ac:dyDescent="0.25">
      <c r="A56" s="1"/>
      <c r="B56" s="6"/>
      <c r="C56" s="23"/>
      <c r="D56" s="23"/>
      <c r="E56" s="23"/>
      <c r="F56" s="23"/>
      <c r="G56" s="23"/>
      <c r="H56" s="23"/>
      <c r="I56" s="13"/>
      <c r="J56" s="85"/>
      <c r="K56" s="85"/>
      <c r="L56" s="85"/>
      <c r="M56" s="85"/>
      <c r="N56" s="85"/>
      <c r="O56" s="85"/>
      <c r="P56" s="85"/>
      <c r="Q56" s="85"/>
      <c r="R56" s="86"/>
    </row>
    <row r="57" spans="1:86" x14ac:dyDescent="0.25">
      <c r="A57" s="1"/>
      <c r="B57" s="10" t="s">
        <v>27</v>
      </c>
      <c r="C57" s="26">
        <f>C54+C45+C48-C51</f>
        <v>19268</v>
      </c>
      <c r="D57" s="26">
        <f t="shared" ref="D57:F57" si="41">D54+D45+D48-D51</f>
        <v>20089</v>
      </c>
      <c r="E57" s="26">
        <f t="shared" si="41"/>
        <v>13702</v>
      </c>
      <c r="F57" s="26">
        <f t="shared" si="41"/>
        <v>31127</v>
      </c>
      <c r="G57" s="26">
        <f>G54+G45+G48-G51</f>
        <v>43244</v>
      </c>
      <c r="H57" s="26">
        <f>H54+H45+H48-H51</f>
        <v>6135</v>
      </c>
      <c r="I57" s="73">
        <f>I54+I45+I48-I51</f>
        <v>19743.812093741748</v>
      </c>
      <c r="J57" s="88">
        <f t="shared" ref="J57:R57" si="42">J54+J45+J48-J51</f>
        <v>22241.849854454547</v>
      </c>
      <c r="K57" s="88">
        <f t="shared" si="42"/>
        <v>28227.794607256066</v>
      </c>
      <c r="L57" s="88">
        <f t="shared" si="42"/>
        <v>32115.786504591997</v>
      </c>
      <c r="M57" s="88">
        <f t="shared" si="42"/>
        <v>41780.634935912989</v>
      </c>
      <c r="N57" s="88">
        <f t="shared" si="42"/>
        <v>49765.871235944156</v>
      </c>
      <c r="O57" s="88">
        <f t="shared" si="42"/>
        <v>62408.082345427574</v>
      </c>
      <c r="P57" s="88">
        <f t="shared" si="42"/>
        <v>70081.654743479448</v>
      </c>
      <c r="Q57" s="88">
        <f t="shared" si="42"/>
        <v>73841.083475883439</v>
      </c>
      <c r="R57" s="88">
        <f t="shared" si="42"/>
        <v>84152.347587204815</v>
      </c>
    </row>
    <row r="58" spans="1:86" x14ac:dyDescent="0.25">
      <c r="A58" s="1"/>
      <c r="B58" s="27" t="s">
        <v>28</v>
      </c>
      <c r="C58" s="1"/>
      <c r="D58" s="1"/>
      <c r="E58" s="1"/>
      <c r="F58" s="1"/>
      <c r="G58" s="1"/>
      <c r="H58" s="1"/>
      <c r="I58" s="71">
        <f t="shared" ref="I58:R58" si="43">I57/((1+$E$5)^I9)</f>
        <v>17872.521387378787</v>
      </c>
      <c r="J58" s="68">
        <f t="shared" si="43"/>
        <v>18225.545564265503</v>
      </c>
      <c r="K58" s="68">
        <f t="shared" si="43"/>
        <v>20938.299024814693</v>
      </c>
      <c r="L58" s="68">
        <f t="shared" si="43"/>
        <v>21564.422274352321</v>
      </c>
      <c r="M58" s="68">
        <f t="shared" si="43"/>
        <v>25395.052638028857</v>
      </c>
      <c r="N58" s="68">
        <f t="shared" si="43"/>
        <v>27381.706411647017</v>
      </c>
      <c r="O58" s="68">
        <f t="shared" si="43"/>
        <v>31083.116227442239</v>
      </c>
      <c r="P58" s="68">
        <f t="shared" si="43"/>
        <v>31596.783794896721</v>
      </c>
      <c r="Q58" s="68">
        <f t="shared" si="43"/>
        <v>30136.402498500815</v>
      </c>
      <c r="R58" s="68">
        <f t="shared" si="43"/>
        <v>31089.547382452725</v>
      </c>
    </row>
    <row r="59" spans="1:86" x14ac:dyDescent="0.25">
      <c r="A59" s="1"/>
      <c r="B59" s="28"/>
      <c r="C59" s="28"/>
      <c r="D59" s="28"/>
      <c r="E59" s="28"/>
      <c r="F59" s="28"/>
      <c r="G59" s="28"/>
      <c r="H59" s="28"/>
      <c r="I59" s="16"/>
      <c r="J59" s="1"/>
      <c r="K59" s="1"/>
      <c r="L59" s="1"/>
      <c r="M59" s="1"/>
      <c r="N59" s="1"/>
      <c r="O59" s="1"/>
      <c r="P59" s="1"/>
      <c r="Q59" s="1"/>
      <c r="R59" s="1"/>
    </row>
    <row r="60" spans="1:86" x14ac:dyDescent="0.25">
      <c r="A60" s="1"/>
      <c r="B60" s="1" t="s">
        <v>29</v>
      </c>
      <c r="C60" s="29">
        <f>(R57*(1+$E$6))/($E$5-$E$6)</f>
        <v>897486.55819335883</v>
      </c>
      <c r="D60" s="1"/>
      <c r="E60" s="1" t="s">
        <v>30</v>
      </c>
      <c r="F60" s="19">
        <f>NPV($E$5,I55:CH55)</f>
        <v>501976.49955862516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30">
        <f>C60/((1+$E$5)^$R$9)</f>
        <v>331570.67718345328</v>
      </c>
      <c r="D61" s="17"/>
      <c r="E61" s="3"/>
      <c r="F61" s="3"/>
      <c r="G61" s="3"/>
      <c r="H61" s="17"/>
      <c r="I61" s="13"/>
      <c r="J61" s="1"/>
      <c r="L61" s="55" t="s">
        <v>52</v>
      </c>
      <c r="M61" s="56"/>
      <c r="N61" s="56"/>
      <c r="O61" s="56"/>
      <c r="P61" s="56"/>
      <c r="Q61" s="55"/>
    </row>
    <row r="62" spans="1:86" x14ac:dyDescent="0.25">
      <c r="A62" s="1"/>
      <c r="B62" s="6" t="s">
        <v>32</v>
      </c>
      <c r="C62" s="6"/>
      <c r="D62" s="1"/>
      <c r="E62" s="6"/>
      <c r="F62" s="6"/>
      <c r="G62" s="31" t="s">
        <v>33</v>
      </c>
      <c r="H62" s="31" t="s">
        <v>30</v>
      </c>
      <c r="I62" s="16"/>
      <c r="J62" s="1"/>
      <c r="K62" s="55"/>
      <c r="L62" s="57">
        <f>D68</f>
        <v>216.68308435012676</v>
      </c>
      <c r="M62" s="58">
        <v>-0.03</v>
      </c>
      <c r="N62" s="58">
        <v>-0.02</v>
      </c>
      <c r="O62" s="58">
        <v>0.01</v>
      </c>
      <c r="P62" s="58">
        <v>0.02</v>
      </c>
      <c r="Q62" s="58">
        <v>0.03</v>
      </c>
    </row>
    <row r="63" spans="1:86" x14ac:dyDescent="0.25">
      <c r="A63" s="1"/>
      <c r="B63" s="32" t="s">
        <v>34</v>
      </c>
      <c r="C63" s="1"/>
      <c r="D63" s="25">
        <f>11551+25888</f>
        <v>37439</v>
      </c>
      <c r="E63" s="1"/>
      <c r="F63" s="1"/>
      <c r="G63" s="29">
        <f>C61+SUM(I58:R58)</f>
        <v>586854.07438723301</v>
      </c>
      <c r="H63" s="19">
        <f>F60</f>
        <v>501976.49955862516</v>
      </c>
      <c r="I63" s="16"/>
      <c r="J63" s="1"/>
      <c r="K63" s="55"/>
      <c r="L63" s="59">
        <f>L64-2%</f>
        <v>6.470211034042625E-2</v>
      </c>
      <c r="M63" s="60">
        <f t="dataTable" ref="M63:Q67" dt2D="1" dtr="1" r1="E6" r2="E5"/>
        <v>284.43597080320376</v>
      </c>
      <c r="N63" s="60">
        <v>304.76922205847757</v>
      </c>
      <c r="O63" s="60">
        <v>407.99962762728489</v>
      </c>
      <c r="P63" s="60">
        <v>470.30905991267076</v>
      </c>
      <c r="Q63" s="60">
        <v>563.49301702990329</v>
      </c>
    </row>
    <row r="64" spans="1:86" x14ac:dyDescent="0.25">
      <c r="A64" s="1"/>
      <c r="B64" s="33" t="s">
        <v>35</v>
      </c>
      <c r="C64" s="3"/>
      <c r="D64" s="83">
        <v>19345</v>
      </c>
      <c r="E64" s="3"/>
      <c r="F64" s="3"/>
      <c r="G64" s="3"/>
      <c r="H64" s="3"/>
      <c r="I64" s="16"/>
      <c r="J64" s="1"/>
      <c r="K64" s="56"/>
      <c r="L64" s="59">
        <f>L65-2%</f>
        <v>8.4702110340426254E-2</v>
      </c>
      <c r="M64" s="60">
        <v>222.15014752941323</v>
      </c>
      <c r="N64" s="61">
        <v>233.69593419555764</v>
      </c>
      <c r="O64" s="61">
        <v>286.47302675492551</v>
      </c>
      <c r="P64" s="61">
        <v>314.47348295136783</v>
      </c>
      <c r="Q64" s="60">
        <v>351.96310408848865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4">
        <f>(G63+D63-D64)</f>
        <v>604948.07438723301</v>
      </c>
      <c r="H65" s="35">
        <f>(H63+D63-D64)</f>
        <v>520070.49955862516</v>
      </c>
      <c r="I65" s="16"/>
      <c r="J65"/>
      <c r="K65" s="55" t="s">
        <v>1</v>
      </c>
      <c r="L65" s="62">
        <v>0.10470211034042626</v>
      </c>
      <c r="M65" s="60">
        <v>179.81167919011148</v>
      </c>
      <c r="N65" s="61">
        <v>186.82662677050899</v>
      </c>
      <c r="O65" s="63">
        <v>216.68308435012676</v>
      </c>
      <c r="P65" s="61">
        <v>231.24913320736536</v>
      </c>
      <c r="Q65" s="60">
        <v>249.58317968242733</v>
      </c>
    </row>
    <row r="66" spans="1:17" x14ac:dyDescent="0.25">
      <c r="A66" s="1"/>
      <c r="B66" s="3" t="s">
        <v>37</v>
      </c>
      <c r="C66" s="3"/>
      <c r="D66" s="39">
        <v>2596</v>
      </c>
      <c r="E66" s="3"/>
      <c r="F66" s="3"/>
      <c r="G66" s="3"/>
      <c r="H66" s="3"/>
      <c r="I66" s="16"/>
      <c r="J66" s="1"/>
      <c r="K66" s="55"/>
      <c r="L66" s="64">
        <f>L65+2%</f>
        <v>0.12470211034042626</v>
      </c>
      <c r="M66" s="60">
        <v>149.52193194664142</v>
      </c>
      <c r="N66" s="61">
        <v>154.00331046858201</v>
      </c>
      <c r="O66" s="61">
        <v>172.1200770940026</v>
      </c>
      <c r="P66" s="61">
        <v>180.44893358950895</v>
      </c>
      <c r="Q66" s="60">
        <v>190.51110466498773</v>
      </c>
    </row>
    <row r="67" spans="1:17" x14ac:dyDescent="0.25">
      <c r="A67" s="1"/>
      <c r="B67" s="18" t="s">
        <v>38</v>
      </c>
      <c r="C67" s="18"/>
      <c r="D67" s="18">
        <f>D66*$J$5</f>
        <v>603414.24</v>
      </c>
      <c r="E67" s="18"/>
      <c r="F67" s="18"/>
      <c r="G67" s="18"/>
      <c r="H67" s="36"/>
      <c r="I67" s="1"/>
      <c r="J67" s="1"/>
      <c r="K67" s="55"/>
      <c r="L67" s="64">
        <f>L66+2%</f>
        <v>0.14470211034042627</v>
      </c>
      <c r="M67" s="60">
        <v>127.00544996210857</v>
      </c>
      <c r="N67" s="60">
        <v>129.98101825494217</v>
      </c>
      <c r="O67" s="60">
        <v>141.55513381019256</v>
      </c>
      <c r="P67" s="60">
        <v>146.64705190415251</v>
      </c>
      <c r="Q67" s="60">
        <v>152.62146662654021</v>
      </c>
    </row>
    <row r="68" spans="1:17" x14ac:dyDescent="0.25">
      <c r="A68" s="1"/>
      <c r="B68" s="6" t="s">
        <v>39</v>
      </c>
      <c r="C68" s="6" t="s">
        <v>40</v>
      </c>
      <c r="D68" s="37">
        <f>(G68+H68)/2</f>
        <v>216.68308435012676</v>
      </c>
      <c r="F68" s="6"/>
      <c r="G68" s="37">
        <f>G65/D66</f>
        <v>233.03084529554431</v>
      </c>
      <c r="H68" s="37">
        <f>H65/D66</f>
        <v>200.33532340470924</v>
      </c>
      <c r="I68" s="16"/>
      <c r="J68" s="1"/>
    </row>
    <row r="69" spans="1:17" x14ac:dyDescent="0.25">
      <c r="A69"/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B17" sqref="B17"/>
    </sheetView>
  </sheetViews>
  <sheetFormatPr defaultRowHeight="15" x14ac:dyDescent="0.25"/>
  <cols>
    <col min="11" max="11" width="11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'META DCF'!I42</f>
        <v>0.20649999999999999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1.19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'META DCF'!D67</f>
        <v>603414.24</v>
      </c>
      <c r="D12" s="2"/>
      <c r="E12" s="2" t="s">
        <v>35</v>
      </c>
      <c r="F12" s="2"/>
      <c r="G12" s="25">
        <f>'META DCF'!D64</f>
        <v>19345</v>
      </c>
      <c r="H12" s="2"/>
      <c r="I12" s="2" t="s">
        <v>47</v>
      </c>
      <c r="J12" s="2"/>
      <c r="K12" s="25">
        <f>G12+C12</f>
        <v>622759.24</v>
      </c>
      <c r="L12" s="2"/>
    </row>
    <row r="13" spans="1:14" x14ac:dyDescent="0.25">
      <c r="A13" s="2" t="s">
        <v>48</v>
      </c>
      <c r="B13" s="2"/>
      <c r="C13" s="47">
        <f>C12/K12</f>
        <v>0.96893663111285189</v>
      </c>
      <c r="D13" s="2"/>
      <c r="E13" s="2" t="s">
        <v>49</v>
      </c>
      <c r="F13" s="2"/>
      <c r="G13" s="48">
        <f>G12/K12</f>
        <v>3.1063368887148106E-2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0.10754999999999999</v>
      </c>
      <c r="D14" s="2"/>
      <c r="E14" s="2" t="s">
        <v>51</v>
      </c>
      <c r="F14" s="2"/>
      <c r="G14" s="50">
        <v>0.02</v>
      </c>
      <c r="H14" s="2"/>
      <c r="I14" s="51" t="s">
        <v>1</v>
      </c>
      <c r="J14" s="52"/>
      <c r="K14" s="78">
        <f>C13*C14+G14*G13*(1-D6)</f>
        <v>0.10470211034042626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2023-05-09T15:35:30Z</dcterms:modified>
</cp:coreProperties>
</file>