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89F88D2B-2F30-43BF-8CD3-B5086AD18A73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DOCU" sheetId="1" r:id="rId1"/>
    <sheet name="WACC" sheetId="2" r:id="rId2"/>
    <sheet name="Raw IS" sheetId="3" r:id="rId3"/>
    <sheet name="Raw CF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K9" i="1" s="1"/>
  <c r="L9" i="1" s="1"/>
  <c r="M9" i="1" s="1"/>
  <c r="N9" i="1" s="1"/>
  <c r="D64" i="1"/>
  <c r="D63" i="1"/>
  <c r="D66" i="1"/>
  <c r="J48" i="1"/>
  <c r="K48" i="1"/>
  <c r="L48" i="1"/>
  <c r="M48" i="1"/>
  <c r="N48" i="1"/>
  <c r="O48" i="1"/>
  <c r="P48" i="1"/>
  <c r="Q48" i="1"/>
  <c r="R48" i="1"/>
  <c r="I48" i="1"/>
  <c r="J45" i="1"/>
  <c r="K45" i="1"/>
  <c r="L45" i="1"/>
  <c r="M45" i="1"/>
  <c r="N45" i="1"/>
  <c r="O45" i="1"/>
  <c r="P45" i="1"/>
  <c r="Q45" i="1"/>
  <c r="R45" i="1"/>
  <c r="I45" i="1"/>
  <c r="H42" i="1"/>
  <c r="J33" i="1"/>
  <c r="K33" i="1"/>
  <c r="L33" i="1"/>
  <c r="M33" i="1"/>
  <c r="N33" i="1"/>
  <c r="P33" i="1"/>
  <c r="Q33" i="1"/>
  <c r="R33" i="1"/>
  <c r="I33" i="1"/>
  <c r="D34" i="1"/>
  <c r="E34" i="1"/>
  <c r="F34" i="1"/>
  <c r="G34" i="1"/>
  <c r="H34" i="1"/>
  <c r="C34" i="1"/>
  <c r="G51" i="1"/>
  <c r="H51" i="1"/>
  <c r="F51" i="1"/>
  <c r="D51" i="1"/>
  <c r="E51" i="1"/>
  <c r="C51" i="1"/>
  <c r="G48" i="1"/>
  <c r="H48" i="1"/>
  <c r="F48" i="1"/>
  <c r="D48" i="1"/>
  <c r="E48" i="1"/>
  <c r="C48" i="1"/>
  <c r="G45" i="1"/>
  <c r="H45" i="1"/>
  <c r="F45" i="1"/>
  <c r="D45" i="1"/>
  <c r="E45" i="1"/>
  <c r="C45" i="1"/>
  <c r="G41" i="1"/>
  <c r="H41" i="1"/>
  <c r="F41" i="1"/>
  <c r="D41" i="1"/>
  <c r="E41" i="1"/>
  <c r="C41" i="1"/>
  <c r="G33" i="1"/>
  <c r="H33" i="1"/>
  <c r="F33" i="1"/>
  <c r="D33" i="1"/>
  <c r="E33" i="1"/>
  <c r="C33" i="1"/>
  <c r="F28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G28" i="1" s="1"/>
  <c r="H19" i="1"/>
  <c r="H28" i="1" s="1"/>
  <c r="F19" i="1"/>
  <c r="D19" i="1"/>
  <c r="D28" i="1" s="1"/>
  <c r="E19" i="1"/>
  <c r="E28" i="1" s="1"/>
  <c r="C19" i="1"/>
  <c r="C28" i="1" s="1"/>
  <c r="G14" i="1"/>
  <c r="H14" i="1"/>
  <c r="F14" i="1"/>
  <c r="D14" i="1"/>
  <c r="E14" i="1"/>
  <c r="C14" i="1"/>
  <c r="G11" i="1"/>
  <c r="H11" i="1"/>
  <c r="H20" i="1" s="1"/>
  <c r="F11" i="1"/>
  <c r="D11" i="1"/>
  <c r="E11" i="1"/>
  <c r="C11" i="1"/>
  <c r="D6" i="2"/>
  <c r="G12" i="2"/>
  <c r="L64" i="1"/>
  <c r="L63" i="1" s="1"/>
  <c r="D67" i="1"/>
  <c r="C12" i="2" s="1"/>
  <c r="L66" i="1"/>
  <c r="L67" i="1" s="1"/>
  <c r="I11" i="1" l="1"/>
  <c r="C29" i="1"/>
  <c r="H12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49" i="1"/>
  <c r="D49" i="1"/>
  <c r="C49" i="1"/>
  <c r="F49" i="1"/>
  <c r="G49" i="1"/>
  <c r="H49" i="1"/>
  <c r="G46" i="1"/>
  <c r="H46" i="1"/>
  <c r="E46" i="1"/>
  <c r="C46" i="1"/>
  <c r="E29" i="1"/>
  <c r="G29" i="1"/>
  <c r="G26" i="1"/>
  <c r="D52" i="1"/>
  <c r="C52" i="1"/>
  <c r="D46" i="1"/>
  <c r="E26" i="1"/>
  <c r="C26" i="1"/>
  <c r="D16" i="1"/>
  <c r="D31" i="1" s="1"/>
  <c r="D36" i="1" s="1"/>
  <c r="D55" i="1" s="1"/>
  <c r="E16" i="1"/>
  <c r="E31" i="1" s="1"/>
  <c r="E36" i="1" s="1"/>
  <c r="E55" i="1" s="1"/>
  <c r="C16" i="1"/>
  <c r="C31" i="1" s="1"/>
  <c r="C36" i="1" s="1"/>
  <c r="C55" i="1" s="1"/>
  <c r="F52" i="1"/>
  <c r="G52" i="1"/>
  <c r="H52" i="1"/>
  <c r="F46" i="1"/>
  <c r="F16" i="1"/>
  <c r="F31" i="1" s="1"/>
  <c r="F36" i="1" s="1"/>
  <c r="F55" i="1" s="1"/>
  <c r="G16" i="1"/>
  <c r="G31" i="1" s="1"/>
  <c r="G36" i="1" s="1"/>
  <c r="G55" i="1" s="1"/>
  <c r="H16" i="1"/>
  <c r="D12" i="1"/>
  <c r="E12" i="1"/>
  <c r="F12" i="1"/>
  <c r="G12" i="1"/>
  <c r="O9" i="1"/>
  <c r="P9" i="1" s="1"/>
  <c r="Q9" i="1" s="1"/>
  <c r="R9" i="1" s="1"/>
  <c r="H36" i="1" l="1"/>
  <c r="H55" i="1" s="1"/>
  <c r="H31" i="1"/>
  <c r="J11" i="1"/>
  <c r="K11" i="1" s="1"/>
  <c r="L11" i="1" s="1"/>
  <c r="M11" i="1" s="1"/>
  <c r="N11" i="1" s="1"/>
  <c r="O11" i="1" s="1"/>
  <c r="P11" i="1" s="1"/>
  <c r="Q11" i="1" s="1"/>
  <c r="C38" i="1"/>
  <c r="E38" i="1"/>
  <c r="E54" i="1" s="1"/>
  <c r="F17" i="1"/>
  <c r="D17" i="1"/>
  <c r="I22" i="1"/>
  <c r="I25" i="1"/>
  <c r="H17" i="1"/>
  <c r="I51" i="1"/>
  <c r="E52" i="1"/>
  <c r="K12" i="2"/>
  <c r="I16" i="1"/>
  <c r="G17" i="1"/>
  <c r="C17" i="1"/>
  <c r="E17" i="1"/>
  <c r="H29" i="1"/>
  <c r="F29" i="1"/>
  <c r="D29" i="1"/>
  <c r="C54" i="1" l="1"/>
  <c r="C57" i="1" s="1"/>
  <c r="E42" i="1"/>
  <c r="G38" i="1"/>
  <c r="G54" i="1" s="1"/>
  <c r="I14" i="1"/>
  <c r="C13" i="2"/>
  <c r="K14" i="2" s="1"/>
  <c r="G13" i="2"/>
  <c r="D38" i="1"/>
  <c r="D54" i="1" s="1"/>
  <c r="F38" i="1"/>
  <c r="F54" i="1" s="1"/>
  <c r="H38" i="1"/>
  <c r="H54" i="1" s="1"/>
  <c r="H57" i="1" s="1"/>
  <c r="F42" i="1" l="1"/>
  <c r="C42" i="1"/>
  <c r="G57" i="1"/>
  <c r="G42" i="1"/>
  <c r="D57" i="1"/>
  <c r="D42" i="1"/>
  <c r="G39" i="1"/>
  <c r="F57" i="1"/>
  <c r="E57" i="1"/>
  <c r="E39" i="1"/>
  <c r="C39" i="1"/>
  <c r="E5" i="1"/>
  <c r="D39" i="1"/>
  <c r="H39" i="1"/>
  <c r="F39" i="1"/>
  <c r="I19" i="1" l="1"/>
  <c r="I28" i="1" s="1"/>
  <c r="I31" i="1" s="1"/>
  <c r="I38" i="1" l="1"/>
  <c r="I39" i="1" s="1"/>
  <c r="I36" i="1"/>
  <c r="I41" i="1"/>
  <c r="I55" i="1" s="1"/>
  <c r="I29" i="1"/>
  <c r="I54" i="1" l="1"/>
  <c r="I57" i="1" s="1"/>
  <c r="I58" i="1" s="1"/>
  <c r="J19" i="1" l="1"/>
  <c r="J22" i="1"/>
  <c r="J51" i="1"/>
  <c r="J25" i="1"/>
  <c r="J16" i="1"/>
  <c r="J28" i="1" l="1"/>
  <c r="J14" i="1"/>
  <c r="J31" i="1" l="1"/>
  <c r="J36" i="1" s="1"/>
  <c r="J29" i="1"/>
  <c r="J38" i="1"/>
  <c r="J39" i="1" s="1"/>
  <c r="K19" i="1"/>
  <c r="K22" i="1"/>
  <c r="K51" i="1"/>
  <c r="K25" i="1"/>
  <c r="K16" i="1"/>
  <c r="K14" i="1" s="1"/>
  <c r="J41" i="1" l="1"/>
  <c r="J55" i="1" s="1"/>
  <c r="K28" i="1"/>
  <c r="K31" i="1" s="1"/>
  <c r="K36" i="1" s="1"/>
  <c r="K38" i="1" l="1"/>
  <c r="K39" i="1" s="1"/>
  <c r="J54" i="1"/>
  <c r="J57" i="1" s="1"/>
  <c r="J58" i="1" s="1"/>
  <c r="K29" i="1"/>
  <c r="K41" i="1" l="1"/>
  <c r="K55" i="1" s="1"/>
  <c r="L19" i="1"/>
  <c r="L25" i="1"/>
  <c r="L51" i="1"/>
  <c r="L22" i="1"/>
  <c r="L16" i="1"/>
  <c r="L28" i="1" l="1"/>
  <c r="L31" i="1" s="1"/>
  <c r="L36" i="1" s="1"/>
  <c r="K54" i="1"/>
  <c r="K57" i="1" s="1"/>
  <c r="K58" i="1" s="1"/>
  <c r="L29" i="1"/>
  <c r="L14" i="1"/>
  <c r="L38" i="1"/>
  <c r="L39" i="1" s="1"/>
  <c r="M19" i="1"/>
  <c r="M51" i="1"/>
  <c r="M22" i="1"/>
  <c r="M25" i="1"/>
  <c r="M16" i="1"/>
  <c r="M14" i="1" s="1"/>
  <c r="L41" i="1" l="1"/>
  <c r="L54" i="1" s="1"/>
  <c r="L57" i="1" s="1"/>
  <c r="L58" i="1" s="1"/>
  <c r="M28" i="1"/>
  <c r="M31" i="1" s="1"/>
  <c r="M36" i="1" s="1"/>
  <c r="M29" i="1" l="1"/>
  <c r="L55" i="1"/>
  <c r="M38" i="1"/>
  <c r="M39" i="1" s="1"/>
  <c r="N16" i="1"/>
  <c r="N25" i="1"/>
  <c r="N51" i="1"/>
  <c r="N22" i="1"/>
  <c r="N19" i="1"/>
  <c r="N28" i="1" l="1"/>
  <c r="N31" i="1" s="1"/>
  <c r="N36" i="1" s="1"/>
  <c r="M41" i="1"/>
  <c r="M54" i="1" s="1"/>
  <c r="M57" i="1" s="1"/>
  <c r="M58" i="1" s="1"/>
  <c r="N38" i="1"/>
  <c r="N14" i="1"/>
  <c r="N29" i="1" l="1"/>
  <c r="M55" i="1"/>
  <c r="N41" i="1"/>
  <c r="N54" i="1" s="1"/>
  <c r="N57" i="1" s="1"/>
  <c r="N58" i="1" s="1"/>
  <c r="N39" i="1"/>
  <c r="N55" i="1"/>
  <c r="O16" i="1"/>
  <c r="O22" i="1"/>
  <c r="O25" i="1"/>
  <c r="O51" i="1"/>
  <c r="O19" i="1"/>
  <c r="O28" i="1" l="1"/>
  <c r="O14" i="1"/>
  <c r="O29" i="1" l="1"/>
  <c r="O31" i="1"/>
  <c r="O38" i="1" s="1"/>
  <c r="O41" i="1" s="1"/>
  <c r="P19" i="1"/>
  <c r="P22" i="1"/>
  <c r="P25" i="1"/>
  <c r="P51" i="1"/>
  <c r="P16" i="1"/>
  <c r="P14" i="1" s="1"/>
  <c r="O39" i="1" l="1"/>
  <c r="O54" i="1"/>
  <c r="O57" i="1" s="1"/>
  <c r="O58" i="1" s="1"/>
  <c r="P28" i="1"/>
  <c r="P31" i="1" s="1"/>
  <c r="P36" i="1" s="1"/>
  <c r="P29" i="1" l="1"/>
  <c r="P38" i="1"/>
  <c r="P39" i="1" l="1"/>
  <c r="P41" i="1"/>
  <c r="P55" i="1" s="1"/>
  <c r="P54" i="1" l="1"/>
  <c r="P57" i="1" s="1"/>
  <c r="P58" i="1" s="1"/>
  <c r="Q19" i="1"/>
  <c r="Q51" i="1"/>
  <c r="Q22" i="1"/>
  <c r="Q25" i="1"/>
  <c r="Q16" i="1"/>
  <c r="Q28" i="1" l="1"/>
  <c r="Q31" i="1" s="1"/>
  <c r="Q36" i="1" s="1"/>
  <c r="Q14" i="1"/>
  <c r="Q29" i="1" l="1"/>
  <c r="Q38" i="1"/>
  <c r="Q41" i="1" s="1"/>
  <c r="R11" i="1"/>
  <c r="R51" i="1" s="1"/>
  <c r="Q39" i="1" l="1"/>
  <c r="Q54" i="1"/>
  <c r="Q57" i="1" s="1"/>
  <c r="Q58" i="1" s="1"/>
  <c r="Q55" i="1"/>
  <c r="R22" i="1"/>
  <c r="R19" i="1"/>
  <c r="R16" i="1"/>
  <c r="R14" i="1" s="1"/>
  <c r="R25" i="1"/>
  <c r="R28" i="1" l="1"/>
  <c r="R31" i="1" s="1"/>
  <c r="R36" i="1" s="1"/>
  <c r="R29" i="1" l="1"/>
  <c r="R38" i="1"/>
  <c r="R41" i="1" s="1"/>
  <c r="R55" i="1" s="1"/>
  <c r="R39" i="1" l="1"/>
  <c r="R54" i="1"/>
  <c r="R57" i="1" s="1"/>
  <c r="C60" i="1" s="1"/>
  <c r="C61" i="1" s="1"/>
  <c r="S55" i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R58" i="1"/>
  <c r="G63" i="1" l="1"/>
  <c r="G65" i="1" s="1"/>
  <c r="G68" i="1" s="1"/>
  <c r="O33" i="1"/>
  <c r="O36" i="1" s="1"/>
  <c r="O55" i="1" s="1"/>
  <c r="F60" i="1" s="1"/>
  <c r="H63" i="1" s="1"/>
  <c r="H65" i="1" s="1"/>
  <c r="H68" i="1" s="1"/>
  <c r="D68" i="1" l="1"/>
  <c r="J6" i="1" s="1"/>
  <c r="N5" i="1" s="1"/>
  <c r="L62" i="1" l="1"/>
</calcChain>
</file>

<file path=xl/sharedStrings.xml><?xml version="1.0" encoding="utf-8"?>
<sst xmlns="http://schemas.openxmlformats.org/spreadsheetml/2006/main" count="296" uniqueCount="161">
  <si>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</si>
  <si>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</si>
  <si>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</si>
  <si>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</si>
  <si>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</si>
  <si>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</si>
  <si>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</si>
  <si>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</si>
  <si>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</si>
  <si>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</si>
  <si>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</si>
  <si>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</si>
  <si>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</si>
  <si>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</si>
  <si>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</si>
  <si>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</si>
  <si>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</si>
  <si>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</si>
  <si>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</si>
  <si>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</si>
  <si>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</si>
  <si>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</si>
  <si>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</si>
  <si>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</si>
  <si>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</si>
  <si>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</si>
  <si>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</si>
  <si>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</si>
  <si>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</si>
  <si>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</si>
  <si>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</si>
  <si>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</si>
  <si>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</si>
  <si>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</si>
  <si>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</si>
  <si>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</si>
  <si>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</si>
  <si>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</si>
  <si>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</si>
  <si>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</si>
  <si>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</si>
  <si>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</si>
  <si>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</si>
  <si>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</si>
  <si>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</si>
  <si>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</si>
  <si>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</si>
  <si>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</si>
  <si>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</si>
  <si>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</si>
  <si>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</si>
  <si>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</si>
  <si>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</si>
  <si>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</si>
  <si>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</si>
  <si>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</si>
  <si>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DOCUSIGN, INC.</t>
  </si>
  <si>
    <t/>
  </si>
  <si>
    <t>CONSOLIDATED STATEMENTS OF OPERATIONS AND COMPREHENSIVE LOSS</t>
  </si>
  <si>
    <t>Year Ended January 31,</t>
  </si>
  <si>
    <t>(in thousands, except per share data)</t>
  </si>
  <si>
    <t>Revenue:</t>
  </si>
  <si>
    <t>Subscription</t>
  </si>
  <si>
    <t>Professional services and other</t>
  </si>
  <si>
    <t>Total revenue</t>
  </si>
  <si>
    <t>Cost of revenue:</t>
  </si>
  <si>
    <t>Total cost of revenue</t>
  </si>
  <si>
    <t>Gross profit</t>
  </si>
  <si>
    <t>Operating expenses:</t>
  </si>
  <si>
    <t>Sales and marketing</t>
  </si>
  <si>
    <t>Research and development</t>
  </si>
  <si>
    <t>General and administrative</t>
  </si>
  <si>
    <t>Restructuring and other related charges</t>
  </si>
  <si>
    <t>Total operating expenses</t>
  </si>
  <si>
    <t>Loss from operations</t>
  </si>
  <si>
    <t>Interest expense</t>
  </si>
  <si>
    <t>Loss on extinguishment of debt</t>
  </si>
  <si>
    <t>Interest income and other income, net</t>
  </si>
  <si>
    <t>Loss before provision for income taxes</t>
  </si>
  <si>
    <t>Provision for income taxes</t>
  </si>
  <si>
    <t>Net loss</t>
  </si>
  <si>
    <t>Net loss per share attributable to common stockholders,</t>
  </si>
  <si>
    <t>basic and diluted</t>
  </si>
  <si>
    <t>Weighted-average number of shares used in computing net</t>
  </si>
  <si>
    <t>loss per share attributable to common stockholders,</t>
  </si>
  <si>
    <t>Other comprehensive income (loss):</t>
  </si>
  <si>
    <t>Foreign currency translation gains (losses), net of tax</t>
  </si>
  <si>
    <t>Unrealized losses on investments, net of tax</t>
  </si>
  <si>
    <t>Other comprehensive income (loss)</t>
  </si>
  <si>
    <t>Comprehensive loss</t>
  </si>
  <si>
    <t>Stock-based compensation expense included in costs and</t>
  </si>
  <si>
    <t>expenses:</t>
  </si>
  <si>
    <t>Cost of revenue-subscription</t>
  </si>
  <si>
    <t>Cost of revenue-professional services and other</t>
  </si>
  <si>
    <t>CONSOLIDATED STATEMENTS OF CASH FLOWS</t>
  </si>
  <si>
    <t>(in thousands)</t>
  </si>
  <si>
    <t>Cash flows from operating activities:</t>
  </si>
  <si>
    <t>Adjustments to reconcile net loss to net cash provided by</t>
  </si>
  <si>
    <t>operating activities</t>
  </si>
  <si>
    <t>Depreciation and amortization</t>
  </si>
  <si>
    <t>Amortization of deferred contract acquisition and</t>
  </si>
  <si>
    <t>fulfillment costs</t>
  </si>
  <si>
    <t>Amortization of debt discount and transaction costs</t>
  </si>
  <si>
    <t>Operating cash flow related to repayments of convertible</t>
  </si>
  <si>
    <t>senior notes</t>
  </si>
  <si>
    <t>Non-cash operating lease costs</t>
  </si>
  <si>
    <t>Stock-based compensation expense</t>
  </si>
  <si>
    <t>Deferred income taxes</t>
  </si>
  <si>
    <t>Other</t>
  </si>
  <si>
    <t>Changes in operating assets and liabilities</t>
  </si>
  <si>
    <t>Accounts receivable</t>
  </si>
  <si>
    <t>Prepaid expenses and other current assets</t>
  </si>
  <si>
    <t>Deferred contract acquisition and fulfillment costs</t>
  </si>
  <si>
    <t>Other assets</t>
  </si>
  <si>
    <t>Accounts payable</t>
  </si>
  <si>
    <t>Accrued expenses and other liabilities</t>
  </si>
  <si>
    <t>Accrued compensation</t>
  </si>
  <si>
    <t>Contract liabilities</t>
  </si>
  <si>
    <t>Operating lease liabilities</t>
  </si>
  <si>
    <t>Net cash provided by operating activities</t>
  </si>
  <si>
    <t>Cash flows from investing activities:</t>
  </si>
  <si>
    <t>Cash paid for acquisition, net of acquired cash</t>
  </si>
  <si>
    <t>Purchases of marketable securities</t>
  </si>
  <si>
    <t>Sales of marketable securities</t>
  </si>
  <si>
    <t>Maturities of marketable securities</t>
  </si>
  <si>
    <t>Purchases of strategic and other investments</t>
  </si>
  <si>
    <t>Purchases of property and equipment</t>
  </si>
  <si>
    <t>Net cash (used in) provided by investing activities</t>
  </si>
  <si>
    <t>Cash flows from financing activities:</t>
  </si>
  <si>
    <t>Proceeds from issuance of convertible senior notes, net of</t>
  </si>
  <si>
    <t>initial purchasers' discounts and transaction costs</t>
  </si>
  <si>
    <t>Purchase of capped calls related to issuance of convertible</t>
  </si>
  <si>
    <t>Repayments of convertible senior notes</t>
  </si>
  <si>
    <t>Repurchases of common stock</t>
  </si>
  <si>
    <t>Payment of revolving credit facility costs</t>
  </si>
  <si>
    <t>Payment of tax withholding obligation on RSU settlement and</t>
  </si>
  <si>
    <t>ESPP purchase</t>
  </si>
  <si>
    <t>Proceeds from exercise of stock options</t>
  </si>
  <si>
    <t>Proceeds from employee stock purchase plan</t>
  </si>
  <si>
    <t>Net cash used in financing activities</t>
  </si>
  <si>
    <t>Effect of foreign exchange on cash, cash equivalents and</t>
  </si>
  <si>
    <t>restricted cash</t>
  </si>
  <si>
    <t>Net increase (decrease) in cash, cash equivalents and</t>
  </si>
  <si>
    <t>Cash, cash equivalents and restricted cash at beginning of</t>
  </si>
  <si>
    <t>period</t>
  </si>
  <si>
    <t>Loss before provision for (benefit from) income taxes</t>
  </si>
  <si>
    <t>Provision for (benefit from) income taxes</t>
  </si>
  <si>
    <t>Unrealized gains on investments, net of tax</t>
  </si>
  <si>
    <t>Adjustments to reconcile net loss to net cash used in</t>
  </si>
  <si>
    <t>Contract assets</t>
  </si>
  <si>
    <t>Purchases of strategic investments</t>
  </si>
  <si>
    <t>Proceeds from sale of business held for sale</t>
  </si>
  <si>
    <t>Net cash used in investing activities</t>
  </si>
  <si>
    <t>Proceeds from issuance of common stock in initial public</t>
  </si>
  <si>
    <t>offering, net of underwriting commissions</t>
  </si>
  <si>
    <t>Payment of tax withholding obligation on RSU settlement</t>
  </si>
  <si>
    <t>Payment of deferred offering costs</t>
  </si>
  <si>
    <t>Other financing</t>
  </si>
  <si>
    <t>Net cash provided by (used in) financing activities</t>
  </si>
  <si>
    <t>Cash, cash equivalents and restricted cash at end of period $</t>
  </si>
  <si>
    <t>DocuSign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</si>
</sst>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%"/>
    <numFmt numFmtId="166" formatCode="_(&quot;$&quot;* #,##0_);_(&quot;$&quot;* \(#,##0\);_(&quot;$&quot;* &quot;-&quot;_);_(@_)"/>
    <numFmt numFmtId="167" formatCode="_(* #,##0.00_);_(* \(#,##0.00\);_(* &quot;-&quot;??_);_(@_)"/>
    <numFmt numFmtId="168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2" fontId="3" fillId="2" borderId="0" xfId="0" applyNumberFormat="1" applyFont="1" applyFill="1" applyAlignment="1">
      <alignment horizontal="left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6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7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37" fontId="3" fillId="2" borderId="0" xfId="1" applyNumberFormat="1" applyFont="1" applyFill="1"/>
    <xf numFmtId="37" fontId="0" fillId="2" borderId="0" xfId="0" applyNumberFormat="1" applyFill="1"/>
    <xf numFmtId="0" fontId="10" fillId="0" borderId="0" xfId="0" applyFont="1" applyAlignment="1">
      <alignment horizontal="center" vertical="top" shrinkToFit="1"/>
    </xf>
    <xf numFmtId="0" fontId="10" fillId="0" borderId="0" xfId="0" applyFont="1" applyAlignment="1">
      <alignment vertical="top"/>
    </xf>
    <xf numFmtId="1" fontId="0" fillId="2" borderId="0" xfId="0" applyNumberFormat="1" applyFont="1" applyFill="1" applyBorder="1"/>
    <xf numFmtId="0" fontId="0" fillId="2" borderId="0" xfId="0" applyFont="1" applyFill="1" applyBorder="1"/>
    <xf numFmtId="164" fontId="11" fillId="2" borderId="0" xfId="1" applyNumberFormat="1" applyFont="1" applyFill="1" applyBorder="1"/>
    <xf numFmtId="3" fontId="0" fillId="2" borderId="0" xfId="0" applyNumberFormat="1" applyFont="1" applyFill="1" applyBorder="1"/>
    <xf numFmtId="0" fontId="0" fillId="2" borderId="0" xfId="1" applyNumberFormat="1" applyFont="1" applyFill="1" applyBorder="1"/>
    <xf numFmtId="164" fontId="0" fillId="2" borderId="0" xfId="1" applyNumberFormat="1" applyFont="1" applyFill="1" applyBorder="1"/>
    <xf numFmtId="1" fontId="0" fillId="2" borderId="0" xfId="1" applyNumberFormat="1" applyFont="1" applyFill="1" applyBorder="1"/>
    <xf numFmtId="0" fontId="2" fillId="3" borderId="0" xfId="0" applyFont="1" applyFill="1" applyBorder="1"/>
    <xf numFmtId="164" fontId="0" fillId="2" borderId="0" xfId="0" applyNumberFormat="1" applyFont="1" applyFill="1" applyBorder="1"/>
    <xf numFmtId="1" fontId="0" fillId="2" borderId="1" xfId="0" applyNumberFormat="1" applyFont="1" applyFill="1" applyBorder="1"/>
    <xf numFmtId="1" fontId="0" fillId="2" borderId="4" xfId="0" applyNumberFormat="1" applyFont="1" applyFill="1" applyBorder="1"/>
    <xf numFmtId="0" fontId="0" fillId="2" borderId="4" xfId="0" applyFont="1" applyFill="1" applyBorder="1"/>
    <xf numFmtId="1" fontId="0" fillId="2" borderId="12" xfId="0" applyNumberFormat="1" applyFont="1" applyFill="1" applyBorder="1"/>
    <xf numFmtId="164" fontId="11" fillId="2" borderId="4" xfId="1" applyNumberFormat="1" applyFont="1" applyFill="1" applyBorder="1"/>
    <xf numFmtId="3" fontId="0" fillId="2" borderId="4" xfId="0" applyNumberFormat="1" applyFont="1" applyFill="1" applyBorder="1"/>
    <xf numFmtId="0" fontId="0" fillId="2" borderId="4" xfId="1" applyNumberFormat="1" applyFont="1" applyFill="1" applyBorder="1"/>
    <xf numFmtId="164" fontId="0" fillId="2" borderId="4" xfId="1" applyNumberFormat="1" applyFont="1" applyFill="1" applyBorder="1"/>
    <xf numFmtId="1" fontId="0" fillId="2" borderId="4" xfId="1" applyNumberFormat="1" applyFont="1" applyFill="1" applyBorder="1"/>
    <xf numFmtId="0" fontId="2" fillId="3" borderId="4" xfId="0" applyFont="1" applyFill="1" applyBorder="1"/>
    <xf numFmtId="164" fontId="0" fillId="2" borderId="4" xfId="0" applyNumberFormat="1" applyFont="1" applyFill="1" applyBorder="1"/>
    <xf numFmtId="164" fontId="11" fillId="8" borderId="4" xfId="1" applyNumberFormat="1" applyFont="1" applyFill="1" applyBorder="1"/>
    <xf numFmtId="164" fontId="11" fillId="8" borderId="0" xfId="1" applyNumberFormat="1" applyFont="1" applyFill="1" applyBorder="1"/>
    <xf numFmtId="164" fontId="11" fillId="8" borderId="4" xfId="0" applyNumberFormat="1" applyFont="1" applyFill="1" applyBorder="1"/>
    <xf numFmtId="164" fontId="11" fillId="8" borderId="0" xfId="0" applyNumberFormat="1" applyFont="1" applyFill="1" applyBorder="1"/>
    <xf numFmtId="10" fontId="11" fillId="8" borderId="4" xfId="0" applyNumberFormat="1" applyFont="1" applyFill="1" applyBorder="1"/>
    <xf numFmtId="10" fontId="11" fillId="8" borderId="0" xfId="0" applyNumberFormat="1" applyFont="1" applyFill="1" applyBorder="1"/>
    <xf numFmtId="164" fontId="0" fillId="8" borderId="4" xfId="0" applyNumberFormat="1" applyFont="1" applyFill="1" applyBorder="1"/>
    <xf numFmtId="164" fontId="0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9"/>
  <sheetViews>
    <sheetView tabSelected="1" workbookViewId="0">
      <selection activeCell="G7" sqref="G7"/>
    </sheetView>
  </sheetViews>
  <sheetFormatPr defaultRowHeight="15" x14ac:dyDescent="0.25"/>
  <cols>
    <col min="1" max="1" width="7.7109375" style="2" customWidth="1"/>
    <col min="2" max="2" width="17.140625" style="2" customWidth="1"/>
    <col min="3" max="6" width="9.140625" style="2"/>
    <col min="7" max="8" width="10.7109375" style="2" customWidth="1"/>
    <col min="9" max="9" width="10.140625" style="2" customWidth="1"/>
    <col min="10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48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0.10168007316174504</v>
      </c>
      <c r="G5" s="1"/>
      <c r="H5" s="1" t="s">
        <v>2</v>
      </c>
      <c r="I5" s="1"/>
      <c r="J5" s="7">
        <v>57.02</v>
      </c>
      <c r="K5" s="1"/>
      <c r="L5" s="1" t="s">
        <v>3</v>
      </c>
      <c r="M5" s="1"/>
      <c r="N5" s="64">
        <f>(J6/J5)-1</f>
        <v>3.5472988108367298E-2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9">
        <f>D68</f>
        <v>59.042669781939111</v>
      </c>
      <c r="K6" s="1"/>
      <c r="L6" s="1" t="s">
        <v>53</v>
      </c>
      <c r="M6" s="1"/>
      <c r="N6" s="63">
        <v>45087</v>
      </c>
      <c r="O6" s="1"/>
      <c r="P6" s="1"/>
      <c r="Q6" s="1"/>
    </row>
    <row r="7" spans="1:86" x14ac:dyDescent="0.25">
      <c r="B7" s="63"/>
      <c r="C7" s="1"/>
      <c r="D7" s="1"/>
      <c r="E7" s="9"/>
      <c r="F7" s="1"/>
      <c r="G7" s="1"/>
      <c r="H7" s="1"/>
      <c r="I7" s="1"/>
      <c r="J7" s="1"/>
      <c r="K7" s="1"/>
      <c r="L7" s="54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61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'Raw IS'!H8</f>
        <v>518504</v>
      </c>
      <c r="D11" s="12">
        <f>'Raw IS'!I8</f>
        <v>700969</v>
      </c>
      <c r="E11" s="12">
        <f>'Raw IS'!J8</f>
        <v>973971</v>
      </c>
      <c r="F11" s="12">
        <f>'Raw IS'!B8</f>
        <v>1453047</v>
      </c>
      <c r="G11" s="12">
        <f>'Raw IS'!C8</f>
        <v>2107213</v>
      </c>
      <c r="H11" s="12">
        <f>'Raw IS'!D8</f>
        <v>2515915</v>
      </c>
      <c r="I11" s="90">
        <f t="shared" ref="I11" si="1">H11*(1+I12)</f>
        <v>2700000</v>
      </c>
      <c r="J11" s="80">
        <f t="shared" ref="J11" si="2">I11*(1+J12)</f>
        <v>2900000.0000000005</v>
      </c>
      <c r="K11" s="80">
        <f t="shared" ref="K11" si="3">J11*(1+K12)</f>
        <v>3220000.0000000005</v>
      </c>
      <c r="L11" s="80">
        <f t="shared" ref="L11" si="4">K11*(1+L12)</f>
        <v>3660000.0000000005</v>
      </c>
      <c r="M11" s="80">
        <f t="shared" ref="M11" si="5">L11*(1+M12)</f>
        <v>4030000.0000000005</v>
      </c>
      <c r="N11" s="80">
        <f t="shared" ref="N11" si="6">M11*(1+N12)</f>
        <v>5140000.0000000009</v>
      </c>
      <c r="O11" s="80">
        <f t="shared" ref="O11" si="7">N11*(1+O12)</f>
        <v>5700000.0000000009</v>
      </c>
      <c r="P11" s="80">
        <f t="shared" ref="P11" si="8">O11*(1+P12)</f>
        <v>6280000.0000000019</v>
      </c>
      <c r="Q11" s="80">
        <f t="shared" ref="Q11" si="9">P11*(1+Q12)</f>
        <v>6910000.0000000019</v>
      </c>
      <c r="R11" s="80">
        <f t="shared" ref="R11" si="10">Q11*(1+R12)</f>
        <v>7603200.6369426763</v>
      </c>
    </row>
    <row r="12" spans="1:86" x14ac:dyDescent="0.25">
      <c r="A12" s="1"/>
      <c r="B12" s="66" t="s">
        <v>8</v>
      </c>
      <c r="C12" s="67"/>
      <c r="D12" s="67">
        <f>(D11/C11)-1</f>
        <v>0.35190663910018061</v>
      </c>
      <c r="E12" s="67">
        <f>(E11/D11)-1</f>
        <v>0.38946372806786034</v>
      </c>
      <c r="F12" s="67">
        <f>(F11/E11)-1</f>
        <v>0.49187912165762637</v>
      </c>
      <c r="G12" s="67">
        <f>(G11/F11)-1</f>
        <v>0.45020291841901883</v>
      </c>
      <c r="H12" s="67">
        <f>(H11/G11)-1</f>
        <v>0.19395381482555396</v>
      </c>
      <c r="I12" s="100">
        <v>7.3168211167706332E-2</v>
      </c>
      <c r="J12" s="101">
        <v>7.4074074074074181E-2</v>
      </c>
      <c r="K12" s="101">
        <v>0.1103448275862069</v>
      </c>
      <c r="L12" s="101">
        <v>0.13664596273291929</v>
      </c>
      <c r="M12" s="101">
        <v>0.10109289617486339</v>
      </c>
      <c r="N12" s="101">
        <v>0.27543424317617871</v>
      </c>
      <c r="O12" s="101">
        <v>0.10894941634241251</v>
      </c>
      <c r="P12" s="101">
        <v>0.10175438596491237</v>
      </c>
      <c r="Q12" s="101">
        <v>0.10031847133757954</v>
      </c>
      <c r="R12" s="101">
        <v>0.10031847133757954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91"/>
      <c r="J13" s="81"/>
      <c r="K13" s="81"/>
      <c r="L13" s="81"/>
      <c r="M13" s="81"/>
      <c r="N13" s="81"/>
      <c r="O13" s="81"/>
      <c r="P13" s="81"/>
      <c r="Q13" s="81"/>
      <c r="R13" s="81"/>
    </row>
    <row r="14" spans="1:86" x14ac:dyDescent="0.25">
      <c r="A14" s="1"/>
      <c r="B14" s="1" t="s">
        <v>9</v>
      </c>
      <c r="C14" s="12">
        <f>'Raw IS'!H12</f>
        <v>118273</v>
      </c>
      <c r="D14" s="12">
        <f>'Raw IS'!I12</f>
        <v>192421</v>
      </c>
      <c r="E14" s="12">
        <f>'Raw IS'!J12</f>
        <v>243234</v>
      </c>
      <c r="F14" s="12">
        <f>'Raw IS'!B12</f>
        <v>364058</v>
      </c>
      <c r="G14" s="12">
        <f>'Raw IS'!C12</f>
        <v>466451</v>
      </c>
      <c r="H14" s="12">
        <f>'Raw IS'!D12</f>
        <v>536088</v>
      </c>
      <c r="I14" s="92">
        <f>I11-I16</f>
        <v>494640</v>
      </c>
      <c r="J14" s="89">
        <f t="shared" ref="J14:K14" si="11">J11-J16</f>
        <v>530120</v>
      </c>
      <c r="K14" s="89">
        <f t="shared" si="11"/>
        <v>582820.00000000047</v>
      </c>
      <c r="L14" s="89">
        <f t="shared" ref="L14:R14" si="12">L11-L16</f>
        <v>651480.00000000047</v>
      </c>
      <c r="M14" s="89">
        <f t="shared" si="12"/>
        <v>705250.00000000047</v>
      </c>
      <c r="N14" s="89">
        <f t="shared" si="12"/>
        <v>878940</v>
      </c>
      <c r="O14" s="89">
        <f t="shared" si="12"/>
        <v>957600</v>
      </c>
      <c r="P14" s="89">
        <f t="shared" si="12"/>
        <v>1029920.0000000009</v>
      </c>
      <c r="Q14" s="89">
        <f t="shared" si="12"/>
        <v>1133240.0000000009</v>
      </c>
      <c r="R14" s="89">
        <f t="shared" si="12"/>
        <v>1246924.9044585992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91"/>
      <c r="J15" s="81"/>
      <c r="K15" s="81"/>
      <c r="L15" s="81"/>
      <c r="M15" s="81"/>
      <c r="N15" s="81"/>
      <c r="O15" s="81"/>
      <c r="P15" s="81"/>
      <c r="Q15" s="81"/>
      <c r="R15" s="81"/>
    </row>
    <row r="16" spans="1:86" x14ac:dyDescent="0.25">
      <c r="A16" s="1"/>
      <c r="B16" s="1" t="s">
        <v>10</v>
      </c>
      <c r="C16" s="12">
        <f t="shared" ref="C16:H16" si="13">C11-C14</f>
        <v>400231</v>
      </c>
      <c r="D16" s="12">
        <f t="shared" si="13"/>
        <v>508548</v>
      </c>
      <c r="E16" s="12">
        <f t="shared" si="13"/>
        <v>730737</v>
      </c>
      <c r="F16" s="12">
        <f t="shared" si="13"/>
        <v>1088989</v>
      </c>
      <c r="G16" s="12">
        <f t="shared" si="13"/>
        <v>1640762</v>
      </c>
      <c r="H16" s="12">
        <f t="shared" si="13"/>
        <v>1979827</v>
      </c>
      <c r="I16" s="90">
        <f>I11*I17</f>
        <v>2205360</v>
      </c>
      <c r="J16" s="80">
        <f t="shared" ref="J16:R16" si="14">J11*J17</f>
        <v>2369880.0000000005</v>
      </c>
      <c r="K16" s="80">
        <f t="shared" si="14"/>
        <v>2637180</v>
      </c>
      <c r="L16" s="80">
        <f t="shared" si="14"/>
        <v>3008520</v>
      </c>
      <c r="M16" s="80">
        <f t="shared" si="14"/>
        <v>3324750</v>
      </c>
      <c r="N16" s="80">
        <f t="shared" si="14"/>
        <v>4261060.0000000009</v>
      </c>
      <c r="O16" s="80">
        <f t="shared" si="14"/>
        <v>4742400.0000000009</v>
      </c>
      <c r="P16" s="80">
        <f t="shared" si="14"/>
        <v>5250080.0000000009</v>
      </c>
      <c r="Q16" s="80">
        <f t="shared" si="14"/>
        <v>5776760.0000000009</v>
      </c>
      <c r="R16" s="80">
        <f t="shared" si="14"/>
        <v>6356275.7324840771</v>
      </c>
    </row>
    <row r="17" spans="1:18" x14ac:dyDescent="0.25">
      <c r="A17" s="1"/>
      <c r="B17" s="66" t="s">
        <v>11</v>
      </c>
      <c r="C17" s="67">
        <f t="shared" ref="C17:H17" si="15">C16/C11</f>
        <v>0.7718956845077376</v>
      </c>
      <c r="D17" s="67">
        <f t="shared" si="15"/>
        <v>0.72549285346427583</v>
      </c>
      <c r="E17" s="67">
        <f t="shared" si="15"/>
        <v>0.75026566499413228</v>
      </c>
      <c r="F17" s="67">
        <f t="shared" si="15"/>
        <v>0.74945201359625668</v>
      </c>
      <c r="G17" s="67">
        <f t="shared" si="15"/>
        <v>0.77864079236413219</v>
      </c>
      <c r="H17" s="67">
        <f t="shared" si="15"/>
        <v>0.78692125926352841</v>
      </c>
      <c r="I17" s="102">
        <v>0.81679999999999997</v>
      </c>
      <c r="J17" s="103">
        <v>0.81720000000000004</v>
      </c>
      <c r="K17" s="103">
        <v>0.81899999999999995</v>
      </c>
      <c r="L17" s="103">
        <v>0.82199999999999995</v>
      </c>
      <c r="M17" s="103">
        <v>0.82499999999999996</v>
      </c>
      <c r="N17" s="103">
        <v>0.82899999999999996</v>
      </c>
      <c r="O17" s="103">
        <v>0.83199999999999996</v>
      </c>
      <c r="P17" s="103">
        <v>0.83599999999999997</v>
      </c>
      <c r="Q17" s="103">
        <v>0.83599999999999997</v>
      </c>
      <c r="R17" s="103">
        <v>0.83599999999999997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91"/>
      <c r="J18" s="81"/>
      <c r="K18" s="81"/>
      <c r="L18" s="81"/>
      <c r="M18" s="81"/>
      <c r="N18" s="81"/>
      <c r="O18" s="81"/>
      <c r="P18" s="81"/>
      <c r="Q18" s="81"/>
      <c r="R18" s="81"/>
    </row>
    <row r="19" spans="1:18" x14ac:dyDescent="0.25">
      <c r="A19" s="1"/>
      <c r="B19" s="1" t="s">
        <v>12</v>
      </c>
      <c r="C19" s="12">
        <f>'Raw IS'!H16</f>
        <v>92428</v>
      </c>
      <c r="D19" s="12">
        <f>'Raw IS'!I16</f>
        <v>185968</v>
      </c>
      <c r="E19" s="12">
        <f>'Raw IS'!J16</f>
        <v>185552</v>
      </c>
      <c r="F19" s="12">
        <f>'Raw IS'!B16</f>
        <v>271522</v>
      </c>
      <c r="G19" s="12">
        <f>'Raw IS'!C16</f>
        <v>393362</v>
      </c>
      <c r="H19" s="12">
        <f>'Raw IS'!D16</f>
        <v>480584</v>
      </c>
      <c r="I19" s="90">
        <f>I20*I11</f>
        <v>513000</v>
      </c>
      <c r="J19" s="80">
        <f t="shared" ref="J19:R19" si="16">J20*J11</f>
        <v>536500.00000000012</v>
      </c>
      <c r="K19" s="80">
        <f t="shared" si="16"/>
        <v>595700.00000000012</v>
      </c>
      <c r="L19" s="80">
        <f t="shared" si="16"/>
        <v>658800.00000000012</v>
      </c>
      <c r="M19" s="80">
        <f t="shared" si="16"/>
        <v>725400</v>
      </c>
      <c r="N19" s="80">
        <f t="shared" si="16"/>
        <v>925200.00000000012</v>
      </c>
      <c r="O19" s="80">
        <f t="shared" si="16"/>
        <v>1026000.0000000001</v>
      </c>
      <c r="P19" s="80">
        <f t="shared" si="16"/>
        <v>1130400.0000000002</v>
      </c>
      <c r="Q19" s="80">
        <f t="shared" si="16"/>
        <v>1243800.0000000002</v>
      </c>
      <c r="R19" s="80">
        <f t="shared" si="16"/>
        <v>1368576.1146496816</v>
      </c>
    </row>
    <row r="20" spans="1:18" x14ac:dyDescent="0.25">
      <c r="A20" s="1"/>
      <c r="B20" s="66" t="s">
        <v>18</v>
      </c>
      <c r="C20" s="67">
        <f t="shared" ref="C20:H20" si="17">C19/C11</f>
        <v>0.17825899125175504</v>
      </c>
      <c r="D20" s="67">
        <f t="shared" si="17"/>
        <v>0.26530131860324779</v>
      </c>
      <c r="E20" s="67">
        <f t="shared" si="17"/>
        <v>0.19051080576321061</v>
      </c>
      <c r="F20" s="67">
        <f t="shared" si="17"/>
        <v>0.18686387983320568</v>
      </c>
      <c r="G20" s="67">
        <f t="shared" si="17"/>
        <v>0.18667405715511437</v>
      </c>
      <c r="H20" s="67">
        <f t="shared" si="17"/>
        <v>0.19101758207252631</v>
      </c>
      <c r="I20" s="100">
        <v>0.19</v>
      </c>
      <c r="J20" s="101">
        <v>0.185</v>
      </c>
      <c r="K20" s="101">
        <v>0.185</v>
      </c>
      <c r="L20" s="101">
        <v>0.18</v>
      </c>
      <c r="M20" s="101">
        <v>0.18</v>
      </c>
      <c r="N20" s="101">
        <v>0.18</v>
      </c>
      <c r="O20" s="101">
        <v>0.18</v>
      </c>
      <c r="P20" s="101">
        <v>0.18</v>
      </c>
      <c r="Q20" s="101">
        <v>0.18</v>
      </c>
      <c r="R20" s="101">
        <v>0.18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90"/>
      <c r="J21" s="80"/>
      <c r="K21" s="80"/>
      <c r="L21" s="80"/>
      <c r="M21" s="80"/>
      <c r="N21" s="80"/>
      <c r="O21" s="80"/>
      <c r="P21" s="80"/>
      <c r="Q21" s="80"/>
      <c r="R21" s="80"/>
    </row>
    <row r="22" spans="1:18" x14ac:dyDescent="0.25">
      <c r="A22" s="1"/>
      <c r="B22" s="1" t="s">
        <v>54</v>
      </c>
      <c r="C22" s="12">
        <f>'Raw IS'!H15</f>
        <v>277930</v>
      </c>
      <c r="D22" s="12">
        <f>'Raw IS'!I15</f>
        <v>539606</v>
      </c>
      <c r="E22" s="12">
        <f>'Raw IS'!J15</f>
        <v>591379</v>
      </c>
      <c r="F22" s="12">
        <f>'Raw IS'!B15</f>
        <v>798625</v>
      </c>
      <c r="G22" s="12">
        <f>'Raw IS'!C15</f>
        <v>1076527</v>
      </c>
      <c r="H22" s="12">
        <f>'Raw IS'!D15</f>
        <v>1242711</v>
      </c>
      <c r="I22" s="90">
        <f>I23*I11</f>
        <v>1296000</v>
      </c>
      <c r="J22" s="80">
        <f t="shared" ref="J22:R22" si="18">J23*J11</f>
        <v>1363000.0000000002</v>
      </c>
      <c r="K22" s="80">
        <f t="shared" si="18"/>
        <v>1304100.0000000002</v>
      </c>
      <c r="L22" s="80">
        <f t="shared" si="18"/>
        <v>1409100.0000000002</v>
      </c>
      <c r="M22" s="80">
        <f t="shared" si="18"/>
        <v>1470950.0000000002</v>
      </c>
      <c r="N22" s="80">
        <f t="shared" si="18"/>
        <v>1685920.0000000005</v>
      </c>
      <c r="O22" s="80">
        <f t="shared" si="18"/>
        <v>1738500.0000000002</v>
      </c>
      <c r="P22" s="80">
        <f t="shared" si="18"/>
        <v>1840040.0000000005</v>
      </c>
      <c r="Q22" s="80">
        <f t="shared" si="18"/>
        <v>1900250.0000000007</v>
      </c>
      <c r="R22" s="80">
        <f t="shared" si="18"/>
        <v>2014848.1687898093</v>
      </c>
    </row>
    <row r="23" spans="1:18" x14ac:dyDescent="0.25">
      <c r="A23" s="1"/>
      <c r="B23" s="66" t="s">
        <v>18</v>
      </c>
      <c r="C23" s="67">
        <f t="shared" ref="C23:H23" si="19">C22/C11</f>
        <v>0.5360228657830991</v>
      </c>
      <c r="D23" s="67">
        <f t="shared" si="19"/>
        <v>0.76980009101686375</v>
      </c>
      <c r="E23" s="67">
        <f t="shared" si="19"/>
        <v>0.6071833760964136</v>
      </c>
      <c r="F23" s="67">
        <f t="shared" si="19"/>
        <v>0.54962090008100217</v>
      </c>
      <c r="G23" s="67">
        <f t="shared" si="19"/>
        <v>0.51087716334324063</v>
      </c>
      <c r="H23" s="67">
        <f t="shared" si="19"/>
        <v>0.49393997809941909</v>
      </c>
      <c r="I23" s="100">
        <v>0.48</v>
      </c>
      <c r="J23" s="101">
        <v>0.47</v>
      </c>
      <c r="K23" s="101">
        <v>0.40500000000000003</v>
      </c>
      <c r="L23" s="101">
        <v>0.38500000000000001</v>
      </c>
      <c r="M23" s="101">
        <v>0.36499999999999999</v>
      </c>
      <c r="N23" s="101">
        <v>0.32800000000000001</v>
      </c>
      <c r="O23" s="101">
        <v>0.30499999999999999</v>
      </c>
      <c r="P23" s="101">
        <v>0.29299999999999998</v>
      </c>
      <c r="Q23" s="101">
        <v>0.27500000000000002</v>
      </c>
      <c r="R23" s="101">
        <v>0.26500000000000001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90"/>
      <c r="J24" s="80"/>
      <c r="K24" s="80"/>
      <c r="L24" s="80"/>
      <c r="M24" s="80"/>
      <c r="N24" s="80"/>
      <c r="O24" s="80"/>
      <c r="P24" s="80"/>
      <c r="Q24" s="80"/>
      <c r="R24" s="80"/>
    </row>
    <row r="25" spans="1:18" x14ac:dyDescent="0.25">
      <c r="A25" s="1"/>
      <c r="B25" s="1" t="s">
        <v>55</v>
      </c>
      <c r="C25" s="12">
        <f>'Raw IS'!H17</f>
        <v>81526</v>
      </c>
      <c r="D25" s="12">
        <f>'Raw IS'!I17</f>
        <v>209297</v>
      </c>
      <c r="E25" s="12">
        <f>'Raw IS'!J17</f>
        <v>147315</v>
      </c>
      <c r="F25" s="12">
        <f>'Raw IS'!B17</f>
        <v>192697</v>
      </c>
      <c r="G25" s="12">
        <f>'Raw IS'!C17</f>
        <v>232757</v>
      </c>
      <c r="H25" s="12">
        <f>'Raw IS'!D17</f>
        <v>316228</v>
      </c>
      <c r="I25" s="94">
        <f t="shared" ref="I25:R25" si="20">I26*I11</f>
        <v>340200</v>
      </c>
      <c r="J25" s="83">
        <f t="shared" si="20"/>
        <v>365400.00000000006</v>
      </c>
      <c r="K25" s="83">
        <f t="shared" si="20"/>
        <v>405720.00000000006</v>
      </c>
      <c r="L25" s="83">
        <f t="shared" si="20"/>
        <v>439200.00000000006</v>
      </c>
      <c r="M25" s="83">
        <f t="shared" si="20"/>
        <v>483600.00000000006</v>
      </c>
      <c r="N25" s="83">
        <f t="shared" si="20"/>
        <v>616800.00000000012</v>
      </c>
      <c r="O25" s="83">
        <f t="shared" si="20"/>
        <v>684000.00000000012</v>
      </c>
      <c r="P25" s="83">
        <f t="shared" si="20"/>
        <v>753600.00000000023</v>
      </c>
      <c r="Q25" s="83">
        <f t="shared" si="20"/>
        <v>829200.00000000023</v>
      </c>
      <c r="R25" s="83">
        <f t="shared" si="20"/>
        <v>912384.07643312111</v>
      </c>
    </row>
    <row r="26" spans="1:18" x14ac:dyDescent="0.25">
      <c r="A26" s="1"/>
      <c r="B26" s="66" t="s">
        <v>18</v>
      </c>
      <c r="C26" s="67">
        <f t="shared" ref="C26:H26" si="21">C25/C11</f>
        <v>0.15723311681298505</v>
      </c>
      <c r="D26" s="67">
        <f t="shared" si="21"/>
        <v>0.29858239094738853</v>
      </c>
      <c r="E26" s="67">
        <f t="shared" si="21"/>
        <v>0.15125193665930506</v>
      </c>
      <c r="F26" s="67">
        <f t="shared" si="21"/>
        <v>0.13261580664630945</v>
      </c>
      <c r="G26" s="67">
        <f t="shared" si="21"/>
        <v>0.11045727223588693</v>
      </c>
      <c r="H26" s="67">
        <f t="shared" si="21"/>
        <v>0.12569105077079312</v>
      </c>
      <c r="I26" s="100">
        <v>0.126</v>
      </c>
      <c r="J26" s="101">
        <v>0.126</v>
      </c>
      <c r="K26" s="101">
        <v>0.126</v>
      </c>
      <c r="L26" s="101">
        <v>0.12</v>
      </c>
      <c r="M26" s="101">
        <v>0.12</v>
      </c>
      <c r="N26" s="101">
        <v>0.12</v>
      </c>
      <c r="O26" s="101">
        <v>0.12</v>
      </c>
      <c r="P26" s="101">
        <v>0.12</v>
      </c>
      <c r="Q26" s="101">
        <v>0.12</v>
      </c>
      <c r="R26" s="101">
        <v>0.12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94"/>
      <c r="J27" s="83"/>
      <c r="K27" s="83"/>
      <c r="L27" s="83"/>
      <c r="M27" s="83"/>
      <c r="N27" s="83"/>
      <c r="O27" s="83"/>
      <c r="P27" s="83"/>
      <c r="Q27" s="83"/>
      <c r="R27" s="83"/>
    </row>
    <row r="28" spans="1:18" x14ac:dyDescent="0.25">
      <c r="A28" s="1"/>
      <c r="B28" s="1" t="s">
        <v>13</v>
      </c>
      <c r="C28" s="12">
        <f>C19+C22+C25</f>
        <v>451884</v>
      </c>
      <c r="D28" s="12">
        <f t="shared" ref="D28:G28" si="22">D19+D22+D25</f>
        <v>934871</v>
      </c>
      <c r="E28" s="12">
        <f t="shared" si="22"/>
        <v>924246</v>
      </c>
      <c r="F28" s="12">
        <f t="shared" si="22"/>
        <v>1262844</v>
      </c>
      <c r="G28" s="12">
        <f t="shared" si="22"/>
        <v>1702646</v>
      </c>
      <c r="H28" s="12">
        <f>H19+H22+H25</f>
        <v>2039523</v>
      </c>
      <c r="I28" s="94">
        <f t="shared" ref="I28:R28" si="23">I19+I22+I25</f>
        <v>2149200</v>
      </c>
      <c r="J28" s="83">
        <f t="shared" si="23"/>
        <v>2264900.0000000005</v>
      </c>
      <c r="K28" s="83">
        <f t="shared" si="23"/>
        <v>2305520.0000000005</v>
      </c>
      <c r="L28" s="83">
        <f t="shared" si="23"/>
        <v>2507100.0000000005</v>
      </c>
      <c r="M28" s="83">
        <f t="shared" si="23"/>
        <v>2679950</v>
      </c>
      <c r="N28" s="83">
        <f t="shared" si="23"/>
        <v>3227920.0000000005</v>
      </c>
      <c r="O28" s="83">
        <f t="shared" si="23"/>
        <v>3448500.0000000005</v>
      </c>
      <c r="P28" s="83">
        <f t="shared" si="23"/>
        <v>3724040.0000000009</v>
      </c>
      <c r="Q28" s="83">
        <f t="shared" si="23"/>
        <v>3973250.0000000009</v>
      </c>
      <c r="R28" s="83">
        <f t="shared" si="23"/>
        <v>4295808.3598726122</v>
      </c>
    </row>
    <row r="29" spans="1:18" x14ac:dyDescent="0.25">
      <c r="A29" s="1"/>
      <c r="B29" s="66" t="s">
        <v>18</v>
      </c>
      <c r="C29" s="67">
        <f t="shared" ref="C29:R29" si="24">C28/C11</f>
        <v>0.87151497384783916</v>
      </c>
      <c r="D29" s="67">
        <f t="shared" si="24"/>
        <v>1.3336838005675</v>
      </c>
      <c r="E29" s="67">
        <f t="shared" si="24"/>
        <v>0.94894611851892918</v>
      </c>
      <c r="F29" s="67">
        <f t="shared" si="24"/>
        <v>0.86910058656051736</v>
      </c>
      <c r="G29" s="67">
        <f t="shared" si="24"/>
        <v>0.80800849273424191</v>
      </c>
      <c r="H29" s="67">
        <f t="shared" si="24"/>
        <v>0.81064861094273855</v>
      </c>
      <c r="I29" s="100">
        <f t="shared" si="24"/>
        <v>0.79600000000000004</v>
      </c>
      <c r="J29" s="101">
        <f t="shared" si="24"/>
        <v>0.78100000000000003</v>
      </c>
      <c r="K29" s="101">
        <f t="shared" si="24"/>
        <v>0.71600000000000008</v>
      </c>
      <c r="L29" s="101">
        <f t="shared" si="24"/>
        <v>0.68500000000000005</v>
      </c>
      <c r="M29" s="101">
        <f t="shared" si="24"/>
        <v>0.66499999999999992</v>
      </c>
      <c r="N29" s="101">
        <f t="shared" si="24"/>
        <v>0.628</v>
      </c>
      <c r="O29" s="101">
        <f t="shared" si="24"/>
        <v>0.60499999999999998</v>
      </c>
      <c r="P29" s="101">
        <f t="shared" si="24"/>
        <v>0.59299999999999997</v>
      </c>
      <c r="Q29" s="101">
        <f t="shared" si="24"/>
        <v>0.57499999999999996</v>
      </c>
      <c r="R29" s="101">
        <f t="shared" si="24"/>
        <v>0.56500000000000006</v>
      </c>
    </row>
    <row r="30" spans="1:18" x14ac:dyDescent="0.25">
      <c r="A30" s="1"/>
      <c r="B30" s="1"/>
      <c r="C30" s="15"/>
      <c r="D30" s="15"/>
      <c r="E30" s="15"/>
      <c r="F30" s="15"/>
      <c r="G30" s="15"/>
      <c r="H30" s="15"/>
      <c r="I30" s="95"/>
      <c r="J30" s="84"/>
      <c r="K30" s="84"/>
      <c r="L30" s="84"/>
      <c r="M30" s="84"/>
      <c r="N30" s="84"/>
      <c r="O30" s="84"/>
      <c r="P30" s="84"/>
      <c r="Q30" s="84"/>
      <c r="R30" s="84"/>
    </row>
    <row r="31" spans="1:18" x14ac:dyDescent="0.25">
      <c r="A31" s="1"/>
      <c r="B31" s="1" t="s">
        <v>14</v>
      </c>
      <c r="C31" s="12">
        <f>C16-C28</f>
        <v>-51653</v>
      </c>
      <c r="D31" s="12">
        <f t="shared" ref="D31:G31" si="25">D16-D28</f>
        <v>-426323</v>
      </c>
      <c r="E31" s="12">
        <f t="shared" si="25"/>
        <v>-193509</v>
      </c>
      <c r="F31" s="12">
        <f t="shared" si="25"/>
        <v>-173855</v>
      </c>
      <c r="G31" s="12">
        <f t="shared" si="25"/>
        <v>-61884</v>
      </c>
      <c r="H31" s="12">
        <f>H16-H28-'Raw IS'!D18</f>
        <v>-88031</v>
      </c>
      <c r="I31" s="94">
        <f>I16-I28</f>
        <v>56160</v>
      </c>
      <c r="J31" s="83">
        <f t="shared" ref="J31:R31" si="26">J16-J28</f>
        <v>104980</v>
      </c>
      <c r="K31" s="83">
        <f t="shared" si="26"/>
        <v>331659.99999999953</v>
      </c>
      <c r="L31" s="83">
        <f t="shared" si="26"/>
        <v>501419.99999999953</v>
      </c>
      <c r="M31" s="83">
        <f t="shared" si="26"/>
        <v>644800</v>
      </c>
      <c r="N31" s="83">
        <f t="shared" si="26"/>
        <v>1033140.0000000005</v>
      </c>
      <c r="O31" s="83">
        <f t="shared" si="26"/>
        <v>1293900.0000000005</v>
      </c>
      <c r="P31" s="83">
        <f t="shared" si="26"/>
        <v>1526040</v>
      </c>
      <c r="Q31" s="83">
        <f t="shared" si="26"/>
        <v>1803510</v>
      </c>
      <c r="R31" s="83">
        <f t="shared" si="26"/>
        <v>2060467.3726114649</v>
      </c>
    </row>
    <row r="32" spans="1:18" x14ac:dyDescent="0.25">
      <c r="A32" s="1"/>
      <c r="B32" s="1"/>
      <c r="C32" s="12"/>
      <c r="D32" s="12"/>
      <c r="E32" s="12"/>
      <c r="F32" s="12"/>
      <c r="G32" s="12"/>
      <c r="H32" s="12"/>
      <c r="I32" s="96"/>
      <c r="J32" s="85"/>
      <c r="K32" s="85"/>
      <c r="L32" s="85"/>
      <c r="M32" s="85"/>
      <c r="N32" s="85"/>
      <c r="O32" s="85"/>
      <c r="P32" s="85"/>
      <c r="Q32" s="85"/>
      <c r="R32" s="85"/>
    </row>
    <row r="33" spans="1:86" x14ac:dyDescent="0.25">
      <c r="A33" s="1"/>
      <c r="B33" s="1" t="s">
        <v>15</v>
      </c>
      <c r="C33" s="76">
        <f>SUM('Raw IS'!H20:H21)</f>
        <v>2511</v>
      </c>
      <c r="D33" s="76">
        <f>SUM('Raw IS'!I20:I21)</f>
        <v>-1885</v>
      </c>
      <c r="E33" s="76">
        <f>SUM('Raw IS'!J20:J21)</f>
        <v>-10047</v>
      </c>
      <c r="F33" s="76">
        <f>SUM('Raw IS'!B21:B23)</f>
        <v>-55637</v>
      </c>
      <c r="G33" s="76">
        <f>SUM('Raw IS'!C21:C23)</f>
        <v>-5030</v>
      </c>
      <c r="H33" s="76">
        <f>SUM('Raw IS'!D21:D23)</f>
        <v>-1850</v>
      </c>
      <c r="I33" s="97">
        <f>I34*I11</f>
        <v>-54000</v>
      </c>
      <c r="J33" s="86">
        <f t="shared" ref="J33:R33" si="27">J34*J11</f>
        <v>-58000.000000000007</v>
      </c>
      <c r="K33" s="86">
        <f t="shared" si="27"/>
        <v>-64400.000000000007</v>
      </c>
      <c r="L33" s="86">
        <f t="shared" si="27"/>
        <v>-3660.0000000000005</v>
      </c>
      <c r="M33" s="86">
        <f t="shared" si="27"/>
        <v>-4030.0000000000005</v>
      </c>
      <c r="N33" s="86">
        <f t="shared" si="27"/>
        <v>-5140.0000000000009</v>
      </c>
      <c r="O33" s="86">
        <f t="shared" si="27"/>
        <v>-5700.0000000000009</v>
      </c>
      <c r="P33" s="86">
        <f t="shared" si="27"/>
        <v>-6280.0000000000018</v>
      </c>
      <c r="Q33" s="86">
        <f t="shared" si="27"/>
        <v>-6910.0000000000018</v>
      </c>
      <c r="R33" s="86">
        <f t="shared" si="27"/>
        <v>-7603.2006369426763</v>
      </c>
    </row>
    <row r="34" spans="1:86" x14ac:dyDescent="0.25">
      <c r="A34" s="1"/>
      <c r="B34" s="14" t="s">
        <v>18</v>
      </c>
      <c r="C34" s="15">
        <f>C33/C11</f>
        <v>4.8427784549395954E-3</v>
      </c>
      <c r="D34" s="15">
        <f t="shared" ref="D34:H34" si="28">D33/D11</f>
        <v>-2.6891346122296421E-3</v>
      </c>
      <c r="E34" s="15">
        <f t="shared" si="28"/>
        <v>-1.0315502206944559E-2</v>
      </c>
      <c r="F34" s="15">
        <f t="shared" si="28"/>
        <v>-3.8289883259109994E-2</v>
      </c>
      <c r="G34" s="15">
        <f t="shared" si="28"/>
        <v>-2.3870391839837736E-3</v>
      </c>
      <c r="H34" s="15">
        <f t="shared" si="28"/>
        <v>-7.3531895950379878E-4</v>
      </c>
      <c r="I34" s="93">
        <v>-0.02</v>
      </c>
      <c r="J34" s="82">
        <v>-0.02</v>
      </c>
      <c r="K34" s="82">
        <v>-0.02</v>
      </c>
      <c r="L34" s="82">
        <v>-1E-3</v>
      </c>
      <c r="M34" s="82">
        <v>-1E-3</v>
      </c>
      <c r="N34" s="82">
        <v>-1E-3</v>
      </c>
      <c r="O34" s="82">
        <v>-1E-3</v>
      </c>
      <c r="P34" s="82">
        <v>-1E-3</v>
      </c>
      <c r="Q34" s="82">
        <v>-1E-3</v>
      </c>
      <c r="R34" s="82">
        <v>-1E-3</v>
      </c>
    </row>
    <row r="35" spans="1:86" x14ac:dyDescent="0.25">
      <c r="A35" s="1"/>
      <c r="B35" s="1"/>
      <c r="C35" s="20"/>
      <c r="D35" s="20"/>
      <c r="E35" s="20"/>
      <c r="F35" s="20"/>
      <c r="G35" s="20"/>
      <c r="H35" s="20"/>
      <c r="I35" s="91"/>
      <c r="J35" s="81"/>
      <c r="K35" s="81"/>
      <c r="L35" s="81"/>
      <c r="M35" s="81"/>
      <c r="N35" s="81"/>
      <c r="O35" s="81"/>
      <c r="P35" s="81"/>
      <c r="Q35" s="81"/>
      <c r="R35" s="81"/>
    </row>
    <row r="36" spans="1:86" x14ac:dyDescent="0.25">
      <c r="A36" s="1"/>
      <c r="B36" s="1" t="s">
        <v>16</v>
      </c>
      <c r="C36" s="12">
        <f>C31+C33</f>
        <v>-49142</v>
      </c>
      <c r="D36" s="12">
        <f t="shared" ref="D36:R36" si="29">D31+D33</f>
        <v>-428208</v>
      </c>
      <c r="E36" s="12">
        <f t="shared" si="29"/>
        <v>-203556</v>
      </c>
      <c r="F36" s="12">
        <f t="shared" si="29"/>
        <v>-229492</v>
      </c>
      <c r="G36" s="12">
        <f t="shared" si="29"/>
        <v>-66914</v>
      </c>
      <c r="H36" s="12">
        <f t="shared" si="29"/>
        <v>-89881</v>
      </c>
      <c r="I36" s="94">
        <f>I31+I33</f>
        <v>2160</v>
      </c>
      <c r="J36" s="83">
        <f t="shared" si="29"/>
        <v>46979.999999999993</v>
      </c>
      <c r="K36" s="83">
        <f t="shared" si="29"/>
        <v>267259.99999999953</v>
      </c>
      <c r="L36" s="83">
        <f t="shared" si="29"/>
        <v>497759.99999999953</v>
      </c>
      <c r="M36" s="83">
        <f t="shared" si="29"/>
        <v>640770</v>
      </c>
      <c r="N36" s="83">
        <f t="shared" si="29"/>
        <v>1028000.0000000005</v>
      </c>
      <c r="O36" s="83">
        <f t="shared" si="29"/>
        <v>1288200.0000000005</v>
      </c>
      <c r="P36" s="83">
        <f t="shared" si="29"/>
        <v>1519760</v>
      </c>
      <c r="Q36" s="83">
        <f t="shared" si="29"/>
        <v>1796600</v>
      </c>
      <c r="R36" s="83">
        <f t="shared" si="29"/>
        <v>2052864.1719745223</v>
      </c>
    </row>
    <row r="37" spans="1:86" x14ac:dyDescent="0.25">
      <c r="A37" s="1"/>
      <c r="B37" s="1"/>
      <c r="C37" s="20"/>
      <c r="D37" s="20"/>
      <c r="E37" s="20"/>
      <c r="F37" s="20"/>
      <c r="G37" s="20"/>
      <c r="H37" s="20"/>
      <c r="I37" s="91"/>
      <c r="J37" s="81"/>
      <c r="K37" s="81"/>
      <c r="L37" s="81"/>
      <c r="M37" s="81"/>
      <c r="N37" s="81"/>
      <c r="O37" s="81"/>
      <c r="P37" s="81"/>
      <c r="Q37" s="81"/>
      <c r="R37" s="81"/>
    </row>
    <row r="38" spans="1:86" x14ac:dyDescent="0.25">
      <c r="A38" s="1"/>
      <c r="B38" s="1" t="s">
        <v>17</v>
      </c>
      <c r="C38" s="12">
        <f t="shared" ref="C38:H38" si="30">C31</f>
        <v>-51653</v>
      </c>
      <c r="D38" s="12">
        <f t="shared" si="30"/>
        <v>-426323</v>
      </c>
      <c r="E38" s="12">
        <f t="shared" si="30"/>
        <v>-193509</v>
      </c>
      <c r="F38" s="12">
        <f t="shared" si="30"/>
        <v>-173855</v>
      </c>
      <c r="G38" s="12">
        <f t="shared" si="30"/>
        <v>-61884</v>
      </c>
      <c r="H38" s="12">
        <f t="shared" si="30"/>
        <v>-88031</v>
      </c>
      <c r="I38" s="94">
        <f>I31</f>
        <v>56160</v>
      </c>
      <c r="J38" s="83">
        <f t="shared" ref="J38:R38" si="31">J31</f>
        <v>104980</v>
      </c>
      <c r="K38" s="83">
        <f t="shared" si="31"/>
        <v>331659.99999999953</v>
      </c>
      <c r="L38" s="83">
        <f t="shared" si="31"/>
        <v>501419.99999999953</v>
      </c>
      <c r="M38" s="83">
        <f t="shared" si="31"/>
        <v>644800</v>
      </c>
      <c r="N38" s="83">
        <f t="shared" si="31"/>
        <v>1033140.0000000005</v>
      </c>
      <c r="O38" s="83">
        <f t="shared" si="31"/>
        <v>1293900.0000000005</v>
      </c>
      <c r="P38" s="83">
        <f t="shared" si="31"/>
        <v>1526040</v>
      </c>
      <c r="Q38" s="83">
        <f t="shared" si="31"/>
        <v>1803510</v>
      </c>
      <c r="R38" s="83">
        <f t="shared" si="31"/>
        <v>2060467.3726114649</v>
      </c>
    </row>
    <row r="39" spans="1:86" x14ac:dyDescent="0.25">
      <c r="A39" s="1"/>
      <c r="B39" s="66" t="s">
        <v>18</v>
      </c>
      <c r="C39" s="67">
        <f t="shared" ref="C39:R39" si="32">C38/C11</f>
        <v>-9.9619289340101516E-2</v>
      </c>
      <c r="D39" s="67">
        <f t="shared" si="32"/>
        <v>-0.6081909471032243</v>
      </c>
      <c r="E39" s="67">
        <f t="shared" si="32"/>
        <v>-0.19868045352479693</v>
      </c>
      <c r="F39" s="67">
        <f t="shared" si="32"/>
        <v>-0.11964857296426062</v>
      </c>
      <c r="G39" s="67">
        <f t="shared" si="32"/>
        <v>-2.9367700370109714E-2</v>
      </c>
      <c r="H39" s="67">
        <f t="shared" si="32"/>
        <v>-3.4989655850853466E-2</v>
      </c>
      <c r="I39" s="100">
        <f t="shared" si="32"/>
        <v>2.0799999999999999E-2</v>
      </c>
      <c r="J39" s="101">
        <f t="shared" si="32"/>
        <v>3.6199999999999996E-2</v>
      </c>
      <c r="K39" s="101">
        <f t="shared" si="32"/>
        <v>0.10299999999999984</v>
      </c>
      <c r="L39" s="101">
        <f t="shared" si="32"/>
        <v>0.13699999999999984</v>
      </c>
      <c r="M39" s="101">
        <f t="shared" si="32"/>
        <v>0.15999999999999998</v>
      </c>
      <c r="N39" s="101">
        <f t="shared" si="32"/>
        <v>0.20100000000000007</v>
      </c>
      <c r="O39" s="101">
        <f t="shared" si="32"/>
        <v>0.22700000000000004</v>
      </c>
      <c r="P39" s="101">
        <f t="shared" si="32"/>
        <v>0.24299999999999994</v>
      </c>
      <c r="Q39" s="101">
        <f t="shared" si="32"/>
        <v>0.26099999999999995</v>
      </c>
      <c r="R39" s="101">
        <f t="shared" si="32"/>
        <v>0.27099999999999996</v>
      </c>
    </row>
    <row r="40" spans="1:86" x14ac:dyDescent="0.25">
      <c r="A40" s="1"/>
      <c r="B40" s="14"/>
      <c r="C40" s="1"/>
      <c r="D40" s="1"/>
      <c r="E40" s="1"/>
      <c r="G40" s="1"/>
      <c r="H40" s="1"/>
      <c r="I40" s="91"/>
      <c r="J40" s="81"/>
      <c r="K40" s="81"/>
      <c r="L40" s="81"/>
      <c r="M40" s="81"/>
      <c r="N40" s="81"/>
      <c r="O40" s="81"/>
      <c r="P40" s="81"/>
      <c r="Q40" s="81"/>
      <c r="R40" s="81"/>
    </row>
    <row r="41" spans="1:86" x14ac:dyDescent="0.25">
      <c r="A41" s="1"/>
      <c r="B41" s="1" t="s">
        <v>19</v>
      </c>
      <c r="C41" s="19">
        <f>'Raw IS'!H23</f>
        <v>3134</v>
      </c>
      <c r="D41" s="19">
        <f>'Raw IS'!I23</f>
        <v>-1750</v>
      </c>
      <c r="E41" s="19">
        <f>'Raw IS'!J23</f>
        <v>4803</v>
      </c>
      <c r="F41" s="21">
        <f>'Raw IS'!B25</f>
        <v>13775</v>
      </c>
      <c r="G41" s="21">
        <f>'Raw IS'!C25</f>
        <v>3062</v>
      </c>
      <c r="H41" s="21">
        <f>'Raw IS'!D25</f>
        <v>7573</v>
      </c>
      <c r="I41" s="90">
        <f>I42*I38</f>
        <v>12355.2</v>
      </c>
      <c r="J41" s="80">
        <f t="shared" ref="J41:R41" si="33">J42*J38</f>
        <v>23095.599999999999</v>
      </c>
      <c r="K41" s="80">
        <f t="shared" si="33"/>
        <v>72965.199999999895</v>
      </c>
      <c r="L41" s="80">
        <f t="shared" si="33"/>
        <v>110312.39999999989</v>
      </c>
      <c r="M41" s="80">
        <f t="shared" si="33"/>
        <v>141856</v>
      </c>
      <c r="N41" s="80">
        <f t="shared" si="33"/>
        <v>227290.8000000001</v>
      </c>
      <c r="O41" s="80">
        <f t="shared" si="33"/>
        <v>284658.00000000012</v>
      </c>
      <c r="P41" s="80">
        <f t="shared" si="33"/>
        <v>335728.8</v>
      </c>
      <c r="Q41" s="80">
        <f t="shared" si="33"/>
        <v>396772.2</v>
      </c>
      <c r="R41" s="80">
        <f t="shared" si="33"/>
        <v>453302.82197452226</v>
      </c>
    </row>
    <row r="42" spans="1:86" x14ac:dyDescent="0.25">
      <c r="A42" s="1"/>
      <c r="B42" s="66" t="s">
        <v>20</v>
      </c>
      <c r="C42" s="68">
        <f t="shared" ref="C42:G42" si="34">C41/C38</f>
        <v>-6.06741137978433E-2</v>
      </c>
      <c r="D42" s="68">
        <f t="shared" si="34"/>
        <v>4.1048688435763496E-3</v>
      </c>
      <c r="E42" s="68">
        <f t="shared" si="34"/>
        <v>-2.4820550982124861E-2</v>
      </c>
      <c r="F42" s="68">
        <f t="shared" si="34"/>
        <v>-7.9232693911592988E-2</v>
      </c>
      <c r="G42" s="68">
        <f t="shared" si="34"/>
        <v>-4.947967164372051E-2</v>
      </c>
      <c r="H42" s="68">
        <f>H41/H38</f>
        <v>-8.6026513387329459E-2</v>
      </c>
      <c r="I42" s="104">
        <v>0.22</v>
      </c>
      <c r="J42" s="105">
        <v>0.22</v>
      </c>
      <c r="K42" s="105">
        <v>0.22</v>
      </c>
      <c r="L42" s="105">
        <v>0.22</v>
      </c>
      <c r="M42" s="105">
        <v>0.22</v>
      </c>
      <c r="N42" s="105">
        <v>0.22</v>
      </c>
      <c r="O42" s="105">
        <v>0.22</v>
      </c>
      <c r="P42" s="105">
        <v>0.22</v>
      </c>
      <c r="Q42" s="105">
        <v>0.22</v>
      </c>
      <c r="R42" s="105">
        <v>0.22</v>
      </c>
    </row>
    <row r="43" spans="1:86" x14ac:dyDescent="0.25">
      <c r="A43" s="1"/>
      <c r="B43" s="1"/>
      <c r="C43" s="1"/>
      <c r="D43" s="1"/>
      <c r="E43" s="1"/>
      <c r="F43" s="1"/>
      <c r="G43" s="1"/>
      <c r="H43" s="1"/>
      <c r="I43" s="91"/>
      <c r="J43" s="81"/>
      <c r="K43" s="81"/>
      <c r="L43" s="81"/>
      <c r="M43" s="81"/>
      <c r="N43" s="81"/>
      <c r="O43" s="81"/>
      <c r="P43" s="81"/>
      <c r="Q43" s="81"/>
      <c r="R43" s="81"/>
    </row>
    <row r="44" spans="1:86" x14ac:dyDescent="0.25">
      <c r="A44" s="1"/>
      <c r="B44" s="10" t="s">
        <v>21</v>
      </c>
      <c r="C44" s="10">
        <v>2017</v>
      </c>
      <c r="D44" s="10">
        <v>2018</v>
      </c>
      <c r="E44" s="10">
        <v>2019</v>
      </c>
      <c r="F44" s="10">
        <v>2020</v>
      </c>
      <c r="G44" s="10">
        <v>2021</v>
      </c>
      <c r="H44" s="10">
        <v>2022</v>
      </c>
      <c r="I44" s="98">
        <v>2023</v>
      </c>
      <c r="J44" s="87">
        <v>2024</v>
      </c>
      <c r="K44" s="87">
        <v>2025</v>
      </c>
      <c r="L44" s="87">
        <v>2026</v>
      </c>
      <c r="M44" s="87">
        <v>2027</v>
      </c>
      <c r="N44" s="87">
        <v>2028</v>
      </c>
      <c r="O44" s="87">
        <v>2029</v>
      </c>
      <c r="P44" s="87">
        <v>2030</v>
      </c>
      <c r="Q44" s="87">
        <v>2031</v>
      </c>
      <c r="R44" s="87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x14ac:dyDescent="0.25">
      <c r="A45" s="1"/>
      <c r="B45" s="1" t="s">
        <v>22</v>
      </c>
      <c r="C45" s="12">
        <f>'Raw CF'!H9</f>
        <v>31750</v>
      </c>
      <c r="D45" s="12">
        <f>'Raw CF'!I9</f>
        <v>38027</v>
      </c>
      <c r="E45" s="12">
        <f>'Raw CF'!J9</f>
        <v>50182</v>
      </c>
      <c r="F45" s="21">
        <f>'Raw CF'!B9</f>
        <v>71090</v>
      </c>
      <c r="G45" s="21">
        <f>'Raw CF'!C9</f>
        <v>81913</v>
      </c>
      <c r="H45" s="21">
        <f>'Raw CF'!D9</f>
        <v>86255</v>
      </c>
      <c r="I45" s="90">
        <f>I46*I11</f>
        <v>93910</v>
      </c>
      <c r="J45" s="80">
        <f t="shared" ref="J45:R45" si="35">J46*J11</f>
        <v>96580</v>
      </c>
      <c r="K45" s="80">
        <f t="shared" si="35"/>
        <v>79650</v>
      </c>
      <c r="L45" s="80">
        <f t="shared" si="35"/>
        <v>69230</v>
      </c>
      <c r="M45" s="80">
        <f t="shared" si="35"/>
        <v>68430</v>
      </c>
      <c r="N45" s="80">
        <f t="shared" si="35"/>
        <v>71720</v>
      </c>
      <c r="O45" s="80">
        <f t="shared" si="35"/>
        <v>73600</v>
      </c>
      <c r="P45" s="80">
        <f t="shared" si="35"/>
        <v>75439.999999999985</v>
      </c>
      <c r="Q45" s="80">
        <f t="shared" si="35"/>
        <v>76180</v>
      </c>
      <c r="R45" s="80">
        <f t="shared" si="35"/>
        <v>83822.261146496807</v>
      </c>
    </row>
    <row r="46" spans="1:86" x14ac:dyDescent="0.25">
      <c r="A46" s="1"/>
      <c r="B46" s="66" t="s">
        <v>18</v>
      </c>
      <c r="C46" s="67">
        <f t="shared" ref="C46:H46" si="36">C45/C11</f>
        <v>6.1233857405150201E-2</v>
      </c>
      <c r="D46" s="67">
        <f t="shared" si="36"/>
        <v>5.4249189336475649E-2</v>
      </c>
      <c r="E46" s="67">
        <f t="shared" si="36"/>
        <v>5.1523094630127594E-2</v>
      </c>
      <c r="F46" s="67">
        <f t="shared" si="36"/>
        <v>4.8924776693389821E-2</v>
      </c>
      <c r="G46" s="67">
        <f t="shared" si="36"/>
        <v>3.8872672102915083E-2</v>
      </c>
      <c r="H46" s="67">
        <f t="shared" si="36"/>
        <v>3.4283749649729821E-2</v>
      </c>
      <c r="I46" s="100">
        <v>3.4781481481481483E-2</v>
      </c>
      <c r="J46" s="101">
        <v>3.3303448275862062E-2</v>
      </c>
      <c r="K46" s="101">
        <v>2.4736024844720494E-2</v>
      </c>
      <c r="L46" s="101">
        <v>1.8915300546448084E-2</v>
      </c>
      <c r="M46" s="101">
        <v>1.6980148883374686E-2</v>
      </c>
      <c r="N46" s="101">
        <v>1.3953307392996108E-2</v>
      </c>
      <c r="O46" s="101">
        <v>1.2912280701754384E-2</v>
      </c>
      <c r="P46" s="101">
        <v>1.201273885350318E-2</v>
      </c>
      <c r="Q46" s="101">
        <v>1.1024602026049201E-2</v>
      </c>
      <c r="R46" s="101">
        <v>1.1024602026049201E-2</v>
      </c>
    </row>
    <row r="47" spans="1:86" x14ac:dyDescent="0.25">
      <c r="A47" s="1"/>
      <c r="B47" s="1"/>
      <c r="C47" s="1"/>
      <c r="D47" s="1"/>
      <c r="E47" s="1"/>
      <c r="G47" s="1"/>
      <c r="H47" s="1"/>
      <c r="I47" s="99"/>
      <c r="J47" s="88"/>
      <c r="K47" s="88"/>
      <c r="L47" s="81"/>
      <c r="M47" s="81"/>
      <c r="N47" s="81"/>
      <c r="O47" s="81"/>
      <c r="P47" s="81"/>
      <c r="Q47" s="81"/>
      <c r="R47" s="81"/>
    </row>
    <row r="48" spans="1:86" x14ac:dyDescent="0.25">
      <c r="A48" s="1"/>
      <c r="B48" s="1" t="s">
        <v>23</v>
      </c>
      <c r="C48" s="12">
        <f>'Raw CF'!H34</f>
        <v>-18929</v>
      </c>
      <c r="D48" s="12">
        <f>'Raw CF'!I34</f>
        <v>-30413</v>
      </c>
      <c r="E48" s="12">
        <f>'Raw CF'!J34</f>
        <v>-72046</v>
      </c>
      <c r="F48" s="21">
        <f>'Raw CF'!B38</f>
        <v>-82395</v>
      </c>
      <c r="G48" s="21">
        <f>'Raw CF'!C38</f>
        <v>-61396</v>
      </c>
      <c r="H48" s="21">
        <f>'Raw CF'!D38</f>
        <v>-77654</v>
      </c>
      <c r="I48" s="90">
        <f>I49*I11</f>
        <v>-91960</v>
      </c>
      <c r="J48" s="80">
        <f t="shared" ref="J48:R48" si="37">J49*J11</f>
        <v>-98430</v>
      </c>
      <c r="K48" s="80">
        <f t="shared" si="37"/>
        <v>-85870</v>
      </c>
      <c r="L48" s="80">
        <f t="shared" si="37"/>
        <v>-76550</v>
      </c>
      <c r="M48" s="80">
        <f t="shared" si="37"/>
        <v>-76490</v>
      </c>
      <c r="N48" s="80">
        <f t="shared" si="37"/>
        <v>-82000.000000000015</v>
      </c>
      <c r="O48" s="80">
        <f t="shared" si="37"/>
        <v>-85000</v>
      </c>
      <c r="P48" s="80">
        <f t="shared" si="37"/>
        <v>-88000</v>
      </c>
      <c r="Q48" s="80">
        <f t="shared" si="37"/>
        <v>-90000</v>
      </c>
      <c r="R48" s="80">
        <f t="shared" si="37"/>
        <v>-99028.662420382156</v>
      </c>
    </row>
    <row r="49" spans="1:86" x14ac:dyDescent="0.25">
      <c r="A49" s="1"/>
      <c r="B49" s="66" t="s">
        <v>18</v>
      </c>
      <c r="C49" s="67">
        <f t="shared" ref="C49:H49" si="38">C48/C11</f>
        <v>-3.6506950766050018E-2</v>
      </c>
      <c r="D49" s="67">
        <f t="shared" si="38"/>
        <v>-4.3387082738323667E-2</v>
      </c>
      <c r="E49" s="67">
        <f t="shared" si="38"/>
        <v>-7.3971401612573678E-2</v>
      </c>
      <c r="F49" s="67">
        <f t="shared" si="38"/>
        <v>-5.6704979260822255E-2</v>
      </c>
      <c r="G49" s="67">
        <f t="shared" si="38"/>
        <v>-2.913611485882063E-2</v>
      </c>
      <c r="H49" s="67">
        <f t="shared" si="38"/>
        <v>-3.0865112692598916E-2</v>
      </c>
      <c r="I49" s="100">
        <v>-3.4059259259259261E-2</v>
      </c>
      <c r="J49" s="101">
        <v>-3.394137931034482E-2</v>
      </c>
      <c r="K49" s="101">
        <v>-2.6667701863354033E-2</v>
      </c>
      <c r="L49" s="101">
        <v>-2.0915300546448086E-2</v>
      </c>
      <c r="M49" s="101">
        <v>-1.8980148883374688E-2</v>
      </c>
      <c r="N49" s="101">
        <v>-1.5953307392996108E-2</v>
      </c>
      <c r="O49" s="101">
        <v>-1.4912280701754384E-2</v>
      </c>
      <c r="P49" s="101">
        <v>-1.401273885350318E-2</v>
      </c>
      <c r="Q49" s="101">
        <v>-1.3024602026049201E-2</v>
      </c>
      <c r="R49" s="101">
        <v>-1.3024602026049201E-2</v>
      </c>
    </row>
    <row r="50" spans="1:86" x14ac:dyDescent="0.25">
      <c r="A50" s="1"/>
      <c r="B50" s="1"/>
      <c r="C50" s="1"/>
      <c r="D50" s="1"/>
      <c r="E50" s="1"/>
      <c r="G50" s="1"/>
      <c r="H50" s="1"/>
      <c r="I50" s="91"/>
      <c r="J50" s="81"/>
      <c r="K50" s="81"/>
      <c r="L50" s="81"/>
      <c r="M50" s="81"/>
      <c r="N50" s="81"/>
      <c r="O50" s="81"/>
      <c r="P50" s="81"/>
      <c r="Q50" s="81"/>
      <c r="R50" s="81"/>
    </row>
    <row r="51" spans="1:86" x14ac:dyDescent="0.25">
      <c r="A51" s="1"/>
      <c r="B51" s="1" t="s">
        <v>24</v>
      </c>
      <c r="C51" s="21">
        <f>SUM('Raw CF'!H18:H27)</f>
        <v>18254</v>
      </c>
      <c r="D51" s="21">
        <f>SUM('Raw CF'!I18:I27)</f>
        <v>6121</v>
      </c>
      <c r="E51" s="21">
        <f>SUM('Raw CF'!J18:J27)</f>
        <v>-47648</v>
      </c>
      <c r="F51" s="77">
        <f>SUM('Raw CF'!B21:B30)</f>
        <v>72174</v>
      </c>
      <c r="G51" s="77">
        <f>SUM('Raw CF'!C21:C30)</f>
        <v>-101611</v>
      </c>
      <c r="H51" s="77">
        <f>SUM('Raw CF'!D21:D30)</f>
        <v>-255704</v>
      </c>
      <c r="I51" s="90">
        <f t="shared" ref="I51:R51" si="39">I52*I11</f>
        <v>-81000</v>
      </c>
      <c r="J51" s="80">
        <f t="shared" si="39"/>
        <v>-58000.000000000007</v>
      </c>
      <c r="K51" s="80">
        <f t="shared" si="39"/>
        <v>-64400.000000000007</v>
      </c>
      <c r="L51" s="80">
        <f t="shared" si="39"/>
        <v>-73200.000000000015</v>
      </c>
      <c r="M51" s="80">
        <f t="shared" si="39"/>
        <v>-80600.000000000015</v>
      </c>
      <c r="N51" s="80">
        <f t="shared" si="39"/>
        <v>-102800.00000000001</v>
      </c>
      <c r="O51" s="80">
        <f t="shared" si="39"/>
        <v>-114000.00000000001</v>
      </c>
      <c r="P51" s="80">
        <f t="shared" si="39"/>
        <v>-125600.00000000004</v>
      </c>
      <c r="Q51" s="80">
        <f t="shared" si="39"/>
        <v>-138200.00000000003</v>
      </c>
      <c r="R51" s="80">
        <f t="shared" si="39"/>
        <v>-152064.01273885352</v>
      </c>
    </row>
    <row r="52" spans="1:86" x14ac:dyDescent="0.25">
      <c r="A52" s="1"/>
      <c r="B52" s="66" t="s">
        <v>18</v>
      </c>
      <c r="C52" s="67">
        <f t="shared" ref="C52:H52" si="40">C51/C11</f>
        <v>3.5205128600743679E-2</v>
      </c>
      <c r="D52" s="67">
        <f t="shared" si="40"/>
        <v>8.7321978575372085E-3</v>
      </c>
      <c r="E52" s="67">
        <f t="shared" si="40"/>
        <v>-4.8921374455707614E-2</v>
      </c>
      <c r="F52" s="67">
        <f t="shared" si="40"/>
        <v>4.9670795232363438E-2</v>
      </c>
      <c r="G52" s="67">
        <f t="shared" si="40"/>
        <v>-4.8220564318841995E-2</v>
      </c>
      <c r="H52" s="67">
        <f t="shared" si="40"/>
        <v>-0.10163459417349155</v>
      </c>
      <c r="I52" s="106">
        <v>-0.03</v>
      </c>
      <c r="J52" s="107">
        <v>-0.02</v>
      </c>
      <c r="K52" s="107">
        <v>-0.02</v>
      </c>
      <c r="L52" s="107">
        <v>-0.02</v>
      </c>
      <c r="M52" s="107">
        <v>-0.02</v>
      </c>
      <c r="N52" s="107">
        <v>-0.02</v>
      </c>
      <c r="O52" s="107">
        <v>-0.02</v>
      </c>
      <c r="P52" s="107">
        <v>-0.02</v>
      </c>
      <c r="Q52" s="107">
        <v>-0.02</v>
      </c>
      <c r="R52" s="107">
        <v>-0.02</v>
      </c>
    </row>
    <row r="53" spans="1:86" x14ac:dyDescent="0.25">
      <c r="A53" s="1"/>
      <c r="B53" s="1"/>
      <c r="C53" s="1"/>
      <c r="D53" s="1"/>
      <c r="E53" s="1"/>
      <c r="F53" s="1"/>
      <c r="G53" s="1"/>
      <c r="H53" s="1"/>
      <c r="I53" s="91"/>
      <c r="J53" s="81"/>
      <c r="K53" s="81"/>
      <c r="L53" s="81"/>
      <c r="M53" s="81"/>
      <c r="N53" s="81"/>
      <c r="O53" s="81"/>
      <c r="P53" s="81"/>
      <c r="Q53" s="81"/>
      <c r="R53" s="81"/>
    </row>
    <row r="54" spans="1:86" x14ac:dyDescent="0.25">
      <c r="A54" s="1"/>
      <c r="B54" s="10" t="s">
        <v>25</v>
      </c>
      <c r="C54" s="12">
        <f>C38-C41</f>
        <v>-54787</v>
      </c>
      <c r="D54" s="12">
        <f t="shared" ref="D54:G54" si="41">D38-D41</f>
        <v>-424573</v>
      </c>
      <c r="E54" s="12">
        <f t="shared" si="41"/>
        <v>-198312</v>
      </c>
      <c r="F54" s="12">
        <f t="shared" si="41"/>
        <v>-187630</v>
      </c>
      <c r="G54" s="12">
        <f t="shared" si="41"/>
        <v>-64946</v>
      </c>
      <c r="H54" s="12">
        <f>H38-H41</f>
        <v>-95604</v>
      </c>
      <c r="I54" s="94">
        <f t="shared" ref="I54:R54" si="42">I38-I41</f>
        <v>43804.800000000003</v>
      </c>
      <c r="J54" s="83">
        <f t="shared" si="42"/>
        <v>81884.399999999994</v>
      </c>
      <c r="K54" s="83">
        <f t="shared" si="42"/>
        <v>258694.79999999964</v>
      </c>
      <c r="L54" s="83">
        <f t="shared" si="42"/>
        <v>391107.59999999963</v>
      </c>
      <c r="M54" s="83">
        <f t="shared" si="42"/>
        <v>502944</v>
      </c>
      <c r="N54" s="83">
        <f t="shared" si="42"/>
        <v>805849.20000000042</v>
      </c>
      <c r="O54" s="83">
        <f t="shared" si="42"/>
        <v>1009242.0000000003</v>
      </c>
      <c r="P54" s="83">
        <f t="shared" si="42"/>
        <v>1190311.2</v>
      </c>
      <c r="Q54" s="83">
        <f t="shared" si="42"/>
        <v>1406737.8</v>
      </c>
      <c r="R54" s="83">
        <f t="shared" si="42"/>
        <v>1607164.5506369427</v>
      </c>
    </row>
    <row r="55" spans="1:86" x14ac:dyDescent="0.25">
      <c r="A55" s="1"/>
      <c r="B55" s="10" t="s">
        <v>26</v>
      </c>
      <c r="C55" s="12">
        <f>C36-C41</f>
        <v>-52276</v>
      </c>
      <c r="D55" s="12">
        <f t="shared" ref="D55:R55" si="43">D36-D41</f>
        <v>-426458</v>
      </c>
      <c r="E55" s="12">
        <f t="shared" si="43"/>
        <v>-208359</v>
      </c>
      <c r="F55" s="12">
        <f t="shared" si="43"/>
        <v>-243267</v>
      </c>
      <c r="G55" s="12">
        <f t="shared" si="43"/>
        <v>-69976</v>
      </c>
      <c r="H55" s="12">
        <f t="shared" si="43"/>
        <v>-97454</v>
      </c>
      <c r="I55" s="94">
        <f>I36-I41</f>
        <v>-10195.200000000001</v>
      </c>
      <c r="J55" s="83">
        <f t="shared" si="43"/>
        <v>23884.399999999994</v>
      </c>
      <c r="K55" s="83">
        <f t="shared" si="43"/>
        <v>194294.79999999964</v>
      </c>
      <c r="L55" s="83">
        <f t="shared" si="43"/>
        <v>387447.59999999963</v>
      </c>
      <c r="M55" s="83">
        <f t="shared" si="43"/>
        <v>498914</v>
      </c>
      <c r="N55" s="83">
        <f t="shared" si="43"/>
        <v>800709.20000000042</v>
      </c>
      <c r="O55" s="83">
        <f t="shared" si="43"/>
        <v>1003542.0000000003</v>
      </c>
      <c r="P55" s="83">
        <f t="shared" si="43"/>
        <v>1184031.2</v>
      </c>
      <c r="Q55" s="83">
        <f t="shared" si="43"/>
        <v>1399827.8</v>
      </c>
      <c r="R55" s="83">
        <f t="shared" si="43"/>
        <v>1599561.35</v>
      </c>
      <c r="S55" s="59">
        <f>R55*(1+$E$6)</f>
        <v>1647548.1905</v>
      </c>
      <c r="T55" s="59">
        <f t="shared" ref="T55:CE55" si="44">S55*(1+$E$6)</f>
        <v>1696974.6362150002</v>
      </c>
      <c r="U55" s="59">
        <f t="shared" si="44"/>
        <v>1747883.8753014503</v>
      </c>
      <c r="V55" s="59">
        <f t="shared" si="44"/>
        <v>1800320.3915604937</v>
      </c>
      <c r="W55" s="59">
        <f t="shared" si="44"/>
        <v>1854330.0033073085</v>
      </c>
      <c r="X55" s="59">
        <f t="shared" si="44"/>
        <v>1909959.9034065278</v>
      </c>
      <c r="Y55" s="59">
        <f t="shared" si="44"/>
        <v>1967258.7005087237</v>
      </c>
      <c r="Z55" s="59">
        <f t="shared" si="44"/>
        <v>2026276.4615239855</v>
      </c>
      <c r="AA55" s="59">
        <f t="shared" si="44"/>
        <v>2087064.7553697051</v>
      </c>
      <c r="AB55" s="59">
        <f t="shared" si="44"/>
        <v>2149676.6980307964</v>
      </c>
      <c r="AC55" s="59">
        <f t="shared" si="44"/>
        <v>2214166.9989717202</v>
      </c>
      <c r="AD55" s="59">
        <f t="shared" si="44"/>
        <v>2280592.0089408718</v>
      </c>
      <c r="AE55" s="59">
        <f t="shared" si="44"/>
        <v>2349009.7692090981</v>
      </c>
      <c r="AF55" s="59">
        <f t="shared" si="44"/>
        <v>2419480.0622853711</v>
      </c>
      <c r="AG55" s="59">
        <f t="shared" si="44"/>
        <v>2492064.4641539324</v>
      </c>
      <c r="AH55" s="59">
        <f t="shared" si="44"/>
        <v>2566826.3980785506</v>
      </c>
      <c r="AI55" s="59">
        <f t="shared" si="44"/>
        <v>2643831.1900209072</v>
      </c>
      <c r="AJ55" s="59">
        <f t="shared" si="44"/>
        <v>2723146.1257215347</v>
      </c>
      <c r="AK55" s="59">
        <f t="shared" si="44"/>
        <v>2804840.509493181</v>
      </c>
      <c r="AL55" s="59">
        <f t="shared" si="44"/>
        <v>2888985.7247779765</v>
      </c>
      <c r="AM55" s="59">
        <f t="shared" si="44"/>
        <v>2975655.2965213158</v>
      </c>
      <c r="AN55" s="59">
        <f t="shared" si="44"/>
        <v>3064924.9554169555</v>
      </c>
      <c r="AO55" s="59">
        <f t="shared" si="44"/>
        <v>3156872.7040794641</v>
      </c>
      <c r="AP55" s="59">
        <f t="shared" si="44"/>
        <v>3251578.8852018481</v>
      </c>
      <c r="AQ55" s="59">
        <f t="shared" si="44"/>
        <v>3349126.2517579035</v>
      </c>
      <c r="AR55" s="59">
        <f t="shared" si="44"/>
        <v>3449600.0393106407</v>
      </c>
      <c r="AS55" s="59">
        <f t="shared" si="44"/>
        <v>3553088.04048996</v>
      </c>
      <c r="AT55" s="59">
        <f t="shared" si="44"/>
        <v>3659680.681704659</v>
      </c>
      <c r="AU55" s="59">
        <f t="shared" si="44"/>
        <v>3769471.102155799</v>
      </c>
      <c r="AV55" s="59">
        <f t="shared" si="44"/>
        <v>3882555.2352204733</v>
      </c>
      <c r="AW55" s="59">
        <f t="shared" si="44"/>
        <v>3999031.8922770876</v>
      </c>
      <c r="AX55" s="59">
        <f t="shared" si="44"/>
        <v>4119002.8490454005</v>
      </c>
      <c r="AY55" s="59">
        <f t="shared" si="44"/>
        <v>4242572.9345167624</v>
      </c>
      <c r="AZ55" s="59">
        <f t="shared" si="44"/>
        <v>4369850.1225522654</v>
      </c>
      <c r="BA55" s="59">
        <f t="shared" si="44"/>
        <v>4500945.6262288336</v>
      </c>
      <c r="BB55" s="59">
        <f t="shared" si="44"/>
        <v>4635973.9950156985</v>
      </c>
      <c r="BC55" s="59">
        <f t="shared" si="44"/>
        <v>4775053.2148661697</v>
      </c>
      <c r="BD55" s="59">
        <f t="shared" si="44"/>
        <v>4918304.8113121549</v>
      </c>
      <c r="BE55" s="59">
        <f t="shared" si="44"/>
        <v>5065853.9556515198</v>
      </c>
      <c r="BF55" s="59">
        <f t="shared" si="44"/>
        <v>5217829.5743210651</v>
      </c>
      <c r="BG55" s="59">
        <f t="shared" si="44"/>
        <v>5374364.4615506968</v>
      </c>
      <c r="BH55" s="59">
        <f t="shared" si="44"/>
        <v>5535595.3953972179</v>
      </c>
      <c r="BI55" s="59">
        <f t="shared" si="44"/>
        <v>5701663.2572591342</v>
      </c>
      <c r="BJ55" s="59">
        <f t="shared" si="44"/>
        <v>5872713.1549769081</v>
      </c>
      <c r="BK55" s="59">
        <f t="shared" si="44"/>
        <v>6048894.5496262154</v>
      </c>
      <c r="BL55" s="59">
        <f t="shared" si="44"/>
        <v>6230361.3861150024</v>
      </c>
      <c r="BM55" s="59">
        <f t="shared" si="44"/>
        <v>6417272.2276984528</v>
      </c>
      <c r="BN55" s="59">
        <f t="shared" si="44"/>
        <v>6609790.3945294069</v>
      </c>
      <c r="BO55" s="59">
        <f t="shared" si="44"/>
        <v>6808084.1063652895</v>
      </c>
      <c r="BP55" s="59">
        <f t="shared" si="44"/>
        <v>7012326.629556248</v>
      </c>
      <c r="BQ55" s="59">
        <f t="shared" si="44"/>
        <v>7222696.4284429355</v>
      </c>
      <c r="BR55" s="59">
        <f t="shared" si="44"/>
        <v>7439377.3212962234</v>
      </c>
      <c r="BS55" s="59">
        <f t="shared" si="44"/>
        <v>7662558.6409351099</v>
      </c>
      <c r="BT55" s="59">
        <f t="shared" si="44"/>
        <v>7892435.4001631634</v>
      </c>
      <c r="BU55" s="59">
        <f t="shared" si="44"/>
        <v>8129208.4621680584</v>
      </c>
      <c r="BV55" s="59">
        <f t="shared" si="44"/>
        <v>8373084.7160331002</v>
      </c>
      <c r="BW55" s="59">
        <f t="shared" si="44"/>
        <v>8624277.2575140931</v>
      </c>
      <c r="BX55" s="59">
        <f t="shared" si="44"/>
        <v>8883005.5752395168</v>
      </c>
      <c r="BY55" s="59">
        <f t="shared" si="44"/>
        <v>9149495.7424967028</v>
      </c>
      <c r="BZ55" s="59">
        <f t="shared" si="44"/>
        <v>9423980.6147716045</v>
      </c>
      <c r="CA55" s="59">
        <f t="shared" si="44"/>
        <v>9706700.0332147535</v>
      </c>
      <c r="CB55" s="59">
        <f t="shared" si="44"/>
        <v>9997901.034211196</v>
      </c>
      <c r="CC55" s="59">
        <f t="shared" si="44"/>
        <v>10297838.065237531</v>
      </c>
      <c r="CD55" s="59">
        <f t="shared" si="44"/>
        <v>10606773.207194658</v>
      </c>
      <c r="CE55" s="59">
        <f t="shared" si="44"/>
        <v>10924976.403410498</v>
      </c>
      <c r="CF55" s="59">
        <f t="shared" ref="CF55:CH55" si="45">CE55*(1+$E$6)</f>
        <v>11252725.695512813</v>
      </c>
      <c r="CG55" s="59">
        <f t="shared" si="45"/>
        <v>11590307.466378197</v>
      </c>
      <c r="CH55" s="59">
        <f t="shared" si="45"/>
        <v>11938016.690369543</v>
      </c>
    </row>
    <row r="56" spans="1:86" x14ac:dyDescent="0.25">
      <c r="A56" s="1"/>
      <c r="B56" s="6"/>
      <c r="C56" s="20"/>
      <c r="D56" s="20"/>
      <c r="E56" s="20"/>
      <c r="F56" s="20"/>
      <c r="G56" s="20"/>
      <c r="H56" s="20"/>
      <c r="I56" s="91"/>
      <c r="J56" s="81"/>
      <c r="K56" s="81"/>
      <c r="L56" s="81"/>
      <c r="M56" s="81"/>
      <c r="N56" s="81"/>
      <c r="O56" s="81"/>
      <c r="P56" s="81"/>
      <c r="Q56" s="81"/>
      <c r="R56" s="81"/>
    </row>
    <row r="57" spans="1:86" x14ac:dyDescent="0.25">
      <c r="A57" s="1"/>
      <c r="B57" s="10" t="s">
        <v>27</v>
      </c>
      <c r="C57" s="12">
        <f t="shared" ref="C57:R57" si="46">C54+C45+C48-C51</f>
        <v>-60220</v>
      </c>
      <c r="D57" s="12">
        <f t="shared" si="46"/>
        <v>-423080</v>
      </c>
      <c r="E57" s="12">
        <f t="shared" si="46"/>
        <v>-172528</v>
      </c>
      <c r="F57" s="12">
        <f t="shared" si="46"/>
        <v>-271109</v>
      </c>
      <c r="G57" s="12">
        <f t="shared" si="46"/>
        <v>57182</v>
      </c>
      <c r="H57" s="12">
        <f t="shared" si="46"/>
        <v>168701</v>
      </c>
      <c r="I57" s="94">
        <f t="shared" si="46"/>
        <v>126754.79999999999</v>
      </c>
      <c r="J57" s="83">
        <f t="shared" si="46"/>
        <v>138034.4</v>
      </c>
      <c r="K57" s="83">
        <f t="shared" si="46"/>
        <v>316874.79999999964</v>
      </c>
      <c r="L57" s="83">
        <f t="shared" si="46"/>
        <v>456987.59999999963</v>
      </c>
      <c r="M57" s="83">
        <f t="shared" si="46"/>
        <v>575484</v>
      </c>
      <c r="N57" s="83">
        <f t="shared" si="46"/>
        <v>898369.20000000042</v>
      </c>
      <c r="O57" s="83">
        <f t="shared" si="46"/>
        <v>1111842.0000000005</v>
      </c>
      <c r="P57" s="83">
        <f t="shared" si="46"/>
        <v>1303351.2</v>
      </c>
      <c r="Q57" s="83">
        <f t="shared" si="46"/>
        <v>1531117.8</v>
      </c>
      <c r="R57" s="83">
        <f t="shared" si="46"/>
        <v>1744022.1621019107</v>
      </c>
    </row>
    <row r="58" spans="1:86" x14ac:dyDescent="0.25">
      <c r="A58" s="1"/>
      <c r="B58" s="22" t="s">
        <v>28</v>
      </c>
      <c r="C58" s="1"/>
      <c r="D58" s="1"/>
      <c r="E58" s="1"/>
      <c r="F58" s="1"/>
      <c r="G58" s="1"/>
      <c r="H58" s="1"/>
      <c r="I58" s="62">
        <f t="shared" ref="I58:R58" si="47">I57/((1+$E$5)^I9)</f>
        <v>115055.90696237478</v>
      </c>
      <c r="J58" s="60">
        <f t="shared" si="47"/>
        <v>113730.34159621775</v>
      </c>
      <c r="K58" s="60">
        <f t="shared" si="47"/>
        <v>236985.19756278559</v>
      </c>
      <c r="L58" s="60">
        <f t="shared" si="47"/>
        <v>310229.03326214262</v>
      </c>
      <c r="M58" s="60">
        <f t="shared" si="47"/>
        <v>354613.92293101648</v>
      </c>
      <c r="N58" s="60">
        <f t="shared" si="47"/>
        <v>502483.59698803956</v>
      </c>
      <c r="O58" s="60">
        <f t="shared" si="47"/>
        <v>564487.87346943235</v>
      </c>
      <c r="P58" s="60">
        <f t="shared" si="47"/>
        <v>600644.49790421198</v>
      </c>
      <c r="Q58" s="60">
        <f t="shared" si="47"/>
        <v>640485.28783366864</v>
      </c>
      <c r="R58" s="60">
        <f t="shared" si="47"/>
        <v>662212.01800764073</v>
      </c>
    </row>
    <row r="59" spans="1:86" x14ac:dyDescent="0.25">
      <c r="A59" s="1"/>
      <c r="B59" s="23"/>
      <c r="C59" s="23"/>
      <c r="D59" s="23"/>
      <c r="E59" s="23"/>
      <c r="F59" s="23"/>
      <c r="G59" s="23"/>
      <c r="H59" s="23"/>
      <c r="I59" s="16"/>
      <c r="J59" s="1"/>
      <c r="K59" s="1"/>
      <c r="L59" s="1"/>
      <c r="M59" s="1"/>
      <c r="N59" s="1"/>
      <c r="O59" s="1"/>
      <c r="P59" s="1"/>
      <c r="Q59" s="1"/>
      <c r="R59" s="1"/>
    </row>
    <row r="60" spans="1:86" x14ac:dyDescent="0.25">
      <c r="A60" s="1"/>
      <c r="B60" s="1" t="s">
        <v>29</v>
      </c>
      <c r="C60" s="24">
        <f>(R57*(1+$E$6))/($E$5-$E$6)</f>
        <v>25060560.735081095</v>
      </c>
      <c r="D60" s="1"/>
      <c r="E60" s="1" t="s">
        <v>30</v>
      </c>
      <c r="F60" s="19">
        <f>NPV($E$5,I55:CH55)</f>
        <v>12059570.042351715</v>
      </c>
      <c r="G60" s="1"/>
      <c r="H60" s="1"/>
      <c r="I60" s="16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25">
        <f>C60/((1+$E$5)^$R$9)</f>
        <v>9515592.6669992376</v>
      </c>
      <c r="D61" s="17"/>
      <c r="E61" s="3"/>
      <c r="F61" s="3"/>
      <c r="G61" s="3"/>
      <c r="H61" s="17"/>
      <c r="I61" s="13"/>
      <c r="J61" s="1"/>
      <c r="L61" s="49" t="s">
        <v>52</v>
      </c>
      <c r="M61" s="50"/>
      <c r="N61" s="50"/>
      <c r="O61" s="50"/>
      <c r="P61" s="50"/>
      <c r="Q61" s="49"/>
    </row>
    <row r="62" spans="1:86" x14ac:dyDescent="0.25">
      <c r="A62" s="1"/>
      <c r="B62" s="6" t="s">
        <v>32</v>
      </c>
      <c r="C62" s="6"/>
      <c r="D62" s="1"/>
      <c r="E62" s="6"/>
      <c r="F62" s="6"/>
      <c r="G62" s="26" t="s">
        <v>33</v>
      </c>
      <c r="H62" s="26" t="s">
        <v>30</v>
      </c>
      <c r="I62" s="16"/>
      <c r="J62" s="1"/>
      <c r="K62" s="49"/>
      <c r="L62" s="51">
        <f>D68</f>
        <v>59.042669781939111</v>
      </c>
      <c r="M62" s="52">
        <v>-0.01</v>
      </c>
      <c r="N62" s="52">
        <v>0.01</v>
      </c>
      <c r="O62" s="52">
        <v>0.03</v>
      </c>
      <c r="P62" s="52">
        <v>0.04</v>
      </c>
      <c r="Q62" s="52">
        <v>0.05</v>
      </c>
    </row>
    <row r="63" spans="1:86" x14ac:dyDescent="0.25">
      <c r="A63" s="1"/>
      <c r="B63" s="27" t="s">
        <v>34</v>
      </c>
      <c r="C63" s="1"/>
      <c r="D63" s="34">
        <f>940494+350763</f>
        <v>1291257</v>
      </c>
      <c r="E63" s="1"/>
      <c r="F63" s="1"/>
      <c r="G63" s="24">
        <f>C61+SUM(I58:R58)</f>
        <v>13616520.343516769</v>
      </c>
      <c r="H63" s="19">
        <f>F60</f>
        <v>12059570.042351715</v>
      </c>
      <c r="I63" s="16"/>
      <c r="J63" s="1"/>
      <c r="K63" s="49"/>
      <c r="L63" s="53">
        <f>L64-2%</f>
        <v>6.5514242810595466E-2</v>
      </c>
      <c r="M63" s="54">
        <f t="dataTable" ref="M63:Q67" dt2D="1" dtr="1" r1="E6" r2="E5"/>
        <v>76.445226881225665</v>
      </c>
      <c r="N63" s="54">
        <v>97.892034907012061</v>
      </c>
      <c r="O63" s="54">
        <v>140.17244836882534</v>
      </c>
      <c r="P63" s="54">
        <v>181.30166090351764</v>
      </c>
      <c r="Q63" s="54">
        <v>263.3239150404267</v>
      </c>
    </row>
    <row r="64" spans="1:86" x14ac:dyDescent="0.25">
      <c r="A64" s="1"/>
      <c r="B64" s="28" t="s">
        <v>35</v>
      </c>
      <c r="C64" s="3"/>
      <c r="D64" s="29">
        <f>2195464-14688</f>
        <v>2180776</v>
      </c>
      <c r="E64" s="3"/>
      <c r="F64" s="3"/>
      <c r="G64" s="3"/>
      <c r="H64" s="3"/>
      <c r="I64" s="16"/>
      <c r="J64" s="1"/>
      <c r="K64" s="50"/>
      <c r="L64" s="53">
        <f>L65-2%</f>
        <v>8.551424281059547E-2</v>
      </c>
      <c r="M64" s="54">
        <v>53.910882869786903</v>
      </c>
      <c r="N64" s="55">
        <v>64.718286947298907</v>
      </c>
      <c r="O64" s="55">
        <v>82.814542705447451</v>
      </c>
      <c r="P64" s="55">
        <v>97.186820404376505</v>
      </c>
      <c r="Q64" s="54">
        <v>118.4107554170737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0">
        <f>(G63+D63-D64)</f>
        <v>12727001.343516769</v>
      </c>
      <c r="H65" s="31">
        <f>(H63+D63-D64)</f>
        <v>11170051.042351715</v>
      </c>
      <c r="I65" s="16"/>
      <c r="J65"/>
      <c r="K65" s="49" t="s">
        <v>1</v>
      </c>
      <c r="L65" s="56">
        <v>0.10551424281059547</v>
      </c>
      <c r="M65" s="54">
        <v>39.699185513784343</v>
      </c>
      <c r="N65" s="55">
        <v>45.744437479044123</v>
      </c>
      <c r="O65" s="57">
        <v>54.903683287522803</v>
      </c>
      <c r="P65" s="55">
        <v>61.473384409477767</v>
      </c>
      <c r="Q65" s="54">
        <v>70.218633282405506</v>
      </c>
    </row>
    <row r="66" spans="1:17" x14ac:dyDescent="0.25">
      <c r="A66" s="1"/>
      <c r="B66" s="3" t="s">
        <v>37</v>
      </c>
      <c r="C66" s="3"/>
      <c r="D66" s="34">
        <f>202371035/1000</f>
        <v>202371.035</v>
      </c>
      <c r="E66" s="3"/>
      <c r="F66" s="3"/>
      <c r="G66" s="3"/>
      <c r="H66" s="3"/>
      <c r="I66" s="16"/>
      <c r="J66" s="1"/>
      <c r="K66" s="49"/>
      <c r="L66" s="58">
        <f>L65+2%</f>
        <v>0.12551424281059548</v>
      </c>
      <c r="M66" s="54">
        <v>30.097096239043495</v>
      </c>
      <c r="N66" s="55">
        <v>33.733356101404013</v>
      </c>
      <c r="O66" s="55">
        <v>38.875211167479279</v>
      </c>
      <c r="P66" s="55">
        <v>42.327822524025905</v>
      </c>
      <c r="Q66" s="54">
        <v>46.660127412824863</v>
      </c>
    </row>
    <row r="67" spans="1:17" x14ac:dyDescent="0.25">
      <c r="A67" s="1"/>
      <c r="B67" s="18" t="s">
        <v>38</v>
      </c>
      <c r="C67" s="18"/>
      <c r="D67" s="18">
        <f>D66*$J$5</f>
        <v>11539196.415700002</v>
      </c>
      <c r="E67" s="18"/>
      <c r="F67" s="18"/>
      <c r="G67" s="18"/>
      <c r="H67" s="32"/>
      <c r="I67" s="1"/>
      <c r="J67" s="1"/>
      <c r="K67" s="49"/>
      <c r="L67" s="58">
        <f>L66+2%</f>
        <v>0.14551424281059547</v>
      </c>
      <c r="M67" s="54">
        <v>23.281243191867407</v>
      </c>
      <c r="N67" s="54">
        <v>25.588475951945959</v>
      </c>
      <c r="O67" s="54">
        <v>28.6910479938342</v>
      </c>
      <c r="P67" s="54">
        <v>30.679245085669798</v>
      </c>
      <c r="Q67" s="54">
        <v>33.076805525059982</v>
      </c>
    </row>
    <row r="68" spans="1:17" x14ac:dyDescent="0.25">
      <c r="A68" s="1"/>
      <c r="B68" s="6" t="s">
        <v>39</v>
      </c>
      <c r="C68" s="6" t="s">
        <v>40</v>
      </c>
      <c r="D68" s="33">
        <f>(G68+H68)/2</f>
        <v>59.042669781939111</v>
      </c>
      <c r="F68" s="6"/>
      <c r="G68" s="33">
        <f>G65/D66</f>
        <v>62.889441384320484</v>
      </c>
      <c r="H68" s="33">
        <f>H65/D66</f>
        <v>55.195898179557737</v>
      </c>
      <c r="I68" s="16"/>
      <c r="J68" s="1"/>
    </row>
    <row r="69" spans="1:17" x14ac:dyDescent="0.25">
      <c r="A69"/>
      <c r="C69" s="1"/>
      <c r="D69" s="1"/>
    </row>
  </sheetData>
  <sortState xmlns:xlrd2="http://schemas.microsoft.com/office/spreadsheetml/2017/richdata2" columnSort="1" ref="C10:H58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topLeftCell="A4" workbookViewId="0">
      <selection activeCell="D9" sqref="D9"/>
    </sheetView>
  </sheetViews>
  <sheetFormatPr defaultRowHeight="15" x14ac:dyDescent="0.25"/>
  <cols>
    <col min="3" max="3" width="11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DOCU!I42</f>
        <v>0.22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1">
        <v>1.3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DOCU!D67</f>
        <v>11539196.415700002</v>
      </c>
      <c r="D12" s="2"/>
      <c r="E12" s="2" t="s">
        <v>35</v>
      </c>
      <c r="F12" s="2"/>
      <c r="G12" s="21">
        <f>DOCU!D64</f>
        <v>2180776</v>
      </c>
      <c r="H12" s="2"/>
      <c r="I12" s="2" t="s">
        <v>47</v>
      </c>
      <c r="J12" s="2"/>
      <c r="K12" s="21">
        <f>G12+C12</f>
        <v>13719972.415700002</v>
      </c>
      <c r="L12" s="2"/>
    </row>
    <row r="13" spans="1:14" x14ac:dyDescent="0.25">
      <c r="A13" s="2" t="s">
        <v>48</v>
      </c>
      <c r="B13" s="2"/>
      <c r="C13" s="42">
        <f>C12/K12</f>
        <v>0.84105099238359249</v>
      </c>
      <c r="D13" s="2"/>
      <c r="E13" s="2" t="s">
        <v>49</v>
      </c>
      <c r="F13" s="2"/>
      <c r="G13" s="43">
        <f>G12/K12</f>
        <v>0.15894900761640748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4">
        <f>D7+D8*(D9)</f>
        <v>0.11499999999999999</v>
      </c>
      <c r="D14" s="2"/>
      <c r="E14" s="2" t="s">
        <v>51</v>
      </c>
      <c r="F14" s="2"/>
      <c r="G14" s="45">
        <v>0.04</v>
      </c>
      <c r="H14" s="2"/>
      <c r="I14" s="46" t="s">
        <v>1</v>
      </c>
      <c r="J14" s="47"/>
      <c r="K14" s="65">
        <f>C13*C14+G14*G13*(1-D6)</f>
        <v>0.10168007316174504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99C2-08F5-4DE3-8FA5-8FE333780516}">
  <dimension ref="A1:J46"/>
  <sheetViews>
    <sheetView topLeftCell="A28" workbookViewId="0">
      <selection activeCell="D18" sqref="D18"/>
    </sheetView>
  </sheetViews>
  <sheetFormatPr defaultRowHeight="15" x14ac:dyDescent="0.25"/>
  <cols>
    <col min="1" max="1" width="47.28515625" customWidth="1"/>
    <col min="2" max="4" width="14.7109375" customWidth="1"/>
    <col min="7" max="7" width="46.7109375" customWidth="1"/>
    <col min="8" max="10" width="11.28515625" customWidth="1"/>
  </cols>
  <sheetData>
    <row r="1" spans="1:10" x14ac:dyDescent="0.25">
      <c r="A1" s="78" t="s">
        <v>56</v>
      </c>
      <c r="B1" s="79" t="s">
        <v>57</v>
      </c>
      <c r="C1" s="71"/>
      <c r="D1" s="71"/>
      <c r="G1" s="78" t="s">
        <v>56</v>
      </c>
      <c r="H1" s="79" t="s">
        <v>57</v>
      </c>
      <c r="I1" s="71"/>
      <c r="J1" s="71"/>
    </row>
    <row r="2" spans="1:10" x14ac:dyDescent="0.25">
      <c r="A2" s="78" t="s">
        <v>58</v>
      </c>
      <c r="B2" s="79" t="s">
        <v>57</v>
      </c>
      <c r="C2" s="71"/>
      <c r="D2" s="71"/>
      <c r="G2" s="78" t="s">
        <v>58</v>
      </c>
      <c r="H2" s="79" t="s">
        <v>57</v>
      </c>
      <c r="I2" s="71"/>
      <c r="J2" s="71"/>
    </row>
    <row r="3" spans="1:10" x14ac:dyDescent="0.25">
      <c r="A3" s="70" t="s">
        <v>57</v>
      </c>
      <c r="B3" s="71"/>
      <c r="C3" s="70" t="s">
        <v>59</v>
      </c>
      <c r="D3" s="70" t="s">
        <v>57</v>
      </c>
      <c r="G3" s="70" t="s">
        <v>57</v>
      </c>
      <c r="H3" s="71"/>
      <c r="I3" s="70" t="s">
        <v>59</v>
      </c>
      <c r="J3" s="70" t="s">
        <v>57</v>
      </c>
    </row>
    <row r="4" spans="1:10" x14ac:dyDescent="0.25">
      <c r="A4" s="70" t="s">
        <v>60</v>
      </c>
      <c r="B4" s="70">
        <v>2021</v>
      </c>
      <c r="C4" s="70">
        <v>2022</v>
      </c>
      <c r="D4" s="70">
        <v>2023</v>
      </c>
      <c r="G4" s="70" t="s">
        <v>60</v>
      </c>
      <c r="H4" s="70">
        <v>2018</v>
      </c>
      <c r="I4" s="70">
        <v>2019</v>
      </c>
      <c r="J4" s="70">
        <v>2020</v>
      </c>
    </row>
    <row r="5" spans="1:10" x14ac:dyDescent="0.25">
      <c r="A5" s="70" t="s">
        <v>61</v>
      </c>
      <c r="B5" s="71"/>
      <c r="C5" s="71"/>
      <c r="D5" s="71"/>
      <c r="G5" s="70" t="s">
        <v>61</v>
      </c>
      <c r="H5" s="71"/>
      <c r="I5" s="71"/>
      <c r="J5" s="71"/>
    </row>
    <row r="6" spans="1:10" x14ac:dyDescent="0.25">
      <c r="A6" s="70" t="s">
        <v>62</v>
      </c>
      <c r="B6" s="72">
        <v>1381397</v>
      </c>
      <c r="C6" s="72">
        <v>2037272</v>
      </c>
      <c r="D6" s="72">
        <v>2442177</v>
      </c>
      <c r="G6" s="70" t="s">
        <v>62</v>
      </c>
      <c r="H6" s="72">
        <v>484581</v>
      </c>
      <c r="I6" s="72">
        <v>663657</v>
      </c>
      <c r="J6" s="72">
        <v>918463</v>
      </c>
    </row>
    <row r="7" spans="1:10" x14ac:dyDescent="0.25">
      <c r="A7" s="70" t="s">
        <v>63</v>
      </c>
      <c r="B7" s="73">
        <v>71650</v>
      </c>
      <c r="C7" s="73">
        <v>69941</v>
      </c>
      <c r="D7" s="73">
        <v>73738</v>
      </c>
      <c r="G7" s="70" t="s">
        <v>63</v>
      </c>
      <c r="H7" s="73">
        <v>33923</v>
      </c>
      <c r="I7" s="73">
        <v>37312</v>
      </c>
      <c r="J7" s="73">
        <v>55508</v>
      </c>
    </row>
    <row r="8" spans="1:10" x14ac:dyDescent="0.25">
      <c r="A8" s="70" t="s">
        <v>64</v>
      </c>
      <c r="B8" s="73">
        <v>1453047</v>
      </c>
      <c r="C8" s="73">
        <v>2107213</v>
      </c>
      <c r="D8" s="73">
        <v>2515915</v>
      </c>
      <c r="G8" s="70" t="s">
        <v>64</v>
      </c>
      <c r="H8" s="73">
        <v>518504</v>
      </c>
      <c r="I8" s="73">
        <v>700969</v>
      </c>
      <c r="J8" s="73">
        <v>973971</v>
      </c>
    </row>
    <row r="9" spans="1:10" x14ac:dyDescent="0.25">
      <c r="A9" s="70" t="s">
        <v>65</v>
      </c>
      <c r="B9" s="71"/>
      <c r="C9" s="71"/>
      <c r="D9" s="71"/>
      <c r="G9" s="70" t="s">
        <v>65</v>
      </c>
      <c r="H9" s="71"/>
      <c r="I9" s="71"/>
      <c r="J9" s="71"/>
    </row>
    <row r="10" spans="1:10" x14ac:dyDescent="0.25">
      <c r="A10" s="70" t="s">
        <v>62</v>
      </c>
      <c r="B10" s="73">
        <v>259992</v>
      </c>
      <c r="C10" s="73">
        <v>343661</v>
      </c>
      <c r="D10" s="73">
        <v>426077</v>
      </c>
      <c r="G10" s="70" t="s">
        <v>62</v>
      </c>
      <c r="H10" s="73">
        <v>83834</v>
      </c>
      <c r="I10" s="73">
        <v>117764</v>
      </c>
      <c r="J10" s="73">
        <v>163931</v>
      </c>
    </row>
    <row r="11" spans="1:10" x14ac:dyDescent="0.25">
      <c r="A11" s="70" t="s">
        <v>63</v>
      </c>
      <c r="B11" s="73">
        <v>104066</v>
      </c>
      <c r="C11" s="73">
        <v>122790</v>
      </c>
      <c r="D11" s="73">
        <v>110011</v>
      </c>
      <c r="G11" s="70" t="s">
        <v>63</v>
      </c>
      <c r="H11" s="73">
        <v>34439</v>
      </c>
      <c r="I11" s="73">
        <v>74657</v>
      </c>
      <c r="J11" s="73">
        <v>79303</v>
      </c>
    </row>
    <row r="12" spans="1:10" x14ac:dyDescent="0.25">
      <c r="A12" s="70" t="s">
        <v>66</v>
      </c>
      <c r="B12" s="73">
        <v>364058</v>
      </c>
      <c r="C12" s="73">
        <v>466451</v>
      </c>
      <c r="D12" s="73">
        <v>536088</v>
      </c>
      <c r="G12" s="70" t="s">
        <v>66</v>
      </c>
      <c r="H12" s="73">
        <v>118273</v>
      </c>
      <c r="I12" s="73">
        <v>192421</v>
      </c>
      <c r="J12" s="73">
        <v>243234</v>
      </c>
    </row>
    <row r="13" spans="1:10" x14ac:dyDescent="0.25">
      <c r="A13" s="70" t="s">
        <v>67</v>
      </c>
      <c r="B13" s="73">
        <v>1088989</v>
      </c>
      <c r="C13" s="73">
        <v>1640762</v>
      </c>
      <c r="D13" s="73">
        <v>1979827</v>
      </c>
      <c r="G13" s="70" t="s">
        <v>67</v>
      </c>
      <c r="H13" s="73">
        <v>400231</v>
      </c>
      <c r="I13" s="73">
        <v>508548</v>
      </c>
      <c r="J13" s="73">
        <v>730737</v>
      </c>
    </row>
    <row r="14" spans="1:10" x14ac:dyDescent="0.25">
      <c r="A14" s="70" t="s">
        <v>68</v>
      </c>
      <c r="B14" s="71"/>
      <c r="C14" s="71"/>
      <c r="D14" s="71"/>
      <c r="G14" s="70" t="s">
        <v>68</v>
      </c>
      <c r="H14" s="71"/>
      <c r="I14" s="71"/>
      <c r="J14" s="71"/>
    </row>
    <row r="15" spans="1:10" x14ac:dyDescent="0.25">
      <c r="A15" s="70" t="s">
        <v>69</v>
      </c>
      <c r="B15" s="73">
        <v>798625</v>
      </c>
      <c r="C15" s="73">
        <v>1076527</v>
      </c>
      <c r="D15" s="73">
        <v>1242711</v>
      </c>
      <c r="G15" s="70" t="s">
        <v>69</v>
      </c>
      <c r="H15" s="73">
        <v>277930</v>
      </c>
      <c r="I15" s="73">
        <v>539606</v>
      </c>
      <c r="J15" s="73">
        <v>591379</v>
      </c>
    </row>
    <row r="16" spans="1:10" x14ac:dyDescent="0.25">
      <c r="A16" s="70" t="s">
        <v>70</v>
      </c>
      <c r="B16" s="73">
        <v>271522</v>
      </c>
      <c r="C16" s="73">
        <v>393362</v>
      </c>
      <c r="D16" s="73">
        <v>480584</v>
      </c>
      <c r="G16" s="70" t="s">
        <v>70</v>
      </c>
      <c r="H16" s="73">
        <v>92428</v>
      </c>
      <c r="I16" s="73">
        <v>185968</v>
      </c>
      <c r="J16" s="73">
        <v>185552</v>
      </c>
    </row>
    <row r="17" spans="1:10" x14ac:dyDescent="0.25">
      <c r="A17" s="70" t="s">
        <v>71</v>
      </c>
      <c r="B17" s="73">
        <v>192697</v>
      </c>
      <c r="C17" s="73">
        <v>232757</v>
      </c>
      <c r="D17" s="73">
        <v>316228</v>
      </c>
      <c r="G17" s="70" t="s">
        <v>71</v>
      </c>
      <c r="H17" s="73">
        <v>81526</v>
      </c>
      <c r="I17" s="73">
        <v>209297</v>
      </c>
      <c r="J17" s="73">
        <v>147315</v>
      </c>
    </row>
    <row r="18" spans="1:10" x14ac:dyDescent="0.25">
      <c r="A18" s="70" t="s">
        <v>72</v>
      </c>
      <c r="B18" s="74">
        <v>0</v>
      </c>
      <c r="C18" s="74">
        <v>0</v>
      </c>
      <c r="D18" s="73">
        <v>28335</v>
      </c>
      <c r="G18" s="70" t="s">
        <v>73</v>
      </c>
      <c r="H18" s="73">
        <v>451884</v>
      </c>
      <c r="I18" s="73">
        <v>934871</v>
      </c>
      <c r="J18" s="73">
        <v>924246</v>
      </c>
    </row>
    <row r="19" spans="1:10" x14ac:dyDescent="0.25">
      <c r="A19" s="70" t="s">
        <v>73</v>
      </c>
      <c r="B19" s="73">
        <v>1262844</v>
      </c>
      <c r="C19" s="73">
        <v>1702646</v>
      </c>
      <c r="D19" s="73">
        <v>2067858</v>
      </c>
      <c r="G19" s="70" t="s">
        <v>74</v>
      </c>
      <c r="H19" s="73">
        <v>-51653</v>
      </c>
      <c r="I19" s="73">
        <v>-426323</v>
      </c>
      <c r="J19" s="73">
        <v>-193509</v>
      </c>
    </row>
    <row r="20" spans="1:10" x14ac:dyDescent="0.25">
      <c r="A20" s="70" t="s">
        <v>74</v>
      </c>
      <c r="B20" s="73">
        <v>-173855</v>
      </c>
      <c r="C20" s="73">
        <v>-61884</v>
      </c>
      <c r="D20" s="73">
        <v>-88031</v>
      </c>
      <c r="G20" s="70" t="s">
        <v>75</v>
      </c>
      <c r="H20" s="73">
        <v>-624</v>
      </c>
      <c r="I20" s="73">
        <v>-10844</v>
      </c>
      <c r="J20" s="73">
        <v>-29254</v>
      </c>
    </row>
    <row r="21" spans="1:10" x14ac:dyDescent="0.25">
      <c r="A21" s="70" t="s">
        <v>75</v>
      </c>
      <c r="B21" s="73">
        <v>-30799</v>
      </c>
      <c r="C21" s="73">
        <v>-6443</v>
      </c>
      <c r="D21" s="73">
        <v>-6389</v>
      </c>
      <c r="G21" s="70" t="s">
        <v>77</v>
      </c>
      <c r="H21" s="73">
        <v>3135</v>
      </c>
      <c r="I21" s="73">
        <v>8959</v>
      </c>
      <c r="J21" s="73">
        <v>19207</v>
      </c>
    </row>
    <row r="22" spans="1:10" x14ac:dyDescent="0.25">
      <c r="A22" s="70" t="s">
        <v>76</v>
      </c>
      <c r="B22" s="73">
        <v>-33752</v>
      </c>
      <c r="C22" s="74">
        <v>0</v>
      </c>
      <c r="D22" s="74">
        <v>0</v>
      </c>
      <c r="G22" s="70" t="s">
        <v>145</v>
      </c>
      <c r="H22" s="73">
        <v>-49142</v>
      </c>
      <c r="I22" s="73">
        <v>-428208</v>
      </c>
      <c r="J22" s="73">
        <v>-203556</v>
      </c>
    </row>
    <row r="23" spans="1:10" x14ac:dyDescent="0.25">
      <c r="A23" s="70" t="s">
        <v>77</v>
      </c>
      <c r="B23" s="73">
        <v>8914</v>
      </c>
      <c r="C23" s="73">
        <v>1413</v>
      </c>
      <c r="D23" s="73">
        <v>4539</v>
      </c>
      <c r="G23" s="70" t="s">
        <v>146</v>
      </c>
      <c r="H23" s="73">
        <v>3134</v>
      </c>
      <c r="I23" s="73">
        <v>-1750</v>
      </c>
      <c r="J23" s="73">
        <v>4803</v>
      </c>
    </row>
    <row r="24" spans="1:10" x14ac:dyDescent="0.25">
      <c r="A24" s="70" t="s">
        <v>78</v>
      </c>
      <c r="B24" s="73">
        <v>-229492</v>
      </c>
      <c r="C24" s="73">
        <v>-66914</v>
      </c>
      <c r="D24" s="73">
        <v>-89881</v>
      </c>
      <c r="G24" s="70" t="s">
        <v>80</v>
      </c>
      <c r="H24" s="72">
        <v>-52276</v>
      </c>
      <c r="I24" s="72">
        <v>-426458</v>
      </c>
      <c r="J24" s="72">
        <v>-208359</v>
      </c>
    </row>
    <row r="25" spans="1:10" x14ac:dyDescent="0.25">
      <c r="A25" s="70" t="s">
        <v>79</v>
      </c>
      <c r="B25" s="73">
        <v>13775</v>
      </c>
      <c r="C25" s="73">
        <v>3062</v>
      </c>
      <c r="D25" s="73">
        <v>7573</v>
      </c>
      <c r="G25" s="70" t="s">
        <v>81</v>
      </c>
      <c r="H25" s="71"/>
      <c r="I25" s="71"/>
      <c r="J25" s="71"/>
    </row>
    <row r="26" spans="1:10" x14ac:dyDescent="0.25">
      <c r="A26" s="70" t="s">
        <v>80</v>
      </c>
      <c r="B26" s="72">
        <v>-243267</v>
      </c>
      <c r="C26" s="72">
        <v>-69976</v>
      </c>
      <c r="D26" s="72">
        <v>-97454</v>
      </c>
      <c r="G26" s="70" t="s">
        <v>82</v>
      </c>
      <c r="H26" s="75">
        <v>-1.66</v>
      </c>
      <c r="I26" s="75">
        <v>-3.16</v>
      </c>
      <c r="J26" s="75">
        <v>-1.18</v>
      </c>
    </row>
    <row r="27" spans="1:10" x14ac:dyDescent="0.25">
      <c r="A27" s="70" t="s">
        <v>81</v>
      </c>
      <c r="B27" s="71"/>
      <c r="C27" s="71"/>
      <c r="D27" s="71"/>
      <c r="G27" s="70" t="s">
        <v>83</v>
      </c>
      <c r="H27" s="71"/>
      <c r="I27" s="71"/>
      <c r="J27" s="71"/>
    </row>
    <row r="28" spans="1:10" x14ac:dyDescent="0.25">
      <c r="A28" s="70" t="s">
        <v>82</v>
      </c>
      <c r="B28" s="75">
        <v>-1.31</v>
      </c>
      <c r="C28" s="75">
        <v>-0.36</v>
      </c>
      <c r="D28" s="75">
        <v>-0.49</v>
      </c>
      <c r="G28" s="70" t="s">
        <v>84</v>
      </c>
      <c r="H28" s="71"/>
      <c r="I28" s="71"/>
      <c r="J28" s="71"/>
    </row>
    <row r="29" spans="1:10" x14ac:dyDescent="0.25">
      <c r="A29" s="70" t="s">
        <v>83</v>
      </c>
      <c r="B29" s="71"/>
      <c r="C29" s="71"/>
      <c r="D29" s="71"/>
      <c r="G29" s="70" t="s">
        <v>82</v>
      </c>
      <c r="H29" s="73">
        <v>32294</v>
      </c>
      <c r="I29" s="73">
        <v>135163</v>
      </c>
      <c r="J29" s="73">
        <v>176704</v>
      </c>
    </row>
    <row r="30" spans="1:10" x14ac:dyDescent="0.25">
      <c r="A30" s="70" t="s">
        <v>84</v>
      </c>
      <c r="B30" s="71"/>
      <c r="C30" s="71"/>
      <c r="D30" s="71"/>
      <c r="G30" s="71"/>
      <c r="H30" s="71"/>
      <c r="I30" s="71"/>
      <c r="J30" s="71"/>
    </row>
    <row r="31" spans="1:10" x14ac:dyDescent="0.25">
      <c r="A31" s="70" t="s">
        <v>82</v>
      </c>
      <c r="B31" s="73">
        <v>185760</v>
      </c>
      <c r="C31" s="73">
        <v>196675</v>
      </c>
      <c r="D31" s="73">
        <v>200903</v>
      </c>
      <c r="G31" s="70" t="s">
        <v>85</v>
      </c>
      <c r="H31" s="71"/>
      <c r="I31" s="71"/>
      <c r="J31" s="71"/>
    </row>
    <row r="32" spans="1:10" x14ac:dyDescent="0.25">
      <c r="A32" s="71"/>
      <c r="B32" s="71"/>
      <c r="C32" s="71"/>
      <c r="D32" s="71"/>
      <c r="G32" s="70" t="s">
        <v>86</v>
      </c>
      <c r="H32" s="72">
        <v>6149</v>
      </c>
      <c r="I32" s="72">
        <v>-5626</v>
      </c>
      <c r="J32" s="72">
        <v>-573</v>
      </c>
    </row>
    <row r="33" spans="1:10" x14ac:dyDescent="0.25">
      <c r="A33" s="70" t="s">
        <v>85</v>
      </c>
      <c r="B33" s="71"/>
      <c r="C33" s="71"/>
      <c r="D33" s="71"/>
      <c r="G33" s="70" t="s">
        <v>147</v>
      </c>
      <c r="H33" s="74">
        <v>0</v>
      </c>
      <c r="I33" s="73">
        <v>258</v>
      </c>
      <c r="J33" s="73">
        <v>865</v>
      </c>
    </row>
    <row r="34" spans="1:10" x14ac:dyDescent="0.25">
      <c r="A34" s="70" t="s">
        <v>86</v>
      </c>
      <c r="B34" s="72">
        <v>7468</v>
      </c>
      <c r="C34" s="72">
        <v>-7935</v>
      </c>
      <c r="D34" s="72">
        <v>-15336</v>
      </c>
      <c r="G34" s="70" t="s">
        <v>88</v>
      </c>
      <c r="H34" s="73">
        <v>6149</v>
      </c>
      <c r="I34" s="73">
        <v>-5368</v>
      </c>
      <c r="J34" s="73">
        <v>292</v>
      </c>
    </row>
    <row r="35" spans="1:10" x14ac:dyDescent="0.25">
      <c r="A35" s="70" t="s">
        <v>87</v>
      </c>
      <c r="B35" s="73">
        <v>-831</v>
      </c>
      <c r="C35" s="73">
        <v>-1838</v>
      </c>
      <c r="D35" s="73">
        <v>-2851</v>
      </c>
      <c r="G35" s="70" t="s">
        <v>89</v>
      </c>
      <c r="H35" s="72">
        <v>-46127</v>
      </c>
      <c r="I35" s="72">
        <v>-431826</v>
      </c>
      <c r="J35" s="72">
        <v>-208067</v>
      </c>
    </row>
    <row r="36" spans="1:10" x14ac:dyDescent="0.25">
      <c r="A36" s="70" t="s">
        <v>88</v>
      </c>
      <c r="B36" s="73">
        <v>6637</v>
      </c>
      <c r="C36" s="73">
        <v>-9773</v>
      </c>
      <c r="D36" s="73">
        <v>-18187</v>
      </c>
      <c r="G36" s="71"/>
      <c r="H36" s="71"/>
      <c r="I36" s="71"/>
      <c r="J36" s="71"/>
    </row>
    <row r="37" spans="1:10" x14ac:dyDescent="0.25">
      <c r="A37" s="70" t="s">
        <v>89</v>
      </c>
      <c r="B37" s="72">
        <v>-236630</v>
      </c>
      <c r="C37" s="72">
        <v>-79749</v>
      </c>
      <c r="D37" s="72">
        <v>-115641</v>
      </c>
      <c r="G37" s="70" t="s">
        <v>90</v>
      </c>
      <c r="H37" s="71"/>
      <c r="I37" s="71"/>
      <c r="J37" s="71"/>
    </row>
    <row r="38" spans="1:10" x14ac:dyDescent="0.25">
      <c r="A38" s="71"/>
      <c r="B38" s="71"/>
      <c r="C38" s="71"/>
      <c r="D38" s="71"/>
      <c r="G38" s="70" t="s">
        <v>91</v>
      </c>
      <c r="H38" s="71"/>
      <c r="I38" s="71"/>
      <c r="J38" s="71"/>
    </row>
    <row r="39" spans="1:10" x14ac:dyDescent="0.25">
      <c r="A39" s="70" t="s">
        <v>90</v>
      </c>
      <c r="B39" s="71"/>
      <c r="C39" s="71"/>
      <c r="D39" s="71"/>
      <c r="G39" s="70" t="s">
        <v>92</v>
      </c>
      <c r="H39" s="72">
        <v>911</v>
      </c>
      <c r="I39" s="72">
        <v>16182</v>
      </c>
      <c r="J39" s="72">
        <v>12882</v>
      </c>
    </row>
    <row r="40" spans="1:10" x14ac:dyDescent="0.25">
      <c r="A40" s="70" t="s">
        <v>91</v>
      </c>
      <c r="B40" s="71"/>
      <c r="C40" s="71"/>
      <c r="D40" s="71"/>
      <c r="G40" s="70" t="s">
        <v>93</v>
      </c>
      <c r="H40" s="73">
        <v>976</v>
      </c>
      <c r="I40" s="73">
        <v>25858</v>
      </c>
      <c r="J40" s="73">
        <v>15703</v>
      </c>
    </row>
    <row r="41" spans="1:10" x14ac:dyDescent="0.25">
      <c r="A41" s="70" t="s">
        <v>92</v>
      </c>
      <c r="B41" s="72">
        <v>20793</v>
      </c>
      <c r="C41" s="72">
        <v>31152</v>
      </c>
      <c r="D41" s="72">
        <v>46916</v>
      </c>
      <c r="G41" s="70" t="s">
        <v>69</v>
      </c>
      <c r="H41" s="73">
        <v>9386</v>
      </c>
      <c r="I41" s="73">
        <v>172115</v>
      </c>
      <c r="J41" s="73">
        <v>94863</v>
      </c>
    </row>
    <row r="42" spans="1:10" x14ac:dyDescent="0.25">
      <c r="A42" s="70" t="s">
        <v>93</v>
      </c>
      <c r="B42" s="73">
        <v>21865</v>
      </c>
      <c r="C42" s="73">
        <v>27347</v>
      </c>
      <c r="D42" s="73">
        <v>25758</v>
      </c>
      <c r="G42" s="70" t="s">
        <v>70</v>
      </c>
      <c r="H42" s="73">
        <v>4896</v>
      </c>
      <c r="I42" s="73">
        <v>74108</v>
      </c>
      <c r="J42" s="73">
        <v>43211</v>
      </c>
    </row>
    <row r="43" spans="1:10" x14ac:dyDescent="0.25">
      <c r="A43" s="70" t="s">
        <v>69</v>
      </c>
      <c r="B43" s="73">
        <v>131041</v>
      </c>
      <c r="C43" s="73">
        <v>186759</v>
      </c>
      <c r="D43" s="73">
        <v>222334</v>
      </c>
      <c r="G43" s="70" t="s">
        <v>71</v>
      </c>
      <c r="H43" s="73">
        <v>13578</v>
      </c>
      <c r="I43" s="73">
        <v>122715</v>
      </c>
      <c r="J43" s="73">
        <v>39745</v>
      </c>
    </row>
    <row r="44" spans="1:10" x14ac:dyDescent="0.25">
      <c r="A44" s="70" t="s">
        <v>70</v>
      </c>
      <c r="B44" s="73">
        <v>65890</v>
      </c>
      <c r="C44" s="73">
        <v>108523</v>
      </c>
      <c r="D44" s="73">
        <v>149967</v>
      </c>
    </row>
    <row r="45" spans="1:10" x14ac:dyDescent="0.25">
      <c r="A45" s="70" t="s">
        <v>71</v>
      </c>
      <c r="B45" s="73">
        <v>47288</v>
      </c>
      <c r="C45" s="73">
        <v>54761</v>
      </c>
      <c r="D45" s="73">
        <v>88125</v>
      </c>
    </row>
    <row r="46" spans="1:10" x14ac:dyDescent="0.25">
      <c r="A46" s="70" t="s">
        <v>72</v>
      </c>
      <c r="B46" s="74">
        <v>0</v>
      </c>
      <c r="C46" s="74">
        <v>0</v>
      </c>
      <c r="D46" s="73">
        <v>5626</v>
      </c>
    </row>
  </sheetData>
  <mergeCells count="4">
    <mergeCell ref="A1:B1"/>
    <mergeCell ref="A2:B2"/>
    <mergeCell ref="G1:H1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F785-3A6E-42BC-ABAC-10FAF00FCC80}">
  <dimension ref="A1:J60"/>
  <sheetViews>
    <sheetView topLeftCell="A18" workbookViewId="0">
      <selection activeCell="B9" sqref="B9:D9"/>
    </sheetView>
  </sheetViews>
  <sheetFormatPr defaultRowHeight="15" x14ac:dyDescent="0.25"/>
  <cols>
    <col min="1" max="1" width="50.140625" customWidth="1"/>
    <col min="2" max="2" width="11" customWidth="1"/>
    <col min="7" max="7" width="39.5703125" customWidth="1"/>
    <col min="8" max="10" width="12" customWidth="1"/>
  </cols>
  <sheetData>
    <row r="1" spans="1:10" x14ac:dyDescent="0.25">
      <c r="A1" s="78" t="s">
        <v>56</v>
      </c>
      <c r="B1" s="79" t="s">
        <v>57</v>
      </c>
      <c r="C1" s="71"/>
      <c r="D1" s="71"/>
      <c r="G1" s="70" t="s">
        <v>56</v>
      </c>
      <c r="H1" s="71"/>
      <c r="I1" s="71"/>
      <c r="J1" s="71"/>
    </row>
    <row r="2" spans="1:10" x14ac:dyDescent="0.25">
      <c r="A2" s="78" t="s">
        <v>94</v>
      </c>
      <c r="B2" s="79" t="s">
        <v>57</v>
      </c>
      <c r="C2" s="71"/>
      <c r="D2" s="71"/>
      <c r="G2" s="70" t="s">
        <v>94</v>
      </c>
      <c r="H2" s="71"/>
      <c r="I2" s="71"/>
      <c r="J2" s="71"/>
    </row>
    <row r="3" spans="1:10" x14ac:dyDescent="0.25">
      <c r="A3" s="70" t="s">
        <v>57</v>
      </c>
      <c r="B3" s="71"/>
      <c r="C3" s="70" t="s">
        <v>59</v>
      </c>
      <c r="D3" s="70" t="s">
        <v>57</v>
      </c>
      <c r="G3" s="70" t="s">
        <v>57</v>
      </c>
      <c r="H3" s="71"/>
      <c r="I3" s="70" t="s">
        <v>59</v>
      </c>
      <c r="J3" s="70" t="s">
        <v>57</v>
      </c>
    </row>
    <row r="4" spans="1:10" x14ac:dyDescent="0.25">
      <c r="A4" s="70" t="s">
        <v>95</v>
      </c>
      <c r="B4" s="70">
        <v>2021</v>
      </c>
      <c r="C4" s="70">
        <v>2022</v>
      </c>
      <c r="D4" s="70">
        <v>2023</v>
      </c>
      <c r="G4" s="70" t="s">
        <v>95</v>
      </c>
      <c r="H4" s="70">
        <v>2018</v>
      </c>
      <c r="I4" s="70">
        <v>2019</v>
      </c>
      <c r="J4" s="70">
        <v>2020</v>
      </c>
    </row>
    <row r="5" spans="1:10" x14ac:dyDescent="0.25">
      <c r="A5" s="70" t="s">
        <v>96</v>
      </c>
      <c r="B5" s="71"/>
      <c r="C5" s="71"/>
      <c r="D5" s="71"/>
      <c r="G5" s="70" t="s">
        <v>96</v>
      </c>
      <c r="H5" s="71"/>
      <c r="I5" s="71"/>
      <c r="J5" s="71"/>
    </row>
    <row r="6" spans="1:10" x14ac:dyDescent="0.25">
      <c r="A6" s="70" t="s">
        <v>80</v>
      </c>
      <c r="B6" s="72">
        <v>-243267</v>
      </c>
      <c r="C6" s="72">
        <v>-69976</v>
      </c>
      <c r="D6" s="72">
        <v>-97454</v>
      </c>
      <c r="G6" s="70" t="s">
        <v>80</v>
      </c>
      <c r="H6" s="72">
        <v>-52276</v>
      </c>
      <c r="I6" s="72">
        <v>-426458</v>
      </c>
      <c r="J6" s="72">
        <v>-208359</v>
      </c>
    </row>
    <row r="7" spans="1:10" x14ac:dyDescent="0.25">
      <c r="A7" s="70" t="s">
        <v>97</v>
      </c>
      <c r="B7" s="71"/>
      <c r="C7" s="71"/>
      <c r="D7" s="71"/>
      <c r="G7" s="70" t="s">
        <v>148</v>
      </c>
      <c r="H7" s="71"/>
      <c r="I7" s="71"/>
      <c r="J7" s="71"/>
    </row>
    <row r="8" spans="1:10" x14ac:dyDescent="0.25">
      <c r="A8" s="70" t="s">
        <v>98</v>
      </c>
      <c r="B8" s="71"/>
      <c r="C8" s="71"/>
      <c r="D8" s="71"/>
      <c r="G8" s="70" t="s">
        <v>98</v>
      </c>
      <c r="H8" s="71"/>
      <c r="I8" s="71"/>
      <c r="J8" s="71"/>
    </row>
    <row r="9" spans="1:10" x14ac:dyDescent="0.25">
      <c r="A9" s="70" t="s">
        <v>99</v>
      </c>
      <c r="B9" s="73">
        <v>71090</v>
      </c>
      <c r="C9" s="73">
        <v>81913</v>
      </c>
      <c r="D9" s="73">
        <v>86255</v>
      </c>
      <c r="G9" s="70" t="s">
        <v>99</v>
      </c>
      <c r="H9" s="73">
        <v>31750</v>
      </c>
      <c r="I9" s="73">
        <v>38027</v>
      </c>
      <c r="J9" s="73">
        <v>50182</v>
      </c>
    </row>
    <row r="10" spans="1:10" x14ac:dyDescent="0.25">
      <c r="A10" s="70" t="s">
        <v>100</v>
      </c>
      <c r="B10" s="71"/>
      <c r="C10" s="71"/>
      <c r="D10" s="71"/>
      <c r="G10" s="70" t="s">
        <v>100</v>
      </c>
      <c r="H10" s="71"/>
      <c r="I10" s="71"/>
      <c r="J10" s="71"/>
    </row>
    <row r="11" spans="1:10" x14ac:dyDescent="0.25">
      <c r="A11" s="70" t="s">
        <v>101</v>
      </c>
      <c r="B11" s="73">
        <v>99384</v>
      </c>
      <c r="C11" s="73">
        <v>144442</v>
      </c>
      <c r="D11" s="73">
        <v>185045</v>
      </c>
      <c r="G11" s="70" t="s">
        <v>101</v>
      </c>
      <c r="H11" s="73">
        <v>30377</v>
      </c>
      <c r="I11" s="73">
        <v>42112</v>
      </c>
      <c r="J11" s="73">
        <v>69747</v>
      </c>
    </row>
    <row r="12" spans="1:10" x14ac:dyDescent="0.25">
      <c r="A12" s="70" t="s">
        <v>102</v>
      </c>
      <c r="B12" s="73">
        <v>28001</v>
      </c>
      <c r="C12" s="73">
        <v>5098</v>
      </c>
      <c r="D12" s="73">
        <v>4970</v>
      </c>
      <c r="G12" s="70" t="s">
        <v>102</v>
      </c>
      <c r="H12" s="74">
        <v>0</v>
      </c>
      <c r="I12" s="73">
        <v>9507</v>
      </c>
      <c r="J12" s="73">
        <v>26389</v>
      </c>
    </row>
    <row r="13" spans="1:10" x14ac:dyDescent="0.25">
      <c r="A13" s="70" t="s">
        <v>76</v>
      </c>
      <c r="B13" s="73">
        <v>33752</v>
      </c>
      <c r="C13" s="74">
        <v>0</v>
      </c>
      <c r="D13" s="74">
        <v>0</v>
      </c>
      <c r="G13" s="70" t="s">
        <v>105</v>
      </c>
      <c r="H13" s="74">
        <v>0</v>
      </c>
      <c r="I13" s="74">
        <v>0</v>
      </c>
      <c r="J13" s="73">
        <v>19435</v>
      </c>
    </row>
    <row r="14" spans="1:10" x14ac:dyDescent="0.25">
      <c r="A14" s="70" t="s">
        <v>103</v>
      </c>
      <c r="B14" s="71"/>
      <c r="C14" s="71"/>
      <c r="D14" s="71"/>
      <c r="G14" s="70" t="s">
        <v>106</v>
      </c>
      <c r="H14" s="73">
        <v>29747</v>
      </c>
      <c r="I14" s="73">
        <v>410978</v>
      </c>
      <c r="J14" s="73">
        <v>206404</v>
      </c>
    </row>
    <row r="15" spans="1:10" x14ac:dyDescent="0.25">
      <c r="A15" s="70" t="s">
        <v>104</v>
      </c>
      <c r="B15" s="73">
        <v>-75165</v>
      </c>
      <c r="C15" s="74">
        <v>0</v>
      </c>
      <c r="D15" s="74">
        <v>0</v>
      </c>
      <c r="G15" s="70" t="s">
        <v>107</v>
      </c>
      <c r="H15" s="73">
        <v>-996</v>
      </c>
      <c r="I15" s="73">
        <v>-5001</v>
      </c>
      <c r="J15" s="73">
        <v>1287</v>
      </c>
    </row>
    <row r="16" spans="1:10" x14ac:dyDescent="0.25">
      <c r="A16" s="70" t="s">
        <v>105</v>
      </c>
      <c r="B16" s="73">
        <v>26728</v>
      </c>
      <c r="C16" s="73">
        <v>26819</v>
      </c>
      <c r="D16" s="73">
        <v>27501</v>
      </c>
      <c r="G16" s="70" t="s">
        <v>108</v>
      </c>
      <c r="H16" s="73">
        <v>-1877</v>
      </c>
      <c r="I16" s="73">
        <v>800</v>
      </c>
      <c r="J16" s="73">
        <v>-1741</v>
      </c>
    </row>
    <row r="17" spans="1:10" x14ac:dyDescent="0.25">
      <c r="A17" s="70" t="s">
        <v>106</v>
      </c>
      <c r="B17" s="73">
        <v>286877</v>
      </c>
      <c r="C17" s="73">
        <v>408542</v>
      </c>
      <c r="D17" s="73">
        <v>538726</v>
      </c>
      <c r="G17" s="70" t="s">
        <v>109</v>
      </c>
      <c r="H17" s="71"/>
      <c r="I17" s="71"/>
      <c r="J17" s="71"/>
    </row>
    <row r="18" spans="1:10" x14ac:dyDescent="0.25">
      <c r="A18" s="70" t="s">
        <v>107</v>
      </c>
      <c r="B18" s="73">
        <v>-2410</v>
      </c>
      <c r="C18" s="73">
        <v>1369</v>
      </c>
      <c r="D18" s="73">
        <v>1697</v>
      </c>
      <c r="G18" s="70" t="s">
        <v>110</v>
      </c>
      <c r="H18" s="73">
        <v>-28077</v>
      </c>
      <c r="I18" s="73">
        <v>-42571</v>
      </c>
      <c r="J18" s="73">
        <v>-63293</v>
      </c>
    </row>
    <row r="19" spans="1:10" x14ac:dyDescent="0.25">
      <c r="A19" s="70" t="s">
        <v>108</v>
      </c>
      <c r="B19" s="73">
        <v>-210</v>
      </c>
      <c r="C19" s="73">
        <v>9871</v>
      </c>
      <c r="D19" s="73">
        <v>15723</v>
      </c>
      <c r="G19" s="70" t="s">
        <v>149</v>
      </c>
      <c r="H19" s="73">
        <v>-6934</v>
      </c>
      <c r="I19" s="73">
        <v>4204</v>
      </c>
      <c r="J19" s="73">
        <v>-1508</v>
      </c>
    </row>
    <row r="20" spans="1:10" x14ac:dyDescent="0.25">
      <c r="A20" s="70" t="s">
        <v>109</v>
      </c>
      <c r="B20" s="71"/>
      <c r="C20" s="71"/>
      <c r="D20" s="71"/>
      <c r="G20" s="70" t="s">
        <v>111</v>
      </c>
      <c r="H20" s="73">
        <v>-1507</v>
      </c>
      <c r="I20" s="73">
        <v>-3283</v>
      </c>
      <c r="J20" s="73">
        <v>-3142</v>
      </c>
    </row>
    <row r="21" spans="1:10" x14ac:dyDescent="0.25">
      <c r="A21" s="70" t="s">
        <v>110</v>
      </c>
      <c r="B21" s="73">
        <v>-73913</v>
      </c>
      <c r="C21" s="73">
        <v>-117380</v>
      </c>
      <c r="D21" s="73">
        <v>-75964</v>
      </c>
      <c r="G21" s="70" t="s">
        <v>112</v>
      </c>
      <c r="H21" s="73">
        <v>-52978</v>
      </c>
      <c r="I21" s="73">
        <v>-80869</v>
      </c>
      <c r="J21" s="73">
        <v>-115723</v>
      </c>
    </row>
    <row r="22" spans="1:10" x14ac:dyDescent="0.25">
      <c r="A22" s="71"/>
      <c r="B22" s="71"/>
      <c r="C22" s="71"/>
      <c r="D22" s="71"/>
      <c r="G22" s="70" t="s">
        <v>113</v>
      </c>
      <c r="H22" s="73">
        <v>-1604</v>
      </c>
      <c r="I22" s="73">
        <v>2658</v>
      </c>
      <c r="J22" s="73">
        <v>1538</v>
      </c>
    </row>
    <row r="23" spans="1:10" x14ac:dyDescent="0.25">
      <c r="A23" s="70" t="s">
        <v>111</v>
      </c>
      <c r="B23" s="73">
        <v>-1155</v>
      </c>
      <c r="C23" s="73">
        <v>-7074</v>
      </c>
      <c r="D23" s="73">
        <v>-5038</v>
      </c>
      <c r="G23" s="70" t="s">
        <v>114</v>
      </c>
      <c r="H23" s="73">
        <v>2864</v>
      </c>
      <c r="I23" s="73">
        <v>-7380</v>
      </c>
      <c r="J23" s="73">
        <v>3849</v>
      </c>
    </row>
    <row r="24" spans="1:10" x14ac:dyDescent="0.25">
      <c r="A24" s="70" t="s">
        <v>112</v>
      </c>
      <c r="B24" s="73">
        <v>-208510</v>
      </c>
      <c r="C24" s="73">
        <v>-207393</v>
      </c>
      <c r="D24" s="73">
        <v>-232315</v>
      </c>
      <c r="G24" s="70" t="s">
        <v>115</v>
      </c>
      <c r="H24" s="73">
        <v>9548</v>
      </c>
      <c r="I24" s="73">
        <v>6449</v>
      </c>
      <c r="J24" s="73">
        <v>9353</v>
      </c>
    </row>
    <row r="25" spans="1:10" x14ac:dyDescent="0.25">
      <c r="A25" s="70" t="s">
        <v>113</v>
      </c>
      <c r="B25" s="73">
        <v>-4094</v>
      </c>
      <c r="C25" s="73">
        <v>-11496</v>
      </c>
      <c r="D25" s="73">
        <v>-22319</v>
      </c>
      <c r="G25" s="70" t="s">
        <v>116</v>
      </c>
      <c r="H25" s="73">
        <v>9168</v>
      </c>
      <c r="I25" s="73">
        <v>26039</v>
      </c>
      <c r="J25" s="73">
        <v>5636</v>
      </c>
    </row>
    <row r="26" spans="1:10" x14ac:dyDescent="0.25">
      <c r="A26" s="70" t="s">
        <v>114</v>
      </c>
      <c r="B26" s="73">
        <v>12128</v>
      </c>
      <c r="C26" s="73">
        <v>12148</v>
      </c>
      <c r="D26" s="73">
        <v>-26440</v>
      </c>
      <c r="G26" s="70" t="s">
        <v>117</v>
      </c>
      <c r="H26" s="73">
        <v>87774</v>
      </c>
      <c r="I26" s="73">
        <v>100874</v>
      </c>
      <c r="J26" s="73">
        <v>130266</v>
      </c>
    </row>
    <row r="27" spans="1:10" x14ac:dyDescent="0.25">
      <c r="A27" s="70" t="s">
        <v>115</v>
      </c>
      <c r="B27" s="73">
        <v>37155</v>
      </c>
      <c r="C27" s="73">
        <v>10828</v>
      </c>
      <c r="D27" s="73">
        <v>7340</v>
      </c>
      <c r="G27" s="70" t="s">
        <v>118</v>
      </c>
      <c r="H27" s="74">
        <v>0</v>
      </c>
      <c r="I27" s="74">
        <v>0</v>
      </c>
      <c r="J27" s="73">
        <v>-14624</v>
      </c>
    </row>
    <row r="28" spans="1:10" x14ac:dyDescent="0.25">
      <c r="A28" s="70" t="s">
        <v>116</v>
      </c>
      <c r="B28" s="73">
        <v>64586</v>
      </c>
      <c r="C28" s="73">
        <v>1128</v>
      </c>
      <c r="D28" s="73">
        <v>-1781</v>
      </c>
      <c r="G28" s="70" t="s">
        <v>119</v>
      </c>
      <c r="H28" s="73">
        <v>54979</v>
      </c>
      <c r="I28" s="73">
        <v>76086</v>
      </c>
      <c r="J28" s="73">
        <v>115696</v>
      </c>
    </row>
    <row r="29" spans="1:10" x14ac:dyDescent="0.25">
      <c r="A29" s="70" t="s">
        <v>117</v>
      </c>
      <c r="B29" s="73">
        <v>267750</v>
      </c>
      <c r="C29" s="73">
        <v>250482</v>
      </c>
      <c r="D29" s="73">
        <v>143177</v>
      </c>
      <c r="G29" s="70" t="s">
        <v>120</v>
      </c>
      <c r="H29" s="71"/>
      <c r="I29" s="71"/>
      <c r="J29" s="71"/>
    </row>
    <row r="30" spans="1:10" x14ac:dyDescent="0.25">
      <c r="A30" s="70" t="s">
        <v>118</v>
      </c>
      <c r="B30" s="73">
        <v>-21773</v>
      </c>
      <c r="C30" s="73">
        <v>-32854</v>
      </c>
      <c r="D30" s="73">
        <v>-42364</v>
      </c>
      <c r="G30" s="70" t="s">
        <v>122</v>
      </c>
      <c r="H30" s="74">
        <v>0</v>
      </c>
      <c r="I30" s="73">
        <v>-415132</v>
      </c>
      <c r="J30" s="73">
        <v>-861252</v>
      </c>
    </row>
    <row r="31" spans="1:10" x14ac:dyDescent="0.25">
      <c r="A31" s="70" t="s">
        <v>119</v>
      </c>
      <c r="B31" s="73">
        <v>296954</v>
      </c>
      <c r="C31" s="73">
        <v>506467</v>
      </c>
      <c r="D31" s="73">
        <v>506759</v>
      </c>
      <c r="G31" s="70" t="s">
        <v>124</v>
      </c>
      <c r="H31" s="74">
        <v>0</v>
      </c>
      <c r="I31" s="74">
        <v>0</v>
      </c>
      <c r="J31" s="73">
        <v>627309</v>
      </c>
    </row>
    <row r="32" spans="1:10" x14ac:dyDescent="0.25">
      <c r="A32" s="70" t="s">
        <v>120</v>
      </c>
      <c r="B32" s="71"/>
      <c r="C32" s="71"/>
      <c r="D32" s="71"/>
      <c r="G32" s="70" t="s">
        <v>150</v>
      </c>
      <c r="H32" s="74">
        <v>0</v>
      </c>
      <c r="I32" s="74">
        <v>0</v>
      </c>
      <c r="J32" s="73">
        <v>-15500</v>
      </c>
    </row>
    <row r="33" spans="1:10" x14ac:dyDescent="0.25">
      <c r="A33" s="70" t="s">
        <v>121</v>
      </c>
      <c r="B33" s="73">
        <v>-180370</v>
      </c>
      <c r="C33" s="73">
        <v>-6388</v>
      </c>
      <c r="D33" s="74">
        <v>0</v>
      </c>
      <c r="G33" s="70" t="s">
        <v>121</v>
      </c>
      <c r="H33" s="73">
        <v>-299</v>
      </c>
      <c r="I33" s="73">
        <v>-218779</v>
      </c>
      <c r="J33" s="74">
        <v>0</v>
      </c>
    </row>
    <row r="34" spans="1:10" x14ac:dyDescent="0.25">
      <c r="A34" s="70" t="s">
        <v>122</v>
      </c>
      <c r="B34" s="73">
        <v>-164989</v>
      </c>
      <c r="C34" s="73">
        <v>-384128</v>
      </c>
      <c r="D34" s="73">
        <v>-533710</v>
      </c>
      <c r="G34" s="70" t="s">
        <v>126</v>
      </c>
      <c r="H34" s="73">
        <v>-18929</v>
      </c>
      <c r="I34" s="73">
        <v>-30413</v>
      </c>
      <c r="J34" s="73">
        <v>-72046</v>
      </c>
    </row>
    <row r="35" spans="1:10" x14ac:dyDescent="0.25">
      <c r="A35" s="70" t="s">
        <v>123</v>
      </c>
      <c r="B35" s="73">
        <v>28986</v>
      </c>
      <c r="C35" s="73">
        <v>7569</v>
      </c>
      <c r="D35" s="74">
        <v>0</v>
      </c>
      <c r="G35" s="70" t="s">
        <v>151</v>
      </c>
      <c r="H35" s="73">
        <v>467</v>
      </c>
      <c r="I35" s="74">
        <v>0</v>
      </c>
      <c r="J35" s="74">
        <v>0</v>
      </c>
    </row>
    <row r="36" spans="1:10" x14ac:dyDescent="0.25">
      <c r="A36" s="70" t="s">
        <v>124</v>
      </c>
      <c r="B36" s="73">
        <v>488538</v>
      </c>
      <c r="C36" s="73">
        <v>283184</v>
      </c>
      <c r="D36" s="73">
        <v>423917</v>
      </c>
      <c r="G36" s="70" t="s">
        <v>152</v>
      </c>
      <c r="H36" s="73">
        <v>-18761</v>
      </c>
      <c r="I36" s="73">
        <v>-664324</v>
      </c>
      <c r="J36" s="73">
        <v>-321489</v>
      </c>
    </row>
    <row r="37" spans="1:10" x14ac:dyDescent="0.25">
      <c r="A37" s="70" t="s">
        <v>125</v>
      </c>
      <c r="B37" s="73">
        <v>-8541</v>
      </c>
      <c r="C37" s="73">
        <v>-1750</v>
      </c>
      <c r="D37" s="73">
        <v>-3750</v>
      </c>
      <c r="G37" s="70" t="s">
        <v>128</v>
      </c>
      <c r="H37" s="71"/>
      <c r="I37" s="71"/>
      <c r="J37" s="71"/>
    </row>
    <row r="38" spans="1:10" x14ac:dyDescent="0.25">
      <c r="A38" s="70" t="s">
        <v>126</v>
      </c>
      <c r="B38" s="73">
        <v>-82395</v>
      </c>
      <c r="C38" s="73">
        <v>-61396</v>
      </c>
      <c r="D38" s="73">
        <v>-77654</v>
      </c>
      <c r="G38" s="70" t="s">
        <v>129</v>
      </c>
      <c r="H38" s="71"/>
      <c r="I38" s="71"/>
      <c r="J38" s="71"/>
    </row>
    <row r="39" spans="1:10" x14ac:dyDescent="0.25">
      <c r="A39" s="70" t="s">
        <v>127</v>
      </c>
      <c r="B39" s="73">
        <v>81229</v>
      </c>
      <c r="C39" s="73">
        <v>-162909</v>
      </c>
      <c r="D39" s="73">
        <v>-191197</v>
      </c>
      <c r="G39" s="70" t="s">
        <v>130</v>
      </c>
      <c r="H39" s="74">
        <v>0</v>
      </c>
      <c r="I39" s="73">
        <v>560756</v>
      </c>
      <c r="J39" s="74">
        <v>0</v>
      </c>
    </row>
    <row r="40" spans="1:10" x14ac:dyDescent="0.25">
      <c r="A40" s="70" t="s">
        <v>128</v>
      </c>
      <c r="B40" s="71"/>
      <c r="C40" s="71"/>
      <c r="D40" s="71"/>
      <c r="G40" s="70" t="s">
        <v>131</v>
      </c>
      <c r="H40" s="71"/>
      <c r="I40" s="71"/>
      <c r="J40" s="71"/>
    </row>
    <row r="41" spans="1:10" x14ac:dyDescent="0.25">
      <c r="A41" s="70" t="s">
        <v>129</v>
      </c>
      <c r="B41" s="71"/>
      <c r="C41" s="71"/>
      <c r="D41" s="71"/>
      <c r="G41" s="70" t="s">
        <v>104</v>
      </c>
      <c r="H41" s="74">
        <v>0</v>
      </c>
      <c r="I41" s="73">
        <v>-67563</v>
      </c>
      <c r="J41" s="74">
        <v>0</v>
      </c>
    </row>
    <row r="42" spans="1:10" x14ac:dyDescent="0.25">
      <c r="A42" s="70" t="s">
        <v>130</v>
      </c>
      <c r="B42" s="73">
        <v>677370</v>
      </c>
      <c r="C42" s="74">
        <v>0</v>
      </c>
      <c r="D42" s="74">
        <v>0</v>
      </c>
      <c r="G42" s="70" t="s">
        <v>153</v>
      </c>
      <c r="H42" s="71"/>
      <c r="I42" s="71"/>
      <c r="J42" s="71"/>
    </row>
    <row r="43" spans="1:10" x14ac:dyDescent="0.25">
      <c r="A43" s="70" t="s">
        <v>131</v>
      </c>
      <c r="B43" s="71"/>
      <c r="C43" s="71"/>
      <c r="D43" s="71"/>
      <c r="G43" s="70" t="s">
        <v>154</v>
      </c>
      <c r="H43" s="74">
        <v>0</v>
      </c>
      <c r="I43" s="73">
        <v>529305</v>
      </c>
      <c r="J43" s="74">
        <v>0</v>
      </c>
    </row>
    <row r="44" spans="1:10" x14ac:dyDescent="0.25">
      <c r="A44" s="70" t="s">
        <v>104</v>
      </c>
      <c r="B44" s="73">
        <v>-31395</v>
      </c>
      <c r="C44" s="74">
        <v>0</v>
      </c>
      <c r="D44" s="74">
        <v>0</v>
      </c>
      <c r="G44" s="70" t="s">
        <v>155</v>
      </c>
      <c r="H44" s="74">
        <v>0</v>
      </c>
      <c r="I44" s="73">
        <v>-215332</v>
      </c>
      <c r="J44" s="73">
        <v>-166504</v>
      </c>
    </row>
    <row r="45" spans="1:10" x14ac:dyDescent="0.25">
      <c r="A45" s="70" t="s">
        <v>132</v>
      </c>
      <c r="B45" s="73">
        <v>-384199</v>
      </c>
      <c r="C45" s="73">
        <v>-77906</v>
      </c>
      <c r="D45" s="73">
        <v>-16</v>
      </c>
      <c r="G45" s="70" t="s">
        <v>137</v>
      </c>
      <c r="H45" s="73">
        <v>26433</v>
      </c>
      <c r="I45" s="73">
        <v>50211</v>
      </c>
      <c r="J45" s="73">
        <v>72177</v>
      </c>
    </row>
    <row r="46" spans="1:10" x14ac:dyDescent="0.25">
      <c r="A46" s="70" t="s">
        <v>133</v>
      </c>
      <c r="B46" s="74">
        <v>0</v>
      </c>
      <c r="C46" s="74">
        <v>0</v>
      </c>
      <c r="D46" s="73">
        <v>-63041</v>
      </c>
      <c r="G46" s="70" t="s">
        <v>138</v>
      </c>
      <c r="H46" s="74">
        <v>0</v>
      </c>
      <c r="I46" s="74">
        <v>0</v>
      </c>
      <c r="J46" s="73">
        <v>23872</v>
      </c>
    </row>
    <row r="47" spans="1:10" x14ac:dyDescent="0.25">
      <c r="A47" s="70" t="s">
        <v>134</v>
      </c>
      <c r="B47" s="73">
        <v>-2453</v>
      </c>
      <c r="C47" s="74">
        <v>0</v>
      </c>
      <c r="D47" s="74">
        <v>0</v>
      </c>
      <c r="G47" s="70" t="s">
        <v>156</v>
      </c>
      <c r="H47" s="73">
        <v>-315</v>
      </c>
      <c r="I47" s="73">
        <v>-4011</v>
      </c>
      <c r="J47" s="74">
        <v>0</v>
      </c>
    </row>
    <row r="48" spans="1:10" x14ac:dyDescent="0.25">
      <c r="A48" s="71"/>
      <c r="B48" s="71"/>
      <c r="C48" s="71"/>
      <c r="D48" s="71"/>
      <c r="G48" s="70" t="s">
        <v>157</v>
      </c>
      <c r="H48" s="73">
        <v>-390</v>
      </c>
      <c r="I48" s="73">
        <v>-250</v>
      </c>
      <c r="J48" s="74">
        <v>0</v>
      </c>
    </row>
    <row r="49" spans="1:10" x14ac:dyDescent="0.25">
      <c r="A49" s="70" t="s">
        <v>135</v>
      </c>
      <c r="B49" s="71"/>
      <c r="C49" s="71"/>
      <c r="D49" s="71"/>
      <c r="G49" s="70" t="s">
        <v>158</v>
      </c>
      <c r="H49" s="73">
        <v>25728</v>
      </c>
      <c r="I49" s="73">
        <v>853116</v>
      </c>
      <c r="J49" s="73">
        <v>-70455</v>
      </c>
    </row>
    <row r="50" spans="1:10" x14ac:dyDescent="0.25">
      <c r="A50" s="70" t="s">
        <v>136</v>
      </c>
      <c r="B50" s="73">
        <v>-372463</v>
      </c>
      <c r="C50" s="73">
        <v>-386521</v>
      </c>
      <c r="D50" s="73">
        <v>-84403</v>
      </c>
      <c r="G50" s="70" t="s">
        <v>140</v>
      </c>
      <c r="H50" s="71"/>
      <c r="I50" s="71"/>
      <c r="J50" s="71"/>
    </row>
    <row r="51" spans="1:10" x14ac:dyDescent="0.25">
      <c r="A51" s="70" t="s">
        <v>137</v>
      </c>
      <c r="B51" s="73">
        <v>24305</v>
      </c>
      <c r="C51" s="73">
        <v>23729</v>
      </c>
      <c r="D51" s="73">
        <v>12678</v>
      </c>
      <c r="G51" s="70" t="s">
        <v>141</v>
      </c>
      <c r="H51" s="73">
        <v>4246</v>
      </c>
      <c r="I51" s="73">
        <v>-4136</v>
      </c>
      <c r="J51" s="73">
        <v>-447</v>
      </c>
    </row>
    <row r="52" spans="1:10" x14ac:dyDescent="0.25">
      <c r="A52" s="70" t="s">
        <v>138</v>
      </c>
      <c r="B52" s="73">
        <v>29859</v>
      </c>
      <c r="C52" s="73">
        <v>46077</v>
      </c>
      <c r="D52" s="73">
        <v>36526</v>
      </c>
      <c r="G52" s="70" t="s">
        <v>142</v>
      </c>
      <c r="H52" s="71"/>
      <c r="I52" s="71"/>
      <c r="J52" s="71"/>
    </row>
    <row r="53" spans="1:10" x14ac:dyDescent="0.25">
      <c r="A53" s="71"/>
      <c r="B53" s="71"/>
      <c r="C53" s="71"/>
      <c r="D53" s="71"/>
      <c r="G53" s="70" t="s">
        <v>141</v>
      </c>
      <c r="H53" s="73">
        <v>66192</v>
      </c>
      <c r="I53" s="73">
        <v>260742</v>
      </c>
      <c r="J53" s="73">
        <v>-276695</v>
      </c>
    </row>
    <row r="54" spans="1:10" x14ac:dyDescent="0.25">
      <c r="A54" s="70" t="s">
        <v>139</v>
      </c>
      <c r="B54" s="73">
        <v>-58976</v>
      </c>
      <c r="C54" s="73">
        <v>-394621</v>
      </c>
      <c r="D54" s="73">
        <v>-98256</v>
      </c>
      <c r="G54" s="70" t="s">
        <v>143</v>
      </c>
      <c r="H54" s="71"/>
      <c r="I54" s="71"/>
      <c r="J54" s="71"/>
    </row>
    <row r="55" spans="1:10" x14ac:dyDescent="0.25">
      <c r="A55" s="70" t="s">
        <v>140</v>
      </c>
      <c r="B55" s="71"/>
      <c r="C55" s="71"/>
      <c r="D55" s="71"/>
      <c r="G55" s="70" t="s">
        <v>144</v>
      </c>
      <c r="H55" s="73">
        <v>191244</v>
      </c>
      <c r="I55" s="73">
        <v>257436</v>
      </c>
      <c r="J55" s="73">
        <v>518178</v>
      </c>
    </row>
    <row r="56" spans="1:10" x14ac:dyDescent="0.25">
      <c r="A56" s="70" t="s">
        <v>141</v>
      </c>
      <c r="B56" s="73">
        <v>5646</v>
      </c>
      <c r="C56" s="73">
        <v>-5594</v>
      </c>
      <c r="D56" s="73">
        <v>-3784</v>
      </c>
      <c r="G56" s="70" t="s">
        <v>159</v>
      </c>
      <c r="H56" s="72">
        <v>257436</v>
      </c>
      <c r="I56" s="72">
        <v>518178</v>
      </c>
      <c r="J56" s="73">
        <v>241483</v>
      </c>
    </row>
    <row r="57" spans="1:10" x14ac:dyDescent="0.25">
      <c r="A57" s="70" t="s">
        <v>142</v>
      </c>
      <c r="B57" s="71"/>
      <c r="C57" s="71"/>
      <c r="D57" s="71"/>
    </row>
    <row r="58" spans="1:10" x14ac:dyDescent="0.25">
      <c r="A58" s="70" t="s">
        <v>141</v>
      </c>
      <c r="B58" s="73">
        <v>324853</v>
      </c>
      <c r="C58" s="73">
        <v>-56657</v>
      </c>
      <c r="D58" s="73">
        <v>213522</v>
      </c>
    </row>
    <row r="59" spans="1:10" x14ac:dyDescent="0.25">
      <c r="A59" s="70" t="s">
        <v>143</v>
      </c>
      <c r="B59" s="71"/>
      <c r="C59" s="71"/>
      <c r="D59" s="71"/>
    </row>
    <row r="60" spans="1:10" x14ac:dyDescent="0.25">
      <c r="A60" s="70" t="s">
        <v>144</v>
      </c>
      <c r="B60" s="73">
        <v>241483</v>
      </c>
      <c r="C60" s="73">
        <v>566336</v>
      </c>
      <c r="D60" s="73">
        <v>509679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</vt:lpstr>
      <vt:lpstr>WACC</vt:lpstr>
      <vt:lpstr>Raw IS</vt:lpstr>
      <vt:lpstr>Raw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2023-06-10T17:21:06Z</dcterms:modified>
</cp:coreProperties>
</file>