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B5353D76-FAF6-4C5E-8EF4-F73B9F1FF3EA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DIS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L58" i="1" s="1"/>
  <c r="L61" i="1"/>
  <c r="L62" i="1" s="1"/>
  <c r="D59" i="1"/>
  <c r="D61" i="1"/>
  <c r="D62" i="1" s="1"/>
  <c r="C12" i="2" s="1"/>
  <c r="N17" i="1"/>
  <c r="O17" i="1" s="1"/>
  <c r="P17" i="1" s="1"/>
  <c r="Q17" i="1" s="1"/>
  <c r="R17" i="1" s="1"/>
  <c r="G43" i="1"/>
  <c r="H43" i="1"/>
  <c r="F43" i="1"/>
  <c r="D43" i="1"/>
  <c r="E43" i="1"/>
  <c r="C43" i="1"/>
  <c r="G40" i="1"/>
  <c r="H40" i="1"/>
  <c r="F40" i="1"/>
  <c r="D40" i="1"/>
  <c r="E40" i="1"/>
  <c r="C40" i="1"/>
  <c r="G47" i="1"/>
  <c r="H47" i="1"/>
  <c r="F47" i="1"/>
  <c r="D47" i="1"/>
  <c r="E47" i="1"/>
  <c r="C47" i="1"/>
  <c r="G33" i="1"/>
  <c r="H33" i="1"/>
  <c r="F33" i="1"/>
  <c r="D33" i="1"/>
  <c r="E33" i="1"/>
  <c r="C33" i="1"/>
  <c r="E19" i="3"/>
  <c r="G25" i="1"/>
  <c r="H25" i="1"/>
  <c r="F25" i="1"/>
  <c r="D25" i="1"/>
  <c r="E25" i="1"/>
  <c r="C25" i="1"/>
  <c r="G19" i="1"/>
  <c r="G22" i="1" s="1"/>
  <c r="H19" i="1"/>
  <c r="H22" i="1" s="1"/>
  <c r="F19" i="1"/>
  <c r="F22" i="1" s="1"/>
  <c r="D19" i="1"/>
  <c r="D22" i="1" s="1"/>
  <c r="E19" i="1"/>
  <c r="E22" i="1" s="1"/>
  <c r="C19" i="1"/>
  <c r="G14" i="1"/>
  <c r="H14" i="1"/>
  <c r="F14" i="1"/>
  <c r="D14" i="1"/>
  <c r="E14" i="1"/>
  <c r="C14" i="1"/>
  <c r="G11" i="1"/>
  <c r="G16" i="1" s="1"/>
  <c r="G24" i="1" s="1"/>
  <c r="G28" i="1" s="1"/>
  <c r="H11" i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R25" i="1" s="1"/>
  <c r="F11" i="1"/>
  <c r="F16" i="1" s="1"/>
  <c r="D11" i="1"/>
  <c r="D16" i="1" s="1"/>
  <c r="E11" i="1"/>
  <c r="E20" i="1" s="1"/>
  <c r="C11" i="1"/>
  <c r="C38" i="1" s="1"/>
  <c r="G12" i="2"/>
  <c r="C14" i="2"/>
  <c r="E38" i="1"/>
  <c r="J9" i="1"/>
  <c r="K9" i="1" s="1"/>
  <c r="L9" i="1" s="1"/>
  <c r="M9" i="1" s="1"/>
  <c r="N9" i="1" s="1"/>
  <c r="O9" i="1" s="1"/>
  <c r="P9" i="1" s="1"/>
  <c r="Q9" i="1" s="1"/>
  <c r="R9" i="1" s="1"/>
  <c r="P40" i="1" l="1"/>
  <c r="L40" i="1"/>
  <c r="D44" i="1"/>
  <c r="N40" i="1"/>
  <c r="J40" i="1"/>
  <c r="F12" i="1"/>
  <c r="F20" i="1"/>
  <c r="Q40" i="1"/>
  <c r="O40" i="1"/>
  <c r="M40" i="1"/>
  <c r="K40" i="1"/>
  <c r="I40" i="1"/>
  <c r="C26" i="1"/>
  <c r="D26" i="1"/>
  <c r="H26" i="1"/>
  <c r="I37" i="1"/>
  <c r="Q37" i="1"/>
  <c r="O37" i="1"/>
  <c r="M37" i="1"/>
  <c r="K37" i="1"/>
  <c r="E26" i="1"/>
  <c r="F26" i="1"/>
  <c r="G26" i="1"/>
  <c r="R37" i="1"/>
  <c r="P37" i="1"/>
  <c r="N37" i="1"/>
  <c r="L37" i="1"/>
  <c r="J37" i="1"/>
  <c r="P25" i="1"/>
  <c r="N25" i="1"/>
  <c r="L25" i="1"/>
  <c r="J25" i="1"/>
  <c r="I25" i="1"/>
  <c r="Q25" i="1"/>
  <c r="O25" i="1"/>
  <c r="M25" i="1"/>
  <c r="K25" i="1"/>
  <c r="C44" i="1"/>
  <c r="D38" i="1"/>
  <c r="G48" i="1"/>
  <c r="G50" i="1" s="1"/>
  <c r="F41" i="1"/>
  <c r="F44" i="1"/>
  <c r="G41" i="1"/>
  <c r="E44" i="1"/>
  <c r="G44" i="1"/>
  <c r="G38" i="1"/>
  <c r="G12" i="1"/>
  <c r="F38" i="1"/>
  <c r="G20" i="1"/>
  <c r="D20" i="1"/>
  <c r="D24" i="1"/>
  <c r="D28" i="1" s="1"/>
  <c r="D48" i="1" s="1"/>
  <c r="D50" i="1" s="1"/>
  <c r="F24" i="1"/>
  <c r="F28" i="1" s="1"/>
  <c r="F48" i="1" s="1"/>
  <c r="F50" i="1" s="1"/>
  <c r="C20" i="1"/>
  <c r="C22" i="1"/>
  <c r="D12" i="1"/>
  <c r="D41" i="1"/>
  <c r="H12" i="1"/>
  <c r="E16" i="1"/>
  <c r="E24" i="1" s="1"/>
  <c r="E28" i="1" s="1"/>
  <c r="E48" i="1" s="1"/>
  <c r="E50" i="1" s="1"/>
  <c r="I16" i="1"/>
  <c r="D17" i="1"/>
  <c r="F17" i="1"/>
  <c r="C16" i="1"/>
  <c r="C17" i="1" s="1"/>
  <c r="H20" i="1"/>
  <c r="H38" i="1"/>
  <c r="C41" i="1"/>
  <c r="H41" i="1"/>
  <c r="H16" i="1"/>
  <c r="H24" i="1" s="1"/>
  <c r="H28" i="1" s="1"/>
  <c r="H48" i="1" s="1"/>
  <c r="H50" i="1" s="1"/>
  <c r="H44" i="1"/>
  <c r="E12" i="1"/>
  <c r="E41" i="1"/>
  <c r="K12" i="2"/>
  <c r="G13" i="2" s="1"/>
  <c r="G30" i="1"/>
  <c r="G46" i="1" s="1"/>
  <c r="G17" i="1"/>
  <c r="E17" i="1" l="1"/>
  <c r="E30" i="1"/>
  <c r="E46" i="1" s="1"/>
  <c r="E52" i="1" s="1"/>
  <c r="C24" i="1"/>
  <c r="I14" i="1"/>
  <c r="H17" i="1"/>
  <c r="C13" i="2"/>
  <c r="K14" i="2" s="1"/>
  <c r="E5" i="1" s="1"/>
  <c r="F30" i="1"/>
  <c r="D30" i="1"/>
  <c r="H30" i="1"/>
  <c r="H46" i="1" s="1"/>
  <c r="H52" i="1" s="1"/>
  <c r="G34" i="1"/>
  <c r="G31" i="1"/>
  <c r="G52" i="1"/>
  <c r="E31" i="1" l="1"/>
  <c r="E34" i="1"/>
  <c r="H31" i="1"/>
  <c r="F34" i="1"/>
  <c r="F46" i="1"/>
  <c r="F52" i="1" s="1"/>
  <c r="D46" i="1"/>
  <c r="D52" i="1" s="1"/>
  <c r="C30" i="1"/>
  <c r="C28" i="1"/>
  <c r="C48" i="1" s="1"/>
  <c r="C50" i="1" s="1"/>
  <c r="D31" i="1"/>
  <c r="D34" i="1"/>
  <c r="F31" i="1"/>
  <c r="H34" i="1"/>
  <c r="C46" i="1" l="1"/>
  <c r="C34" i="1"/>
  <c r="C52" i="1"/>
  <c r="C31" i="1"/>
  <c r="I43" i="1"/>
  <c r="I19" i="1" l="1"/>
  <c r="I22" i="1" s="1"/>
  <c r="I24" i="1" l="1"/>
  <c r="I28" i="1" s="1"/>
  <c r="I30" i="1" l="1"/>
  <c r="I31" i="1" l="1"/>
  <c r="I33" i="1"/>
  <c r="I46" i="1" s="1"/>
  <c r="I52" i="1" s="1"/>
  <c r="I53" i="1" s="1"/>
  <c r="I48" i="1" l="1"/>
  <c r="I50" i="1" s="1"/>
  <c r="J43" i="1" l="1"/>
  <c r="J19" i="1"/>
  <c r="J22" i="1" s="1"/>
  <c r="J16" i="1"/>
  <c r="J14" i="1" s="1"/>
  <c r="J24" i="1" l="1"/>
  <c r="J28" i="1" s="1"/>
  <c r="J30" i="1"/>
  <c r="J33" i="1" l="1"/>
  <c r="J48" i="1" s="1"/>
  <c r="J31" i="1"/>
  <c r="K16" i="1"/>
  <c r="K14" i="1" s="1"/>
  <c r="K43" i="1"/>
  <c r="K19" i="1"/>
  <c r="K22" i="1" s="1"/>
  <c r="J50" i="1" l="1"/>
  <c r="K24" i="1"/>
  <c r="K28" i="1" s="1"/>
  <c r="J46" i="1"/>
  <c r="J52" i="1" s="1"/>
  <c r="J53" i="1" s="1"/>
  <c r="L16" i="1"/>
  <c r="L14" i="1" s="1"/>
  <c r="L19" i="1"/>
  <c r="L22" i="1" s="1"/>
  <c r="L43" i="1"/>
  <c r="L24" i="1" l="1"/>
  <c r="L28" i="1" s="1"/>
  <c r="K30" i="1"/>
  <c r="L30" i="1"/>
  <c r="K33" i="1" l="1"/>
  <c r="K31" i="1"/>
  <c r="L33" i="1"/>
  <c r="L48" i="1" s="1"/>
  <c r="L31" i="1"/>
  <c r="L46" i="1"/>
  <c r="L52" i="1" s="1"/>
  <c r="L53" i="1" s="1"/>
  <c r="M19" i="1"/>
  <c r="M22" i="1" s="1"/>
  <c r="M43" i="1"/>
  <c r="M16" i="1"/>
  <c r="M14" i="1" s="1"/>
  <c r="L50" i="1" l="1"/>
  <c r="M24" i="1"/>
  <c r="M28" i="1" s="1"/>
  <c r="K46" i="1"/>
  <c r="K52" i="1" s="1"/>
  <c r="K53" i="1" s="1"/>
  <c r="K48" i="1"/>
  <c r="K50" i="1" l="1"/>
  <c r="M30" i="1"/>
  <c r="M31" i="1" s="1"/>
  <c r="N19" i="1"/>
  <c r="N22" i="1" s="1"/>
  <c r="N43" i="1"/>
  <c r="N16" i="1"/>
  <c r="N14" i="1" s="1"/>
  <c r="M33" i="1" l="1"/>
  <c r="M46" i="1" s="1"/>
  <c r="M52" i="1" s="1"/>
  <c r="M53" i="1" s="1"/>
  <c r="N24" i="1"/>
  <c r="N28" i="1" s="1"/>
  <c r="M48" i="1"/>
  <c r="M50" i="1" l="1"/>
  <c r="N30" i="1"/>
  <c r="N33" i="1" l="1"/>
  <c r="N48" i="1" s="1"/>
  <c r="N31" i="1"/>
  <c r="N50" i="1" l="1"/>
  <c r="N46" i="1"/>
  <c r="N52" i="1" s="1"/>
  <c r="N53" i="1" s="1"/>
  <c r="O43" i="1"/>
  <c r="O19" i="1"/>
  <c r="O22" i="1" s="1"/>
  <c r="O16" i="1"/>
  <c r="O14" i="1" s="1"/>
  <c r="O24" i="1" l="1"/>
  <c r="O28" i="1" s="1"/>
  <c r="O30" i="1" l="1"/>
  <c r="O31" i="1" s="1"/>
  <c r="P19" i="1"/>
  <c r="P22" i="1" s="1"/>
  <c r="P43" i="1"/>
  <c r="P16" i="1"/>
  <c r="P14" i="1" s="1"/>
  <c r="O33" i="1" l="1"/>
  <c r="O48" i="1" s="1"/>
  <c r="O50" i="1" s="1"/>
  <c r="O46" i="1"/>
  <c r="O52" i="1" s="1"/>
  <c r="O53" i="1" s="1"/>
  <c r="P24" i="1"/>
  <c r="P28" i="1" s="1"/>
  <c r="P30" i="1" l="1"/>
  <c r="P31" i="1" s="1"/>
  <c r="P33" i="1" l="1"/>
  <c r="P48" i="1" s="1"/>
  <c r="P50" i="1" s="1"/>
  <c r="Q16" i="1"/>
  <c r="Q14" i="1" s="1"/>
  <c r="Q19" i="1"/>
  <c r="Q22" i="1" s="1"/>
  <c r="Q43" i="1"/>
  <c r="P46" i="1" l="1"/>
  <c r="P52" i="1" s="1"/>
  <c r="P53" i="1" s="1"/>
  <c r="Q24" i="1"/>
  <c r="Q28" i="1" s="1"/>
  <c r="R19" i="1"/>
  <c r="R22" i="1" s="1"/>
  <c r="Q30" i="1" l="1"/>
  <c r="R40" i="1"/>
  <c r="R16" i="1"/>
  <c r="R14" i="1" s="1"/>
  <c r="R43" i="1"/>
  <c r="R24" i="1" l="1"/>
  <c r="R28" i="1" s="1"/>
  <c r="Q31" i="1"/>
  <c r="Q33" i="1"/>
  <c r="Q46" i="1" s="1"/>
  <c r="Q52" i="1" s="1"/>
  <c r="Q53" i="1" s="1"/>
  <c r="R30" i="1" l="1"/>
  <c r="R31" i="1" s="1"/>
  <c r="Q48" i="1"/>
  <c r="R33" i="1"/>
  <c r="R48" i="1" s="1"/>
  <c r="R46" i="1" l="1"/>
  <c r="R52" i="1" s="1"/>
  <c r="C55" i="1" s="1"/>
  <c r="C56" i="1" s="1"/>
  <c r="R50" i="1"/>
  <c r="Q50" i="1"/>
  <c r="S48" i="1"/>
  <c r="R53" i="1" l="1"/>
  <c r="T48" i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BJ48" i="1" s="1"/>
  <c r="BK48" i="1" s="1"/>
  <c r="BL48" i="1" s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G58" i="1"/>
  <c r="G60" i="1" s="1"/>
  <c r="G63" i="1" s="1"/>
  <c r="F55" i="1" l="1"/>
  <c r="H58" i="1" s="1"/>
  <c r="H60" i="1" s="1"/>
  <c r="H63" i="1" s="1"/>
  <c r="E63" i="1" s="1"/>
  <c r="L57" i="1" s="1"/>
  <c r="J6" i="1" l="1"/>
  <c r="N5" i="1" s="1"/>
</calcChain>
</file>

<file path=xl/sharedStrings.xml><?xml version="1.0" encoding="utf-8"?>
<sst xmlns="http://schemas.openxmlformats.org/spreadsheetml/2006/main" count="291" uniqueCount="195">
  <si>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</si>
  <si>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</si>
  <si>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</si>
  <si>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</si>
  <si>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</si>
  <si>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</si>
  <si>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</si>
  <si>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</si>
  <si>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</si>
  <si>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</si>
  <si>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</si>
  <si>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</si>
  <si>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</si>
  <si>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</si>
  <si>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</si>
  <si>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</si>
  <si>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</si>
  <si>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</si>
  <si>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</si>
  <si>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</si>
  <si>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</si>
  <si>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</si>
  <si>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</si>
  <si>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</si>
  <si>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</si>
  <si>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</si>
  <si>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</si>
  <si>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</si>
  <si>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</si>
  <si>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</si>
  <si>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</si>
  <si>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</si>
  <si>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</si>
  <si>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</si>
  <si>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</si>
  <si>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</si>
  <si>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</si>
  <si>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</si>
  <si>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</si>
  <si>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</si>
  <si>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</si>
  <si>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</si>
  <si>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</si>
  <si>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</si>
  <si>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</si>
  <si>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</si>
  <si>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</si>
  <si>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</si>
  <si>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</si>
  <si>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</si>
  <si>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</si>
  <si>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CONSOLIDATED STATEMENTS OF OPERATIONS</t>
  </si>
  <si>
    <t>(in millions, except per share data)</t>
  </si>
  <si>
    <t/>
  </si>
  <si>
    <t>Revenues:</t>
  </si>
  <si>
    <t>Services</t>
  </si>
  <si>
    <t>Products</t>
  </si>
  <si>
    <t>Total revenues</t>
  </si>
  <si>
    <t>Costs and expenses:</t>
  </si>
  <si>
    <t>Cost of services (exclusive of depreciation and</t>
  </si>
  <si>
    <t>amortization)</t>
  </si>
  <si>
    <t>Cost of products (exclusive of depreciation and</t>
  </si>
  <si>
    <t>Selling, general, administrative and other</t>
  </si>
  <si>
    <t>Depreciation and amortization</t>
  </si>
  <si>
    <t>Total costs and expenses</t>
  </si>
  <si>
    <t>Restructuring and impairment charges</t>
  </si>
  <si>
    <t>Other income (expense), net</t>
  </si>
  <si>
    <t>Interest expense, net</t>
  </si>
  <si>
    <t>Equity in the income of investees</t>
  </si>
  <si>
    <t>Income (loss) from continuing operations before income</t>
  </si>
  <si>
    <t>taxes</t>
  </si>
  <si>
    <t>Income taxes on continuing operations</t>
  </si>
  <si>
    <t>Net income (loss) from continuing operations</t>
  </si>
  <si>
    <t>Loss from discontinued operations, net of income tax</t>
  </si>
  <si>
    <t>benefit of $14, $9 and $10, respectively</t>
  </si>
  <si>
    <t>Net income (loss)</t>
  </si>
  <si>
    <t>Net income from continuing operations attributable to</t>
  </si>
  <si>
    <t>noncontrolling and redeemable noncontrolling interests</t>
  </si>
  <si>
    <t>Net income (loss) attributable to The Walt Disney</t>
  </si>
  <si>
    <t>Company (Disney)</t>
  </si>
  <si>
    <t>Earnings (loss) per share attributable to Disney(1):</t>
  </si>
  <si>
    <t>Diluted</t>
  </si>
  <si>
    <t>Continuing operations</t>
  </si>
  <si>
    <t>Discontinued operations</t>
  </si>
  <si>
    <t>Basic</t>
  </si>
  <si>
    <t>Weighted average number of common and common equivalent</t>
  </si>
  <si>
    <t>shares outstanding:</t>
  </si>
  <si>
    <t>CONSOLIDATED STATEMENTS OF CASH FLOWS</t>
  </si>
  <si>
    <t>(in millions)</t>
  </si>
  <si>
    <t>OPERATING ACTIVITIES</t>
  </si>
  <si>
    <t>Goodwill and intangible asset impairments</t>
  </si>
  <si>
    <t>Net (gain) loss on investments</t>
  </si>
  <si>
    <t>Deferred income taxes</t>
  </si>
  <si>
    <t>Cash distributions received from equity investees</t>
  </si>
  <si>
    <t>Net change in produced and licensed content costs</t>
  </si>
  <si>
    <t>and advances</t>
  </si>
  <si>
    <t>Equity-based compensation</t>
  </si>
  <si>
    <t>Pension and postretirement medical cost</t>
  </si>
  <si>
    <t>amortization</t>
  </si>
  <si>
    <t>Other, net</t>
  </si>
  <si>
    <t>Changes in operating assets and liabilities</t>
  </si>
  <si>
    <t>Receivables</t>
  </si>
  <si>
    <t>Inventories</t>
  </si>
  <si>
    <t>Other assets</t>
  </si>
  <si>
    <t>Accounts payable and other liabilities</t>
  </si>
  <si>
    <t>Income taxes</t>
  </si>
  <si>
    <t>Cash provided by operations - continuing</t>
  </si>
  <si>
    <t>operations</t>
  </si>
  <si>
    <t>INVESTING ACTIVITIES</t>
  </si>
  <si>
    <t>Investments in parks, resorts and other property</t>
  </si>
  <si>
    <t>Cash used in investing activities - continuing</t>
  </si>
  <si>
    <t>FINANCING ACTIVITIES</t>
  </si>
  <si>
    <t>Commercial paper payments, net</t>
  </si>
  <si>
    <t>Borrowings</t>
  </si>
  <si>
    <t>Reduction of borrowings</t>
  </si>
  <si>
    <t>Dividends</t>
  </si>
  <si>
    <t>Proceeds from exercise of stock options</t>
  </si>
  <si>
    <t>Acquisition of redeemable noncontrolling interests</t>
  </si>
  <si>
    <t>Cash provided by (used in) financing activities -</t>
  </si>
  <si>
    <t>continuing operations</t>
  </si>
  <si>
    <t>CASH FLOWS FROM DISCONTINUED OPERATIONS</t>
  </si>
  <si>
    <t>Cash provided by operations - discontinued</t>
  </si>
  <si>
    <t>Cash provided by investing activities -</t>
  </si>
  <si>
    <t>discontinued operations</t>
  </si>
  <si>
    <t>Cash used in financing activities - discontinued</t>
  </si>
  <si>
    <t>Cash (used in) provided by discontinued operations</t>
  </si>
  <si>
    <t>Impact of exchange rates on cash, cash equivalents</t>
  </si>
  <si>
    <t>and restricted cash</t>
  </si>
  <si>
    <t>Change in cash, cash equivalents and restricted</t>
  </si>
  <si>
    <t>cash</t>
  </si>
  <si>
    <t>Cash, cash equivalents and restricted cash,</t>
  </si>
  <si>
    <t>beginning of year</t>
  </si>
  <si>
    <t>Cash, cash equivalents and restricted cash, end of</t>
  </si>
  <si>
    <t>year</t>
  </si>
  <si>
    <t>Supplemental disclosure of cash flow information:</t>
  </si>
  <si>
    <t>Interest paid</t>
  </si>
  <si>
    <t>Income taxes paid</t>
  </si>
  <si>
    <t>CONSOLIDATED STATEMENTS OF INCOME</t>
  </si>
  <si>
    <t>Other income, net</t>
  </si>
  <si>
    <t>Equity in the income (loss) of investees, net</t>
  </si>
  <si>
    <t>Income from continuing operations before income</t>
  </si>
  <si>
    <t>Income taxes from continuing operations</t>
  </si>
  <si>
    <t>Net income from continuing operations</t>
  </si>
  <si>
    <t>Income from discontinued operations (includes</t>
  </si>
  <si>
    <t>income tax expense of $35, $0 and $0,</t>
  </si>
  <si>
    <t>respectively)</t>
  </si>
  <si>
    <t>Less: Net income from continuing operations</t>
  </si>
  <si>
    <t>attributable to noncontrolling and redeemable</t>
  </si>
  <si>
    <t>noncontrolling interests</t>
  </si>
  <si>
    <t>Less: Net income from discontinued operations</t>
  </si>
  <si>
    <t>attributable to noncontrolling interests</t>
  </si>
  <si>
    <t>Net income attributable to The Walt Disney</t>
  </si>
  <si>
    <t>Earnings per share attributable to Disney:</t>
  </si>
  <si>
    <t>Diluted(1)</t>
  </si>
  <si>
    <t>Basic(1)</t>
  </si>
  <si>
    <t>Weighted average number of common and common</t>
  </si>
  <si>
    <t>equivalent shares outstanding:</t>
  </si>
  <si>
    <t>Gain on acquisitions and dispositions</t>
  </si>
  <si>
    <t>Equity in the (income) / loss of</t>
  </si>
  <si>
    <t>investees</t>
  </si>
  <si>
    <t>Cash distributions received from equity</t>
  </si>
  <si>
    <t>Net change in film and television costs</t>
  </si>
  <si>
    <t>Other</t>
  </si>
  <si>
    <t>Changes in operating assets and</t>
  </si>
  <si>
    <t>liabilities, net of business</t>
  </si>
  <si>
    <t>acquisitions:</t>
  </si>
  <si>
    <t>Accounts payable and other accrued</t>
  </si>
  <si>
    <t>liabilities</t>
  </si>
  <si>
    <t>Investments in parks, resorts and other</t>
  </si>
  <si>
    <t>property</t>
  </si>
  <si>
    <t>Acquisitions</t>
  </si>
  <si>
    <t>Cash used in investing activities -</t>
  </si>
  <si>
    <t>Commercial paper borrowings/(payments),</t>
  </si>
  <si>
    <t>net</t>
  </si>
  <si>
    <t>Repurchases of common stock</t>
  </si>
  <si>
    <t>Contributions from / sales of</t>
  </si>
  <si>
    <t>Acquisition of noncontrolling and</t>
  </si>
  <si>
    <t>redeemable noncontrolling interests</t>
  </si>
  <si>
    <t>Cash used in financing activities -</t>
  </si>
  <si>
    <t>Cash provided by operations -</t>
  </si>
  <si>
    <t>Cash used in discontinued operations</t>
  </si>
  <si>
    <t>Impact of exchange rates on cash, cash</t>
  </si>
  <si>
    <t>equivalents and restricted cash</t>
  </si>
  <si>
    <t>Change in cash, cash equivalents and</t>
  </si>
  <si>
    <t>restricted cash</t>
  </si>
  <si>
    <t>Cash, cash equivalents and restricted</t>
  </si>
  <si>
    <t>cash, beginning of year</t>
  </si>
  <si>
    <t>cash, end of year</t>
  </si>
  <si>
    <t>Supplemental disclosure of cash flow</t>
  </si>
  <si>
    <t>information:</t>
  </si>
  <si>
    <t>Other income</t>
  </si>
  <si>
    <t>Net income - D&amp;A in COGS)</t>
  </si>
  <si>
    <t>Update: 09/06/2023</t>
  </si>
  <si>
    <t>Disney DCF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</si>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</sst>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shrinkToFit="1"/>
    </xf>
    <xf numFmtId="0" fontId="10" fillId="0" borderId="0" xfId="0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0" fontId="0" fillId="2" borderId="0" xfId="0" applyFill="1" applyBorder="1"/>
    <xf numFmtId="164" fontId="7" fillId="2" borderId="0" xfId="1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9" fontId="7" fillId="11" borderId="3" xfId="0" applyNumberFormat="1" applyFont="1" applyFill="1" applyBorder="1"/>
    <xf numFmtId="9" fontId="7" fillId="11" borderId="0" xfId="0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4"/>
  <sheetViews>
    <sheetView tabSelected="1" topLeftCell="B1" zoomScaleNormal="100" workbookViewId="0">
      <selection activeCell="H63" sqref="H63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193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0.11164532805796987</v>
      </c>
      <c r="F5" s="2"/>
      <c r="G5" s="1"/>
      <c r="H5" s="1" t="s">
        <v>2</v>
      </c>
      <c r="I5" s="1"/>
      <c r="J5" s="7">
        <v>92.53</v>
      </c>
      <c r="K5" s="1"/>
      <c r="L5" s="1" t="s">
        <v>3</v>
      </c>
      <c r="M5" s="1"/>
      <c r="N5" s="7">
        <f>(J6/J5)-1</f>
        <v>0.40594830426684569</v>
      </c>
      <c r="O5" s="1"/>
      <c r="P5" s="1" t="s">
        <v>192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60">
        <f>E63</f>
        <v>130.09239659381123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IS'!G8</f>
        <v>55137</v>
      </c>
      <c r="D11" s="11">
        <f>'Raw IS'!H8</f>
        <v>59434</v>
      </c>
      <c r="E11" s="11">
        <f>'Raw IS'!I8</f>
        <v>69570</v>
      </c>
      <c r="F11" s="11">
        <f>'Raw IS'!B8</f>
        <v>65388</v>
      </c>
      <c r="G11" s="11">
        <f>'Raw IS'!C8</f>
        <v>67418</v>
      </c>
      <c r="H11" s="11">
        <f>'Raw IS'!D8</f>
        <v>82722</v>
      </c>
      <c r="I11" s="20">
        <f>H11*(1+I12)</f>
        <v>89690</v>
      </c>
      <c r="J11" s="81">
        <f t="shared" ref="J11:R11" si="1">I11*(1+J12)</f>
        <v>95129.999999999985</v>
      </c>
      <c r="K11" s="81">
        <f t="shared" si="1"/>
        <v>100719.99999999997</v>
      </c>
      <c r="L11" s="81">
        <f t="shared" si="1"/>
        <v>105109.99999999997</v>
      </c>
      <c r="M11" s="81">
        <f t="shared" si="1"/>
        <v>107139.99999999997</v>
      </c>
      <c r="N11" s="81">
        <f t="shared" si="1"/>
        <v>109818.49999999996</v>
      </c>
      <c r="O11" s="81">
        <f t="shared" si="1"/>
        <v>112563.96249999995</v>
      </c>
      <c r="P11" s="81">
        <f t="shared" si="1"/>
        <v>115378.06156249993</v>
      </c>
      <c r="Q11" s="81">
        <f t="shared" si="1"/>
        <v>118262.51310156242</v>
      </c>
      <c r="R11" s="81">
        <f t="shared" si="1"/>
        <v>121219.07592910147</v>
      </c>
    </row>
    <row r="12" spans="1:18" s="53" customFormat="1" x14ac:dyDescent="0.25">
      <c r="A12" s="1"/>
      <c r="B12" s="90" t="s">
        <v>8</v>
      </c>
      <c r="C12" s="91"/>
      <c r="D12" s="91">
        <f>(D11/C11)-1</f>
        <v>7.7933148339590419E-2</v>
      </c>
      <c r="E12" s="91">
        <f>(E11/D11)-1</f>
        <v>0.17054211394151486</v>
      </c>
      <c r="F12" s="91">
        <f>(F11/E11)-1</f>
        <v>-6.0112117291936218E-2</v>
      </c>
      <c r="G12" s="91">
        <f>(G11/F11)-1</f>
        <v>3.1045451764849741E-2</v>
      </c>
      <c r="H12" s="91">
        <f>(H11/G11)-1</f>
        <v>0.22700169094307165</v>
      </c>
      <c r="I12" s="92">
        <v>8.4233940185198586E-2</v>
      </c>
      <c r="J12" s="93">
        <v>6.0653361578771214E-2</v>
      </c>
      <c r="K12" s="93">
        <v>5.8761694523283836E-2</v>
      </c>
      <c r="L12" s="93">
        <v>4.3586179507545619E-2</v>
      </c>
      <c r="M12" s="93">
        <v>1.9313100561316743E-2</v>
      </c>
      <c r="N12" s="93">
        <v>2.5000000000000001E-2</v>
      </c>
      <c r="O12" s="93">
        <v>2.5000000000000001E-2</v>
      </c>
      <c r="P12" s="93">
        <v>2.5000000000000001E-2</v>
      </c>
      <c r="Q12" s="93">
        <v>2.5000000000000001E-2</v>
      </c>
      <c r="R12" s="93">
        <v>2.5000000000000001E-2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83"/>
      <c r="K13" s="83"/>
      <c r="L13" s="83"/>
      <c r="M13" s="83"/>
      <c r="N13" s="83"/>
      <c r="O13" s="83"/>
      <c r="P13" s="83"/>
      <c r="Q13" s="83"/>
      <c r="R13" s="83"/>
    </row>
    <row r="14" spans="1:18" s="53" customFormat="1" x14ac:dyDescent="0.25">
      <c r="A14" s="1"/>
      <c r="B14" s="1" t="s">
        <v>9</v>
      </c>
      <c r="C14" s="11">
        <f>'Raw IS'!G10+'Raw IS'!G12</f>
        <v>-30306</v>
      </c>
      <c r="D14" s="11">
        <f>'Raw IS'!H10+'Raw IS'!H12</f>
        <v>-32726</v>
      </c>
      <c r="E14" s="11">
        <f>'Raw IS'!I10+'Raw IS'!I12</f>
        <v>-42018</v>
      </c>
      <c r="F14" s="11">
        <f>'Raw IS'!B10+'Raw IS'!B12</f>
        <v>-43880</v>
      </c>
      <c r="G14" s="11">
        <f>'Raw IS'!C10+'Raw IS'!C12</f>
        <v>-45131</v>
      </c>
      <c r="H14" s="11">
        <f>'Raw IS'!D10+'Raw IS'!D12</f>
        <v>-54401</v>
      </c>
      <c r="I14" s="87">
        <f>I16-I11</f>
        <v>-59195.399999999994</v>
      </c>
      <c r="J14" s="88">
        <f t="shared" ref="J14:R14" si="2">J16-J11</f>
        <v>-61206.641999999993</v>
      </c>
      <c r="K14" s="88">
        <f t="shared" si="2"/>
        <v>-63957.199999999983</v>
      </c>
      <c r="L14" s="88">
        <f t="shared" si="2"/>
        <v>-63171.109999999979</v>
      </c>
      <c r="M14" s="88">
        <f t="shared" si="2"/>
        <v>-63319.739999999983</v>
      </c>
      <c r="N14" s="88">
        <f t="shared" si="2"/>
        <v>-64353.640999999974</v>
      </c>
      <c r="O14" s="88">
        <f t="shared" si="2"/>
        <v>-65399.66221249997</v>
      </c>
      <c r="P14" s="88">
        <f t="shared" si="2"/>
        <v>-66457.763459999958</v>
      </c>
      <c r="Q14" s="88">
        <f t="shared" si="2"/>
        <v>-67527.894980992147</v>
      </c>
      <c r="R14" s="88">
        <f t="shared" si="2"/>
        <v>-68609.996975871429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82"/>
      <c r="K15" s="82"/>
      <c r="L15" s="82"/>
      <c r="M15" s="82"/>
      <c r="N15" s="82"/>
      <c r="O15" s="82"/>
      <c r="P15" s="82"/>
      <c r="Q15" s="82"/>
      <c r="R15" s="82"/>
    </row>
    <row r="16" spans="1:18" s="53" customFormat="1" x14ac:dyDescent="0.25">
      <c r="A16" s="1"/>
      <c r="B16" s="1" t="s">
        <v>10</v>
      </c>
      <c r="C16" s="11">
        <f>C11+C14</f>
        <v>24831</v>
      </c>
      <c r="D16" s="11">
        <f t="shared" ref="D16:H16" si="3">D11+D14</f>
        <v>26708</v>
      </c>
      <c r="E16" s="11">
        <f t="shared" si="3"/>
        <v>27552</v>
      </c>
      <c r="F16" s="11">
        <f t="shared" si="3"/>
        <v>21508</v>
      </c>
      <c r="G16" s="11">
        <f t="shared" si="3"/>
        <v>22287</v>
      </c>
      <c r="H16" s="11">
        <f t="shared" si="3"/>
        <v>28321</v>
      </c>
      <c r="I16" s="20">
        <f>I11*I17</f>
        <v>30494.600000000002</v>
      </c>
      <c r="J16" s="81">
        <f t="shared" ref="J16:R16" si="4">J11*J17</f>
        <v>33923.357999999993</v>
      </c>
      <c r="K16" s="81">
        <f>K11*K17</f>
        <v>36762.799999999988</v>
      </c>
      <c r="L16" s="81">
        <f t="shared" si="4"/>
        <v>41938.889999999992</v>
      </c>
      <c r="M16" s="81">
        <f t="shared" si="4"/>
        <v>43820.259999999987</v>
      </c>
      <c r="N16" s="81">
        <f t="shared" si="4"/>
        <v>45464.858999999982</v>
      </c>
      <c r="O16" s="81">
        <f t="shared" si="4"/>
        <v>47164.30028749998</v>
      </c>
      <c r="P16" s="81">
        <f t="shared" si="4"/>
        <v>48920.298102499968</v>
      </c>
      <c r="Q16" s="81">
        <f t="shared" si="4"/>
        <v>50734.618120570274</v>
      </c>
      <c r="R16" s="81">
        <f t="shared" si="4"/>
        <v>52609.07895323004</v>
      </c>
    </row>
    <row r="17" spans="1:18" s="53" customFormat="1" x14ac:dyDescent="0.25">
      <c r="A17" s="1"/>
      <c r="B17" s="90" t="s">
        <v>11</v>
      </c>
      <c r="C17" s="91">
        <f t="shared" ref="C17:H17" si="5">C16/C11</f>
        <v>0.45035094401218784</v>
      </c>
      <c r="D17" s="91">
        <f t="shared" si="5"/>
        <v>0.44937241309688059</v>
      </c>
      <c r="E17" s="91">
        <f t="shared" si="5"/>
        <v>0.39603277274687365</v>
      </c>
      <c r="F17" s="91">
        <f t="shared" si="5"/>
        <v>0.32892885544748274</v>
      </c>
      <c r="G17" s="91">
        <f t="shared" si="5"/>
        <v>0.33057937049452668</v>
      </c>
      <c r="H17" s="91">
        <f t="shared" si="5"/>
        <v>0.34236357921713689</v>
      </c>
      <c r="I17" s="97">
        <v>0.34</v>
      </c>
      <c r="J17" s="98">
        <v>0.35659999999999997</v>
      </c>
      <c r="K17" s="98">
        <v>0.36499999999999999</v>
      </c>
      <c r="L17" s="98">
        <v>0.39900000000000002</v>
      </c>
      <c r="M17" s="98">
        <v>0.40899999999999997</v>
      </c>
      <c r="N17" s="98">
        <f>M17+0.5%</f>
        <v>0.41399999999999998</v>
      </c>
      <c r="O17" s="98">
        <f t="shared" ref="O17:R17" si="6">N17+0.5%</f>
        <v>0.41899999999999998</v>
      </c>
      <c r="P17" s="98">
        <f t="shared" si="6"/>
        <v>0.42399999999999999</v>
      </c>
      <c r="Q17" s="98">
        <f t="shared" si="6"/>
        <v>0.42899999999999999</v>
      </c>
      <c r="R17" s="98">
        <f t="shared" si="6"/>
        <v>0.434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81"/>
      <c r="K18" s="81"/>
      <c r="L18" s="81"/>
      <c r="M18" s="81"/>
      <c r="N18" s="81"/>
      <c r="O18" s="81"/>
      <c r="P18" s="81"/>
      <c r="Q18" s="81"/>
      <c r="R18" s="81"/>
    </row>
    <row r="19" spans="1:18" s="53" customFormat="1" x14ac:dyDescent="0.25">
      <c r="A19" s="1"/>
      <c r="B19" s="1" t="s">
        <v>39</v>
      </c>
      <c r="C19" s="11">
        <f>'Raw IS'!G14</f>
        <v>-8176</v>
      </c>
      <c r="D19" s="11">
        <f>'Raw IS'!H14</f>
        <v>-8860</v>
      </c>
      <c r="E19" s="11">
        <f>'Raw IS'!I14</f>
        <v>-11541</v>
      </c>
      <c r="F19" s="11">
        <f>'Raw IS'!B14</f>
        <v>-12369</v>
      </c>
      <c r="G19" s="11">
        <f>'Raw IS'!C14</f>
        <v>-13517</v>
      </c>
      <c r="H19" s="11">
        <f>'Raw IS'!D14</f>
        <v>-16388</v>
      </c>
      <c r="I19" s="20">
        <f t="shared" ref="I19:R19" si="7">I20*I11</f>
        <v>-17489.55</v>
      </c>
      <c r="J19" s="81">
        <f t="shared" si="7"/>
        <v>-17599.049999999996</v>
      </c>
      <c r="K19" s="81">
        <f t="shared" si="7"/>
        <v>-18129.599999999995</v>
      </c>
      <c r="L19" s="81">
        <f t="shared" si="7"/>
        <v>-18919.799999999996</v>
      </c>
      <c r="M19" s="81">
        <f t="shared" si="7"/>
        <v>-18749.499999999993</v>
      </c>
      <c r="N19" s="81">
        <f t="shared" si="7"/>
        <v>-19767.329999999991</v>
      </c>
      <c r="O19" s="81">
        <f t="shared" si="7"/>
        <v>-20261.513249999989</v>
      </c>
      <c r="P19" s="81">
        <f t="shared" si="7"/>
        <v>-20191.160773437488</v>
      </c>
      <c r="Q19" s="81">
        <f t="shared" si="7"/>
        <v>-20104.627227265613</v>
      </c>
      <c r="R19" s="81">
        <f t="shared" si="7"/>
        <v>-20001.147528301743</v>
      </c>
    </row>
    <row r="20" spans="1:18" s="53" customFormat="1" x14ac:dyDescent="0.25">
      <c r="A20" s="1"/>
      <c r="B20" s="90" t="s">
        <v>16</v>
      </c>
      <c r="C20" s="91">
        <f t="shared" ref="C20:H20" si="8">C19/C11</f>
        <v>-0.14828518055026571</v>
      </c>
      <c r="D20" s="91">
        <f t="shared" si="8"/>
        <v>-0.14907292122354207</v>
      </c>
      <c r="E20" s="91">
        <f t="shared" si="8"/>
        <v>-0.16589047003018542</v>
      </c>
      <c r="F20" s="91">
        <f t="shared" si="8"/>
        <v>-0.18916314920168839</v>
      </c>
      <c r="G20" s="91">
        <f t="shared" si="8"/>
        <v>-0.20049541665430598</v>
      </c>
      <c r="H20" s="91">
        <f t="shared" si="8"/>
        <v>-0.19810933004521167</v>
      </c>
      <c r="I20" s="92">
        <v>-0.19500000000000001</v>
      </c>
      <c r="J20" s="93">
        <v>-0.185</v>
      </c>
      <c r="K20" s="93">
        <v>-0.18</v>
      </c>
      <c r="L20" s="93">
        <v>-0.18</v>
      </c>
      <c r="M20" s="93">
        <v>-0.17499999999999999</v>
      </c>
      <c r="N20" s="93">
        <v>-0.18</v>
      </c>
      <c r="O20" s="93">
        <v>-0.18</v>
      </c>
      <c r="P20" s="93">
        <v>-0.17499999999999999</v>
      </c>
      <c r="Q20" s="93">
        <v>-0.17</v>
      </c>
      <c r="R20" s="93">
        <v>-0.16500000000000001</v>
      </c>
    </row>
    <row r="21" spans="1:18" s="53" customFormat="1" x14ac:dyDescent="0.25">
      <c r="A21" s="1"/>
      <c r="B21" s="1"/>
      <c r="C21" s="11"/>
      <c r="D21" s="11"/>
      <c r="E21" s="11"/>
      <c r="F21" s="11"/>
      <c r="G21" s="11"/>
      <c r="H21" s="11"/>
      <c r="I21" s="39"/>
      <c r="J21" s="84"/>
      <c r="K21" s="84"/>
      <c r="L21" s="84"/>
      <c r="M21" s="84"/>
      <c r="N21" s="84"/>
      <c r="O21" s="84"/>
      <c r="P21" s="84"/>
      <c r="Q21" s="84"/>
      <c r="R21" s="84"/>
    </row>
    <row r="22" spans="1:18" s="53" customFormat="1" x14ac:dyDescent="0.25">
      <c r="A22" s="1"/>
      <c r="B22" s="1" t="s">
        <v>12</v>
      </c>
      <c r="C22" s="11">
        <f>C19</f>
        <v>-8176</v>
      </c>
      <c r="D22" s="11">
        <f t="shared" ref="D22:R22" si="9">D19</f>
        <v>-8860</v>
      </c>
      <c r="E22" s="11">
        <f t="shared" si="9"/>
        <v>-11541</v>
      </c>
      <c r="F22" s="11">
        <f t="shared" si="9"/>
        <v>-12369</v>
      </c>
      <c r="G22" s="11">
        <f t="shared" si="9"/>
        <v>-13517</v>
      </c>
      <c r="H22" s="11">
        <f t="shared" si="9"/>
        <v>-16388</v>
      </c>
      <c r="I22" s="39">
        <f t="shared" si="9"/>
        <v>-17489.55</v>
      </c>
      <c r="J22" s="84">
        <f t="shared" si="9"/>
        <v>-17599.049999999996</v>
      </c>
      <c r="K22" s="84">
        <f t="shared" si="9"/>
        <v>-18129.599999999995</v>
      </c>
      <c r="L22" s="84">
        <f t="shared" si="9"/>
        <v>-18919.799999999996</v>
      </c>
      <c r="M22" s="84">
        <f t="shared" si="9"/>
        <v>-18749.499999999993</v>
      </c>
      <c r="N22" s="84">
        <f t="shared" si="9"/>
        <v>-19767.329999999991</v>
      </c>
      <c r="O22" s="84">
        <f t="shared" si="9"/>
        <v>-20261.513249999989</v>
      </c>
      <c r="P22" s="84">
        <f t="shared" si="9"/>
        <v>-20191.160773437488</v>
      </c>
      <c r="Q22" s="84">
        <f t="shared" si="9"/>
        <v>-20104.627227265613</v>
      </c>
      <c r="R22" s="84">
        <f t="shared" si="9"/>
        <v>-20001.147528301743</v>
      </c>
    </row>
    <row r="23" spans="1:18" s="53" customFormat="1" x14ac:dyDescent="0.25">
      <c r="A23" s="1"/>
      <c r="B23" s="1"/>
      <c r="C23" s="14"/>
      <c r="D23" s="14"/>
      <c r="E23" s="14"/>
      <c r="F23" s="14"/>
      <c r="G23" s="14"/>
      <c r="H23" s="14"/>
      <c r="I23" s="19"/>
      <c r="J23" s="80"/>
      <c r="K23" s="80"/>
      <c r="L23" s="80"/>
      <c r="M23" s="80"/>
      <c r="N23" s="80"/>
      <c r="O23" s="80"/>
      <c r="P23" s="80"/>
      <c r="Q23" s="80"/>
      <c r="R23" s="80"/>
    </row>
    <row r="24" spans="1:18" s="53" customFormat="1" x14ac:dyDescent="0.25">
      <c r="A24" s="1"/>
      <c r="B24" s="1" t="s">
        <v>13</v>
      </c>
      <c r="C24" s="11">
        <f>C16+C22</f>
        <v>16655</v>
      </c>
      <c r="D24" s="11">
        <f>D16+D22</f>
        <v>17848</v>
      </c>
      <c r="E24" s="11">
        <f>E16+E22</f>
        <v>16011</v>
      </c>
      <c r="F24" s="11">
        <f>F16+F22</f>
        <v>9139</v>
      </c>
      <c r="G24" s="11">
        <f>G16+G22</f>
        <v>8770</v>
      </c>
      <c r="H24" s="11">
        <f>H16+H22</f>
        <v>11933</v>
      </c>
      <c r="I24" s="39">
        <f>I16+I22</f>
        <v>13005.050000000003</v>
      </c>
      <c r="J24" s="84">
        <f>J16+J22</f>
        <v>16324.307999999997</v>
      </c>
      <c r="K24" s="84">
        <f>K16+K22</f>
        <v>18633.199999999993</v>
      </c>
      <c r="L24" s="84">
        <f>L16+L22</f>
        <v>23019.089999999997</v>
      </c>
      <c r="M24" s="84">
        <f>M16+M22</f>
        <v>25070.759999999995</v>
      </c>
      <c r="N24" s="84">
        <f>N16+N22</f>
        <v>25697.528999999991</v>
      </c>
      <c r="O24" s="84">
        <f>O16+O22</f>
        <v>26902.787037499991</v>
      </c>
      <c r="P24" s="84">
        <f>P16+P22</f>
        <v>28729.13732906248</v>
      </c>
      <c r="Q24" s="84">
        <f>Q16+Q22</f>
        <v>30629.990893304661</v>
      </c>
      <c r="R24" s="84">
        <f>R16+R22</f>
        <v>32607.931424928298</v>
      </c>
    </row>
    <row r="25" spans="1:18" s="53" customFormat="1" x14ac:dyDescent="0.25">
      <c r="A25" s="1"/>
      <c r="B25" s="1" t="s">
        <v>190</v>
      </c>
      <c r="C25" s="77">
        <f>'Raw IS'!G17+'Raw IS'!G18+'Raw IS'!G19+'Raw IS'!G20</f>
        <v>-85</v>
      </c>
      <c r="D25" s="77">
        <f>'Raw IS'!H17+'Raw IS'!H18+'Raw IS'!H19+'Raw IS'!H20</f>
        <v>-108</v>
      </c>
      <c r="E25" s="77">
        <f>'Raw IS'!I17+'Raw IS'!I18+'Raw IS'!I19+'Raw IS'!I20</f>
        <v>2093</v>
      </c>
      <c r="F25" s="77">
        <f>'Raw IS'!B17+'Raw IS'!B18+'Raw IS'!B19+'Raw IS'!B20</f>
        <v>-5537</v>
      </c>
      <c r="G25" s="77">
        <f>'Raw IS'!C17+'Raw IS'!C18+'Raw IS'!C19+'Raw IS'!C20</f>
        <v>-1098</v>
      </c>
      <c r="H25" s="77">
        <f>'Raw IS'!D17+'Raw IS'!D18+'Raw IS'!D19+'Raw IS'!D20</f>
        <v>-1485</v>
      </c>
      <c r="I25" s="20">
        <f>I26*I11</f>
        <v>-1345.35</v>
      </c>
      <c r="J25" s="81">
        <f>J26*J11</f>
        <v>-475.64999999999992</v>
      </c>
      <c r="K25" s="81">
        <f>K26*K11</f>
        <v>-402.87999999999988</v>
      </c>
      <c r="L25" s="81">
        <f>L26*L11</f>
        <v>-1891.9799999999993</v>
      </c>
      <c r="M25" s="81">
        <f>M26*M11</f>
        <v>1178.5399999999995</v>
      </c>
      <c r="N25" s="81">
        <f>N26*N11</f>
        <v>-3645.9741999999987</v>
      </c>
      <c r="O25" s="81">
        <f>O26*O11</f>
        <v>1125.6396249999996</v>
      </c>
      <c r="P25" s="81">
        <f>P26*P11</f>
        <v>1153.7806156249994</v>
      </c>
      <c r="Q25" s="81">
        <f>Q26*Q11</f>
        <v>1182.6251310156242</v>
      </c>
      <c r="R25" s="81">
        <f>R26*R11</f>
        <v>1212.1907592910147</v>
      </c>
    </row>
    <row r="26" spans="1:18" s="53" customFormat="1" x14ac:dyDescent="0.25">
      <c r="A26" s="1"/>
      <c r="B26" s="90" t="s">
        <v>16</v>
      </c>
      <c r="C26" s="91">
        <f>C25/C11</f>
        <v>-1.5416145238224786E-3</v>
      </c>
      <c r="D26" s="91">
        <f>D25/D11</f>
        <v>-1.8171417034020931E-3</v>
      </c>
      <c r="E26" s="91">
        <f>E25/E11</f>
        <v>3.008480666954147E-2</v>
      </c>
      <c r="F26" s="91">
        <f>F25/F11</f>
        <v>-8.4679146020676582E-2</v>
      </c>
      <c r="G26" s="91">
        <f>G25/G11</f>
        <v>-1.6286451689459788E-2</v>
      </c>
      <c r="H26" s="91">
        <f>H25/H11</f>
        <v>-1.7951693624428808E-2</v>
      </c>
      <c r="I26" s="94">
        <v>-1.4999999999999999E-2</v>
      </c>
      <c r="J26" s="95">
        <v>-5.0000000000000001E-3</v>
      </c>
      <c r="K26" s="95">
        <v>-4.0000000000000001E-3</v>
      </c>
      <c r="L26" s="95">
        <v>-1.7999999999999999E-2</v>
      </c>
      <c r="M26" s="95">
        <v>1.0999999999999999E-2</v>
      </c>
      <c r="N26" s="95">
        <v>-3.32E-2</v>
      </c>
      <c r="O26" s="95">
        <v>0.01</v>
      </c>
      <c r="P26" s="95">
        <v>0.01</v>
      </c>
      <c r="Q26" s="95">
        <v>0.01</v>
      </c>
      <c r="R26" s="95">
        <v>0.01</v>
      </c>
    </row>
    <row r="27" spans="1:18" s="53" customFormat="1" x14ac:dyDescent="0.25">
      <c r="A27" s="1"/>
      <c r="B27" s="1"/>
      <c r="C27" s="77"/>
      <c r="D27" s="77"/>
      <c r="E27" s="77"/>
      <c r="F27" s="77"/>
      <c r="G27" s="77"/>
      <c r="H27" s="77"/>
      <c r="I27" s="12"/>
      <c r="J27" s="82"/>
      <c r="K27" s="82"/>
      <c r="L27" s="82"/>
      <c r="M27" s="82"/>
      <c r="N27" s="82"/>
      <c r="O27" s="82"/>
      <c r="P27" s="82"/>
      <c r="Q27" s="82"/>
      <c r="R27" s="82"/>
    </row>
    <row r="28" spans="1:18" s="53" customFormat="1" x14ac:dyDescent="0.25">
      <c r="A28" s="1"/>
      <c r="B28" s="1" t="s">
        <v>14</v>
      </c>
      <c r="C28" s="11">
        <f>C24+C25</f>
        <v>16570</v>
      </c>
      <c r="D28" s="11">
        <f>D24+D25</f>
        <v>17740</v>
      </c>
      <c r="E28" s="11">
        <f>E24+E25</f>
        <v>18104</v>
      </c>
      <c r="F28" s="11">
        <f>F24+F25</f>
        <v>3602</v>
      </c>
      <c r="G28" s="11">
        <f>G24+G25</f>
        <v>7672</v>
      </c>
      <c r="H28" s="11">
        <f>H24+H25</f>
        <v>10448</v>
      </c>
      <c r="I28" s="39">
        <f>I24+I25</f>
        <v>11659.700000000003</v>
      </c>
      <c r="J28" s="84">
        <f>J24+J25</f>
        <v>15848.657999999998</v>
      </c>
      <c r="K28" s="84">
        <f>K24+K25</f>
        <v>18230.319999999992</v>
      </c>
      <c r="L28" s="84">
        <f>L24+L25</f>
        <v>21127.109999999997</v>
      </c>
      <c r="M28" s="84">
        <f>M24+M25</f>
        <v>26249.299999999996</v>
      </c>
      <c r="N28" s="84">
        <f>N24+N25</f>
        <v>22051.554799999991</v>
      </c>
      <c r="O28" s="84">
        <f>O24+O25</f>
        <v>28028.426662499991</v>
      </c>
      <c r="P28" s="84">
        <f>P24+P25</f>
        <v>29882.91794468748</v>
      </c>
      <c r="Q28" s="84">
        <f>Q24+Q25</f>
        <v>31812.616024320287</v>
      </c>
      <c r="R28" s="84">
        <f>R24+R25</f>
        <v>33820.122184219312</v>
      </c>
    </row>
    <row r="29" spans="1:18" s="53" customFormat="1" x14ac:dyDescent="0.25">
      <c r="A29" s="1"/>
      <c r="B29" s="1"/>
      <c r="C29" s="21"/>
      <c r="D29" s="21"/>
      <c r="E29" s="21"/>
      <c r="F29" s="21"/>
      <c r="G29" s="21"/>
      <c r="H29" s="77"/>
      <c r="I29" s="12"/>
      <c r="J29" s="82"/>
      <c r="K29" s="82"/>
      <c r="L29" s="82"/>
      <c r="M29" s="82"/>
      <c r="N29" s="82"/>
      <c r="O29" s="82"/>
      <c r="P29" s="82"/>
      <c r="Q29" s="82"/>
      <c r="R29" s="82"/>
    </row>
    <row r="30" spans="1:18" s="53" customFormat="1" x14ac:dyDescent="0.25">
      <c r="A30" s="1"/>
      <c r="B30" s="1" t="s">
        <v>15</v>
      </c>
      <c r="C30" s="11">
        <f>C24</f>
        <v>16655</v>
      </c>
      <c r="D30" s="11">
        <f>D24</f>
        <v>17848</v>
      </c>
      <c r="E30" s="11">
        <f>E24</f>
        <v>16011</v>
      </c>
      <c r="F30" s="11">
        <f>F24</f>
        <v>9139</v>
      </c>
      <c r="G30" s="11">
        <f>G24</f>
        <v>8770</v>
      </c>
      <c r="H30" s="11">
        <f>H24</f>
        <v>11933</v>
      </c>
      <c r="I30" s="39">
        <f>I24</f>
        <v>13005.050000000003</v>
      </c>
      <c r="J30" s="84">
        <f>J24</f>
        <v>16324.307999999997</v>
      </c>
      <c r="K30" s="84">
        <f>K24</f>
        <v>18633.199999999993</v>
      </c>
      <c r="L30" s="84">
        <f>L24</f>
        <v>23019.089999999997</v>
      </c>
      <c r="M30" s="84">
        <f>M24</f>
        <v>25070.759999999995</v>
      </c>
      <c r="N30" s="84">
        <f>N24</f>
        <v>25697.528999999991</v>
      </c>
      <c r="O30" s="84">
        <f>O24</f>
        <v>26902.787037499991</v>
      </c>
      <c r="P30" s="84">
        <f>P24</f>
        <v>28729.13732906248</v>
      </c>
      <c r="Q30" s="84">
        <f>Q24</f>
        <v>30629.990893304661</v>
      </c>
      <c r="R30" s="84">
        <f>R24</f>
        <v>32607.931424928298</v>
      </c>
    </row>
    <row r="31" spans="1:18" s="53" customFormat="1" x14ac:dyDescent="0.25">
      <c r="A31" s="1"/>
      <c r="B31" s="90" t="s">
        <v>16</v>
      </c>
      <c r="C31" s="91">
        <f>C30/C11</f>
        <v>0.3020657634619221</v>
      </c>
      <c r="D31" s="91">
        <f>D30/D11</f>
        <v>0.30029949187333849</v>
      </c>
      <c r="E31" s="91">
        <f>E30/E11</f>
        <v>0.23014230271668823</v>
      </c>
      <c r="F31" s="91">
        <f>F30/F11</f>
        <v>0.13976570624579435</v>
      </c>
      <c r="G31" s="91">
        <f>G30/G11</f>
        <v>0.1300839538402207</v>
      </c>
      <c r="H31" s="91">
        <f>H30/H11</f>
        <v>0.14425424917192525</v>
      </c>
      <c r="I31" s="92">
        <f>I30/I11</f>
        <v>0.14500000000000005</v>
      </c>
      <c r="J31" s="93">
        <f>J30/J11</f>
        <v>0.1716</v>
      </c>
      <c r="K31" s="93">
        <f>K30/K11</f>
        <v>0.185</v>
      </c>
      <c r="L31" s="93">
        <f>L30/L11</f>
        <v>0.21900000000000003</v>
      </c>
      <c r="M31" s="93">
        <f>M30/M11</f>
        <v>0.23400000000000001</v>
      </c>
      <c r="N31" s="93">
        <f>N30/N11</f>
        <v>0.23400000000000001</v>
      </c>
      <c r="O31" s="93">
        <f>O30/O11</f>
        <v>0.23900000000000002</v>
      </c>
      <c r="P31" s="93">
        <f>P30/P11</f>
        <v>0.24899999999999997</v>
      </c>
      <c r="Q31" s="93">
        <f>Q30/Q11</f>
        <v>0.25899999999999995</v>
      </c>
      <c r="R31" s="93">
        <f>R30/R11</f>
        <v>0.26900000000000002</v>
      </c>
    </row>
    <row r="32" spans="1:18" s="53" customFormat="1" x14ac:dyDescent="0.25">
      <c r="A32" s="1"/>
      <c r="B32" s="13"/>
      <c r="C32" s="1"/>
      <c r="D32" s="1"/>
      <c r="E32" s="2"/>
      <c r="F32" s="1"/>
      <c r="G32" s="1"/>
      <c r="H32" s="1"/>
      <c r="I32" s="12"/>
      <c r="J32" s="82"/>
      <c r="K32" s="82"/>
      <c r="L32" s="82"/>
      <c r="M32" s="82"/>
      <c r="N32" s="82"/>
      <c r="O32" s="82"/>
      <c r="P32" s="82"/>
      <c r="Q32" s="82"/>
      <c r="R32" s="82"/>
    </row>
    <row r="33" spans="1:86" s="53" customFormat="1" x14ac:dyDescent="0.25">
      <c r="A33" s="1"/>
      <c r="B33" s="1" t="s">
        <v>17</v>
      </c>
      <c r="C33" s="11">
        <f>'Raw IS'!G23</f>
        <v>-4422</v>
      </c>
      <c r="D33" s="11">
        <f>'Raw IS'!H23</f>
        <v>-1663</v>
      </c>
      <c r="E33" s="11">
        <f>'Raw IS'!I23</f>
        <v>-3031</v>
      </c>
      <c r="F33" s="11">
        <f>'Raw IS'!B23</f>
        <v>-699</v>
      </c>
      <c r="G33" s="11">
        <f>'Raw IS'!C23</f>
        <v>-25</v>
      </c>
      <c r="H33" s="11">
        <f>'Raw IS'!D23</f>
        <v>-1732</v>
      </c>
      <c r="I33" s="20">
        <f>I30*I34</f>
        <v>-1950.7575000000004</v>
      </c>
      <c r="J33" s="81">
        <f t="shared" ref="J33:R33" si="10">J30*J34</f>
        <v>-2448.6461999999997</v>
      </c>
      <c r="K33" s="81">
        <f t="shared" si="10"/>
        <v>-2794.9799999999991</v>
      </c>
      <c r="L33" s="81">
        <f t="shared" si="10"/>
        <v>-4143.4361999999992</v>
      </c>
      <c r="M33" s="81">
        <f t="shared" si="10"/>
        <v>-4512.7367999999988</v>
      </c>
      <c r="N33" s="81">
        <f t="shared" si="10"/>
        <v>-4625.5552199999984</v>
      </c>
      <c r="O33" s="81">
        <f t="shared" si="10"/>
        <v>-4842.5016667499985</v>
      </c>
      <c r="P33" s="81">
        <f t="shared" si="10"/>
        <v>-5171.2447192312466</v>
      </c>
      <c r="Q33" s="81">
        <f t="shared" si="10"/>
        <v>-5513.3983607948385</v>
      </c>
      <c r="R33" s="81">
        <f t="shared" si="10"/>
        <v>-5869.4276564870934</v>
      </c>
    </row>
    <row r="34" spans="1:86" s="53" customFormat="1" x14ac:dyDescent="0.25">
      <c r="A34" s="1"/>
      <c r="B34" s="90" t="s">
        <v>18</v>
      </c>
      <c r="C34" s="96">
        <f>C33/C30</f>
        <v>-0.26550585409786853</v>
      </c>
      <c r="D34" s="96">
        <f t="shared" ref="D34:H34" si="11">D33/D30</f>
        <v>-9.3175705961452263E-2</v>
      </c>
      <c r="E34" s="96">
        <f t="shared" si="11"/>
        <v>-0.18930735119605271</v>
      </c>
      <c r="F34" s="96">
        <f t="shared" si="11"/>
        <v>-7.6485392274865963E-2</v>
      </c>
      <c r="G34" s="96">
        <f t="shared" si="11"/>
        <v>-2.8506271379703536E-3</v>
      </c>
      <c r="H34" s="96">
        <f t="shared" si="11"/>
        <v>-0.14514371909829885</v>
      </c>
      <c r="I34" s="97">
        <v>-0.15</v>
      </c>
      <c r="J34" s="98">
        <v>-0.15</v>
      </c>
      <c r="K34" s="98">
        <v>-0.15</v>
      </c>
      <c r="L34" s="98">
        <v>-0.18</v>
      </c>
      <c r="M34" s="98">
        <v>-0.18</v>
      </c>
      <c r="N34" s="98">
        <v>-0.18</v>
      </c>
      <c r="O34" s="98">
        <v>-0.18</v>
      </c>
      <c r="P34" s="98">
        <v>-0.18</v>
      </c>
      <c r="Q34" s="98">
        <v>-0.18</v>
      </c>
      <c r="R34" s="98">
        <v>-0.18</v>
      </c>
    </row>
    <row r="35" spans="1:86" s="53" customFormat="1" x14ac:dyDescent="0.25">
      <c r="A35" s="1"/>
      <c r="B35" s="1"/>
      <c r="C35" s="1"/>
      <c r="D35" s="1"/>
      <c r="E35" s="1"/>
      <c r="F35" s="1"/>
      <c r="G35" s="1"/>
      <c r="H35" s="1"/>
      <c r="I35" s="12"/>
      <c r="J35" s="82"/>
      <c r="K35" s="82"/>
      <c r="L35" s="82"/>
      <c r="M35" s="82"/>
      <c r="N35" s="82"/>
      <c r="O35" s="82"/>
      <c r="P35" s="82"/>
      <c r="Q35" s="82"/>
      <c r="R35" s="82"/>
    </row>
    <row r="36" spans="1:86" s="53" customFormat="1" x14ac:dyDescent="0.25">
      <c r="A36" s="1"/>
      <c r="B36" s="9" t="s">
        <v>19</v>
      </c>
      <c r="C36" s="9">
        <v>2017</v>
      </c>
      <c r="D36" s="9">
        <v>2018</v>
      </c>
      <c r="E36" s="10">
        <v>2019</v>
      </c>
      <c r="F36" s="9">
        <v>2020</v>
      </c>
      <c r="G36" s="9">
        <v>2021</v>
      </c>
      <c r="H36" s="9">
        <v>2022</v>
      </c>
      <c r="I36" s="67">
        <v>2023</v>
      </c>
      <c r="J36" s="85">
        <v>2024</v>
      </c>
      <c r="K36" s="85">
        <v>2025</v>
      </c>
      <c r="L36" s="85">
        <v>2026</v>
      </c>
      <c r="M36" s="85">
        <v>2027</v>
      </c>
      <c r="N36" s="85">
        <v>2028</v>
      </c>
      <c r="O36" s="85">
        <v>2029</v>
      </c>
      <c r="P36" s="85">
        <v>2030</v>
      </c>
      <c r="Q36" s="85">
        <v>2031</v>
      </c>
      <c r="R36" s="85">
        <v>2032</v>
      </c>
      <c r="S36" s="9">
        <v>2033</v>
      </c>
      <c r="T36" s="9">
        <v>2034</v>
      </c>
      <c r="U36" s="9">
        <v>2035</v>
      </c>
      <c r="V36" s="9">
        <v>2036</v>
      </c>
      <c r="W36" s="9">
        <v>2037</v>
      </c>
      <c r="X36" s="9">
        <v>2038</v>
      </c>
      <c r="Y36" s="9">
        <v>2039</v>
      </c>
      <c r="Z36" s="9">
        <v>2040</v>
      </c>
      <c r="AA36" s="9">
        <v>2041</v>
      </c>
      <c r="AB36" s="9">
        <v>2042</v>
      </c>
      <c r="AC36" s="9">
        <v>2043</v>
      </c>
      <c r="AD36" s="9">
        <v>2044</v>
      </c>
      <c r="AE36" s="9">
        <v>2045</v>
      </c>
      <c r="AF36" s="9">
        <v>2046</v>
      </c>
      <c r="AG36" s="9">
        <v>2047</v>
      </c>
      <c r="AH36" s="9">
        <v>2048</v>
      </c>
      <c r="AI36" s="9">
        <v>2049</v>
      </c>
      <c r="AJ36" s="9">
        <v>2050</v>
      </c>
      <c r="AK36" s="9">
        <v>2051</v>
      </c>
      <c r="AL36" s="9">
        <v>2052</v>
      </c>
      <c r="AM36" s="9">
        <v>2053</v>
      </c>
      <c r="AN36" s="9">
        <v>2054</v>
      </c>
      <c r="AO36" s="9">
        <v>2055</v>
      </c>
      <c r="AP36" s="9">
        <v>2056</v>
      </c>
      <c r="AQ36" s="9">
        <v>2057</v>
      </c>
      <c r="AR36" s="9">
        <v>2058</v>
      </c>
      <c r="AS36" s="9">
        <v>2059</v>
      </c>
      <c r="AT36" s="9">
        <v>2060</v>
      </c>
      <c r="AU36" s="9">
        <v>2061</v>
      </c>
      <c r="AV36" s="9">
        <v>2062</v>
      </c>
      <c r="AW36" s="9">
        <v>2063</v>
      </c>
      <c r="AX36" s="9">
        <v>2064</v>
      </c>
      <c r="AY36" s="9">
        <v>2065</v>
      </c>
      <c r="AZ36" s="9">
        <v>2066</v>
      </c>
      <c r="BA36" s="9">
        <v>2067</v>
      </c>
      <c r="BB36" s="9">
        <v>2068</v>
      </c>
      <c r="BC36" s="9">
        <v>2069</v>
      </c>
      <c r="BD36" s="9">
        <v>2070</v>
      </c>
      <c r="BE36" s="9">
        <v>2071</v>
      </c>
      <c r="BF36" s="9">
        <v>2072</v>
      </c>
      <c r="BG36" s="9">
        <v>2073</v>
      </c>
      <c r="BH36" s="9">
        <v>2074</v>
      </c>
      <c r="BI36" s="9">
        <v>2075</v>
      </c>
      <c r="BJ36" s="9">
        <v>2076</v>
      </c>
      <c r="BK36" s="9">
        <v>2077</v>
      </c>
      <c r="BL36" s="9">
        <v>2078</v>
      </c>
      <c r="BM36" s="9">
        <v>2079</v>
      </c>
      <c r="BN36" s="9">
        <v>2080</v>
      </c>
      <c r="BO36" s="9">
        <v>2081</v>
      </c>
      <c r="BP36" s="9">
        <v>2082</v>
      </c>
      <c r="BQ36" s="9">
        <v>2083</v>
      </c>
      <c r="BR36" s="9">
        <v>2084</v>
      </c>
      <c r="BS36" s="9">
        <v>2085</v>
      </c>
      <c r="BT36" s="9">
        <v>2086</v>
      </c>
      <c r="BU36" s="9">
        <v>2087</v>
      </c>
      <c r="BV36" s="9">
        <v>2088</v>
      </c>
      <c r="BW36" s="9">
        <v>2089</v>
      </c>
      <c r="BX36" s="9">
        <v>2090</v>
      </c>
      <c r="BY36" s="9">
        <v>2091</v>
      </c>
      <c r="BZ36" s="9">
        <v>2092</v>
      </c>
      <c r="CA36" s="9">
        <v>2093</v>
      </c>
      <c r="CB36" s="9">
        <v>2094</v>
      </c>
      <c r="CC36" s="9">
        <v>2095</v>
      </c>
      <c r="CD36" s="9">
        <v>2096</v>
      </c>
      <c r="CE36" s="9">
        <v>2097</v>
      </c>
      <c r="CF36" s="9">
        <v>2098</v>
      </c>
      <c r="CG36" s="9">
        <v>2099</v>
      </c>
      <c r="CH36" s="9">
        <v>2100</v>
      </c>
    </row>
    <row r="37" spans="1:86" s="53" customFormat="1" x14ac:dyDescent="0.25">
      <c r="A37" s="1"/>
      <c r="B37" s="1" t="s">
        <v>20</v>
      </c>
      <c r="C37" s="11">
        <v>2782</v>
      </c>
      <c r="D37" s="11">
        <v>3011</v>
      </c>
      <c r="E37" s="23">
        <v>4160</v>
      </c>
      <c r="F37" s="11">
        <v>5345</v>
      </c>
      <c r="G37" s="11">
        <v>5111</v>
      </c>
      <c r="H37" s="11">
        <v>5163</v>
      </c>
      <c r="I37" s="20">
        <f>I38*I11</f>
        <v>5260</v>
      </c>
      <c r="J37" s="81">
        <f>J38*J11</f>
        <v>5420</v>
      </c>
      <c r="K37" s="81">
        <f>K38*K11</f>
        <v>5480</v>
      </c>
      <c r="L37" s="81">
        <f>L38*L11</f>
        <v>5140</v>
      </c>
      <c r="M37" s="81">
        <f>M38*M11</f>
        <v>5250</v>
      </c>
      <c r="N37" s="81">
        <f>N38*N11</f>
        <v>4435.1552057094868</v>
      </c>
      <c r="O37" s="81">
        <f>O38*O11</f>
        <v>4546.0340858522241</v>
      </c>
      <c r="P37" s="81">
        <f>P38*P11</f>
        <v>4659.6849379985288</v>
      </c>
      <c r="Q37" s="81">
        <f>Q38*Q11</f>
        <v>4776.1770614484913</v>
      </c>
      <c r="R37" s="81">
        <f>R38*R11</f>
        <v>4895.581487984703</v>
      </c>
    </row>
    <row r="38" spans="1:86" s="53" customFormat="1" x14ac:dyDescent="0.25">
      <c r="A38" s="1"/>
      <c r="B38" s="90" t="s">
        <v>16</v>
      </c>
      <c r="C38" s="91">
        <f>C37/C11</f>
        <v>5.0456136532636885E-2</v>
      </c>
      <c r="D38" s="91">
        <f>D37/D11</f>
        <v>5.0661237675404654E-2</v>
      </c>
      <c r="E38" s="91">
        <f>E37/E11</f>
        <v>5.9795889032629009E-2</v>
      </c>
      <c r="F38" s="91">
        <f>F37/F11</f>
        <v>8.1742827430109494E-2</v>
      </c>
      <c r="G38" s="91">
        <f>G37/G11</f>
        <v>7.5810614375982674E-2</v>
      </c>
      <c r="H38" s="91">
        <f>H37/H11</f>
        <v>6.2413868136650466E-2</v>
      </c>
      <c r="I38" s="92">
        <v>5.8646448879473741E-2</v>
      </c>
      <c r="J38" s="93">
        <v>5.6974666246189437E-2</v>
      </c>
      <c r="K38" s="93">
        <v>5.4408260524225593E-2</v>
      </c>
      <c r="L38" s="93">
        <v>4.8901151174959578E-2</v>
      </c>
      <c r="M38" s="93">
        <v>4.9001306701512051E-2</v>
      </c>
      <c r="N38" s="93">
        <v>4.0386230058774147E-2</v>
      </c>
      <c r="O38" s="93">
        <v>4.0386230058774147E-2</v>
      </c>
      <c r="P38" s="93">
        <v>4.0386230058774147E-2</v>
      </c>
      <c r="Q38" s="93">
        <v>4.0386230058774147E-2</v>
      </c>
      <c r="R38" s="93">
        <v>4.0386230058774147E-2</v>
      </c>
    </row>
    <row r="39" spans="1:86" s="53" customFormat="1" x14ac:dyDescent="0.25">
      <c r="A39" s="1"/>
      <c r="B39" s="1"/>
      <c r="C39" s="1"/>
      <c r="D39" s="1"/>
      <c r="E39" s="2"/>
      <c r="F39" s="1"/>
      <c r="G39" s="1"/>
      <c r="H39" s="1"/>
      <c r="I39" s="12"/>
      <c r="J39" s="82"/>
      <c r="K39" s="82"/>
      <c r="L39" s="82"/>
      <c r="M39" s="82"/>
      <c r="N39" s="82"/>
      <c r="O39" s="82"/>
      <c r="P39" s="82"/>
      <c r="Q39" s="82"/>
      <c r="R39" s="82"/>
    </row>
    <row r="40" spans="1:86" s="53" customFormat="1" x14ac:dyDescent="0.25">
      <c r="A40" s="1"/>
      <c r="B40" s="1" t="s">
        <v>21</v>
      </c>
      <c r="C40" s="11">
        <f>'Raw CF'!G32</f>
        <v>-4876</v>
      </c>
      <c r="D40" s="11">
        <f>'Raw CF'!H32</f>
        <v>-4465</v>
      </c>
      <c r="E40" s="11">
        <f>'Raw CF'!I32</f>
        <v>-3623</v>
      </c>
      <c r="F40" s="38">
        <f>'Raw CF'!B30</f>
        <v>-4943</v>
      </c>
      <c r="G40" s="38">
        <f>'Raw CF'!C30</f>
        <v>-3578</v>
      </c>
      <c r="H40" s="38">
        <f>'Raw CF'!D30</f>
        <v>-4022</v>
      </c>
      <c r="I40" s="20">
        <f t="shared" ref="I40:Q40" si="12">I41*I11</f>
        <v>-5600</v>
      </c>
      <c r="J40" s="81">
        <f t="shared" si="12"/>
        <v>-6080</v>
      </c>
      <c r="K40" s="81">
        <f t="shared" si="12"/>
        <v>-6030</v>
      </c>
      <c r="L40" s="81">
        <f t="shared" si="12"/>
        <v>-6050</v>
      </c>
      <c r="M40" s="81">
        <f t="shared" si="12"/>
        <v>-6166.8442583959659</v>
      </c>
      <c r="N40" s="81">
        <f t="shared" si="12"/>
        <v>-6321.0153648558644</v>
      </c>
      <c r="O40" s="81">
        <f t="shared" si="12"/>
        <v>-6479.0407489772606</v>
      </c>
      <c r="P40" s="81">
        <f t="shared" si="12"/>
        <v>-6641.0167677016916</v>
      </c>
      <c r="Q40" s="81">
        <f t="shared" si="12"/>
        <v>-6807.0421868942331</v>
      </c>
      <c r="R40" s="81">
        <f>R41*R11</f>
        <v>-6977.2182415665884</v>
      </c>
    </row>
    <row r="41" spans="1:86" s="53" customFormat="1" x14ac:dyDescent="0.25">
      <c r="A41" s="1"/>
      <c r="B41" s="90" t="s">
        <v>16</v>
      </c>
      <c r="C41" s="91">
        <f>C40/C11</f>
        <v>-8.8434263743040059E-2</v>
      </c>
      <c r="D41" s="91">
        <f>D40/D11</f>
        <v>-7.5125349126762456E-2</v>
      </c>
      <c r="E41" s="91">
        <f>E40/E11</f>
        <v>-5.2077044703176659E-2</v>
      </c>
      <c r="F41" s="91">
        <f>F40/F11</f>
        <v>-7.5594910381109687E-2</v>
      </c>
      <c r="G41" s="91">
        <f>G40/G11</f>
        <v>-5.3071879913376252E-2</v>
      </c>
      <c r="H41" s="91">
        <f>H40/H11</f>
        <v>-4.862068131814995E-2</v>
      </c>
      <c r="I41" s="92">
        <v>-6.2437283978146949E-2</v>
      </c>
      <c r="J41" s="93">
        <v>-6.3912540733732801E-2</v>
      </c>
      <c r="K41" s="93">
        <v>-5.9868943606036555E-2</v>
      </c>
      <c r="L41" s="93">
        <v>-5.7558747978308455E-2</v>
      </c>
      <c r="M41" s="93">
        <v>-5.7558747978308455E-2</v>
      </c>
      <c r="N41" s="93">
        <v>-5.7558747978308455E-2</v>
      </c>
      <c r="O41" s="93">
        <v>-5.7558747978308455E-2</v>
      </c>
      <c r="P41" s="93">
        <v>-5.7558747978308455E-2</v>
      </c>
      <c r="Q41" s="93">
        <v>-5.7558747978308455E-2</v>
      </c>
      <c r="R41" s="93">
        <v>-5.7558747978308455E-2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82"/>
      <c r="K42" s="82"/>
      <c r="L42" s="82"/>
      <c r="M42" s="82"/>
      <c r="N42" s="82"/>
      <c r="O42" s="82"/>
      <c r="P42" s="82"/>
      <c r="Q42" s="82"/>
      <c r="R42" s="82"/>
    </row>
    <row r="43" spans="1:86" s="53" customFormat="1" x14ac:dyDescent="0.25">
      <c r="A43" s="1"/>
      <c r="B43" s="1" t="s">
        <v>22</v>
      </c>
      <c r="C43" s="1">
        <f>SUM('Raw CF'!G21:G26)</f>
        <v>-5644</v>
      </c>
      <c r="D43" s="1">
        <f>SUM('Raw CF'!H21:H26)</f>
        <v>-837</v>
      </c>
      <c r="E43" s="1">
        <f>SUM('Raw CF'!I21:I26)</f>
        <v>-110</v>
      </c>
      <c r="F43" s="78">
        <f>SUM('Raw CF'!B21:B25)</f>
        <v>488</v>
      </c>
      <c r="G43" s="78">
        <f>SUM('Raw CF'!C21:C25)</f>
        <v>2194</v>
      </c>
      <c r="H43" s="78">
        <f>SUM('Raw CF'!D21:D25)</f>
        <v>-645</v>
      </c>
      <c r="I43" s="20">
        <f>I44*I11</f>
        <v>896.9</v>
      </c>
      <c r="J43" s="81">
        <f>J44*J11</f>
        <v>2853.8999999999996</v>
      </c>
      <c r="K43" s="81">
        <f>K44*K11</f>
        <v>3021.599999999999</v>
      </c>
      <c r="L43" s="81">
        <f>L44*L11</f>
        <v>3153.2999999999988</v>
      </c>
      <c r="M43" s="81">
        <f>M44*M11</f>
        <v>3214.1999999999989</v>
      </c>
      <c r="N43" s="81">
        <f>N44*N11</f>
        <v>3294.5549999999985</v>
      </c>
      <c r="O43" s="81">
        <f>O44*O11</f>
        <v>3376.9188749999985</v>
      </c>
      <c r="P43" s="81">
        <f>P44*P11</f>
        <v>3461.3418468749978</v>
      </c>
      <c r="Q43" s="81">
        <f>Q44*Q11</f>
        <v>3547.8753930468724</v>
      </c>
      <c r="R43" s="81">
        <f>R44*R11</f>
        <v>3636.5722778730437</v>
      </c>
    </row>
    <row r="44" spans="1:86" s="53" customFormat="1" x14ac:dyDescent="0.25">
      <c r="A44" s="1"/>
      <c r="B44" s="90" t="s">
        <v>16</v>
      </c>
      <c r="C44" s="91">
        <f>C43/C11</f>
        <v>-0.10236320438181258</v>
      </c>
      <c r="D44" s="91">
        <f>D43/D11</f>
        <v>-1.4082848201366221E-2</v>
      </c>
      <c r="E44" s="91">
        <f>E43/E11</f>
        <v>-1.5811412965358632E-3</v>
      </c>
      <c r="F44" s="91">
        <f>F43/F11</f>
        <v>7.4631430843579861E-3</v>
      </c>
      <c r="G44" s="91">
        <f>G43/G11</f>
        <v>3.2543237710997062E-2</v>
      </c>
      <c r="H44" s="91">
        <f>H43/H11</f>
        <v>-7.7972002611155439E-3</v>
      </c>
      <c r="I44" s="97">
        <v>0.01</v>
      </c>
      <c r="J44" s="98">
        <v>0.03</v>
      </c>
      <c r="K44" s="98">
        <v>0.03</v>
      </c>
      <c r="L44" s="98">
        <v>0.03</v>
      </c>
      <c r="M44" s="98">
        <v>0.03</v>
      </c>
      <c r="N44" s="98">
        <v>0.03</v>
      </c>
      <c r="O44" s="98">
        <v>0.03</v>
      </c>
      <c r="P44" s="98">
        <v>0.03</v>
      </c>
      <c r="Q44" s="98">
        <v>0.03</v>
      </c>
      <c r="R44" s="98">
        <v>0.03</v>
      </c>
    </row>
    <row r="45" spans="1:86" s="53" customFormat="1" x14ac:dyDescent="0.25">
      <c r="A45" s="1"/>
      <c r="B45" s="1"/>
      <c r="C45" s="1"/>
      <c r="D45" s="1"/>
      <c r="E45" s="1"/>
      <c r="F45" s="1"/>
      <c r="G45" s="1"/>
      <c r="H45" s="1"/>
      <c r="I45" s="12"/>
      <c r="J45" s="82"/>
      <c r="K45" s="82"/>
      <c r="L45" s="82"/>
      <c r="M45" s="82"/>
      <c r="N45" s="82"/>
      <c r="O45" s="82"/>
      <c r="P45" s="82"/>
      <c r="Q45" s="82"/>
      <c r="R45" s="82"/>
    </row>
    <row r="46" spans="1:86" s="53" customFormat="1" x14ac:dyDescent="0.25">
      <c r="A46" s="1"/>
      <c r="B46" s="9" t="s">
        <v>23</v>
      </c>
      <c r="C46" s="11">
        <f t="shared" ref="C46:G46" si="13">C30+C33</f>
        <v>12233</v>
      </c>
      <c r="D46" s="11">
        <f t="shared" si="13"/>
        <v>16185</v>
      </c>
      <c r="E46" s="11">
        <f t="shared" si="13"/>
        <v>12980</v>
      </c>
      <c r="F46" s="11">
        <f t="shared" si="13"/>
        <v>8440</v>
      </c>
      <c r="G46" s="11">
        <f t="shared" si="13"/>
        <v>8745</v>
      </c>
      <c r="H46" s="11">
        <f>H30+H33</f>
        <v>10201</v>
      </c>
      <c r="I46" s="39">
        <f t="shared" ref="I46" si="14">I30-I33</f>
        <v>14955.807500000003</v>
      </c>
      <c r="J46" s="84">
        <f t="shared" ref="J46:R46" si="15">J30-J33</f>
        <v>18772.954199999996</v>
      </c>
      <c r="K46" s="84">
        <f t="shared" si="15"/>
        <v>21428.179999999993</v>
      </c>
      <c r="L46" s="84">
        <f t="shared" si="15"/>
        <v>27162.526199999997</v>
      </c>
      <c r="M46" s="84">
        <f t="shared" si="15"/>
        <v>29583.496799999994</v>
      </c>
      <c r="N46" s="84">
        <f t="shared" si="15"/>
        <v>30323.08421999999</v>
      </c>
      <c r="O46" s="84">
        <f t="shared" si="15"/>
        <v>31745.28870424999</v>
      </c>
      <c r="P46" s="84">
        <f t="shared" si="15"/>
        <v>33900.38204829373</v>
      </c>
      <c r="Q46" s="84">
        <f t="shared" si="15"/>
        <v>36143.3892540995</v>
      </c>
      <c r="R46" s="84">
        <f t="shared" si="15"/>
        <v>38477.359081415394</v>
      </c>
    </row>
    <row r="47" spans="1:86" s="53" customFormat="1" x14ac:dyDescent="0.25">
      <c r="A47" s="1"/>
      <c r="B47" s="9" t="s">
        <v>50</v>
      </c>
      <c r="C47" s="11">
        <f>'Raw IS'!G26+'Raw IS'!G30</f>
        <v>-386</v>
      </c>
      <c r="D47" s="11">
        <f>'Raw IS'!H26+'Raw IS'!H30</f>
        <v>-468</v>
      </c>
      <c r="E47" s="11">
        <f>'Raw IS'!I26+'Raw IS'!I30</f>
        <v>199</v>
      </c>
      <c r="F47" s="11">
        <f>'Raw IS'!B25+'Raw IS'!B28</f>
        <v>-422</v>
      </c>
      <c r="G47" s="11">
        <f>'Raw IS'!C25+'Raw IS'!C28</f>
        <v>-541</v>
      </c>
      <c r="H47" s="11">
        <f>'Raw IS'!D25+'Raw IS'!D28</f>
        <v>-408</v>
      </c>
      <c r="I47" s="39">
        <v>-500</v>
      </c>
      <c r="J47" s="84">
        <v>-500</v>
      </c>
      <c r="K47" s="84">
        <v>-500</v>
      </c>
      <c r="L47" s="84">
        <v>-500</v>
      </c>
      <c r="M47" s="84">
        <v>-500</v>
      </c>
      <c r="N47" s="84">
        <v>-500</v>
      </c>
      <c r="O47" s="84">
        <v>-500</v>
      </c>
      <c r="P47" s="84">
        <v>-500</v>
      </c>
      <c r="Q47" s="84">
        <v>-500</v>
      </c>
      <c r="R47" s="84">
        <v>-500</v>
      </c>
    </row>
    <row r="48" spans="1:86" s="53" customFormat="1" x14ac:dyDescent="0.25">
      <c r="A48" s="1"/>
      <c r="B48" s="9" t="s">
        <v>24</v>
      </c>
      <c r="C48" s="11">
        <f>C28+C33-C47</f>
        <v>12534</v>
      </c>
      <c r="D48" s="11">
        <f t="shared" ref="D48:H48" si="16">D28+D33-D47</f>
        <v>16545</v>
      </c>
      <c r="E48" s="11">
        <f t="shared" si="16"/>
        <v>14874</v>
      </c>
      <c r="F48" s="11">
        <f t="shared" si="16"/>
        <v>3325</v>
      </c>
      <c r="G48" s="11">
        <f t="shared" si="16"/>
        <v>8188</v>
      </c>
      <c r="H48" s="11">
        <f t="shared" si="16"/>
        <v>9124</v>
      </c>
      <c r="I48" s="39">
        <f t="shared" ref="I48" si="17">I28+I33-I47</f>
        <v>10208.942500000003</v>
      </c>
      <c r="J48" s="84">
        <f t="shared" ref="J48" si="18">J28+J33-J47</f>
        <v>13900.011799999998</v>
      </c>
      <c r="K48" s="84">
        <f t="shared" ref="K48" si="19">K28+K33-K47</f>
        <v>15935.339999999993</v>
      </c>
      <c r="L48" s="84">
        <f t="shared" ref="L48" si="20">L28+L33-L47</f>
        <v>17483.673799999997</v>
      </c>
      <c r="M48" s="84">
        <f t="shared" ref="M48" si="21">M28+M33-M47</f>
        <v>22236.563199999997</v>
      </c>
      <c r="N48" s="84">
        <f t="shared" ref="N48" si="22">N28+N33-N47</f>
        <v>17925.999579999992</v>
      </c>
      <c r="O48" s="84">
        <f>O28+O33-O47</f>
        <v>23685.924995749992</v>
      </c>
      <c r="P48" s="84">
        <f t="shared" ref="P48" si="23">P28+P33-P47</f>
        <v>25211.673225456234</v>
      </c>
      <c r="Q48" s="84">
        <f t="shared" ref="Q48" si="24">Q28+Q33-Q47</f>
        <v>26799.217663525447</v>
      </c>
      <c r="R48" s="84">
        <f t="shared" ref="R48" si="25">R28+R33-R47</f>
        <v>28450.694527732219</v>
      </c>
      <c r="S48" s="54">
        <f>R48*(1+$E$6)</f>
        <v>29019.708418286864</v>
      </c>
      <c r="T48" s="54">
        <f t="shared" ref="T48:CE48" si="26">S48*(1+$E$6)</f>
        <v>29600.102586652603</v>
      </c>
      <c r="U48" s="54">
        <f t="shared" si="26"/>
        <v>30192.104638385656</v>
      </c>
      <c r="V48" s="54">
        <f t="shared" si="26"/>
        <v>30795.94673115337</v>
      </c>
      <c r="W48" s="54">
        <f t="shared" si="26"/>
        <v>31411.865665776437</v>
      </c>
      <c r="X48" s="54">
        <f t="shared" si="26"/>
        <v>32040.102979091967</v>
      </c>
      <c r="Y48" s="54">
        <f t="shared" si="26"/>
        <v>32680.905038673809</v>
      </c>
      <c r="Z48" s="54">
        <f t="shared" si="26"/>
        <v>33334.523139447287</v>
      </c>
      <c r="AA48" s="54">
        <f t="shared" si="26"/>
        <v>34001.213602236232</v>
      </c>
      <c r="AB48" s="54">
        <f t="shared" si="26"/>
        <v>34681.23787428096</v>
      </c>
      <c r="AC48" s="54">
        <f t="shared" si="26"/>
        <v>35374.862631766577</v>
      </c>
      <c r="AD48" s="54">
        <f t="shared" si="26"/>
        <v>36082.359884401907</v>
      </c>
      <c r="AE48" s="54">
        <f t="shared" si="26"/>
        <v>36804.007082089949</v>
      </c>
      <c r="AF48" s="54">
        <f t="shared" si="26"/>
        <v>37540.087223731745</v>
      </c>
      <c r="AG48" s="54">
        <f t="shared" si="26"/>
        <v>38290.888968206382</v>
      </c>
      <c r="AH48" s="54">
        <f t="shared" si="26"/>
        <v>39056.706747570512</v>
      </c>
      <c r="AI48" s="54">
        <f t="shared" si="26"/>
        <v>39837.840882521923</v>
      </c>
      <c r="AJ48" s="54">
        <f t="shared" si="26"/>
        <v>40634.597700172359</v>
      </c>
      <c r="AK48" s="54">
        <f t="shared" si="26"/>
        <v>41447.289654175809</v>
      </c>
      <c r="AL48" s="54">
        <f t="shared" si="26"/>
        <v>42276.235447259329</v>
      </c>
      <c r="AM48" s="54">
        <f t="shared" si="26"/>
        <v>43121.760156204517</v>
      </c>
      <c r="AN48" s="54">
        <f t="shared" si="26"/>
        <v>43984.195359328609</v>
      </c>
      <c r="AO48" s="54">
        <f t="shared" si="26"/>
        <v>44863.879266515185</v>
      </c>
      <c r="AP48" s="54">
        <f t="shared" si="26"/>
        <v>45761.156851845488</v>
      </c>
      <c r="AQ48" s="54">
        <f t="shared" si="26"/>
        <v>46676.3799888824</v>
      </c>
      <c r="AR48" s="54">
        <f t="shared" si="26"/>
        <v>47609.907588660048</v>
      </c>
      <c r="AS48" s="54">
        <f t="shared" si="26"/>
        <v>48562.105740433246</v>
      </c>
      <c r="AT48" s="54">
        <f t="shared" si="26"/>
        <v>49533.347855241911</v>
      </c>
      <c r="AU48" s="54">
        <f t="shared" si="26"/>
        <v>50524.014812346752</v>
      </c>
      <c r="AV48" s="54">
        <f t="shared" si="26"/>
        <v>51534.495108593685</v>
      </c>
      <c r="AW48" s="54">
        <f t="shared" si="26"/>
        <v>52565.185010765563</v>
      </c>
      <c r="AX48" s="54">
        <f t="shared" si="26"/>
        <v>53616.488710980877</v>
      </c>
      <c r="AY48" s="54">
        <f t="shared" si="26"/>
        <v>54688.818485200492</v>
      </c>
      <c r="AZ48" s="54">
        <f t="shared" si="26"/>
        <v>55782.594854904506</v>
      </c>
      <c r="BA48" s="54">
        <f t="shared" si="26"/>
        <v>56898.246752002597</v>
      </c>
      <c r="BB48" s="54">
        <f t="shared" si="26"/>
        <v>58036.211687042647</v>
      </c>
      <c r="BC48" s="54">
        <f t="shared" si="26"/>
        <v>59196.9359207835</v>
      </c>
      <c r="BD48" s="54">
        <f t="shared" si="26"/>
        <v>60380.874639199174</v>
      </c>
      <c r="BE48" s="54">
        <f t="shared" si="26"/>
        <v>61588.492131983156</v>
      </c>
      <c r="BF48" s="54">
        <f t="shared" si="26"/>
        <v>62820.261974622823</v>
      </c>
      <c r="BG48" s="54">
        <f t="shared" si="26"/>
        <v>64076.667214115281</v>
      </c>
      <c r="BH48" s="54">
        <f t="shared" si="26"/>
        <v>65358.200558397592</v>
      </c>
      <c r="BI48" s="54">
        <f t="shared" si="26"/>
        <v>66665.364569565543</v>
      </c>
      <c r="BJ48" s="54">
        <f t="shared" si="26"/>
        <v>67998.671860956849</v>
      </c>
      <c r="BK48" s="54">
        <f t="shared" si="26"/>
        <v>69358.645298175994</v>
      </c>
      <c r="BL48" s="54">
        <f t="shared" si="26"/>
        <v>70745.818204139519</v>
      </c>
      <c r="BM48" s="54">
        <f t="shared" si="26"/>
        <v>72160.734568222309</v>
      </c>
      <c r="BN48" s="54">
        <f t="shared" si="26"/>
        <v>73603.949259586763</v>
      </c>
      <c r="BO48" s="54">
        <f t="shared" si="26"/>
        <v>75076.028244778499</v>
      </c>
      <c r="BP48" s="54">
        <f t="shared" si="26"/>
        <v>76577.548809674074</v>
      </c>
      <c r="BQ48" s="54">
        <f t="shared" si="26"/>
        <v>78109.099785867555</v>
      </c>
      <c r="BR48" s="54">
        <f t="shared" si="26"/>
        <v>79671.281781584912</v>
      </c>
      <c r="BS48" s="54">
        <f t="shared" si="26"/>
        <v>81264.707417216618</v>
      </c>
      <c r="BT48" s="54">
        <f t="shared" si="26"/>
        <v>82890.001565560946</v>
      </c>
      <c r="BU48" s="54">
        <f t="shared" si="26"/>
        <v>84547.801596872159</v>
      </c>
      <c r="BV48" s="54">
        <f t="shared" si="26"/>
        <v>86238.757628809602</v>
      </c>
      <c r="BW48" s="54">
        <f t="shared" si="26"/>
        <v>87963.532781385802</v>
      </c>
      <c r="BX48" s="54">
        <f t="shared" si="26"/>
        <v>89722.803437013514</v>
      </c>
      <c r="BY48" s="54">
        <f t="shared" si="26"/>
        <v>91517.259505753784</v>
      </c>
      <c r="BZ48" s="54">
        <f t="shared" si="26"/>
        <v>93347.604695868868</v>
      </c>
      <c r="CA48" s="54">
        <f t="shared" si="26"/>
        <v>95214.556789786249</v>
      </c>
      <c r="CB48" s="54">
        <f t="shared" si="26"/>
        <v>97118.847925581969</v>
      </c>
      <c r="CC48" s="54">
        <f t="shared" si="26"/>
        <v>99061.224884093608</v>
      </c>
      <c r="CD48" s="54">
        <f t="shared" si="26"/>
        <v>101042.44938177548</v>
      </c>
      <c r="CE48" s="54">
        <f t="shared" si="26"/>
        <v>103063.298369411</v>
      </c>
      <c r="CF48" s="54">
        <f t="shared" ref="CF48:CH48" si="27">CE48*(1+$E$6)</f>
        <v>105124.56433679922</v>
      </c>
      <c r="CG48" s="54">
        <f t="shared" si="27"/>
        <v>107227.0556235352</v>
      </c>
      <c r="CH48" s="54">
        <f t="shared" si="27"/>
        <v>109371.5967360059</v>
      </c>
    </row>
    <row r="49" spans="1:86" s="53" customFormat="1" x14ac:dyDescent="0.25">
      <c r="A49" s="1"/>
      <c r="B49" s="9"/>
      <c r="C49" s="11"/>
      <c r="D49" s="11"/>
      <c r="E49" s="11"/>
      <c r="F49" s="11"/>
      <c r="G49" s="11"/>
      <c r="H49" s="11"/>
      <c r="I49" s="39"/>
      <c r="J49" s="84"/>
      <c r="K49" s="84"/>
      <c r="L49" s="84"/>
      <c r="M49" s="84"/>
      <c r="N49" s="84"/>
      <c r="O49" s="84"/>
      <c r="P49" s="84"/>
      <c r="Q49" s="84"/>
      <c r="R49" s="8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</row>
    <row r="50" spans="1:86" s="53" customFormat="1" x14ac:dyDescent="0.25">
      <c r="A50" s="1"/>
      <c r="B50" s="9" t="s">
        <v>191</v>
      </c>
      <c r="C50" s="11">
        <f>C48-C37</f>
        <v>9752</v>
      </c>
      <c r="D50" s="11">
        <f t="shared" ref="D50:R50" si="28">D48-D37</f>
        <v>13534</v>
      </c>
      <c r="E50" s="11">
        <f t="shared" si="28"/>
        <v>10714</v>
      </c>
      <c r="F50" s="11">
        <f t="shared" si="28"/>
        <v>-2020</v>
      </c>
      <c r="G50" s="11">
        <f t="shared" si="28"/>
        <v>3077</v>
      </c>
      <c r="H50" s="11">
        <f t="shared" si="28"/>
        <v>3961</v>
      </c>
      <c r="I50" s="39">
        <f t="shared" si="28"/>
        <v>4948.9425000000028</v>
      </c>
      <c r="J50" s="84">
        <f t="shared" si="28"/>
        <v>8480.0117999999984</v>
      </c>
      <c r="K50" s="84">
        <f t="shared" si="28"/>
        <v>10455.339999999993</v>
      </c>
      <c r="L50" s="84">
        <f t="shared" si="28"/>
        <v>12343.673799999997</v>
      </c>
      <c r="M50" s="84">
        <f t="shared" si="28"/>
        <v>16986.563199999997</v>
      </c>
      <c r="N50" s="84">
        <f t="shared" si="28"/>
        <v>13490.844374290506</v>
      </c>
      <c r="O50" s="84">
        <f>O48-O37</f>
        <v>19139.890909897767</v>
      </c>
      <c r="P50" s="84">
        <f t="shared" si="28"/>
        <v>20551.988287457705</v>
      </c>
      <c r="Q50" s="84">
        <f t="shared" si="28"/>
        <v>22023.040602076955</v>
      </c>
      <c r="R50" s="84">
        <f t="shared" si="28"/>
        <v>23555.113039747517</v>
      </c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</row>
    <row r="51" spans="1:86" s="53" customFormat="1" x14ac:dyDescent="0.25">
      <c r="A51" s="1"/>
      <c r="B51" s="6"/>
      <c r="C51" s="11"/>
      <c r="D51" s="11"/>
      <c r="E51" s="11"/>
      <c r="F51" s="11"/>
      <c r="G51" s="11"/>
      <c r="H51" s="11"/>
      <c r="I51" s="12"/>
      <c r="J51" s="82"/>
      <c r="K51" s="82"/>
      <c r="L51" s="82"/>
      <c r="M51" s="82"/>
      <c r="N51" s="82"/>
      <c r="O51" s="82"/>
      <c r="P51" s="82"/>
      <c r="Q51" s="82"/>
      <c r="R51" s="82"/>
    </row>
    <row r="52" spans="1:86" s="53" customFormat="1" x14ac:dyDescent="0.25">
      <c r="A52" s="1"/>
      <c r="B52" s="9" t="s">
        <v>25</v>
      </c>
      <c r="C52" s="24">
        <f>C46+C37+C40-C43</f>
        <v>15783</v>
      </c>
      <c r="D52" s="24">
        <f t="shared" ref="D52:R52" si="29">D46+D37+D40-D43</f>
        <v>15568</v>
      </c>
      <c r="E52" s="24">
        <f t="shared" si="29"/>
        <v>13627</v>
      </c>
      <c r="F52" s="24">
        <f t="shared" si="29"/>
        <v>8354</v>
      </c>
      <c r="G52" s="24">
        <f t="shared" si="29"/>
        <v>8084</v>
      </c>
      <c r="H52" s="24">
        <f>H46+H37+H40-H43</f>
        <v>11987</v>
      </c>
      <c r="I52" s="55">
        <f t="shared" si="29"/>
        <v>13718.907500000003</v>
      </c>
      <c r="J52" s="86">
        <f t="shared" si="29"/>
        <v>15259.054199999997</v>
      </c>
      <c r="K52" s="86">
        <f t="shared" si="29"/>
        <v>17856.579999999994</v>
      </c>
      <c r="L52" s="86">
        <f t="shared" si="29"/>
        <v>23099.226199999997</v>
      </c>
      <c r="M52" s="86">
        <f t="shared" si="29"/>
        <v>25452.452541604027</v>
      </c>
      <c r="N52" s="86">
        <f t="shared" si="29"/>
        <v>25142.669060853616</v>
      </c>
      <c r="O52" s="86">
        <f t="shared" si="29"/>
        <v>26435.363166124949</v>
      </c>
      <c r="P52" s="86">
        <f t="shared" si="29"/>
        <v>28457.708371715569</v>
      </c>
      <c r="Q52" s="86">
        <f t="shared" si="29"/>
        <v>30564.648735606883</v>
      </c>
      <c r="R52" s="86">
        <f t="shared" si="29"/>
        <v>32759.150049960463</v>
      </c>
    </row>
    <row r="53" spans="1:86" s="53" customFormat="1" x14ac:dyDescent="0.25">
      <c r="A53" s="1"/>
      <c r="B53" s="25" t="s">
        <v>26</v>
      </c>
      <c r="C53" s="1"/>
      <c r="D53" s="1"/>
      <c r="E53" s="1"/>
      <c r="F53" s="1"/>
      <c r="G53" s="1"/>
      <c r="H53" s="1"/>
      <c r="I53" s="87">
        <f>I52/((1+$E$5)^I9)</f>
        <v>12341.083215783183</v>
      </c>
      <c r="J53" s="88">
        <f>J52/((1+$E$5)^J9)</f>
        <v>12347.957369041724</v>
      </c>
      <c r="K53" s="88">
        <f>K52/((1+$E$5)^K9)</f>
        <v>12998.688680659367</v>
      </c>
      <c r="L53" s="88">
        <f>L52/((1+$E$5)^L9)</f>
        <v>15126.29072810427</v>
      </c>
      <c r="M53" s="88">
        <f>M52/((1+$E$5)^M9)</f>
        <v>14993.340391036103</v>
      </c>
      <c r="N53" s="88">
        <f>N52/((1+$E$5)^N9)</f>
        <v>13323.36409928415</v>
      </c>
      <c r="O53" s="88">
        <f>O52/((1+$E$5)^O9)</f>
        <v>12601.479908517709</v>
      </c>
      <c r="P53" s="88">
        <f>P52/((1+$E$5)^P9)</f>
        <v>12203.093747809939</v>
      </c>
      <c r="Q53" s="88">
        <f>Q52/((1+$E$5)^Q9)</f>
        <v>11790.254645610485</v>
      </c>
      <c r="R53" s="88">
        <f>R52/((1+$E$5)^R9)</f>
        <v>11367.635882569033</v>
      </c>
    </row>
    <row r="54" spans="1:86" s="53" customFormat="1" x14ac:dyDescent="0.25">
      <c r="A54" s="1"/>
      <c r="B54" s="26"/>
      <c r="C54" s="26"/>
      <c r="D54" s="26"/>
      <c r="E54" s="26"/>
      <c r="F54" s="26"/>
      <c r="G54" s="26"/>
      <c r="H54" s="26"/>
      <c r="I54" s="89"/>
      <c r="J54" s="82"/>
      <c r="K54" s="82"/>
      <c r="L54" s="82"/>
      <c r="M54" s="82"/>
      <c r="N54" s="82"/>
      <c r="O54" s="82"/>
      <c r="P54" s="82"/>
      <c r="Q54" s="82"/>
      <c r="R54" s="82"/>
    </row>
    <row r="55" spans="1:86" s="53" customFormat="1" x14ac:dyDescent="0.25">
      <c r="A55" s="1"/>
      <c r="B55" s="1" t="s">
        <v>27</v>
      </c>
      <c r="C55" s="27">
        <f>(R52*(1+$E$6))/($E$5-$E$6)</f>
        <v>364604.87139970274</v>
      </c>
      <c r="D55" s="1"/>
      <c r="E55" s="1" t="s">
        <v>28</v>
      </c>
      <c r="F55" s="18">
        <f>NPV($E$5,I48:CH48)</f>
        <v>217955.54500459481</v>
      </c>
      <c r="G55" s="1"/>
      <c r="H55" s="1"/>
      <c r="I55" s="15"/>
      <c r="J55" s="1"/>
      <c r="K55" s="1"/>
      <c r="L55" s="1"/>
      <c r="M55" s="1"/>
      <c r="N55" s="1"/>
      <c r="O55" s="1"/>
      <c r="P55" s="1"/>
      <c r="Q55" s="1"/>
      <c r="R55" s="2"/>
    </row>
    <row r="56" spans="1:86" s="53" customFormat="1" x14ac:dyDescent="0.25">
      <c r="A56" s="1"/>
      <c r="B56" s="3" t="s">
        <v>29</v>
      </c>
      <c r="C56" s="28">
        <f>C55/((1+$E$5)^$R$9)</f>
        <v>126520.2367204802</v>
      </c>
      <c r="D56" s="16"/>
      <c r="E56" s="3"/>
      <c r="F56" s="3"/>
      <c r="G56" s="3"/>
      <c r="H56" s="16"/>
      <c r="I56" s="12"/>
      <c r="J56" s="82"/>
      <c r="K56" s="2"/>
      <c r="L56" s="100" t="s">
        <v>194</v>
      </c>
      <c r="M56" s="100"/>
      <c r="N56" s="100"/>
      <c r="O56" s="100"/>
      <c r="P56" s="100"/>
      <c r="Q56" s="100"/>
      <c r="R56" s="79"/>
    </row>
    <row r="57" spans="1:86" x14ac:dyDescent="0.25">
      <c r="A57" s="1"/>
      <c r="B57" s="6" t="s">
        <v>30</v>
      </c>
      <c r="C57" s="6"/>
      <c r="D57" s="1"/>
      <c r="E57" s="6"/>
      <c r="F57" s="6"/>
      <c r="G57" s="29" t="s">
        <v>31</v>
      </c>
      <c r="H57" s="29" t="s">
        <v>28</v>
      </c>
      <c r="I57" s="15"/>
      <c r="J57" s="1"/>
      <c r="K57" s="56"/>
      <c r="L57" s="61">
        <f>E63</f>
        <v>130.09239659381123</v>
      </c>
      <c r="M57" s="99">
        <v>-0.01</v>
      </c>
      <c r="N57" s="99">
        <v>0.01</v>
      </c>
      <c r="O57" s="99">
        <v>0.02</v>
      </c>
      <c r="P57" s="99">
        <v>0.03</v>
      </c>
      <c r="Q57" s="99">
        <v>0.04</v>
      </c>
    </row>
    <row r="58" spans="1:86" x14ac:dyDescent="0.25">
      <c r="A58" s="1"/>
      <c r="B58" s="30" t="s">
        <v>32</v>
      </c>
      <c r="C58" s="1"/>
      <c r="D58" s="23">
        <v>10399</v>
      </c>
      <c r="E58" s="1"/>
      <c r="F58" s="1"/>
      <c r="G58" s="27">
        <f>C56+SUM(I53:R53)</f>
        <v>255613.42538889617</v>
      </c>
      <c r="H58" s="18">
        <f>F55</f>
        <v>217955.54500459481</v>
      </c>
      <c r="I58" s="15"/>
      <c r="K58" s="56"/>
      <c r="L58" s="58">
        <f>L59-1%</f>
        <v>9.1077135070908435E-2</v>
      </c>
      <c r="M58" s="62">
        <f t="dataTable" ref="M58:Q62" dt2D="1" dtr="1" r1="E6" r2="E5"/>
        <v>141.0946012208662</v>
      </c>
      <c r="N58" s="62">
        <v>159.57828644468151</v>
      </c>
      <c r="O58" s="62">
        <v>172.57548211525631</v>
      </c>
      <c r="P58" s="62">
        <v>189.56833659998887</v>
      </c>
      <c r="Q58" s="62">
        <v>212.61689359518272</v>
      </c>
    </row>
    <row r="59" spans="1:86" x14ac:dyDescent="0.25">
      <c r="A59" s="1"/>
      <c r="B59" s="31" t="s">
        <v>33</v>
      </c>
      <c r="C59" s="3"/>
      <c r="D59" s="40">
        <f>28056-18591</f>
        <v>9465</v>
      </c>
      <c r="E59" s="3"/>
      <c r="F59" s="3"/>
      <c r="G59" s="3"/>
      <c r="H59" s="3"/>
      <c r="I59" s="15"/>
      <c r="K59" s="57"/>
      <c r="L59" s="58">
        <f>L60-1%</f>
        <v>0.10107713507090843</v>
      </c>
      <c r="M59" s="62">
        <v>125.94875899744166</v>
      </c>
      <c r="N59" s="63">
        <v>139.79425622513193</v>
      </c>
      <c r="O59" s="63">
        <v>149.21597503253861</v>
      </c>
      <c r="P59" s="63">
        <v>161.17901374759401</v>
      </c>
      <c r="Q59" s="62">
        <v>176.81390079394089</v>
      </c>
      <c r="R59" s="49"/>
    </row>
    <row r="60" spans="1:86" x14ac:dyDescent="0.25">
      <c r="A60" s="1"/>
      <c r="B60" s="6" t="s">
        <v>34</v>
      </c>
      <c r="C60" s="6"/>
      <c r="D60" s="6"/>
      <c r="E60" s="6"/>
      <c r="F60" s="6"/>
      <c r="G60" s="32">
        <f>G58+D58-D59</f>
        <v>256547.42538889614</v>
      </c>
      <c r="H60" s="33">
        <f>H58+D58-D59</f>
        <v>218889.54500459481</v>
      </c>
      <c r="I60" s="15"/>
      <c r="K60" s="56" t="s">
        <v>1</v>
      </c>
      <c r="L60" s="58">
        <v>0.11107713507090843</v>
      </c>
      <c r="M60" s="62">
        <v>113.43045481843998</v>
      </c>
      <c r="N60" s="63">
        <v>124.00488519653713</v>
      </c>
      <c r="O60" s="64">
        <v>131.00614515460359</v>
      </c>
      <c r="P60" s="63">
        <v>139.68691229783531</v>
      </c>
      <c r="Q60" s="62">
        <v>150.70609339517983</v>
      </c>
    </row>
    <row r="61" spans="1:86" x14ac:dyDescent="0.25">
      <c r="A61" s="1"/>
      <c r="B61" s="3" t="s">
        <v>35</v>
      </c>
      <c r="C61" s="3"/>
      <c r="D61" s="38">
        <f>1827304988/1000000</f>
        <v>1827.3049880000001</v>
      </c>
      <c r="E61" s="3"/>
      <c r="F61" s="3"/>
      <c r="G61" s="3"/>
      <c r="H61" s="34"/>
      <c r="I61" s="15"/>
      <c r="K61" s="56"/>
      <c r="L61" s="59">
        <f>L60+0.5%</f>
        <v>0.11607713507090843</v>
      </c>
      <c r="M61" s="62">
        <v>107.95974781457276</v>
      </c>
      <c r="N61" s="63">
        <v>117.25974696309558</v>
      </c>
      <c r="O61" s="63">
        <v>123.34332710974643</v>
      </c>
      <c r="P61" s="63">
        <v>130.80886817352268</v>
      </c>
      <c r="Q61" s="62">
        <v>140.16843369493236</v>
      </c>
    </row>
    <row r="62" spans="1:86" x14ac:dyDescent="0.25">
      <c r="A62" s="1"/>
      <c r="B62" s="17" t="s">
        <v>36</v>
      </c>
      <c r="C62" s="17"/>
      <c r="D62" s="65">
        <f>D61*$J$5</f>
        <v>169080.53053964002</v>
      </c>
      <c r="E62" s="17"/>
      <c r="F62" s="17"/>
      <c r="G62" s="17"/>
      <c r="H62" s="35"/>
      <c r="I62" s="1"/>
      <c r="K62" s="56"/>
      <c r="L62" s="59">
        <f>L61+0.5%</f>
        <v>0.12107713507090843</v>
      </c>
      <c r="M62" s="62">
        <v>102.93345748765381</v>
      </c>
      <c r="N62" s="62">
        <v>111.14379255703017</v>
      </c>
      <c r="O62" s="62">
        <v>116.4550598304933</v>
      </c>
      <c r="P62" s="62">
        <v>122.91160449319825</v>
      </c>
      <c r="Q62" s="62">
        <v>130.91541991742076</v>
      </c>
    </row>
    <row r="63" spans="1:86" x14ac:dyDescent="0.25">
      <c r="A63" s="1"/>
      <c r="B63" s="6" t="s">
        <v>37</v>
      </c>
      <c r="D63" s="6" t="s">
        <v>38</v>
      </c>
      <c r="E63" s="36">
        <f>(G63+H63)/2</f>
        <v>130.09239659381123</v>
      </c>
      <c r="F63" s="6"/>
      <c r="G63" s="36">
        <f>G60/D61</f>
        <v>140.39660980167812</v>
      </c>
      <c r="H63" s="37">
        <f>H60/D61</f>
        <v>119.78818338594432</v>
      </c>
      <c r="I63" s="15"/>
    </row>
    <row r="64" spans="1:86" x14ac:dyDescent="0.25">
      <c r="B64" s="42"/>
      <c r="C64" s="42"/>
      <c r="D64" s="42"/>
      <c r="E64" s="42"/>
      <c r="F64" s="42"/>
      <c r="G64" s="42"/>
      <c r="H64" s="42"/>
      <c r="I64" s="22"/>
    </row>
  </sheetData>
  <sortState xmlns:xlrd2="http://schemas.microsoft.com/office/spreadsheetml/2017/richdata2" columnSort="1" ref="C10:H53">
    <sortCondition ref="C10:H10"/>
  </sortState>
  <mergeCells count="1">
    <mergeCell ref="L56:Q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51"/>
  <sheetViews>
    <sheetView topLeftCell="A10" workbookViewId="0">
      <selection activeCell="C26" sqref="C26"/>
    </sheetView>
  </sheetViews>
  <sheetFormatPr defaultRowHeight="15" x14ac:dyDescent="0.25"/>
  <cols>
    <col min="1" max="1" width="49.42578125" customWidth="1"/>
    <col min="6" max="6" width="42.28515625" customWidth="1"/>
  </cols>
  <sheetData>
    <row r="1" spans="1:9" x14ac:dyDescent="0.25">
      <c r="A1" s="68" t="s">
        <v>51</v>
      </c>
      <c r="B1" s="69"/>
      <c r="C1" s="69"/>
      <c r="D1" s="69"/>
      <c r="E1" s="69"/>
      <c r="F1" t="s">
        <v>137</v>
      </c>
      <c r="G1" t="s">
        <v>53</v>
      </c>
    </row>
    <row r="2" spans="1:9" x14ac:dyDescent="0.25">
      <c r="A2" s="68" t="s">
        <v>52</v>
      </c>
      <c r="B2" s="69"/>
      <c r="C2" s="69"/>
      <c r="D2" s="69"/>
      <c r="E2" s="69"/>
      <c r="F2" t="s">
        <v>52</v>
      </c>
      <c r="G2" t="s">
        <v>53</v>
      </c>
    </row>
    <row r="3" spans="1:9" x14ac:dyDescent="0.25">
      <c r="A3" s="69"/>
      <c r="B3" s="69"/>
      <c r="C3" s="69"/>
      <c r="D3" s="69"/>
      <c r="E3" s="69"/>
    </row>
    <row r="4" spans="1:9" x14ac:dyDescent="0.25">
      <c r="A4" s="68" t="s">
        <v>53</v>
      </c>
      <c r="B4" s="68">
        <v>2020</v>
      </c>
      <c r="C4" s="68">
        <v>2021</v>
      </c>
      <c r="D4" s="68">
        <v>2022</v>
      </c>
      <c r="E4" s="68"/>
      <c r="F4" t="s">
        <v>53</v>
      </c>
      <c r="G4">
        <v>2017</v>
      </c>
      <c r="H4">
        <v>2018</v>
      </c>
      <c r="I4">
        <v>2019</v>
      </c>
    </row>
    <row r="5" spans="1:9" x14ac:dyDescent="0.25">
      <c r="A5" s="68" t="s">
        <v>54</v>
      </c>
      <c r="B5" s="69"/>
      <c r="C5" s="69"/>
      <c r="D5" s="69"/>
      <c r="E5" s="69"/>
      <c r="F5" t="s">
        <v>54</v>
      </c>
    </row>
    <row r="6" spans="1:9" x14ac:dyDescent="0.25">
      <c r="A6" s="68" t="s">
        <v>55</v>
      </c>
      <c r="B6" s="70">
        <v>59265</v>
      </c>
      <c r="C6" s="70">
        <v>61768</v>
      </c>
      <c r="D6" s="70">
        <v>74200</v>
      </c>
      <c r="E6" s="70"/>
      <c r="F6" t="s">
        <v>55</v>
      </c>
      <c r="G6">
        <v>46843</v>
      </c>
      <c r="H6">
        <v>50869</v>
      </c>
      <c r="I6">
        <v>60542</v>
      </c>
    </row>
    <row r="7" spans="1:9" x14ac:dyDescent="0.25">
      <c r="A7" s="68" t="s">
        <v>56</v>
      </c>
      <c r="B7" s="71">
        <v>6123</v>
      </c>
      <c r="C7" s="71">
        <v>5650</v>
      </c>
      <c r="D7" s="71">
        <v>8522</v>
      </c>
      <c r="E7" s="71"/>
      <c r="F7" t="s">
        <v>56</v>
      </c>
      <c r="G7">
        <v>8294</v>
      </c>
      <c r="H7">
        <v>8565</v>
      </c>
      <c r="I7">
        <v>9028</v>
      </c>
    </row>
    <row r="8" spans="1:9" x14ac:dyDescent="0.25">
      <c r="A8" s="68" t="s">
        <v>57</v>
      </c>
      <c r="B8" s="71">
        <v>65388</v>
      </c>
      <c r="C8" s="71">
        <v>67418</v>
      </c>
      <c r="D8" s="71">
        <v>82722</v>
      </c>
      <c r="E8" s="71"/>
      <c r="F8" t="s">
        <v>57</v>
      </c>
      <c r="G8">
        <v>55137</v>
      </c>
      <c r="H8">
        <v>59434</v>
      </c>
      <c r="I8">
        <v>69570</v>
      </c>
    </row>
    <row r="9" spans="1:9" x14ac:dyDescent="0.25">
      <c r="A9" s="68" t="s">
        <v>58</v>
      </c>
      <c r="B9" s="69"/>
      <c r="C9" s="69"/>
      <c r="D9" s="69"/>
      <c r="E9" s="69"/>
      <c r="F9" t="s">
        <v>58</v>
      </c>
    </row>
    <row r="10" spans="1:9" x14ac:dyDescent="0.25">
      <c r="A10" s="68" t="s">
        <v>59</v>
      </c>
      <c r="B10" s="71">
        <v>-39406</v>
      </c>
      <c r="C10" s="71">
        <v>-41129</v>
      </c>
      <c r="D10" s="71">
        <v>-48962</v>
      </c>
      <c r="E10" s="71"/>
      <c r="F10" t="s">
        <v>59</v>
      </c>
      <c r="G10">
        <v>-25320</v>
      </c>
      <c r="H10">
        <v>-27528</v>
      </c>
      <c r="I10">
        <v>-36450</v>
      </c>
    </row>
    <row r="11" spans="1:9" x14ac:dyDescent="0.25">
      <c r="A11" s="68" t="s">
        <v>60</v>
      </c>
      <c r="B11" s="69"/>
      <c r="C11" s="69"/>
      <c r="D11" s="69"/>
      <c r="E11" s="69"/>
      <c r="F11" t="s">
        <v>60</v>
      </c>
    </row>
    <row r="12" spans="1:9" x14ac:dyDescent="0.25">
      <c r="A12" s="68" t="s">
        <v>61</v>
      </c>
      <c r="B12" s="71">
        <v>-4474</v>
      </c>
      <c r="C12" s="71">
        <v>-4002</v>
      </c>
      <c r="D12" s="71">
        <v>-5439</v>
      </c>
      <c r="E12" s="71"/>
      <c r="F12" t="s">
        <v>61</v>
      </c>
      <c r="G12">
        <v>-4986</v>
      </c>
      <c r="H12">
        <v>-5198</v>
      </c>
      <c r="I12">
        <v>-5568</v>
      </c>
    </row>
    <row r="13" spans="1:9" x14ac:dyDescent="0.25">
      <c r="A13" s="68" t="s">
        <v>60</v>
      </c>
      <c r="B13" s="69"/>
      <c r="C13" s="69"/>
      <c r="D13" s="69"/>
      <c r="E13" s="69"/>
      <c r="F13" t="s">
        <v>60</v>
      </c>
    </row>
    <row r="14" spans="1:9" x14ac:dyDescent="0.25">
      <c r="A14" s="68" t="s">
        <v>62</v>
      </c>
      <c r="B14" s="71">
        <v>-12369</v>
      </c>
      <c r="C14" s="71">
        <v>-13517</v>
      </c>
      <c r="D14" s="71">
        <v>-16388</v>
      </c>
      <c r="E14" s="71"/>
      <c r="F14" t="s">
        <v>62</v>
      </c>
      <c r="G14">
        <v>-8176</v>
      </c>
      <c r="H14">
        <v>-8860</v>
      </c>
      <c r="I14">
        <v>-11541</v>
      </c>
    </row>
    <row r="15" spans="1:9" x14ac:dyDescent="0.25">
      <c r="A15" s="68" t="s">
        <v>63</v>
      </c>
      <c r="B15" s="71">
        <v>-5345</v>
      </c>
      <c r="C15" s="71">
        <v>-5111</v>
      </c>
      <c r="D15" s="71">
        <v>-5163</v>
      </c>
      <c r="E15" s="71"/>
      <c r="F15" t="s">
        <v>63</v>
      </c>
      <c r="G15">
        <v>-2782</v>
      </c>
      <c r="H15">
        <v>-3011</v>
      </c>
      <c r="I15">
        <v>-4160</v>
      </c>
    </row>
    <row r="16" spans="1:9" x14ac:dyDescent="0.25">
      <c r="A16" s="68" t="s">
        <v>64</v>
      </c>
      <c r="B16" s="71">
        <v>-61594</v>
      </c>
      <c r="C16" s="71">
        <v>-63759</v>
      </c>
      <c r="D16" s="71">
        <v>-75952</v>
      </c>
      <c r="E16" s="71"/>
      <c r="F16" t="s">
        <v>64</v>
      </c>
      <c r="G16">
        <v>-41264</v>
      </c>
      <c r="H16">
        <v>-44597</v>
      </c>
      <c r="I16">
        <v>-57719</v>
      </c>
    </row>
    <row r="17" spans="1:9" x14ac:dyDescent="0.25">
      <c r="A17" s="68" t="s">
        <v>65</v>
      </c>
      <c r="B17" s="71">
        <v>-5735</v>
      </c>
      <c r="C17" s="71">
        <v>-654</v>
      </c>
      <c r="D17" s="71">
        <v>-237</v>
      </c>
      <c r="E17" s="71"/>
      <c r="F17" t="s">
        <v>65</v>
      </c>
      <c r="G17">
        <v>-98</v>
      </c>
      <c r="H17">
        <v>-33</v>
      </c>
      <c r="I17">
        <v>-1183</v>
      </c>
    </row>
    <row r="18" spans="1:9" x14ac:dyDescent="0.25">
      <c r="A18" s="68" t="s">
        <v>66</v>
      </c>
      <c r="B18" s="71">
        <v>1038</v>
      </c>
      <c r="C18" s="71">
        <v>201</v>
      </c>
      <c r="D18" s="71">
        <v>-667</v>
      </c>
      <c r="E18" s="71"/>
      <c r="F18" t="s">
        <v>138</v>
      </c>
      <c r="G18">
        <v>78</v>
      </c>
      <c r="H18">
        <v>601</v>
      </c>
      <c r="I18">
        <v>4357</v>
      </c>
    </row>
    <row r="19" spans="1:9" x14ac:dyDescent="0.25">
      <c r="A19" s="68" t="s">
        <v>67</v>
      </c>
      <c r="B19" s="71">
        <v>-1491</v>
      </c>
      <c r="C19" s="71">
        <v>-1406</v>
      </c>
      <c r="D19" s="71">
        <v>-1397</v>
      </c>
      <c r="E19" s="71">
        <f>B21-B15</f>
        <v>3602</v>
      </c>
      <c r="F19" t="s">
        <v>67</v>
      </c>
      <c r="G19">
        <v>-385</v>
      </c>
      <c r="H19">
        <v>-574</v>
      </c>
      <c r="I19">
        <v>-978</v>
      </c>
    </row>
    <row r="20" spans="1:9" x14ac:dyDescent="0.25">
      <c r="A20" s="68" t="s">
        <v>68</v>
      </c>
      <c r="B20" s="71">
        <v>651</v>
      </c>
      <c r="C20" s="71">
        <v>761</v>
      </c>
      <c r="D20" s="71">
        <v>816</v>
      </c>
      <c r="E20" s="71"/>
      <c r="F20" t="s">
        <v>139</v>
      </c>
      <c r="G20">
        <v>320</v>
      </c>
      <c r="H20">
        <v>-102</v>
      </c>
      <c r="I20">
        <v>-103</v>
      </c>
    </row>
    <row r="21" spans="1:9" x14ac:dyDescent="0.25">
      <c r="A21" s="68" t="s">
        <v>69</v>
      </c>
      <c r="B21" s="71">
        <v>-1743</v>
      </c>
      <c r="C21" s="71">
        <v>2561</v>
      </c>
      <c r="D21" s="71">
        <v>5285</v>
      </c>
      <c r="E21" s="71"/>
      <c r="F21" t="s">
        <v>140</v>
      </c>
      <c r="G21">
        <v>13788</v>
      </c>
      <c r="H21">
        <v>14729</v>
      </c>
      <c r="I21">
        <v>13944</v>
      </c>
    </row>
    <row r="22" spans="1:9" x14ac:dyDescent="0.25">
      <c r="A22" s="68" t="s">
        <v>70</v>
      </c>
      <c r="B22" s="69"/>
      <c r="C22" s="69"/>
      <c r="D22" s="69"/>
      <c r="E22" s="69"/>
      <c r="F22" t="s">
        <v>70</v>
      </c>
    </row>
    <row r="23" spans="1:9" x14ac:dyDescent="0.25">
      <c r="A23" s="68" t="s">
        <v>71</v>
      </c>
      <c r="B23" s="71">
        <v>-699</v>
      </c>
      <c r="C23" s="71">
        <v>-25</v>
      </c>
      <c r="D23" s="71">
        <v>-1732</v>
      </c>
      <c r="E23" s="71"/>
      <c r="F23" t="s">
        <v>141</v>
      </c>
      <c r="G23">
        <v>-4422</v>
      </c>
      <c r="H23">
        <v>-1663</v>
      </c>
      <c r="I23">
        <v>-3031</v>
      </c>
    </row>
    <row r="24" spans="1:9" x14ac:dyDescent="0.25">
      <c r="A24" s="68" t="s">
        <v>72</v>
      </c>
      <c r="B24" s="71">
        <v>-2442</v>
      </c>
      <c r="C24" s="71">
        <v>2536</v>
      </c>
      <c r="D24" s="71">
        <v>3553</v>
      </c>
      <c r="E24" s="71"/>
      <c r="F24" t="s">
        <v>142</v>
      </c>
      <c r="G24">
        <v>9366</v>
      </c>
      <c r="H24">
        <v>13066</v>
      </c>
      <c r="I24">
        <v>10913</v>
      </c>
    </row>
    <row r="25" spans="1:9" x14ac:dyDescent="0.25">
      <c r="A25" s="68" t="s">
        <v>73</v>
      </c>
      <c r="B25" s="71">
        <v>-32</v>
      </c>
      <c r="C25" s="71">
        <v>-29</v>
      </c>
      <c r="D25" s="71">
        <v>-48</v>
      </c>
      <c r="E25" s="71"/>
      <c r="F25" t="s">
        <v>143</v>
      </c>
    </row>
    <row r="26" spans="1:9" x14ac:dyDescent="0.25">
      <c r="A26" s="68" t="s">
        <v>74</v>
      </c>
      <c r="B26" s="69"/>
      <c r="C26" s="69"/>
      <c r="D26" s="69"/>
      <c r="E26" s="69"/>
      <c r="F26" t="s">
        <v>144</v>
      </c>
      <c r="G26">
        <v>0</v>
      </c>
      <c r="H26">
        <v>0</v>
      </c>
      <c r="I26">
        <v>671</v>
      </c>
    </row>
    <row r="27" spans="1:9" x14ac:dyDescent="0.25">
      <c r="A27" s="68" t="s">
        <v>75</v>
      </c>
      <c r="B27" s="71">
        <v>-2474</v>
      </c>
      <c r="C27" s="71">
        <v>2507</v>
      </c>
      <c r="D27" s="71">
        <v>3505</v>
      </c>
      <c r="E27" s="71"/>
      <c r="F27" t="s">
        <v>145</v>
      </c>
    </row>
    <row r="28" spans="1:9" x14ac:dyDescent="0.25">
      <c r="A28" s="68" t="s">
        <v>76</v>
      </c>
      <c r="B28" s="71">
        <v>-390</v>
      </c>
      <c r="C28" s="71">
        <v>-512</v>
      </c>
      <c r="D28" s="71">
        <v>-360</v>
      </c>
      <c r="E28" s="71"/>
      <c r="F28" t="s">
        <v>24</v>
      </c>
      <c r="G28">
        <v>9366</v>
      </c>
      <c r="H28">
        <v>13066</v>
      </c>
      <c r="I28">
        <v>11584</v>
      </c>
    </row>
    <row r="29" spans="1:9" x14ac:dyDescent="0.25">
      <c r="A29" s="68" t="s">
        <v>77</v>
      </c>
      <c r="B29" s="69"/>
      <c r="C29" s="69"/>
      <c r="D29" s="69"/>
      <c r="E29" s="69"/>
      <c r="F29" t="s">
        <v>146</v>
      </c>
    </row>
    <row r="30" spans="1:9" x14ac:dyDescent="0.25">
      <c r="A30" s="69"/>
      <c r="B30" s="69"/>
      <c r="C30" s="69"/>
      <c r="D30" s="69"/>
      <c r="E30" s="69"/>
      <c r="F30" t="s">
        <v>147</v>
      </c>
      <c r="G30">
        <v>-386</v>
      </c>
      <c r="H30">
        <v>-468</v>
      </c>
      <c r="I30">
        <v>-472</v>
      </c>
    </row>
    <row r="31" spans="1:9" x14ac:dyDescent="0.25">
      <c r="A31" s="68" t="s">
        <v>78</v>
      </c>
      <c r="B31" s="69"/>
      <c r="C31" s="69"/>
      <c r="D31" s="69"/>
      <c r="E31" s="69"/>
      <c r="F31" t="s">
        <v>148</v>
      </c>
    </row>
    <row r="32" spans="1:9" x14ac:dyDescent="0.25">
      <c r="A32" s="68" t="s">
        <v>79</v>
      </c>
      <c r="B32" s="70">
        <v>-2864</v>
      </c>
      <c r="C32" s="70">
        <v>1995</v>
      </c>
      <c r="D32" s="70">
        <v>3145</v>
      </c>
      <c r="E32" s="70"/>
      <c r="F32" t="s">
        <v>149</v>
      </c>
      <c r="G32">
        <v>0</v>
      </c>
      <c r="H32">
        <v>0</v>
      </c>
      <c r="I32">
        <v>-58</v>
      </c>
    </row>
    <row r="33" spans="1:9" x14ac:dyDescent="0.25">
      <c r="A33" s="69"/>
      <c r="B33" s="69"/>
      <c r="C33" s="69"/>
      <c r="D33" s="69"/>
      <c r="E33" s="69"/>
      <c r="F33" t="s">
        <v>150</v>
      </c>
    </row>
    <row r="34" spans="1:9" x14ac:dyDescent="0.25">
      <c r="A34" s="68" t="s">
        <v>80</v>
      </c>
      <c r="B34" s="69"/>
      <c r="C34" s="69"/>
      <c r="D34" s="69"/>
      <c r="E34" s="69"/>
      <c r="F34" t="s">
        <v>151</v>
      </c>
    </row>
    <row r="35" spans="1:9" x14ac:dyDescent="0.25">
      <c r="A35" s="68" t="s">
        <v>81</v>
      </c>
      <c r="B35" s="69"/>
      <c r="C35" s="69"/>
      <c r="D35" s="69"/>
      <c r="E35" s="69"/>
      <c r="F35" t="s">
        <v>79</v>
      </c>
      <c r="G35">
        <v>8980</v>
      </c>
      <c r="H35">
        <v>12598</v>
      </c>
      <c r="I35">
        <v>11054</v>
      </c>
    </row>
    <row r="36" spans="1:9" x14ac:dyDescent="0.25">
      <c r="A36" s="68" t="s">
        <v>82</v>
      </c>
      <c r="B36" s="72">
        <v>-1.57</v>
      </c>
      <c r="C36" s="72">
        <v>1.1100000000000001</v>
      </c>
      <c r="D36" s="72">
        <v>1.75</v>
      </c>
      <c r="E36" s="72"/>
    </row>
    <row r="37" spans="1:9" x14ac:dyDescent="0.25">
      <c r="A37" s="68" t="s">
        <v>83</v>
      </c>
      <c r="B37" s="73">
        <v>-0.02</v>
      </c>
      <c r="C37" s="73">
        <v>-0.02</v>
      </c>
      <c r="D37" s="73">
        <v>-0.03</v>
      </c>
      <c r="E37" s="73"/>
      <c r="F37" t="s">
        <v>152</v>
      </c>
    </row>
    <row r="38" spans="1:9" x14ac:dyDescent="0.25">
      <c r="A38" s="68" t="s">
        <v>53</v>
      </c>
      <c r="B38" s="72">
        <v>-1.58</v>
      </c>
      <c r="C38" s="72">
        <v>1.0900000000000001</v>
      </c>
      <c r="D38" s="72">
        <v>1.72</v>
      </c>
      <c r="E38" s="72"/>
      <c r="F38" t="s">
        <v>153</v>
      </c>
    </row>
    <row r="39" spans="1:9" x14ac:dyDescent="0.25">
      <c r="A39" s="69"/>
      <c r="B39" s="69"/>
      <c r="C39" s="69"/>
      <c r="D39" s="69"/>
      <c r="E39" s="69"/>
      <c r="F39" t="s">
        <v>82</v>
      </c>
      <c r="G39">
        <v>5.69</v>
      </c>
      <c r="H39">
        <v>8.36</v>
      </c>
      <c r="I39">
        <v>6.27</v>
      </c>
    </row>
    <row r="40" spans="1:9" x14ac:dyDescent="0.25">
      <c r="A40" s="68" t="s">
        <v>84</v>
      </c>
      <c r="B40" s="69"/>
      <c r="C40" s="69"/>
      <c r="D40" s="69"/>
      <c r="E40" s="69"/>
      <c r="F40" t="s">
        <v>83</v>
      </c>
      <c r="G40">
        <v>0</v>
      </c>
      <c r="H40">
        <v>0</v>
      </c>
      <c r="I40">
        <v>0.37</v>
      </c>
    </row>
    <row r="41" spans="1:9" x14ac:dyDescent="0.25">
      <c r="A41" s="68" t="s">
        <v>82</v>
      </c>
      <c r="B41" s="72">
        <v>-1.57</v>
      </c>
      <c r="C41" s="72">
        <v>1.1100000000000001</v>
      </c>
      <c r="D41" s="72">
        <v>1.75</v>
      </c>
      <c r="E41" s="72"/>
      <c r="F41" t="s">
        <v>53</v>
      </c>
      <c r="G41">
        <v>5.69</v>
      </c>
      <c r="H41">
        <v>8.36</v>
      </c>
      <c r="I41">
        <v>6.64</v>
      </c>
    </row>
    <row r="42" spans="1:9" x14ac:dyDescent="0.25">
      <c r="A42" s="68" t="s">
        <v>83</v>
      </c>
      <c r="B42" s="73">
        <v>-0.02</v>
      </c>
      <c r="C42" s="73">
        <v>-0.02</v>
      </c>
      <c r="D42" s="73">
        <v>-0.03</v>
      </c>
      <c r="E42" s="73"/>
    </row>
    <row r="43" spans="1:9" x14ac:dyDescent="0.25">
      <c r="A43" s="68" t="s">
        <v>53</v>
      </c>
      <c r="B43" s="72">
        <v>-1.58</v>
      </c>
      <c r="C43" s="72">
        <v>1.1000000000000001</v>
      </c>
      <c r="D43" s="72">
        <v>1.73</v>
      </c>
      <c r="E43" s="72"/>
      <c r="F43" t="s">
        <v>154</v>
      </c>
    </row>
    <row r="44" spans="1:9" x14ac:dyDescent="0.25">
      <c r="A44" s="69"/>
      <c r="B44" s="69"/>
      <c r="C44" s="69"/>
      <c r="D44" s="69"/>
      <c r="E44" s="69"/>
      <c r="F44" t="s">
        <v>82</v>
      </c>
      <c r="G44">
        <v>5.73</v>
      </c>
      <c r="H44">
        <v>8.4</v>
      </c>
      <c r="I44">
        <v>6.3</v>
      </c>
    </row>
    <row r="45" spans="1:9" x14ac:dyDescent="0.25">
      <c r="A45" s="68" t="s">
        <v>85</v>
      </c>
      <c r="B45" s="69"/>
      <c r="C45" s="69"/>
      <c r="D45" s="69"/>
      <c r="E45" s="69"/>
      <c r="F45" t="s">
        <v>83</v>
      </c>
      <c r="G45">
        <v>0</v>
      </c>
      <c r="H45">
        <v>0</v>
      </c>
      <c r="I45">
        <v>0.37</v>
      </c>
    </row>
    <row r="46" spans="1:9" x14ac:dyDescent="0.25">
      <c r="A46" s="68" t="s">
        <v>86</v>
      </c>
      <c r="B46" s="69"/>
      <c r="C46" s="69"/>
      <c r="D46" s="69"/>
      <c r="E46" s="69"/>
      <c r="F46" t="s">
        <v>53</v>
      </c>
      <c r="G46">
        <v>5.73</v>
      </c>
      <c r="H46">
        <v>8.4</v>
      </c>
      <c r="I46">
        <v>6.68</v>
      </c>
    </row>
    <row r="47" spans="1:9" x14ac:dyDescent="0.25">
      <c r="A47" s="68" t="s">
        <v>81</v>
      </c>
      <c r="B47" s="71">
        <v>1808</v>
      </c>
      <c r="C47" s="71">
        <v>1828</v>
      </c>
      <c r="D47" s="71">
        <v>1827</v>
      </c>
      <c r="E47" s="71"/>
    </row>
    <row r="48" spans="1:9" x14ac:dyDescent="0.25">
      <c r="A48" s="68" t="s">
        <v>84</v>
      </c>
      <c r="B48" s="71">
        <v>1808</v>
      </c>
      <c r="C48" s="71">
        <v>1816</v>
      </c>
      <c r="D48" s="71">
        <v>1822</v>
      </c>
      <c r="E48" s="71"/>
      <c r="F48" t="s">
        <v>155</v>
      </c>
    </row>
    <row r="49" spans="6:9" x14ac:dyDescent="0.25">
      <c r="F49" t="s">
        <v>156</v>
      </c>
    </row>
    <row r="50" spans="6:9" x14ac:dyDescent="0.25">
      <c r="F50" t="s">
        <v>81</v>
      </c>
      <c r="G50">
        <v>1578</v>
      </c>
      <c r="H50">
        <v>1507</v>
      </c>
      <c r="I50">
        <v>1666</v>
      </c>
    </row>
    <row r="51" spans="6:9" x14ac:dyDescent="0.25">
      <c r="F51" t="s">
        <v>84</v>
      </c>
      <c r="G51">
        <v>1568</v>
      </c>
      <c r="H51">
        <v>1499</v>
      </c>
      <c r="I51">
        <v>1656</v>
      </c>
    </row>
  </sheetData>
  <sortState xmlns:xlrd2="http://schemas.microsoft.com/office/spreadsheetml/2017/richdata2" columnSort="1" ref="G4:I51">
    <sortCondition ref="G4:I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76"/>
  <sheetViews>
    <sheetView topLeftCell="A13" workbookViewId="0">
      <selection activeCell="A23" sqref="A23"/>
    </sheetView>
  </sheetViews>
  <sheetFormatPr defaultRowHeight="15" x14ac:dyDescent="0.25"/>
  <cols>
    <col min="1" max="1" width="56.5703125" customWidth="1"/>
    <col min="6" max="6" width="55.140625" customWidth="1"/>
  </cols>
  <sheetData>
    <row r="1" spans="1:9" x14ac:dyDescent="0.25">
      <c r="A1" s="74" t="s">
        <v>87</v>
      </c>
      <c r="B1" s="75" t="s">
        <v>53</v>
      </c>
      <c r="C1" s="69"/>
      <c r="D1" s="69"/>
      <c r="F1" t="s">
        <v>87</v>
      </c>
      <c r="G1" t="s">
        <v>53</v>
      </c>
    </row>
    <row r="2" spans="1:9" x14ac:dyDescent="0.25">
      <c r="A2" s="74" t="s">
        <v>88</v>
      </c>
      <c r="B2" s="75" t="s">
        <v>53</v>
      </c>
      <c r="C2" s="69"/>
      <c r="D2" s="69"/>
      <c r="F2" t="s">
        <v>88</v>
      </c>
      <c r="G2" t="s">
        <v>53</v>
      </c>
    </row>
    <row r="3" spans="1:9" x14ac:dyDescent="0.25">
      <c r="A3" s="69"/>
      <c r="B3" s="69"/>
      <c r="C3" s="69"/>
      <c r="D3" s="69"/>
    </row>
    <row r="4" spans="1:9" x14ac:dyDescent="0.25">
      <c r="A4" s="68" t="s">
        <v>53</v>
      </c>
      <c r="B4" s="68">
        <v>2022</v>
      </c>
      <c r="C4" s="68">
        <v>2021</v>
      </c>
      <c r="D4" s="68">
        <v>2020</v>
      </c>
      <c r="F4" t="s">
        <v>53</v>
      </c>
      <c r="G4">
        <v>2019</v>
      </c>
      <c r="H4">
        <v>2018</v>
      </c>
      <c r="I4">
        <v>2017</v>
      </c>
    </row>
    <row r="5" spans="1:9" x14ac:dyDescent="0.25">
      <c r="A5" s="68" t="s">
        <v>89</v>
      </c>
      <c r="B5" s="69"/>
      <c r="C5" s="69"/>
      <c r="D5" s="69"/>
      <c r="F5" t="s">
        <v>89</v>
      </c>
    </row>
    <row r="6" spans="1:9" x14ac:dyDescent="0.25">
      <c r="A6" s="68" t="s">
        <v>72</v>
      </c>
      <c r="B6" s="70">
        <v>3553</v>
      </c>
      <c r="C6" s="70">
        <v>2536</v>
      </c>
      <c r="D6" s="70">
        <v>-2442</v>
      </c>
      <c r="F6" t="s">
        <v>142</v>
      </c>
      <c r="G6">
        <v>10913</v>
      </c>
      <c r="H6">
        <v>13066</v>
      </c>
      <c r="I6">
        <v>9366</v>
      </c>
    </row>
    <row r="7" spans="1:9" x14ac:dyDescent="0.25">
      <c r="A7" s="68" t="s">
        <v>63</v>
      </c>
      <c r="B7" s="71">
        <v>5163</v>
      </c>
      <c r="C7" s="71">
        <v>5111</v>
      </c>
      <c r="D7" s="71">
        <v>5345</v>
      </c>
      <c r="F7" t="s">
        <v>63</v>
      </c>
      <c r="G7">
        <v>4160</v>
      </c>
      <c r="H7">
        <v>3011</v>
      </c>
      <c r="I7">
        <v>2782</v>
      </c>
    </row>
    <row r="8" spans="1:9" x14ac:dyDescent="0.25">
      <c r="A8" s="68" t="s">
        <v>90</v>
      </c>
      <c r="B8" s="76">
        <v>0</v>
      </c>
      <c r="C8" s="76">
        <v>0</v>
      </c>
      <c r="D8" s="71">
        <v>4953</v>
      </c>
      <c r="F8" t="s">
        <v>157</v>
      </c>
      <c r="G8">
        <v>-4794</v>
      </c>
      <c r="H8">
        <v>-560</v>
      </c>
      <c r="I8">
        <v>-289</v>
      </c>
    </row>
    <row r="9" spans="1:9" x14ac:dyDescent="0.25">
      <c r="A9" s="68" t="s">
        <v>91</v>
      </c>
      <c r="B9" s="71">
        <v>714</v>
      </c>
      <c r="C9" s="71">
        <v>-332</v>
      </c>
      <c r="D9" s="71">
        <v>-920</v>
      </c>
      <c r="F9" t="s">
        <v>92</v>
      </c>
      <c r="G9">
        <v>117</v>
      </c>
      <c r="H9">
        <v>-1573</v>
      </c>
      <c r="I9">
        <v>334</v>
      </c>
    </row>
    <row r="10" spans="1:9" x14ac:dyDescent="0.25">
      <c r="A10" s="68" t="s">
        <v>92</v>
      </c>
      <c r="B10" s="71">
        <v>200</v>
      </c>
      <c r="C10" s="71">
        <v>-1241</v>
      </c>
      <c r="D10" s="71">
        <v>-392</v>
      </c>
      <c r="F10" t="s">
        <v>158</v>
      </c>
    </row>
    <row r="11" spans="1:9" x14ac:dyDescent="0.25">
      <c r="A11" s="68" t="s">
        <v>68</v>
      </c>
      <c r="B11" s="71">
        <v>-816</v>
      </c>
      <c r="C11" s="71">
        <v>-761</v>
      </c>
      <c r="D11" s="71">
        <v>-651</v>
      </c>
      <c r="F11" t="s">
        <v>159</v>
      </c>
      <c r="G11">
        <v>103</v>
      </c>
      <c r="H11">
        <v>102</v>
      </c>
      <c r="I11">
        <v>-320</v>
      </c>
    </row>
    <row r="12" spans="1:9" x14ac:dyDescent="0.25">
      <c r="A12" s="68" t="s">
        <v>93</v>
      </c>
      <c r="B12" s="71">
        <v>779</v>
      </c>
      <c r="C12" s="71">
        <v>754</v>
      </c>
      <c r="D12" s="71">
        <v>774</v>
      </c>
      <c r="F12" t="s">
        <v>160</v>
      </c>
    </row>
    <row r="13" spans="1:9" x14ac:dyDescent="0.25">
      <c r="A13" s="68" t="s">
        <v>94</v>
      </c>
      <c r="B13" s="69"/>
      <c r="C13" s="69"/>
      <c r="D13" s="69"/>
      <c r="F13" t="s">
        <v>159</v>
      </c>
      <c r="G13">
        <v>754</v>
      </c>
      <c r="H13">
        <v>775</v>
      </c>
      <c r="I13">
        <v>788</v>
      </c>
    </row>
    <row r="14" spans="1:9" x14ac:dyDescent="0.25">
      <c r="A14" s="68" t="s">
        <v>95</v>
      </c>
      <c r="B14" s="71">
        <v>-6271</v>
      </c>
      <c r="C14" s="71">
        <v>-4301</v>
      </c>
      <c r="D14" s="71">
        <v>397</v>
      </c>
      <c r="F14" t="s">
        <v>161</v>
      </c>
    </row>
    <row r="15" spans="1:9" x14ac:dyDescent="0.25">
      <c r="A15" s="69"/>
      <c r="B15" s="69"/>
      <c r="C15" s="69"/>
      <c r="D15" s="69"/>
      <c r="F15" t="s">
        <v>95</v>
      </c>
      <c r="G15">
        <v>-542</v>
      </c>
      <c r="H15">
        <v>-523</v>
      </c>
      <c r="I15">
        <v>-1075</v>
      </c>
    </row>
    <row r="16" spans="1:9" x14ac:dyDescent="0.25">
      <c r="A16" s="68" t="s">
        <v>96</v>
      </c>
      <c r="B16" s="71">
        <v>977</v>
      </c>
      <c r="C16" s="71">
        <v>600</v>
      </c>
      <c r="D16" s="71">
        <v>525</v>
      </c>
      <c r="F16" t="s">
        <v>96</v>
      </c>
      <c r="G16">
        <v>711</v>
      </c>
      <c r="H16">
        <v>393</v>
      </c>
      <c r="I16">
        <v>364</v>
      </c>
    </row>
    <row r="17" spans="1:9" x14ac:dyDescent="0.25">
      <c r="A17" s="68" t="s">
        <v>97</v>
      </c>
      <c r="B17" s="69"/>
      <c r="C17" s="69"/>
      <c r="D17" s="69"/>
      <c r="F17" t="s">
        <v>162</v>
      </c>
      <c r="G17">
        <v>206</v>
      </c>
      <c r="H17">
        <v>441</v>
      </c>
      <c r="I17">
        <v>503</v>
      </c>
    </row>
    <row r="18" spans="1:9" x14ac:dyDescent="0.25">
      <c r="A18" s="68" t="s">
        <v>98</v>
      </c>
      <c r="B18" s="71">
        <v>620</v>
      </c>
      <c r="C18" s="71">
        <v>816</v>
      </c>
      <c r="D18" s="71">
        <v>547</v>
      </c>
      <c r="F18" t="s">
        <v>163</v>
      </c>
    </row>
    <row r="19" spans="1:9" x14ac:dyDescent="0.25">
      <c r="A19" s="68" t="s">
        <v>99</v>
      </c>
      <c r="B19" s="71">
        <v>595</v>
      </c>
      <c r="C19" s="71">
        <v>190</v>
      </c>
      <c r="D19" s="71">
        <v>125</v>
      </c>
      <c r="F19" t="s">
        <v>164</v>
      </c>
    </row>
    <row r="20" spans="1:9" x14ac:dyDescent="0.25">
      <c r="A20" s="68" t="s">
        <v>100</v>
      </c>
      <c r="B20" s="69"/>
      <c r="C20" s="69"/>
      <c r="D20" s="69"/>
      <c r="F20" t="s">
        <v>165</v>
      </c>
    </row>
    <row r="21" spans="1:9" x14ac:dyDescent="0.25">
      <c r="A21" s="68" t="s">
        <v>101</v>
      </c>
      <c r="B21" s="71">
        <v>605</v>
      </c>
      <c r="C21" s="71">
        <v>-357</v>
      </c>
      <c r="D21" s="71">
        <v>1943</v>
      </c>
      <c r="F21" t="s">
        <v>101</v>
      </c>
      <c r="G21">
        <v>55</v>
      </c>
      <c r="H21">
        <v>-720</v>
      </c>
      <c r="I21">
        <v>107</v>
      </c>
    </row>
    <row r="22" spans="1:9" x14ac:dyDescent="0.25">
      <c r="A22" s="68" t="s">
        <v>102</v>
      </c>
      <c r="B22" s="71">
        <v>-420</v>
      </c>
      <c r="C22" s="71">
        <v>252</v>
      </c>
      <c r="D22" s="71">
        <v>14</v>
      </c>
      <c r="F22" t="s">
        <v>102</v>
      </c>
      <c r="G22">
        <v>-223</v>
      </c>
      <c r="H22">
        <v>-17</v>
      </c>
      <c r="I22">
        <v>-5</v>
      </c>
    </row>
    <row r="23" spans="1:9" x14ac:dyDescent="0.25">
      <c r="A23" s="68" t="s">
        <v>103</v>
      </c>
      <c r="B23" s="71">
        <v>-707</v>
      </c>
      <c r="C23" s="71">
        <v>171</v>
      </c>
      <c r="D23" s="71">
        <v>-157</v>
      </c>
      <c r="F23" t="s">
        <v>103</v>
      </c>
      <c r="G23">
        <v>932</v>
      </c>
      <c r="H23">
        <v>-927</v>
      </c>
      <c r="I23">
        <v>-52</v>
      </c>
    </row>
    <row r="24" spans="1:9" x14ac:dyDescent="0.25">
      <c r="A24" s="68" t="s">
        <v>104</v>
      </c>
      <c r="B24" s="71">
        <v>964</v>
      </c>
      <c r="C24" s="71">
        <v>2410</v>
      </c>
      <c r="D24" s="71">
        <v>-2293</v>
      </c>
      <c r="F24" t="s">
        <v>166</v>
      </c>
    </row>
    <row r="25" spans="1:9" x14ac:dyDescent="0.25">
      <c r="A25" s="68" t="s">
        <v>105</v>
      </c>
      <c r="B25" s="71">
        <v>46</v>
      </c>
      <c r="C25" s="71">
        <v>-282</v>
      </c>
      <c r="D25" s="71">
        <v>-152</v>
      </c>
      <c r="F25" t="s">
        <v>167</v>
      </c>
      <c r="G25">
        <v>191</v>
      </c>
      <c r="H25">
        <v>235</v>
      </c>
      <c r="I25">
        <v>-368</v>
      </c>
    </row>
    <row r="26" spans="1:9" x14ac:dyDescent="0.25">
      <c r="A26" s="68" t="s">
        <v>106</v>
      </c>
      <c r="B26" s="69"/>
      <c r="C26" s="69"/>
      <c r="D26" s="69"/>
      <c r="F26" t="s">
        <v>105</v>
      </c>
      <c r="G26">
        <v>-6599</v>
      </c>
      <c r="H26">
        <v>592</v>
      </c>
      <c r="I26">
        <v>208</v>
      </c>
    </row>
    <row r="27" spans="1:9" x14ac:dyDescent="0.25">
      <c r="A27" s="68" t="s">
        <v>107</v>
      </c>
      <c r="B27" s="71">
        <v>6002</v>
      </c>
      <c r="C27" s="71">
        <v>5566</v>
      </c>
      <c r="D27" s="71">
        <v>7616</v>
      </c>
      <c r="F27" t="s">
        <v>106</v>
      </c>
    </row>
    <row r="28" spans="1:9" x14ac:dyDescent="0.25">
      <c r="A28" s="69"/>
      <c r="B28" s="69"/>
      <c r="C28" s="69"/>
      <c r="D28" s="69"/>
      <c r="F28" t="s">
        <v>107</v>
      </c>
      <c r="G28">
        <v>5984</v>
      </c>
      <c r="H28">
        <v>14295</v>
      </c>
      <c r="I28">
        <v>12343</v>
      </c>
    </row>
    <row r="29" spans="1:9" x14ac:dyDescent="0.25">
      <c r="A29" s="68" t="s">
        <v>108</v>
      </c>
      <c r="B29" s="69"/>
      <c r="C29" s="69"/>
      <c r="D29" s="69"/>
    </row>
    <row r="30" spans="1:9" x14ac:dyDescent="0.25">
      <c r="A30" s="68" t="s">
        <v>109</v>
      </c>
      <c r="B30" s="71">
        <v>-4943</v>
      </c>
      <c r="C30" s="71">
        <v>-3578</v>
      </c>
      <c r="D30" s="71">
        <v>-4022</v>
      </c>
      <c r="F30" t="s">
        <v>108</v>
      </c>
    </row>
    <row r="31" spans="1:9" x14ac:dyDescent="0.25">
      <c r="A31" s="69"/>
      <c r="B31" s="69"/>
      <c r="C31" s="69"/>
      <c r="D31" s="69"/>
      <c r="F31" t="s">
        <v>168</v>
      </c>
    </row>
    <row r="32" spans="1:9" x14ac:dyDescent="0.25">
      <c r="A32" s="68" t="s">
        <v>99</v>
      </c>
      <c r="B32" s="71">
        <v>-65</v>
      </c>
      <c r="C32" s="71">
        <v>407</v>
      </c>
      <c r="D32" s="71">
        <v>172</v>
      </c>
      <c r="F32" t="s">
        <v>169</v>
      </c>
      <c r="G32">
        <v>-4876</v>
      </c>
      <c r="H32">
        <v>-4465</v>
      </c>
      <c r="I32">
        <v>-3623</v>
      </c>
    </row>
    <row r="33" spans="1:9" x14ac:dyDescent="0.25">
      <c r="A33" s="68" t="s">
        <v>110</v>
      </c>
      <c r="B33" s="69"/>
      <c r="C33" s="69"/>
      <c r="D33" s="69"/>
      <c r="F33" t="s">
        <v>170</v>
      </c>
      <c r="G33">
        <v>-9901</v>
      </c>
      <c r="H33">
        <v>-1581</v>
      </c>
      <c r="I33">
        <v>-417</v>
      </c>
    </row>
    <row r="34" spans="1:9" x14ac:dyDescent="0.25">
      <c r="A34" s="68" t="s">
        <v>107</v>
      </c>
      <c r="B34" s="71">
        <v>-5008</v>
      </c>
      <c r="C34" s="71">
        <v>-3171</v>
      </c>
      <c r="D34" s="71">
        <v>-3850</v>
      </c>
      <c r="F34" t="s">
        <v>162</v>
      </c>
      <c r="G34">
        <v>-319</v>
      </c>
      <c r="H34">
        <v>710</v>
      </c>
      <c r="I34">
        <v>-71</v>
      </c>
    </row>
    <row r="35" spans="1:9" x14ac:dyDescent="0.25">
      <c r="A35" s="69"/>
      <c r="B35" s="69"/>
      <c r="C35" s="69"/>
      <c r="D35" s="69"/>
      <c r="F35" t="s">
        <v>171</v>
      </c>
    </row>
    <row r="36" spans="1:9" x14ac:dyDescent="0.25">
      <c r="A36" s="68" t="s">
        <v>111</v>
      </c>
      <c r="B36" s="69"/>
      <c r="C36" s="69"/>
      <c r="D36" s="69"/>
      <c r="F36" t="s">
        <v>119</v>
      </c>
      <c r="G36">
        <v>-15096</v>
      </c>
      <c r="H36">
        <v>-5336</v>
      </c>
      <c r="I36">
        <v>-4111</v>
      </c>
    </row>
    <row r="37" spans="1:9" x14ac:dyDescent="0.25">
      <c r="A37" s="68" t="s">
        <v>112</v>
      </c>
      <c r="B37" s="71">
        <v>-334</v>
      </c>
      <c r="C37" s="71">
        <v>-26</v>
      </c>
      <c r="D37" s="71">
        <v>-3354</v>
      </c>
    </row>
    <row r="38" spans="1:9" x14ac:dyDescent="0.25">
      <c r="A38" s="68" t="s">
        <v>113</v>
      </c>
      <c r="B38" s="71">
        <v>333</v>
      </c>
      <c r="C38" s="71">
        <v>64</v>
      </c>
      <c r="D38" s="71">
        <v>18120</v>
      </c>
      <c r="F38" t="s">
        <v>111</v>
      </c>
    </row>
    <row r="39" spans="1:9" x14ac:dyDescent="0.25">
      <c r="A39" s="68" t="s">
        <v>114</v>
      </c>
      <c r="B39" s="71">
        <v>-4016</v>
      </c>
      <c r="C39" s="71">
        <v>-3737</v>
      </c>
      <c r="D39" s="71">
        <v>-3533</v>
      </c>
      <c r="F39" t="s">
        <v>172</v>
      </c>
    </row>
    <row r="40" spans="1:9" x14ac:dyDescent="0.25">
      <c r="A40" s="68" t="s">
        <v>115</v>
      </c>
      <c r="B40" s="76">
        <v>0</v>
      </c>
      <c r="C40" s="76">
        <v>0</v>
      </c>
      <c r="D40" s="71">
        <v>-1587</v>
      </c>
      <c r="F40" t="s">
        <v>173</v>
      </c>
      <c r="G40">
        <v>4318</v>
      </c>
      <c r="H40">
        <v>-1768</v>
      </c>
      <c r="I40">
        <v>1247</v>
      </c>
    </row>
    <row r="41" spans="1:9" x14ac:dyDescent="0.25">
      <c r="A41" s="69"/>
      <c r="B41" s="69"/>
      <c r="C41" s="69"/>
      <c r="D41" s="69"/>
      <c r="F41" t="s">
        <v>113</v>
      </c>
      <c r="G41">
        <v>38240</v>
      </c>
      <c r="H41">
        <v>1056</v>
      </c>
      <c r="I41">
        <v>4820</v>
      </c>
    </row>
    <row r="42" spans="1:9" x14ac:dyDescent="0.25">
      <c r="A42" s="68" t="s">
        <v>116</v>
      </c>
      <c r="B42" s="71">
        <v>127</v>
      </c>
      <c r="C42" s="71">
        <v>435</v>
      </c>
      <c r="D42" s="71">
        <v>305</v>
      </c>
      <c r="F42" t="s">
        <v>114</v>
      </c>
      <c r="G42">
        <v>-38881</v>
      </c>
      <c r="H42">
        <v>-1871</v>
      </c>
      <c r="I42">
        <v>-2364</v>
      </c>
    </row>
    <row r="43" spans="1:9" x14ac:dyDescent="0.25">
      <c r="A43" s="69"/>
      <c r="B43" s="69"/>
      <c r="C43" s="69"/>
      <c r="D43" s="69"/>
      <c r="F43" t="s">
        <v>115</v>
      </c>
      <c r="G43">
        <v>-2895</v>
      </c>
      <c r="H43">
        <v>-2515</v>
      </c>
      <c r="I43">
        <v>-2445</v>
      </c>
    </row>
    <row r="44" spans="1:9" x14ac:dyDescent="0.25">
      <c r="A44" s="68" t="s">
        <v>117</v>
      </c>
      <c r="B44" s="76">
        <v>0</v>
      </c>
      <c r="C44" s="71">
        <v>-350</v>
      </c>
      <c r="D44" s="76">
        <v>0</v>
      </c>
      <c r="F44" t="s">
        <v>174</v>
      </c>
      <c r="G44">
        <v>0</v>
      </c>
      <c r="H44">
        <v>-3577</v>
      </c>
      <c r="I44">
        <v>-9368</v>
      </c>
    </row>
    <row r="45" spans="1:9" x14ac:dyDescent="0.25">
      <c r="A45" s="68" t="s">
        <v>99</v>
      </c>
      <c r="B45" s="71">
        <v>-839</v>
      </c>
      <c r="C45" s="71">
        <v>-771</v>
      </c>
      <c r="D45" s="71">
        <v>-1471</v>
      </c>
      <c r="F45" t="s">
        <v>116</v>
      </c>
      <c r="G45">
        <v>318</v>
      </c>
      <c r="H45">
        <v>210</v>
      </c>
      <c r="I45">
        <v>276</v>
      </c>
    </row>
    <row r="46" spans="1:9" x14ac:dyDescent="0.25">
      <c r="A46" s="68" t="s">
        <v>118</v>
      </c>
      <c r="B46" s="69"/>
      <c r="C46" s="69"/>
      <c r="D46" s="69"/>
      <c r="F46" t="s">
        <v>175</v>
      </c>
    </row>
    <row r="47" spans="1:9" x14ac:dyDescent="0.25">
      <c r="A47" s="68" t="s">
        <v>119</v>
      </c>
      <c r="B47" s="71">
        <v>-4729</v>
      </c>
      <c r="C47" s="71">
        <v>-4385</v>
      </c>
      <c r="D47" s="71">
        <v>8480</v>
      </c>
      <c r="F47" t="s">
        <v>148</v>
      </c>
      <c r="G47">
        <v>737</v>
      </c>
      <c r="H47">
        <v>399</v>
      </c>
      <c r="I47">
        <v>17</v>
      </c>
    </row>
    <row r="48" spans="1:9" x14ac:dyDescent="0.25">
      <c r="A48" s="69"/>
      <c r="B48" s="69"/>
      <c r="C48" s="69"/>
      <c r="D48" s="69"/>
      <c r="F48" t="s">
        <v>176</v>
      </c>
    </row>
    <row r="49" spans="1:9" x14ac:dyDescent="0.25">
      <c r="A49" s="68" t="s">
        <v>120</v>
      </c>
      <c r="B49" s="69"/>
      <c r="C49" s="69"/>
      <c r="D49" s="69"/>
      <c r="F49" t="s">
        <v>177</v>
      </c>
      <c r="G49">
        <v>-1430</v>
      </c>
      <c r="H49">
        <v>0</v>
      </c>
      <c r="I49">
        <v>0</v>
      </c>
    </row>
    <row r="50" spans="1:9" x14ac:dyDescent="0.25">
      <c r="A50" s="68" t="s">
        <v>121</v>
      </c>
      <c r="B50" s="69"/>
      <c r="C50" s="69"/>
      <c r="D50" s="69"/>
      <c r="F50" t="s">
        <v>162</v>
      </c>
      <c r="G50">
        <v>-871</v>
      </c>
      <c r="H50">
        <v>-777</v>
      </c>
      <c r="I50">
        <v>-1142</v>
      </c>
    </row>
    <row r="51" spans="1:9" x14ac:dyDescent="0.25">
      <c r="A51" s="68" t="s">
        <v>107</v>
      </c>
      <c r="B51" s="71">
        <v>8</v>
      </c>
      <c r="C51" s="71">
        <v>1</v>
      </c>
      <c r="D51" s="71">
        <v>2</v>
      </c>
      <c r="F51" t="s">
        <v>178</v>
      </c>
    </row>
    <row r="52" spans="1:9" x14ac:dyDescent="0.25">
      <c r="A52" s="68" t="s">
        <v>122</v>
      </c>
      <c r="B52" s="69"/>
      <c r="C52" s="69"/>
      <c r="D52" s="69"/>
      <c r="F52" t="s">
        <v>119</v>
      </c>
      <c r="G52">
        <v>-464</v>
      </c>
      <c r="H52">
        <v>-8843</v>
      </c>
      <c r="I52">
        <v>-8959</v>
      </c>
    </row>
    <row r="53" spans="1:9" x14ac:dyDescent="0.25">
      <c r="A53" s="68" t="s">
        <v>123</v>
      </c>
      <c r="B53" s="76">
        <v>0</v>
      </c>
      <c r="C53" s="71">
        <v>8</v>
      </c>
      <c r="D53" s="71">
        <v>213</v>
      </c>
    </row>
    <row r="54" spans="1:9" x14ac:dyDescent="0.25">
      <c r="A54" s="68" t="s">
        <v>124</v>
      </c>
      <c r="B54" s="69"/>
      <c r="C54" s="69"/>
      <c r="D54" s="69"/>
      <c r="F54" t="s">
        <v>120</v>
      </c>
    </row>
    <row r="55" spans="1:9" x14ac:dyDescent="0.25">
      <c r="A55" s="68" t="s">
        <v>107</v>
      </c>
      <c r="B55" s="71">
        <v>-12</v>
      </c>
      <c r="C55" s="76">
        <v>0</v>
      </c>
      <c r="D55" s="76">
        <v>0</v>
      </c>
      <c r="F55" t="s">
        <v>179</v>
      </c>
    </row>
    <row r="56" spans="1:9" x14ac:dyDescent="0.25">
      <c r="A56" s="68" t="s">
        <v>125</v>
      </c>
      <c r="B56" s="71">
        <v>-4</v>
      </c>
      <c r="C56" s="71">
        <v>9</v>
      </c>
      <c r="D56" s="71">
        <v>215</v>
      </c>
      <c r="F56" t="s">
        <v>123</v>
      </c>
      <c r="G56">
        <v>622</v>
      </c>
      <c r="H56">
        <v>0</v>
      </c>
      <c r="I56">
        <v>0</v>
      </c>
    </row>
    <row r="57" spans="1:9" x14ac:dyDescent="0.25">
      <c r="A57" s="69"/>
      <c r="B57" s="69"/>
      <c r="C57" s="69"/>
      <c r="D57" s="69"/>
      <c r="F57" t="s">
        <v>122</v>
      </c>
    </row>
    <row r="58" spans="1:9" x14ac:dyDescent="0.25">
      <c r="A58" s="68" t="s">
        <v>126</v>
      </c>
      <c r="B58" s="69"/>
      <c r="C58" s="69"/>
      <c r="D58" s="69"/>
      <c r="F58" t="s">
        <v>123</v>
      </c>
      <c r="G58">
        <v>10978</v>
      </c>
      <c r="H58">
        <v>0</v>
      </c>
      <c r="I58">
        <v>0</v>
      </c>
    </row>
    <row r="59" spans="1:9" x14ac:dyDescent="0.25">
      <c r="A59" s="68" t="s">
        <v>127</v>
      </c>
      <c r="B59" s="71">
        <v>-603</v>
      </c>
      <c r="C59" s="71">
        <v>30</v>
      </c>
      <c r="D59" s="71">
        <v>38</v>
      </c>
      <c r="F59" t="s">
        <v>178</v>
      </c>
    </row>
    <row r="60" spans="1:9" x14ac:dyDescent="0.25">
      <c r="A60" s="69"/>
      <c r="B60" s="69"/>
      <c r="C60" s="69"/>
      <c r="D60" s="69"/>
      <c r="F60" t="s">
        <v>123</v>
      </c>
      <c r="G60">
        <v>-626</v>
      </c>
      <c r="H60">
        <v>0</v>
      </c>
      <c r="I60">
        <v>0</v>
      </c>
    </row>
    <row r="61" spans="1:9" x14ac:dyDescent="0.25">
      <c r="A61" s="68" t="s">
        <v>128</v>
      </c>
      <c r="B61" s="69"/>
      <c r="C61" s="69"/>
      <c r="D61" s="69"/>
      <c r="F61" t="s">
        <v>180</v>
      </c>
      <c r="G61">
        <v>10974</v>
      </c>
      <c r="H61">
        <v>0</v>
      </c>
      <c r="I61">
        <v>0</v>
      </c>
    </row>
    <row r="62" spans="1:9" x14ac:dyDescent="0.25">
      <c r="A62" s="68" t="s">
        <v>129</v>
      </c>
      <c r="B62" s="71">
        <v>-4342</v>
      </c>
      <c r="C62" s="71">
        <v>-1951</v>
      </c>
      <c r="D62" s="71">
        <v>12499</v>
      </c>
    </row>
    <row r="63" spans="1:9" x14ac:dyDescent="0.25">
      <c r="A63" s="68" t="s">
        <v>130</v>
      </c>
      <c r="B63" s="69"/>
      <c r="C63" s="69"/>
      <c r="D63" s="69"/>
      <c r="F63" t="s">
        <v>181</v>
      </c>
    </row>
    <row r="64" spans="1:9" x14ac:dyDescent="0.25">
      <c r="A64" s="68" t="s">
        <v>131</v>
      </c>
      <c r="B64" s="71">
        <v>16003</v>
      </c>
      <c r="C64" s="71">
        <v>17954</v>
      </c>
      <c r="D64" s="71">
        <v>5455</v>
      </c>
      <c r="F64" t="s">
        <v>182</v>
      </c>
      <c r="G64">
        <v>-98</v>
      </c>
      <c r="H64">
        <v>-25</v>
      </c>
      <c r="I64">
        <v>31</v>
      </c>
    </row>
    <row r="65" spans="1:9" x14ac:dyDescent="0.25">
      <c r="A65" s="68" t="s">
        <v>132</v>
      </c>
      <c r="B65" s="69"/>
      <c r="C65" s="69"/>
      <c r="D65" s="69"/>
    </row>
    <row r="66" spans="1:9" x14ac:dyDescent="0.25">
      <c r="A66" s="68" t="s">
        <v>133</v>
      </c>
      <c r="B66" s="70">
        <v>11661</v>
      </c>
      <c r="C66" s="70">
        <v>16003</v>
      </c>
      <c r="D66" s="70">
        <v>17954</v>
      </c>
      <c r="F66" t="s">
        <v>183</v>
      </c>
    </row>
    <row r="67" spans="1:9" x14ac:dyDescent="0.25">
      <c r="A67" s="69"/>
      <c r="B67" s="69"/>
      <c r="C67" s="69"/>
      <c r="D67" s="69"/>
      <c r="F67" t="s">
        <v>184</v>
      </c>
      <c r="G67">
        <v>1300</v>
      </c>
      <c r="H67">
        <v>91</v>
      </c>
      <c r="I67">
        <v>-696</v>
      </c>
    </row>
    <row r="68" spans="1:9" x14ac:dyDescent="0.25">
      <c r="A68" s="68" t="s">
        <v>134</v>
      </c>
      <c r="B68" s="69"/>
      <c r="C68" s="69"/>
      <c r="D68" s="69"/>
      <c r="F68" t="s">
        <v>185</v>
      </c>
    </row>
    <row r="69" spans="1:9" x14ac:dyDescent="0.25">
      <c r="A69" s="68" t="s">
        <v>135</v>
      </c>
      <c r="B69" s="70">
        <v>1685</v>
      </c>
      <c r="C69" s="70">
        <v>1892</v>
      </c>
      <c r="D69" s="70">
        <v>1559</v>
      </c>
      <c r="F69" t="s">
        <v>186</v>
      </c>
      <c r="G69">
        <v>4155</v>
      </c>
      <c r="H69">
        <v>4064</v>
      </c>
      <c r="I69">
        <v>4760</v>
      </c>
    </row>
    <row r="70" spans="1:9" x14ac:dyDescent="0.25">
      <c r="A70" s="68" t="s">
        <v>136</v>
      </c>
      <c r="B70" s="70">
        <v>1097</v>
      </c>
      <c r="C70" s="70">
        <v>1638</v>
      </c>
      <c r="D70" s="70">
        <v>738</v>
      </c>
      <c r="F70" t="s">
        <v>185</v>
      </c>
    </row>
    <row r="71" spans="1:9" x14ac:dyDescent="0.25">
      <c r="F71" t="s">
        <v>187</v>
      </c>
      <c r="G71">
        <v>5455</v>
      </c>
      <c r="H71">
        <v>4155</v>
      </c>
      <c r="I71">
        <v>4064</v>
      </c>
    </row>
    <row r="73" spans="1:9" x14ac:dyDescent="0.25">
      <c r="F73" t="s">
        <v>188</v>
      </c>
    </row>
    <row r="74" spans="1:9" x14ac:dyDescent="0.25">
      <c r="F74" t="s">
        <v>189</v>
      </c>
    </row>
    <row r="75" spans="1:9" x14ac:dyDescent="0.25">
      <c r="F75" t="s">
        <v>135</v>
      </c>
      <c r="G75">
        <v>1142</v>
      </c>
      <c r="H75">
        <v>631</v>
      </c>
      <c r="I75">
        <v>466</v>
      </c>
    </row>
    <row r="76" spans="1:9" x14ac:dyDescent="0.25">
      <c r="F76" t="s">
        <v>136</v>
      </c>
      <c r="G76">
        <v>9259</v>
      </c>
      <c r="H76">
        <v>2503</v>
      </c>
      <c r="I76">
        <v>3801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D9" sqref="D9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v>0.18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1.31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'DIS DCF'!D62</f>
        <v>169080.53053964002</v>
      </c>
      <c r="D12" s="2"/>
      <c r="E12" s="2" t="s">
        <v>33</v>
      </c>
      <c r="F12" s="2"/>
      <c r="G12" s="23">
        <f>'DIS DCF'!D59</f>
        <v>9465</v>
      </c>
      <c r="H12" s="2"/>
      <c r="I12" s="2" t="s">
        <v>45</v>
      </c>
      <c r="J12" s="2"/>
      <c r="K12" s="23">
        <f>G12+C12</f>
        <v>178545.53053964002</v>
      </c>
      <c r="L12" s="2"/>
    </row>
    <row r="13" spans="1:12" x14ac:dyDescent="0.25">
      <c r="A13" s="2" t="s">
        <v>46</v>
      </c>
      <c r="B13" s="2"/>
      <c r="C13" s="47">
        <f>C12/K12</f>
        <v>0.94698831176903298</v>
      </c>
      <c r="D13" s="2"/>
      <c r="E13" s="2" t="s">
        <v>47</v>
      </c>
      <c r="F13" s="2"/>
      <c r="G13" s="48">
        <f>G12/K12</f>
        <v>5.3011688230967031E-2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0.11560000000000001</v>
      </c>
      <c r="D14" s="2"/>
      <c r="E14" s="2" t="s">
        <v>49</v>
      </c>
      <c r="F14" s="2"/>
      <c r="G14" s="48">
        <v>0.05</v>
      </c>
      <c r="H14" s="2"/>
      <c r="I14" s="50" t="s">
        <v>1</v>
      </c>
      <c r="J14" s="51"/>
      <c r="K14" s="52">
        <f>C13*C14+G14*G13*(1-D6)</f>
        <v>0.11164532805796987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2023-06-09T10:13:05Z</dcterms:modified>
</cp:coreProperties>
</file>